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X:\Research\ny\Miller\MODELS\CLIENT\"/>
    </mc:Choice>
  </mc:AlternateContent>
  <xr:revisionPtr revIDLastSave="0" documentId="13_ncr:1_{ABFD9666-1CBA-4D3F-8C7C-344926D0E26D}" xr6:coauthVersionLast="47" xr6:coauthVersionMax="47" xr10:uidLastSave="{00000000-0000-0000-0000-000000000000}"/>
  <bookViews>
    <workbookView xWindow="0" yWindow="0" windowWidth="28800" windowHeight="23400" xr2:uid="{3FD8E5E8-2C56-4CA3-ACBA-3F49507493B7}"/>
  </bookViews>
  <sheets>
    <sheet name="Cover" sheetId="1" r:id="rId1"/>
    <sheet name="Worksheet" sheetId="2" r:id="rId2"/>
    <sheet name="AMD" sheetId="3" r:id="rId3"/>
  </sheets>
  <definedNames>
    <definedName name="_________________________2003Q4_T10">#REF!</definedName>
    <definedName name="_________________________TOP10">#REF!</definedName>
    <definedName name="________________________2003Q4_T10">#REF!</definedName>
    <definedName name="________________________TOP10">#REF!</definedName>
    <definedName name="_______________________2003Q4_T10">#REF!</definedName>
    <definedName name="_______________________TOP10">#REF!</definedName>
    <definedName name="______________________2003Q4_T10">#REF!</definedName>
    <definedName name="______________________TOP10">#REF!</definedName>
    <definedName name="_____________________2003Q4_T10">#REF!</definedName>
    <definedName name="_____________________TOP10">#REF!</definedName>
    <definedName name="____________________2003Q4_T10">#REF!</definedName>
    <definedName name="____________________TOP10">#REF!</definedName>
    <definedName name="___________________2003Q4_T10">#REF!</definedName>
    <definedName name="___________________TOP10">#REF!</definedName>
    <definedName name="__________________2003Q4_T10">#REF!</definedName>
    <definedName name="__________________TOP10">#REF!</definedName>
    <definedName name="_________________2003Q4_T10">#REF!</definedName>
    <definedName name="_________________TOP10">#REF!</definedName>
    <definedName name="________________2003Q4_T10">#REF!</definedName>
    <definedName name="________________TOP10">#REF!</definedName>
    <definedName name="_______________2003Q4_T10">#REF!</definedName>
    <definedName name="_______________TOP10">#REF!</definedName>
    <definedName name="______________2003Q4_T10">#REF!</definedName>
    <definedName name="______________TOP10">#REF!</definedName>
    <definedName name="_____________2003Q4_T10">#REF!</definedName>
    <definedName name="_____________TOP10">#REF!</definedName>
    <definedName name="____________2003Q4_T10">#REF!</definedName>
    <definedName name="____________TOP10">#REF!</definedName>
    <definedName name="___________2003Q4_T10">#REF!</definedName>
    <definedName name="___________TOP10">#REF!</definedName>
    <definedName name="__________2003Q4_T10">#REF!</definedName>
    <definedName name="__________TOP10">#REF!</definedName>
    <definedName name="_________2003Q4_T10">#REF!</definedName>
    <definedName name="_________TOP10">#REF!</definedName>
    <definedName name="________2003Q4_T10">#REF!</definedName>
    <definedName name="________TOP10">#REF!</definedName>
    <definedName name="_______2003Q4_T10">#REF!</definedName>
    <definedName name="_______CSC2">#REF!</definedName>
    <definedName name="_______DAT1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CF2">#REF!</definedName>
    <definedName name="_______eps1998">#REF!</definedName>
    <definedName name="_______eps1999">#REF!</definedName>
    <definedName name="_______eps2000">#REF!</definedName>
    <definedName name="_______eps2001">#REF!</definedName>
    <definedName name="_______EPS94">#REF!</definedName>
    <definedName name="_______EPS95">#REF!</definedName>
    <definedName name="_______EPS96">#REF!</definedName>
    <definedName name="_______EPS97">#REF!</definedName>
    <definedName name="_______EPS98">#REF!</definedName>
    <definedName name="_______rev1997">#REF!</definedName>
    <definedName name="_______rev1998">#REF!</definedName>
    <definedName name="_______rev1999">#REF!</definedName>
    <definedName name="_______rev2000">#REF!</definedName>
    <definedName name="_______rev2001">#REF!</definedName>
    <definedName name="_______rev2002">#REF!</definedName>
    <definedName name="_______rev2003">#REF!</definedName>
    <definedName name="_______REV89">#REF!</definedName>
    <definedName name="_______REV90">#REF!</definedName>
    <definedName name="_______REV91">#REF!</definedName>
    <definedName name="_______REV92">#REF!</definedName>
    <definedName name="_______REV93">#REF!</definedName>
    <definedName name="_______REV94">#REF!</definedName>
    <definedName name="_______REV95">#REF!</definedName>
    <definedName name="_______REV96">#REF!</definedName>
    <definedName name="_______REV97">#REF!</definedName>
    <definedName name="_______REV98">#REF!</definedName>
    <definedName name="_______TOP10">#REF!</definedName>
    <definedName name="______2003Q4_T10">#REF!</definedName>
    <definedName name="______CSC2">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CF2">#REF!</definedName>
    <definedName name="______eps1998">#REF!</definedName>
    <definedName name="______eps1999">#REF!</definedName>
    <definedName name="______eps2000">#REF!</definedName>
    <definedName name="______eps2001">#REF!</definedName>
    <definedName name="______EPS94">#REF!</definedName>
    <definedName name="______EPS95">#REF!</definedName>
    <definedName name="______EPS96">#REF!</definedName>
    <definedName name="______EPS97">#REF!</definedName>
    <definedName name="______EPS98">#REF!</definedName>
    <definedName name="______rev1997">#REF!</definedName>
    <definedName name="______rev1998">#REF!</definedName>
    <definedName name="______rev1999">#REF!</definedName>
    <definedName name="______rev2000">#REF!</definedName>
    <definedName name="______rev2001">#REF!</definedName>
    <definedName name="______rev2002">#REF!</definedName>
    <definedName name="______rev2003">#REF!</definedName>
    <definedName name="______REV89">#REF!</definedName>
    <definedName name="______REV90">#REF!</definedName>
    <definedName name="______REV91">#REF!</definedName>
    <definedName name="______REV92">#REF!</definedName>
    <definedName name="______REV93">#REF!</definedName>
    <definedName name="______REV94">#REF!</definedName>
    <definedName name="______REV95">#REF!</definedName>
    <definedName name="______REV96">#REF!</definedName>
    <definedName name="______REV97">#REF!</definedName>
    <definedName name="______REV98">#REF!</definedName>
    <definedName name="______TOP10">#REF!</definedName>
    <definedName name="_____2003Q4_T10">#REF!</definedName>
    <definedName name="_____CSC2">#REF!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CF2">#REF!</definedName>
    <definedName name="_____eps1998">#REF!</definedName>
    <definedName name="_____eps1999">#REF!</definedName>
    <definedName name="_____eps2000">#REF!</definedName>
    <definedName name="_____eps2001">#REF!</definedName>
    <definedName name="_____EPS94">#REF!</definedName>
    <definedName name="_____EPS95">#REF!</definedName>
    <definedName name="_____EPS96">#REF!</definedName>
    <definedName name="_____EPS97">#REF!</definedName>
    <definedName name="_____EPS98">#REF!</definedName>
    <definedName name="_____rev1997">#REF!</definedName>
    <definedName name="_____rev1998">#REF!</definedName>
    <definedName name="_____rev1999">#REF!</definedName>
    <definedName name="_____rev2000">#REF!</definedName>
    <definedName name="_____rev2001">#REF!</definedName>
    <definedName name="_____rev2002">#REF!</definedName>
    <definedName name="_____rev2003">#REF!</definedName>
    <definedName name="_____REV89">#REF!</definedName>
    <definedName name="_____REV90">#REF!</definedName>
    <definedName name="_____REV91">#REF!</definedName>
    <definedName name="_____REV92">#REF!</definedName>
    <definedName name="_____REV93">#REF!</definedName>
    <definedName name="_____REV94">#REF!</definedName>
    <definedName name="_____REV95">#REF!</definedName>
    <definedName name="_____REV96">#REF!</definedName>
    <definedName name="_____REV97">#REF!</definedName>
    <definedName name="_____REV98">#REF!</definedName>
    <definedName name="_____TOP10">#REF!</definedName>
    <definedName name="____2003Q4_T10">#REF!</definedName>
    <definedName name="____CSC2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CF2">#REF!</definedName>
    <definedName name="____eps1998">#REF!</definedName>
    <definedName name="____eps1999">#REF!</definedName>
    <definedName name="____eps2000">#REF!</definedName>
    <definedName name="____eps2001">#REF!</definedName>
    <definedName name="____EPS94">#REF!</definedName>
    <definedName name="____EPS95">#REF!</definedName>
    <definedName name="____EPS96">#REF!</definedName>
    <definedName name="____EPS97">#REF!</definedName>
    <definedName name="____EPS98">#REF!</definedName>
    <definedName name="____Q1" hidden="1">{"'Standalone List Price Trends'!$A$1:$X$56"}</definedName>
    <definedName name="____Q2" hidden="1">{"'Standalone List Price Trends'!$A$1:$X$56"}</definedName>
    <definedName name="____Q3" hidden="1">{"'Standalone List Price Trends'!$A$1:$X$56"}</definedName>
    <definedName name="____Q4" hidden="1">{"'Standalone List Price Trends'!$A$1:$X$56"}</definedName>
    <definedName name="____Q5" hidden="1">{"'Standalone List Price Trends'!$A$1:$X$56"}</definedName>
    <definedName name="____Q9" hidden="1">{"'Standalone List Price Trends'!$A$1:$X$56"}</definedName>
    <definedName name="____rev1997">#REF!</definedName>
    <definedName name="____rev1998">#REF!</definedName>
    <definedName name="____rev1999">#REF!</definedName>
    <definedName name="____rev2000">#REF!</definedName>
    <definedName name="____rev2001">#REF!</definedName>
    <definedName name="____rev2002">#REF!</definedName>
    <definedName name="____rev2003">#REF!</definedName>
    <definedName name="____REV89">#REF!</definedName>
    <definedName name="____REV90">#REF!</definedName>
    <definedName name="____REV91">#REF!</definedName>
    <definedName name="____REV92">#REF!</definedName>
    <definedName name="____REV93">#REF!</definedName>
    <definedName name="____REV94">#REF!</definedName>
    <definedName name="____REV95">#REF!</definedName>
    <definedName name="____REV96">#REF!</definedName>
    <definedName name="____REV97">#REF!</definedName>
    <definedName name="____REV98">#REF!</definedName>
    <definedName name="____rw1" hidden="1">{"'Standalone List Price Trends'!$A$1:$X$56"}</definedName>
    <definedName name="____rw2" hidden="1">{"'Standalone List Price Trends'!$A$1:$X$56"}</definedName>
    <definedName name="____rw3" hidden="1">{"'Standalone List Price Trends'!$A$1:$X$56"}</definedName>
    <definedName name="____rw4" hidden="1">{"'Standalone List Price Trends'!$A$1:$X$56"}</definedName>
    <definedName name="____TOP10">#REF!</definedName>
    <definedName name="____W.O.R.K.B.O.O.K..C.O.N.T.E.N.T.S____">#REF!</definedName>
    <definedName name="___2003Q4_T10">#REF!</definedName>
    <definedName name="___CSC2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CF2">#REF!</definedName>
    <definedName name="___eps1998">#REF!</definedName>
    <definedName name="___eps1999">#REF!</definedName>
    <definedName name="___eps2000">#REF!</definedName>
    <definedName name="___eps2001">#REF!</definedName>
    <definedName name="___EPS94">#REF!</definedName>
    <definedName name="___EPS95">#REF!</definedName>
    <definedName name="___EPS96">#REF!</definedName>
    <definedName name="___EPS97">#REF!</definedName>
    <definedName name="___EPS98">#REF!</definedName>
    <definedName name="___Q1" hidden="1">{"'Standalone List Price Trends'!$A$1:$X$56"}</definedName>
    <definedName name="___Q2" hidden="1">{"'Standalone List Price Trends'!$A$1:$X$56"}</definedName>
    <definedName name="___Q3" hidden="1">{"'Standalone List Price Trends'!$A$1:$X$56"}</definedName>
    <definedName name="___Q4" hidden="1">{"'Standalone List Price Trends'!$A$1:$X$56"}</definedName>
    <definedName name="___Q5" hidden="1">{"'Standalone List Price Trends'!$A$1:$X$56"}</definedName>
    <definedName name="___Q9" hidden="1">{"'Standalone List Price Trends'!$A$1:$X$56"}</definedName>
    <definedName name="___rev1997">#REF!</definedName>
    <definedName name="___rev1998">#REF!</definedName>
    <definedName name="___rev1999">#REF!</definedName>
    <definedName name="___rev2000">#REF!</definedName>
    <definedName name="___rev2001">#REF!</definedName>
    <definedName name="___rev2002">#REF!</definedName>
    <definedName name="___rev2003">#REF!</definedName>
    <definedName name="___REV89">#REF!</definedName>
    <definedName name="___REV90">#REF!</definedName>
    <definedName name="___REV91">#REF!</definedName>
    <definedName name="___REV92">#REF!</definedName>
    <definedName name="___REV93">#REF!</definedName>
    <definedName name="___REV94">#REF!</definedName>
    <definedName name="___REV95">#REF!</definedName>
    <definedName name="___REV96">#REF!</definedName>
    <definedName name="___REV97">#REF!</definedName>
    <definedName name="___REV98">#REF!</definedName>
    <definedName name="___rw1" hidden="1">{"'Standalone List Price Trends'!$A$1:$X$56"}</definedName>
    <definedName name="___rw2" hidden="1">{"'Standalone List Price Trends'!$A$1:$X$56"}</definedName>
    <definedName name="___rw3" hidden="1">{"'Standalone List Price Trends'!$A$1:$X$56"}</definedName>
    <definedName name="___rw4" hidden="1">{"'Standalone List Price Trends'!$A$1:$X$56"}</definedName>
    <definedName name="___TOP10">#REF!</definedName>
    <definedName name="__123Graph_A" hidden="1">#REF!</definedName>
    <definedName name="__123Graph_ACURRENT" hidden="1">#REF!</definedName>
    <definedName name="__123Graph_AGRPH_EXPIRE" hidden="1">#REF!</definedName>
    <definedName name="__123Graph_ALOSSCHART" hidden="1">#REF!</definedName>
    <definedName name="__123Graph_B" hidden="1">#REF!</definedName>
    <definedName name="__123Graph_BCURRENT" hidden="1">#REF!</definedName>
    <definedName name="__123Graph_BLOSSCHART" hidden="1">#REF!</definedName>
    <definedName name="__123Graph_CLOSSCHART" hidden="1">#REF!</definedName>
    <definedName name="__123Graph_DLOSSCHART" hidden="1">#REF!</definedName>
    <definedName name="__123Graph_ELOSSCHART" hidden="1">#REF!</definedName>
    <definedName name="__123Graph_FLOSSCHART" hidden="1">#REF!</definedName>
    <definedName name="__123Graph_X" hidden="1">#REF!</definedName>
    <definedName name="__123Graph_XCURRENT" hidden="1">#REF!</definedName>
    <definedName name="__123Graph_XGRPH_EXPIRE" hidden="1">#REF!</definedName>
    <definedName name="__2003Q4_T10">#REF!</definedName>
    <definedName name="__CAT1">#REF!</definedName>
    <definedName name="__CAT2">#REF!</definedName>
    <definedName name="__CAT3">#REF!</definedName>
    <definedName name="__CSC2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CF2">#REF!</definedName>
    <definedName name="__eps01">#REF!</definedName>
    <definedName name="__eps1998">#REF!</definedName>
    <definedName name="__eps1999">#REF!</definedName>
    <definedName name="__eps2000">#REF!</definedName>
    <definedName name="__eps2001">#REF!</definedName>
    <definedName name="__EPS94">#REF!</definedName>
    <definedName name="__EPS95">#REF!</definedName>
    <definedName name="__EPS96">#REF!</definedName>
    <definedName name="__EPS97">#REF!</definedName>
    <definedName name="__EPS98">#REF!</definedName>
    <definedName name="__eps99">#REF!</definedName>
    <definedName name="__FDS_HYPERLINK_TOGGLE_STATE__" hidden="1">"ON"</definedName>
    <definedName name="__FDS_UNIQUE_RANGE_ID_GENERATOR_COUNTER" localSheetId="0" hidden="1">405</definedName>
    <definedName name="__FDS_UNIQUE_RANGE_ID_GENERATOR_COUNTER" hidden="1">268</definedName>
    <definedName name="__FDS_USED_FOR_REUSING_RANGE_IDS_RECYCLE" localSheetId="0" hidden="1">{264,263,262}</definedName>
    <definedName name="__FDS_USED_FOR_REUSING_RANGE_IDS_RECYCLE" hidden="1">{264,263,262}</definedName>
    <definedName name="__fig4">#REF!</definedName>
    <definedName name="__grm98">#REF!</definedName>
    <definedName name="__grm99">#REF!</definedName>
    <definedName name="__net96">#REF!</definedName>
    <definedName name="__net97">#REF!</definedName>
    <definedName name="__net98">#REF!</definedName>
    <definedName name="__net99">#REF!</definedName>
    <definedName name="__NIA92">#REF!</definedName>
    <definedName name="__NIA93">#REF!</definedName>
    <definedName name="__NIA94">#REF!</definedName>
    <definedName name="__opm97">#REF!</definedName>
    <definedName name="__opm98">#REF!</definedName>
    <definedName name="__opm99">#REF!</definedName>
    <definedName name="__Q1" hidden="1">{"'Standalone List Price Trends'!$A$1:$X$56"}</definedName>
    <definedName name="__Q2" hidden="1">{"'Standalone List Price Trends'!$A$1:$X$56"}</definedName>
    <definedName name="__Q3" hidden="1">{"'Standalone List Price Trends'!$A$1:$X$56"}</definedName>
    <definedName name="__Q4" hidden="1">{"'Standalone List Price Trends'!$A$1:$X$56"}</definedName>
    <definedName name="__Q5" hidden="1">{"'Standalone List Price Trends'!$A$1:$X$56"}</definedName>
    <definedName name="__Q9" hidden="1">{"'Standalone List Price Trends'!$A$1:$X$56"}</definedName>
    <definedName name="__rev1997">#REF!</definedName>
    <definedName name="__rev1998">#REF!</definedName>
    <definedName name="__rev1999">#REF!</definedName>
    <definedName name="__rev2000">#REF!</definedName>
    <definedName name="__rev2001">#REF!</definedName>
    <definedName name="__rev2002">#REF!</definedName>
    <definedName name="__rev2003">#REF!</definedName>
    <definedName name="__REV89">#REF!</definedName>
    <definedName name="__REV90">#REF!</definedName>
    <definedName name="__REV91">#REF!</definedName>
    <definedName name="__REV92">#REF!</definedName>
    <definedName name="__REV93">#REF!</definedName>
    <definedName name="__REV94">#REF!</definedName>
    <definedName name="__REV95">#REF!</definedName>
    <definedName name="__REV96">#REF!</definedName>
    <definedName name="__REV97">#REF!</definedName>
    <definedName name="__REV98">#REF!</definedName>
    <definedName name="__rev99">#REF!</definedName>
    <definedName name="__rw1" hidden="1">{"'Standalone List Price Trends'!$A$1:$X$56"}</definedName>
    <definedName name="__rw2" hidden="1">{"'Standalone List Price Trends'!$A$1:$X$56"}</definedName>
    <definedName name="__rw3" hidden="1">{"'Standalone List Price Trends'!$A$1:$X$56"}</definedName>
    <definedName name="__rw4" hidden="1">{"'Standalone List Price Trends'!$A$1:$X$56"}</definedName>
    <definedName name="__spx96">#REF!</definedName>
    <definedName name="__tax96">#REF!</definedName>
    <definedName name="__tax97">#REF!</definedName>
    <definedName name="__tax98">#REF!</definedName>
    <definedName name="__tax99">#REF!</definedName>
    <definedName name="__tbl2">#REF!</definedName>
    <definedName name="__tbl3">#REF!</definedName>
    <definedName name="__tbl4">#REF!</definedName>
    <definedName name="__tbl5">#REF!</definedName>
    <definedName name="__TOP10">#REF!</definedName>
    <definedName name="__X2">#REF!</definedName>
    <definedName name="__X3">#REF!</definedName>
    <definedName name="__X6">#REF!</definedName>
    <definedName name="__X7">#REF!</definedName>
    <definedName name="_1__FDSAUDITLINK__" localSheetId="0" hidden="1">{"fdsup://directions/FAT Viewer?action=UPDATE&amp;creator=factset&amp;DYN_ARGS=TRUE&amp;DOC_NAME=FAT:FQL_AUDITING_CLIENT_TEMPLATE.FAT&amp;display_string=Audit&amp;VAR:KEY=MVCTEJWDSN&amp;VAR:QUERY=KENTRl9JTlRBTkcoUVRSX1IsNDAzNDQpQFdTRl9JTlRBTkcoUVRSLDQwMzQ0KSk=&amp;WINDOW=FIRST_POPUP&amp;H","EIGHT=450&amp;WIDTH=450&amp;START_MAXIMIZED=FALSE&amp;VAR:CALENDAR=US&amp;VAR:SYMBOL=ARX&amp;VAR:INDEX=0"}</definedName>
    <definedName name="_1__FDSAUDITLINK__" hidden="1">{"fdsup://directions/FAT Viewer?action=UPDATE&amp;creator=factset&amp;DYN_ARGS=TRUE&amp;DOC_NAME=FAT:FQL_AUDITING_CLIENT_TEMPLATE.FAT&amp;display_string=Audit&amp;VAR:KEY=SLSJETOHCD&amp;VAR:QUERY=KENTRl9JTlRBTkcoUVRSX1IsMzczMTUpQFdTRl9JTlRBTkcoUVRSLDM3MzE1KSk=&amp;WINDOW=FIRST_POPUP&amp;H","EIGHT=450&amp;WIDTH=450&amp;START_MAXIMIZED=FALSE&amp;VAR:CALENDAR=US&amp;VAR:SYMBOL=AMD&amp;VAR:INDEX=0"}</definedName>
    <definedName name="_1_31_2005">#REF!</definedName>
    <definedName name="_10__FDSAUDITLINK__" localSheetId="0" hidden="1">{"fdsup://directions/FAT Viewer?action=UPDATE&amp;creator=factset&amp;DYN_ARGS=TRUE&amp;DOC_NAME=FAT:FQL_AUDITING_CLIENT_TEMPLATE.FAT&amp;display_string=Audit&amp;VAR:KEY=IPANKLEJEP&amp;VAR:QUERY=KENTRl9TSExEUlNfRVEoUVRSX1IsNDAyMzcpQFdTRl9TSExEUlNfRVEoUVRSLDQwMjM3KSk=&amp;WINDOW=FIRST","_POPUP&amp;HEIGHT=450&amp;WIDTH=450&amp;START_MAXIMIZED=FALSE&amp;VAR:CALENDAR=US&amp;VAR:SYMBOL=ARX&amp;VAR:INDEX=0"}</definedName>
    <definedName name="_10__FDSAUDITLINK__" hidden="1">{"fdsup://directions/FAT Viewer?action=UPDATE&amp;creator=factset&amp;DYN_ARGS=TRUE&amp;DOC_NAME=FAT:FQL_AUDITING_CLIENT_TEMPLATE.FAT&amp;display_string=Audit&amp;VAR:KEY=CNWVYNAVGH&amp;VAR:QUERY=KENTRl9JTlRBTkcoUVRSX1IsMzcwNDIpQFdTRl9JTlRBTkcoUVRSLDM3MDQyKSk=&amp;WINDOW=FIRST_POPUP&amp;H","EIGHT=450&amp;WIDTH=450&amp;START_MAXIMIZED=FALSE&amp;VAR:CALENDAR=US&amp;VAR:SYMBOL=AMD&amp;VAR:INDEX=0"}</definedName>
    <definedName name="_100__FDSAUDITLINK__" localSheetId="0" hidden="1">{"fdsup://directions/FAT Viewer?action=UPDATE&amp;creator=factset&amp;DYN_ARGS=TRUE&amp;DOC_NAME=FAT:FQL_AUDITING_CLIENT_TEMPLATE.FAT&amp;display_string=Audit&amp;VAR:KEY=MPAFAZQNKP&amp;VAR:QUERY=KENTRl9JTlRBTkcoUVRSX1IsMzkwODApQFdTRl9JTlRBTkcoUVRSLDM5MDgwKSk=&amp;WINDOW=FIRST_POPUP&amp;H","EIGHT=450&amp;WIDTH=450&amp;START_MAXIMIZED=FALSE&amp;VAR:CALENDAR=US&amp;VAR:SYMBOL=ARX&amp;VAR:INDEX=0"}</definedName>
    <definedName name="_100__FDSAUDITLINK__" hidden="1">{"fdsup://directions/FAT Viewer?action=UPDATE&amp;creator=factset&amp;DYN_ARGS=TRUE&amp;DOC_NAME=FAT:FQL_AUDITING_CLIENT_TEMPLATE.FAT&amp;display_string=Audit&amp;VAR:KEY=QVQTEXITWV&amp;VAR:QUERY=KENTRl9DT01fU0hTX09VVF9FUFNfRElMKFFUUl9SLDM1MjE2KUBXU0ZfQ09NX1NIU19PVVRfRVBTX0RJTChRV","FIsMzUyMTYpKQ==&amp;WINDOW=FIRST_POPUP&amp;HEIGHT=450&amp;WIDTH=450&amp;START_MAXIMIZED=FALSE&amp;VAR:CALENDAR=US&amp;VAR:SYMBOL=AMD&amp;VAR:INDEX=0"}</definedName>
    <definedName name="_101__FDSAUDITLINK__" localSheetId="0" hidden="1">{"fdsup://directions/FAT Viewer?action=UPDATE&amp;creator=factset&amp;DYN_ARGS=TRUE&amp;DOC_NAME=FAT:FQL_AUDITING_CLIENT_TEMPLATE.FAT&amp;display_string=Audit&amp;VAR:KEY=ONQBMFOVSV&amp;VAR:QUERY=KENTRl9TSExEUlNfRVEoUVRSX1IsMzkwODApQFdTRl9TSExEUlNfRVEoUVRSLDM5MDgwKSk=&amp;WINDOW=FIRST","_POPUP&amp;HEIGHT=450&amp;WIDTH=450&amp;START_MAXIMIZED=FALSE&amp;VAR:CALENDAR=US&amp;VAR:SYMBOL=ARX&amp;VAR:INDEX=0"}</definedName>
    <definedName name="_101__FDSAUDITLINK__" hidden="1">{"fdsup://directions/FAT Viewer?action=UPDATE&amp;creator=factset&amp;DYN_ARGS=TRUE&amp;DOC_NAME=FAT:FQL_AUDITING_CLIENT_TEMPLATE.FAT&amp;display_string=Audit&amp;VAR:KEY=UPSXULUVKD&amp;VAR:QUERY=KENTRl9JTlRBTkcoUVRSX1IsMzUyMTYpQFdTRl9JTlRBTkcoUVRSLDM1MjE2KSk=&amp;WINDOW=FIRST_POPUP&amp;H","EIGHT=450&amp;WIDTH=450&amp;START_MAXIMIZED=FALSE&amp;VAR:CALENDAR=US&amp;VAR:SYMBOL=AMD&amp;VAR:INDEX=0"}</definedName>
    <definedName name="_102__FDSAUDITLINK__" localSheetId="0" hidden="1">{"fdsup://directions/FAT Viewer?action=UPDATE&amp;creator=factset&amp;DYN_ARGS=TRUE&amp;DOC_NAME=FAT:FQL_AUDITING_CLIENT_TEMPLATE.FAT&amp;display_string=Audit&amp;VAR:KEY=CTIBUXSFOJ&amp;VAR:QUERY=KENTRl9DT01fU0hTX09VVF9FUFNfRElMKFFUUl9SLDM5MDUxKUBXU0ZfQ09NX1NIU19PVVRfRVBTX0RJTChRV","FIsMzkwNTEpKQ==&amp;WINDOW=FIRST_POPUP&amp;HEIGHT=450&amp;WIDTH=450&amp;START_MAXIMIZED=FALSE&amp;VAR:CALENDAR=US&amp;VAR:SYMBOL=ARX&amp;VAR:INDEX=0"}</definedName>
    <definedName name="_102__FDSAUDITLINK__" hidden="1">{"fdsup://directions/FAT Viewer?action=UPDATE&amp;creator=factset&amp;DYN_ARGS=TRUE&amp;DOC_NAME=FAT:FQL_AUDITING_CLIENT_TEMPLATE.FAT&amp;display_string=Audit&amp;VAR:KEY=KJUPGDIXCF&amp;VAR:QUERY=KENTRl9DT01fU0hTX09VVF9FUFNfRElMKFFUUl9SLDM1MTg1KUBXU0ZfQ09NX1NIU19PVVRfRVBTX0RJTChRV","FIsMzUxODUpKQ==&amp;WINDOW=FIRST_POPUP&amp;HEIGHT=450&amp;WIDTH=450&amp;START_MAXIMIZED=FALSE&amp;VAR:CALENDAR=US&amp;VAR:SYMBOL=AMD&amp;VAR:INDEX=0"}</definedName>
    <definedName name="_103__FDSAUDITLINK__" localSheetId="0" hidden="1">{"fdsup://directions/FAT Viewer?action=UPDATE&amp;creator=factset&amp;DYN_ARGS=TRUE&amp;DOC_NAME=FAT:FQL_AUDITING_CLIENT_TEMPLATE.FAT&amp;display_string=Audit&amp;VAR:KEY=IRMVOVCHSR&amp;VAR:QUERY=KENTRl9JTlRBTkcoUVRSX1IsMzkwNTEpQFdTRl9JTlRBTkcoUVRSLDM5MDUxKSk=&amp;WINDOW=FIRST_POPUP&amp;H","EIGHT=450&amp;WIDTH=450&amp;START_MAXIMIZED=FALSE&amp;VAR:CALENDAR=US&amp;VAR:SYMBOL=ARX&amp;VAR:INDEX=0"}</definedName>
    <definedName name="_103__FDSAUDITLINK__" hidden="1">{"fdsup://directions/FAT Viewer?action=UPDATE&amp;creator=factset&amp;DYN_ARGS=TRUE&amp;DOC_NAME=FAT:FQL_AUDITING_CLIENT_TEMPLATE.FAT&amp;display_string=Audit&amp;VAR:KEY=ABOXABGVSX&amp;VAR:QUERY=KENTRl9JTlRBTkcoUVRSX1IsMzUxODUpQFdTRl9JTlRBTkcoUVRSLDM1MTg1KSk=&amp;WINDOW=FIRST_POPUP&amp;H","EIGHT=450&amp;WIDTH=450&amp;START_MAXIMIZED=FALSE&amp;VAR:CALENDAR=US&amp;VAR:SYMBOL=AMD&amp;VAR:INDEX=0"}</definedName>
    <definedName name="_104__FDSAUDITLINK__" localSheetId="0" hidden="1">{"fdsup://directions/FAT Viewer?action=UPDATE&amp;creator=factset&amp;DYN_ARGS=TRUE&amp;DOC_NAME=FAT:FQL_AUDITING_CLIENT_TEMPLATE.FAT&amp;display_string=Audit&amp;VAR:KEY=YLKRMNEDSB&amp;VAR:QUERY=KENTRl9TSExEUlNfRVEoUVRSX1IsMzkwNTEpQFdTRl9TSExEUlNfRVEoUVRSLDM5MDUxKSk=&amp;WINDOW=FIRST","_POPUP&amp;HEIGHT=450&amp;WIDTH=450&amp;START_MAXIMIZED=FALSE&amp;VAR:CALENDAR=US&amp;VAR:SYMBOL=ARX&amp;VAR:INDEX=0"}</definedName>
    <definedName name="_104__FDSAUDITLINK__" hidden="1">{"fdsup://directions/FAT Viewer?action=UPDATE&amp;creator=factset&amp;DYN_ARGS=TRUE&amp;DOC_NAME=FAT:FQL_AUDITING_CLIENT_TEMPLATE.FAT&amp;display_string=Audit&amp;VAR:KEY=QVUDAZEJGJ&amp;VAR:QUERY=KENTRl9DT01fU0hTX09VVF9FUFNfRElMKFFUUl9SLDM1MTUzKUBXU0ZfQ09NX1NIU19PVVRfRVBTX0RJTChRV","FIsMzUxNTMpKQ==&amp;WINDOW=FIRST_POPUP&amp;HEIGHT=450&amp;WIDTH=450&amp;START_MAXIMIZED=FALSE&amp;VAR:CALENDAR=US&amp;VAR:SYMBOL=AMD&amp;VAR:INDEX=0"}</definedName>
    <definedName name="_105__FDSAUDITLINK__" localSheetId="0" hidden="1">{"fdsup://directions/FAT Viewer?action=UPDATE&amp;creator=factset&amp;DYN_ARGS=TRUE&amp;DOC_NAME=FAT:FQL_AUDITING_CLIENT_TEMPLATE.FAT&amp;display_string=Audit&amp;VAR:KEY=IDAPUDINOJ&amp;VAR:QUERY=KENTRl9DT01fU0hTX09VVF9FUFNfRElMKFFUUl9SLDM5MDIxKUBXU0ZfQ09NX1NIU19PVVRfRVBTX0RJTChRV","FIsMzkwMjEpKQ==&amp;WINDOW=FIRST_POPUP&amp;HEIGHT=450&amp;WIDTH=450&amp;START_MAXIMIZED=FALSE&amp;VAR:CALENDAR=US&amp;VAR:SYMBOL=ARX&amp;VAR:INDEX=0"}</definedName>
    <definedName name="_105__FDSAUDITLINK__" hidden="1">{"fdsup://directions/FAT Viewer?action=UPDATE&amp;creator=factset&amp;DYN_ARGS=TRUE&amp;DOC_NAME=FAT:FQL_AUDITING_CLIENT_TEMPLATE.FAT&amp;display_string=Audit&amp;VAR:KEY=GVYZWJIDSH&amp;VAR:QUERY=KENTRl9JTlRBTkcoUVRSX1IsMzUxNTMpQFdTRl9JTlRBTkcoUVRSLDM1MTUzKSk=&amp;WINDOW=FIRST_POPUP&amp;H","EIGHT=450&amp;WIDTH=450&amp;START_MAXIMIZED=FALSE&amp;VAR:CALENDAR=US&amp;VAR:SYMBOL=AMD&amp;VAR:INDEX=0"}</definedName>
    <definedName name="_106__FDSAUDITLINK__" localSheetId="0" hidden="1">{"fdsup://directions/FAT Viewer?action=UPDATE&amp;creator=factset&amp;DYN_ARGS=TRUE&amp;DOC_NAME=FAT:FQL_AUDITING_CLIENT_TEMPLATE.FAT&amp;display_string=Audit&amp;VAR:KEY=IFGRWLUPEJ&amp;VAR:QUERY=KENTRl9JTlRBTkcoUVRSX1IsMzkwMjEpQFdTRl9JTlRBTkcoUVRSLDM5MDIxKSk=&amp;WINDOW=FIRST_POPUP&amp;H","EIGHT=450&amp;WIDTH=450&amp;START_MAXIMIZED=FALSE&amp;VAR:CALENDAR=US&amp;VAR:SYMBOL=ARX&amp;VAR:INDEX=0"}</definedName>
    <definedName name="_106__FDSAUDITLINK__" hidden="1">{"fdsup://directions/FAT Viewer?action=UPDATE&amp;creator=factset&amp;DYN_ARGS=TRUE&amp;DOC_NAME=FAT:FQL_AUDITING_CLIENT_TEMPLATE.FAT&amp;display_string=Audit&amp;VAR:KEY=MBAJMZWVYZ&amp;VAR:QUERY=KENTRl9DT01fU0hTX09VVF9FUFNfRElMKFFUUl9SLDM1MTI0KUBXU0ZfQ09NX1NIU19PVVRfRVBTX0RJTChRV","FIsMzUxMjQpKQ==&amp;WINDOW=FIRST_POPUP&amp;HEIGHT=450&amp;WIDTH=450&amp;START_MAXIMIZED=FALSE&amp;VAR:CALENDAR=US&amp;VAR:SYMBOL=AMD&amp;VAR:INDEX=0"}</definedName>
    <definedName name="_107__FDSAUDITLINK__" localSheetId="0" hidden="1">{"fdsup://directions/FAT Viewer?action=UPDATE&amp;creator=factset&amp;DYN_ARGS=TRUE&amp;DOC_NAME=FAT:FQL_AUDITING_CLIENT_TEMPLATE.FAT&amp;display_string=Audit&amp;VAR:KEY=QJYBSTWHGT&amp;VAR:QUERY=KENTRl9TSExEUlNfRVEoUVRSX1IsMzkwMjEpQFdTRl9TSExEUlNfRVEoUVRSLDM5MDIxKSk=&amp;WINDOW=FIRST","_POPUP&amp;HEIGHT=450&amp;WIDTH=450&amp;START_MAXIMIZED=FALSE&amp;VAR:CALENDAR=US&amp;VAR:SYMBOL=ARX&amp;VAR:INDEX=0"}</definedName>
    <definedName name="_107__FDSAUDITLINK__" hidden="1">{"fdsup://directions/FAT Viewer?action=UPDATE&amp;creator=factset&amp;DYN_ARGS=TRUE&amp;DOC_NAME=FAT:FQL_AUDITING_CLIENT_TEMPLATE.FAT&amp;display_string=Audit&amp;VAR:KEY=ALEXABERMN&amp;VAR:QUERY=KENTRl9JTlRBTkcoUVRSX1IsMzUxMjQpQFdTRl9JTlRBTkcoUVRSLDM1MTI0KSk=&amp;WINDOW=FIRST_POPUP&amp;H","EIGHT=450&amp;WIDTH=450&amp;START_MAXIMIZED=FALSE&amp;VAR:CALENDAR=US&amp;VAR:SYMBOL=AMD&amp;VAR:INDEX=0"}</definedName>
    <definedName name="_108__FDSAUDITLINK__" localSheetId="0" hidden="1">{"fdsup://directions/FAT Viewer?action=UPDATE&amp;creator=factset&amp;DYN_ARGS=TRUE&amp;DOC_NAME=FAT:FQL_AUDITING_CLIENT_TEMPLATE.FAT&amp;display_string=Audit&amp;VAR:KEY=CHQLYDGPCR&amp;VAR:QUERY=KENTRl9DT01fU0hTX09VVF9FUFNfRElMKFFUUl9SLDM4OTg5KUBXU0ZfQ09NX1NIU19PVVRfRVBTX0RJTChRV","FIsMzg5ODkpKQ==&amp;WINDOW=FIRST_POPUP&amp;HEIGHT=450&amp;WIDTH=450&amp;START_MAXIMIZED=FALSE&amp;VAR:CALENDAR=US&amp;VAR:SYMBOL=ARX&amp;VAR:INDEX=0"}</definedName>
    <definedName name="_108__FDSAUDITLINK__" hidden="1">{"fdsup://directions/FAT Viewer?action=UPDATE&amp;creator=factset&amp;DYN_ARGS=TRUE&amp;DOC_NAME=FAT:FQL_AUDITING_CLIENT_TEMPLATE.FAT&amp;display_string=Audit&amp;VAR:KEY=UPCLCVQBYT&amp;VAR:QUERY=KENTRl9DT01fU0hTX09VVF9FUFNfRElMKFFUUl9SLDM1MDk1KUBXU0ZfQ09NX1NIU19PVVRfRVBTX0RJTChRV","FIsMzUwOTUpKQ==&amp;WINDOW=FIRST_POPUP&amp;HEIGHT=450&amp;WIDTH=450&amp;START_MAXIMIZED=FALSE&amp;VAR:CALENDAR=US&amp;VAR:SYMBOL=AMD&amp;VAR:INDEX=0"}</definedName>
    <definedName name="_109__FDSAUDITLINK__" localSheetId="0" hidden="1">{"fdsup://directions/FAT Viewer?action=UPDATE&amp;creator=factset&amp;DYN_ARGS=TRUE&amp;DOC_NAME=FAT:FQL_AUDITING_CLIENT_TEMPLATE.FAT&amp;display_string=Audit&amp;VAR:KEY=OTWHWZCVSV&amp;VAR:QUERY=KENTRl9JTlRBTkcoUVRSX1IsMzg5ODkpQFdTRl9JTlRBTkcoUVRSLDM4OTg5KSk=&amp;WINDOW=FIRST_POPUP&amp;H","EIGHT=450&amp;WIDTH=450&amp;START_MAXIMIZED=FALSE&amp;VAR:CALENDAR=US&amp;VAR:SYMBOL=ARX&amp;VAR:INDEX=0"}</definedName>
    <definedName name="_109__FDSAUDITLINK__" hidden="1">{"fdsup://directions/FAT Viewer?action=UPDATE&amp;creator=factset&amp;DYN_ARGS=TRUE&amp;DOC_NAME=FAT:FQL_AUDITING_CLIENT_TEMPLATE.FAT&amp;display_string=Audit&amp;VAR:KEY=KTOLQZONEN&amp;VAR:QUERY=KENTRl9JTlRBTkcoUVRSX1IsMzUwOTUpQFdTRl9JTlRBTkcoUVRSLDM1MDk1KSk=&amp;WINDOW=FIRST_POPUP&amp;H","EIGHT=450&amp;WIDTH=450&amp;START_MAXIMIZED=FALSE&amp;VAR:CALENDAR=US&amp;VAR:SYMBOL=AMD&amp;VAR:INDEX=0"}</definedName>
    <definedName name="_11__FDSAUDITLINK__" localSheetId="0" hidden="1">{"fdsup://directions/FAT Viewer?action=UPDATE&amp;creator=factset&amp;DYN_ARGS=TRUE&amp;DOC_NAME=FAT:FQL_AUDITING_CLIENT_TEMPLATE.FAT&amp;display_string=Audit&amp;VAR:KEY=GFIZGDINIB&amp;VAR:QUERY=KENTRl9JTlRBTkcoUVRSX1IsNDAyMDkpQFdTRl9JTlRBTkcoUVRSLDQwMjA5KSk=&amp;WINDOW=FIRST_POPUP&amp;H","EIGHT=450&amp;WIDTH=450&amp;START_MAXIMIZED=FALSE&amp;VAR:CALENDAR=US&amp;VAR:SYMBOL=ARX&amp;VAR:INDEX=0"}</definedName>
    <definedName name="_11__FDSAUDITLINK__" hidden="1">{"fdsup://directions/FAT Viewer?action=UPDATE&amp;creator=factset&amp;DYN_ARGS=TRUE&amp;DOC_NAME=FAT:FQL_AUDITING_CLIENT_TEMPLATE.FAT&amp;display_string=Audit&amp;VAR:KEY=YRMPIDWTSD&amp;VAR:QUERY=KENTRl9JTlRBTkcoUVRSX1IsMzcwMTEpQFdTRl9JTlRBTkcoUVRSLDM3MDExKSk=&amp;WINDOW=FIRST_POPUP&amp;H","EIGHT=450&amp;WIDTH=450&amp;START_MAXIMIZED=FALSE&amp;VAR:CALENDAR=US&amp;VAR:SYMBOL=AMD&amp;VAR:INDEX=0"}</definedName>
    <definedName name="_110__FDSAUDITLINK__" localSheetId="0" hidden="1">{"fdsup://directions/FAT Viewer?action=UPDATE&amp;creator=factset&amp;DYN_ARGS=TRUE&amp;DOC_NAME=FAT:FQL_AUDITING_CLIENT_TEMPLATE.FAT&amp;display_string=Audit&amp;VAR:KEY=UBEDEXSLMF&amp;VAR:QUERY=KENTRl9TSExEUlNfRVEoUVRSX1IsMzg5ODkpQFdTRl9TSExEUlNfRVEoUVRSLDM4OTg5KSk=&amp;WINDOW=FIRST","_POPUP&amp;HEIGHT=450&amp;WIDTH=450&amp;START_MAXIMIZED=FALSE&amp;VAR:CALENDAR=US&amp;VAR:SYMBOL=ARX&amp;VAR:INDEX=0"}</definedName>
    <definedName name="_110__FDSAUDITLINK__" hidden="1">{"fdsup://directions/FAT Viewer?action=UPDATE&amp;creator=factset&amp;DYN_ARGS=TRUE&amp;DOC_NAME=FAT:FQL_AUDITING_CLIENT_TEMPLATE.FAT&amp;display_string=Audit&amp;VAR:KEY=OFKLQVKBOZ&amp;VAR:QUERY=KENTRl9DT01fU0hTX09VVF9FUFNfRElMKFFUUl9SLDM1MDYyKUBXU0ZfQ09NX1NIU19PVVRfRVBTX0RJTChRV","FIsMzUwNjIpKQ==&amp;WINDOW=FIRST_POPUP&amp;HEIGHT=450&amp;WIDTH=450&amp;START_MAXIMIZED=FALSE&amp;VAR:CALENDAR=US&amp;VAR:SYMBOL=AMD&amp;VAR:INDEX=0"}</definedName>
    <definedName name="_111__FDSAUDITLINK__" localSheetId="0" hidden="1">{"fdsup://directions/FAT Viewer?action=UPDATE&amp;creator=factset&amp;DYN_ARGS=TRUE&amp;DOC_NAME=FAT:FQL_AUDITING_CLIENT_TEMPLATE.FAT&amp;display_string=Audit&amp;VAR:KEY=GBKTADUHYP&amp;VAR:QUERY=KENTRl9DT01fU0hTX09VVF9FUFNfRElMKFFUUl9SLDM4OTYwKUBXU0ZfQ09NX1NIU19PVVRfRVBTX0RJTChRV","FIsMzg5NjApKQ==&amp;WINDOW=FIRST_POPUP&amp;HEIGHT=450&amp;WIDTH=450&amp;START_MAXIMIZED=FALSE&amp;VAR:CALENDAR=US&amp;VAR:SYMBOL=ARX&amp;VAR:INDEX=0"}</definedName>
    <definedName name="_111__FDSAUDITLINK__" hidden="1">{"fdsup://directions/FAT Viewer?action=UPDATE&amp;creator=factset&amp;DYN_ARGS=TRUE&amp;DOC_NAME=FAT:FQL_AUDITING_CLIENT_TEMPLATE.FAT&amp;display_string=Audit&amp;VAR:KEY=CZKDYXCHSL&amp;VAR:QUERY=KENTRl9JTlRBTkcoUVRSX1IsMzUwNjIpQFdTRl9JTlRBTkcoUVRSLDM1MDYyKSk=&amp;WINDOW=FIRST_POPUP&amp;H","EIGHT=450&amp;WIDTH=450&amp;START_MAXIMIZED=FALSE&amp;VAR:CALENDAR=US&amp;VAR:SYMBOL=AMD&amp;VAR:INDEX=0"}</definedName>
    <definedName name="_112__FDSAUDITLINK__" localSheetId="0" hidden="1">{"fdsup://directions/FAT Viewer?action=UPDATE&amp;creator=factset&amp;DYN_ARGS=TRUE&amp;DOC_NAME=FAT:FQL_AUDITING_CLIENT_TEMPLATE.FAT&amp;display_string=Audit&amp;VAR:KEY=WJKJENCXEV&amp;VAR:QUERY=KENTRl9JTlRBTkcoUVRSX1IsMzg5NjApQFdTRl9JTlRBTkcoUVRSLDM4OTYwKSk=&amp;WINDOW=FIRST_POPUP&amp;H","EIGHT=450&amp;WIDTH=450&amp;START_MAXIMIZED=FALSE&amp;VAR:CALENDAR=US&amp;VAR:SYMBOL=ARX&amp;VAR:INDEX=0"}</definedName>
    <definedName name="_112__FDSAUDITLINK__" hidden="1">{"fdsup://directions/FAT Viewer?action=UPDATE&amp;creator=factset&amp;DYN_ARGS=TRUE&amp;DOC_NAME=FAT:FQL_AUDITING_CLIENT_TEMPLATE.FAT&amp;display_string=Audit&amp;VAR:KEY=UBKVCJQNQV&amp;VAR:QUERY=KENTRl9DT01fU0hTX09VVF9FUFNfRElMKFFUUl9SLDM1MDMzKUBXU0ZfQ09NX1NIU19PVVRfRVBTX0RJTChRV","FIsMzUwMzMpKQ==&amp;WINDOW=FIRST_POPUP&amp;HEIGHT=450&amp;WIDTH=450&amp;START_MAXIMIZED=FALSE&amp;VAR:CALENDAR=US&amp;VAR:SYMBOL=AMD&amp;VAR:INDEX=0"}</definedName>
    <definedName name="_113__FDSAUDITLINK__" localSheetId="0" hidden="1">{"fdsup://directions/FAT Viewer?action=UPDATE&amp;creator=factset&amp;DYN_ARGS=TRUE&amp;DOC_NAME=FAT:FQL_AUDITING_CLIENT_TEMPLATE.FAT&amp;display_string=Audit&amp;VAR:KEY=EDUBYNEJMZ&amp;VAR:QUERY=KENTRl9TSExEUlNfRVEoUVRSX1IsMzg5NjApQFdTRl9TSExEUlNfRVEoUVRSLDM4OTYwKSk=&amp;WINDOW=FIRST","_POPUP&amp;HEIGHT=450&amp;WIDTH=450&amp;START_MAXIMIZED=FALSE&amp;VAR:CALENDAR=US&amp;VAR:SYMBOL=ARX&amp;VAR:INDEX=0"}</definedName>
    <definedName name="_113__FDSAUDITLINK__" hidden="1">{"fdsup://directions/FAT Viewer?action=UPDATE&amp;creator=factset&amp;DYN_ARGS=TRUE&amp;DOC_NAME=FAT:FQL_AUDITING_CLIENT_TEMPLATE.FAT&amp;display_string=Audit&amp;VAR:KEY=EVCZIJUDGB&amp;VAR:QUERY=KENTRl9JTlRBTkcoUVRSX1IsMzUwMzMpQFdTRl9JTlRBTkcoUVRSLDM1MDMzKSk=&amp;WINDOW=FIRST_POPUP&amp;H","EIGHT=450&amp;WIDTH=450&amp;START_MAXIMIZED=FALSE&amp;VAR:CALENDAR=US&amp;VAR:SYMBOL=AMD&amp;VAR:INDEX=0"}</definedName>
    <definedName name="_114__FDSAUDITLINK__" localSheetId="0" hidden="1">{"fdsup://directions/FAT Viewer?action=UPDATE&amp;creator=factset&amp;DYN_ARGS=TRUE&amp;DOC_NAME=FAT:FQL_AUDITING_CLIENT_TEMPLATE.FAT&amp;display_string=Audit&amp;VAR:KEY=GJCHEZGXWN&amp;VAR:QUERY=KENTRl9DT01fU0hTX09VVF9FUFNfRElMKFFUUl9SLDM4OTI5KUBXU0ZfQ09NX1NIU19PVVRfRVBTX0RJTChRV","FIsMzg5MjkpKQ==&amp;WINDOW=FIRST_POPUP&amp;HEIGHT=450&amp;WIDTH=450&amp;START_MAXIMIZED=FALSE&amp;VAR:CALENDAR=US&amp;VAR:SYMBOL=ARX&amp;VAR:INDEX=0"}</definedName>
    <definedName name="_114__FDSAUDITLINK__" hidden="1">{"fdsup://directions/FAT Viewer?action=UPDATE&amp;creator=factset&amp;DYN_ARGS=TRUE&amp;DOC_NAME=FAT:FQL_AUDITING_CLIENT_TEMPLATE.FAT&amp;display_string=Audit&amp;VAR:KEY=WPYZATQRMT&amp;VAR:QUERY=KENTRl9DT01fU0hTX09VVF9FUFNfRElMKFFUUl9SLDM1MDAzKUBXU0ZfQ09NX1NIU19PVVRfRVBTX0RJTChRV","FIsMzUwMDMpKQ==&amp;WINDOW=FIRST_POPUP&amp;HEIGHT=450&amp;WIDTH=450&amp;START_MAXIMIZED=FALSE&amp;VAR:CALENDAR=US&amp;VAR:SYMBOL=AMD&amp;VAR:INDEX=0"}</definedName>
    <definedName name="_115__FDSAUDITLINK__" localSheetId="0" hidden="1">{"fdsup://directions/FAT Viewer?action=UPDATE&amp;creator=factset&amp;DYN_ARGS=TRUE&amp;DOC_NAME=FAT:FQL_AUDITING_CLIENT_TEMPLATE.FAT&amp;display_string=Audit&amp;VAR:KEY=ARWBYPAFEX&amp;VAR:QUERY=KENTRl9JTlRBTkcoUVRSX1IsMzg5MjkpQFdTRl9JTlRBTkcoUVRSLDM4OTI5KSk=&amp;WINDOW=FIRST_POPUP&amp;H","EIGHT=450&amp;WIDTH=450&amp;START_MAXIMIZED=FALSE&amp;VAR:CALENDAR=US&amp;VAR:SYMBOL=ARX&amp;VAR:INDEX=0"}</definedName>
    <definedName name="_115__FDSAUDITLINK__" hidden="1">{"fdsup://directions/FAT Viewer?action=UPDATE&amp;creator=factset&amp;DYN_ARGS=TRUE&amp;DOC_NAME=FAT:FQL_AUDITING_CLIENT_TEMPLATE.FAT&amp;display_string=Audit&amp;VAR:KEY=KTEJWHONMB&amp;VAR:QUERY=KENTRl9JTlRBTkcoUVRSX1IsMzUwMDMpQFdTRl9JTlRBTkcoUVRSLDM1MDAzKSk=&amp;WINDOW=FIRST_POPUP&amp;H","EIGHT=450&amp;WIDTH=450&amp;START_MAXIMIZED=FALSE&amp;VAR:CALENDAR=US&amp;VAR:SYMBOL=AMD&amp;VAR:INDEX=0"}</definedName>
    <definedName name="_116__FDSAUDITLINK__" localSheetId="0" hidden="1">{"fdsup://directions/FAT Viewer?action=UPDATE&amp;creator=factset&amp;DYN_ARGS=TRUE&amp;DOC_NAME=FAT:FQL_AUDITING_CLIENT_TEMPLATE.FAT&amp;display_string=Audit&amp;VAR:KEY=GFUVQHMLYH&amp;VAR:QUERY=KENTRl9TSExEUlNfRVEoUVRSX1IsMzg5MjkpQFdTRl9TSExEUlNfRVEoUVRSLDM4OTI5KSk=&amp;WINDOW=FIRST","_POPUP&amp;HEIGHT=450&amp;WIDTH=450&amp;START_MAXIMIZED=FALSE&amp;VAR:CALENDAR=US&amp;VAR:SYMBOL=ARX&amp;VAR:INDEX=0"}</definedName>
    <definedName name="_116__FDSAUDITLINK__" hidden="1">{"fdsup://directions/FAT Viewer?action=UPDATE&amp;creator=factset&amp;DYN_ARGS=TRUE&amp;DOC_NAME=FAT:FQL_AUDITING_CLIENT_TEMPLATE.FAT&amp;display_string=Audit&amp;VAR:KEY=CFYHMXQVYL&amp;VAR:QUERY=KENTRl9DT01fU0hTX09VVF9FUFNfRElMKFFUUl9SLDM0OTcxKUBXU0ZfQ09NX1NIU19PVVRfRVBTX0RJTChRV","FIsMzQ5NzEpKQ==&amp;WINDOW=FIRST_POPUP&amp;HEIGHT=450&amp;WIDTH=450&amp;START_MAXIMIZED=FALSE&amp;VAR:CALENDAR=US&amp;VAR:SYMBOL=AMD&amp;VAR:INDEX=0"}</definedName>
    <definedName name="_117__FDSAUDITLINK__" localSheetId="0" hidden="1">{"fdsup://directions/FAT Viewer?action=UPDATE&amp;creator=factset&amp;DYN_ARGS=TRUE&amp;DOC_NAME=FAT:FQL_AUDITING_CLIENT_TEMPLATE.FAT&amp;display_string=Audit&amp;VAR:KEY=QTSDGFOPMN&amp;VAR:QUERY=KENTRl9DT01fU0hTX09VVF9FUFNfRElMKFFUUl9SLDM4ODk4KUBXU0ZfQ09NX1NIU19PVVRfRVBTX0RJTChRV","FIsMzg4OTgpKQ==&amp;WINDOW=FIRST_POPUP&amp;HEIGHT=450&amp;WIDTH=450&amp;START_MAXIMIZED=FALSE&amp;VAR:CALENDAR=US&amp;VAR:SYMBOL=ARX&amp;VAR:INDEX=0"}</definedName>
    <definedName name="_117__FDSAUDITLINK__" hidden="1">{"fdsup://directions/FAT Viewer?action=UPDATE&amp;creator=factset&amp;DYN_ARGS=TRUE&amp;DOC_NAME=FAT:FQL_AUDITING_CLIENT_TEMPLATE.FAT&amp;display_string=Audit&amp;VAR:KEY=CXUJMXYJML&amp;VAR:QUERY=KENTRl9JTlRBTkcoUVRSX1IsMzQ5NzEpQFdTRl9JTlRBTkcoUVRSLDM0OTcxKSk=&amp;WINDOW=FIRST_POPUP&amp;H","EIGHT=450&amp;WIDTH=450&amp;START_MAXIMIZED=FALSE&amp;VAR:CALENDAR=US&amp;VAR:SYMBOL=AMD&amp;VAR:INDEX=0"}</definedName>
    <definedName name="_118__FDSAUDITLINK__" localSheetId="0" hidden="1">{"fdsup://directions/FAT Viewer?action=UPDATE&amp;creator=factset&amp;DYN_ARGS=TRUE&amp;DOC_NAME=FAT:FQL_AUDITING_CLIENT_TEMPLATE.FAT&amp;display_string=Audit&amp;VAR:KEY=ULMPEJQLUN&amp;VAR:QUERY=KENTRl9JTlRBTkcoUVRSX1IsMzg4OTgpQFdTRl9JTlRBTkcoUVRSLDM4ODk4KSk=&amp;WINDOW=FIRST_POPUP&amp;H","EIGHT=450&amp;WIDTH=450&amp;START_MAXIMIZED=FALSE&amp;VAR:CALENDAR=US&amp;VAR:SYMBOL=ARX&amp;VAR:INDEX=0"}</definedName>
    <definedName name="_118__FDSAUDITLINK__" hidden="1">{"fdsup://directions/FAT Viewer?action=UPDATE&amp;creator=factset&amp;DYN_ARGS=TRUE&amp;DOC_NAME=FAT:FQL_AUDITING_CLIENT_TEMPLATE.FAT&amp;display_string=Audit&amp;VAR:KEY=EPIHINADAP&amp;VAR:QUERY=KENTRl9DT01fU0hTX09VVF9FUFNfRElMKFFUUl9SLDM0OTQyKUBXU0ZfQ09NX1NIU19PVVRfRVBTX0RJTChRV","FIsMzQ5NDIpKQ==&amp;WINDOW=FIRST_POPUP&amp;HEIGHT=450&amp;WIDTH=450&amp;START_MAXIMIZED=FALSE&amp;VAR:CALENDAR=US&amp;VAR:SYMBOL=AMD&amp;VAR:INDEX=0"}</definedName>
    <definedName name="_119__FDSAUDITLINK__" localSheetId="0" hidden="1">{"fdsup://directions/FAT Viewer?action=UPDATE&amp;creator=factset&amp;DYN_ARGS=TRUE&amp;DOC_NAME=FAT:FQL_AUDITING_CLIENT_TEMPLATE.FAT&amp;display_string=Audit&amp;VAR:KEY=QZQRYTCTAZ&amp;VAR:QUERY=KENTRl9TSExEUlNfRVEoUVRSX1IsMzg4OTgpQFdTRl9TSExEUlNfRVEoUVRSLDM4ODk4KSk=&amp;WINDOW=FIRST","_POPUP&amp;HEIGHT=450&amp;WIDTH=450&amp;START_MAXIMIZED=FALSE&amp;VAR:CALENDAR=US&amp;VAR:SYMBOL=ARX&amp;VAR:INDEX=0"}</definedName>
    <definedName name="_119__FDSAUDITLINK__" hidden="1">{"fdsup://directions/FAT Viewer?action=UPDATE&amp;creator=factset&amp;DYN_ARGS=TRUE&amp;DOC_NAME=FAT:FQL_AUDITING_CLIENT_TEMPLATE.FAT&amp;display_string=Audit&amp;VAR:KEY=KRILYHABUH&amp;VAR:QUERY=KENTRl9JTlRBTkcoUVRSX1IsMzQ5NDIpQFdTRl9JTlRBTkcoUVRSLDM0OTQyKSk=&amp;WINDOW=FIRST_POPUP&amp;H","EIGHT=450&amp;WIDTH=450&amp;START_MAXIMIZED=FALSE&amp;VAR:CALENDAR=US&amp;VAR:SYMBOL=AMD&amp;VAR:INDEX=0"}</definedName>
    <definedName name="_12__FDSAUDITLINK__" localSheetId="0" hidden="1">{"fdsup://directions/FAT Viewer?action=UPDATE&amp;creator=factset&amp;DYN_ARGS=TRUE&amp;DOC_NAME=FAT:FQL_AUDITING_CLIENT_TEMPLATE.FAT&amp;display_string=Audit&amp;VAR:KEY=AJKBSFEPIZ&amp;VAR:QUERY=KENTRl9TSExEUlNfRVEoUVRSX1IsNDAyMDkpQFdTRl9TSExEUlNfRVEoUVRSLDQwMjA5KSk=&amp;WINDOW=FIRST","_POPUP&amp;HEIGHT=450&amp;WIDTH=450&amp;START_MAXIMIZED=FALSE&amp;VAR:CALENDAR=US&amp;VAR:SYMBOL=ARX&amp;VAR:INDEX=0"}</definedName>
    <definedName name="_12__FDSAUDITLINK__" hidden="1">{"fdsup://directions/FAT Viewer?action=UPDATE&amp;creator=factset&amp;DYN_ARGS=TRUE&amp;DOC_NAME=FAT:FQL_AUDITING_CLIENT_TEMPLATE.FAT&amp;display_string=Audit&amp;VAR:KEY=IJUHMJENAX&amp;VAR:QUERY=KENTRl9JTlRBTkcoUVRSX1IsMzY5ODApQFdTRl9JTlRBTkcoUVRSLDM2OTgwKSk=&amp;WINDOW=FIRST_POPUP&amp;H","EIGHT=450&amp;WIDTH=450&amp;START_MAXIMIZED=FALSE&amp;VAR:CALENDAR=US&amp;VAR:SYMBOL=AMD&amp;VAR:INDEX=0"}</definedName>
    <definedName name="_120__FDSAUDITLINK__" localSheetId="0" hidden="1">{"fdsup://directions/FAT Viewer?action=UPDATE&amp;creator=factset&amp;DYN_ARGS=TRUE&amp;DOC_NAME=FAT:FQL_AUDITING_CLIENT_TEMPLATE.FAT&amp;display_string=Audit&amp;VAR:KEY=UFKPINAFAL&amp;VAR:QUERY=KENTRl9DT01fU0hTX09VVF9FUFNfRElMKFFUUl9SLDM4ODY4KUBXU0ZfQ09NX1NIU19PVVRfRVBTX0RJTChRV","FIsMzg4NjgpKQ==&amp;WINDOW=FIRST_POPUP&amp;HEIGHT=450&amp;WIDTH=450&amp;START_MAXIMIZED=FALSE&amp;VAR:CALENDAR=US&amp;VAR:SYMBOL=ARX&amp;VAR:INDEX=0"}</definedName>
    <definedName name="_120__FDSAUDITLINK__" hidden="1">{"fdsup://directions/FAT Viewer?action=UPDATE&amp;creator=factset&amp;DYN_ARGS=TRUE&amp;DOC_NAME=FAT:FQL_AUDITING_CLIENT_TEMPLATE.FAT&amp;display_string=Audit&amp;VAR:KEY=OVKBAJITKP&amp;VAR:QUERY=KENTRl9DT01fU0hTX09VVF9FUFNfRElMKFFUUl9SLDM0OTExKUBXU0ZfQ09NX1NIU19PVVRfRVBTX0RJTChRV","FIsMzQ5MTEpKQ==&amp;WINDOW=FIRST_POPUP&amp;HEIGHT=450&amp;WIDTH=450&amp;START_MAXIMIZED=FALSE&amp;VAR:CALENDAR=US&amp;VAR:SYMBOL=AMD&amp;VAR:INDEX=0"}</definedName>
    <definedName name="_121__FDSAUDITLINK__" localSheetId="0" hidden="1">{"fdsup://directions/FAT Viewer?action=UPDATE&amp;creator=factset&amp;DYN_ARGS=TRUE&amp;DOC_NAME=FAT:FQL_AUDITING_CLIENT_TEMPLATE.FAT&amp;display_string=Audit&amp;VAR:KEY=WNWPQNIHGH&amp;VAR:QUERY=KENTRl9JTlRBTkcoUVRSX1IsMzg4NjgpQFdTRl9JTlRBTkcoUVRSLDM4ODY4KSk=&amp;WINDOW=FIRST_POPUP&amp;H","EIGHT=450&amp;WIDTH=450&amp;START_MAXIMIZED=FALSE&amp;VAR:CALENDAR=US&amp;VAR:SYMBOL=ARX&amp;VAR:INDEX=0"}</definedName>
    <definedName name="_121__FDSAUDITLINK__" hidden="1">{"fdsup://directions/FAT Viewer?action=UPDATE&amp;creator=factset&amp;DYN_ARGS=TRUE&amp;DOC_NAME=FAT:FQL_AUDITING_CLIENT_TEMPLATE.FAT&amp;display_string=Audit&amp;VAR:KEY=ILULSZIBYT&amp;VAR:QUERY=KENTRl9JTlRBTkcoUVRSX1IsMzQ5MTEpQFdTRl9JTlRBTkcoUVRSLDM0OTExKSk=&amp;WINDOW=FIRST_POPUP&amp;H","EIGHT=450&amp;WIDTH=450&amp;START_MAXIMIZED=FALSE&amp;VAR:CALENDAR=US&amp;VAR:SYMBOL=AMD&amp;VAR:INDEX=0"}</definedName>
    <definedName name="_122__FDSAUDITLINK__" localSheetId="0" hidden="1">{"fdsup://directions/FAT Viewer?action=UPDATE&amp;creator=factset&amp;DYN_ARGS=TRUE&amp;DOC_NAME=FAT:FQL_AUDITING_CLIENT_TEMPLATE.FAT&amp;display_string=Audit&amp;VAR:KEY=EFSLIVYRST&amp;VAR:QUERY=KENTRl9TSExEUlNfRVEoUVRSX1IsMzg4NjgpQFdTRl9TSExEUlNfRVEoUVRSLDM4ODY4KSk=&amp;WINDOW=FIRST","_POPUP&amp;HEIGHT=450&amp;WIDTH=450&amp;START_MAXIMIZED=FALSE&amp;VAR:CALENDAR=US&amp;VAR:SYMBOL=ARX&amp;VAR:INDEX=0"}</definedName>
    <definedName name="_122__FDSAUDITLINK__" hidden="1">{"fdsup://directions/FAT Viewer?action=UPDATE&amp;creator=factset&amp;DYN_ARGS=TRUE&amp;DOC_NAME=FAT:FQL_AUDITING_CLIENT_TEMPLATE.FAT&amp;display_string=Audit&amp;VAR:KEY=CDUFYHABSB&amp;VAR:QUERY=KENTRl9DT01fU0hTX09VVF9FUFNfRElMKFFUUl9SLDM0ODgwKUBXU0ZfQ09NX1NIU19PVVRfRVBTX0RJTChRV","FIsMzQ4ODApKQ==&amp;WINDOW=FIRST_POPUP&amp;HEIGHT=450&amp;WIDTH=450&amp;START_MAXIMIZED=FALSE&amp;VAR:CALENDAR=US&amp;VAR:SYMBOL=AMD&amp;VAR:INDEX=0"}</definedName>
    <definedName name="_123__FDSAUDITLINK__" localSheetId="0" hidden="1">{"fdsup://directions/FAT Viewer?action=UPDATE&amp;creator=factset&amp;DYN_ARGS=TRUE&amp;DOC_NAME=FAT:FQL_AUDITING_CLIENT_TEMPLATE.FAT&amp;display_string=Audit&amp;VAR:KEY=SNCHQBQNSJ&amp;VAR:QUERY=KENTRl9DT01fU0hTX09VVF9FUFNfRElMKFFUUl9SLDM4ODM1KUBXU0ZfQ09NX1NIU19PVVRfRVBTX0RJTChRV","FIsMzg4MzUpKQ==&amp;WINDOW=FIRST_POPUP&amp;HEIGHT=450&amp;WIDTH=450&amp;START_MAXIMIZED=FALSE&amp;VAR:CALENDAR=US&amp;VAR:SYMBOL=ARX&amp;VAR:INDEX=0"}</definedName>
    <definedName name="_123__FDSAUDITLINK__" hidden="1">{"fdsup://directions/FAT Viewer?action=UPDATE&amp;creator=factset&amp;DYN_ARGS=TRUE&amp;DOC_NAME=FAT:FQL_AUDITING_CLIENT_TEMPLATE.FAT&amp;display_string=Audit&amp;VAR:KEY=ILSPEVSLMP&amp;VAR:QUERY=KENTRl9JTlRBTkcoUVRSX1IsMzQ4ODApQFdTRl9JTlRBTkcoUVRSLDM0ODgwKSk=&amp;WINDOW=FIRST_POPUP&amp;H","EIGHT=450&amp;WIDTH=450&amp;START_MAXIMIZED=FALSE&amp;VAR:CALENDAR=US&amp;VAR:SYMBOL=AMD&amp;VAR:INDEX=0"}</definedName>
    <definedName name="_124__FDSAUDITLINK__" localSheetId="0" hidden="1">{"fdsup://directions/FAT Viewer?action=UPDATE&amp;creator=factset&amp;DYN_ARGS=TRUE&amp;DOC_NAME=FAT:FQL_AUDITING_CLIENT_TEMPLATE.FAT&amp;display_string=Audit&amp;VAR:KEY=UJOHQFYFWH&amp;VAR:QUERY=KENTRl9JTlRBTkcoUVRSX1IsMzg4MzUpQFdTRl9JTlRBTkcoUVRSLDM4ODM1KSk=&amp;WINDOW=FIRST_POPUP&amp;H","EIGHT=450&amp;WIDTH=450&amp;START_MAXIMIZED=FALSE&amp;VAR:CALENDAR=US&amp;VAR:SYMBOL=ARX&amp;VAR:INDEX=0"}</definedName>
    <definedName name="_124__FDSAUDITLINK__" hidden="1">{"fdsup://directions/FAT Viewer?action=UPDATE&amp;creator=factset&amp;DYN_ARGS=TRUE&amp;DOC_NAME=FAT:FQL_AUDITING_CLIENT_TEMPLATE.FAT&amp;display_string=Audit&amp;VAR:KEY=SNIBITWPEL&amp;VAR:QUERY=KENTRl9DT01fU0hTX09VVF9FUFNfRElMKFFUUl9SLDM0ODUwKUBXU0ZfQ09NX1NIU19PVVRfRVBTX0RJTChRV","FIsMzQ4NTApKQ==&amp;WINDOW=FIRST_POPUP&amp;HEIGHT=450&amp;WIDTH=450&amp;START_MAXIMIZED=FALSE&amp;VAR:CALENDAR=US&amp;VAR:SYMBOL=AMD&amp;VAR:INDEX=0"}</definedName>
    <definedName name="_125__FDSAUDITLINK__" localSheetId="0" hidden="1">{"fdsup://directions/FAT Viewer?action=UPDATE&amp;creator=factset&amp;DYN_ARGS=TRUE&amp;DOC_NAME=FAT:FQL_AUDITING_CLIENT_TEMPLATE.FAT&amp;display_string=Audit&amp;VAR:KEY=MNIRGJSFIZ&amp;VAR:QUERY=KENTRl9TSExEUlNfRVEoUVRSX1IsMzg4MzUpQFdTRl9TSExEUlNfRVEoUVRSLDM4ODM1KSk=&amp;WINDOW=FIRST","_POPUP&amp;HEIGHT=450&amp;WIDTH=450&amp;START_MAXIMIZED=FALSE&amp;VAR:CALENDAR=US&amp;VAR:SYMBOL=ARX&amp;VAR:INDEX=0"}</definedName>
    <definedName name="_125__FDSAUDITLINK__" hidden="1">{"fdsup://directions/FAT Viewer?action=UPDATE&amp;creator=factset&amp;DYN_ARGS=TRUE&amp;DOC_NAME=FAT:FQL_AUDITING_CLIENT_TEMPLATE.FAT&amp;display_string=Audit&amp;VAR:KEY=YTWNWHGHMX&amp;VAR:QUERY=KENTRl9JTlRBTkcoUVRSX1IsMzQ4NTApQFdTRl9JTlRBTkcoUVRSLDM0ODUwKSk=&amp;WINDOW=FIRST_POPUP&amp;H","EIGHT=450&amp;WIDTH=450&amp;START_MAXIMIZED=FALSE&amp;VAR:CALENDAR=US&amp;VAR:SYMBOL=AMD&amp;VAR:INDEX=0"}</definedName>
    <definedName name="_126__FDSAUDITLINK__" localSheetId="0" hidden="1">{"fdsup://directions/FAT Viewer?action=UPDATE&amp;creator=factset&amp;DYN_ARGS=TRUE&amp;DOC_NAME=FAT:FQL_AUDITING_CLIENT_TEMPLATE.FAT&amp;display_string=Audit&amp;VAR:KEY=WNUXYRENQX&amp;VAR:QUERY=KENTRl9DT01fU0hTX09VVF9FUFNfRElMKFFUUl9SLDM4ODA3KUBXU0ZfQ09NX1NIU19PVVRfRVBTX0RJTChRV","FIsMzg4MDcpKQ==&amp;WINDOW=FIRST_POPUP&amp;HEIGHT=450&amp;WIDTH=450&amp;START_MAXIMIZED=FALSE&amp;VAR:CALENDAR=US&amp;VAR:SYMBOL=ARX&amp;VAR:INDEX=0"}</definedName>
    <definedName name="_126__FDSAUDITLINK__" hidden="1">{"fdsup://directions/FAT Viewer?action=UPDATE&amp;creator=factset&amp;DYN_ARGS=TRUE&amp;DOC_NAME=FAT:FQL_AUDITING_CLIENT_TEMPLATE.FAT&amp;display_string=Audit&amp;VAR:KEY=OBINCZUZKN&amp;VAR:QUERY=KENTRl9DT01fU0hTX09VVF9FUFNfRElMKFFUUl9SLDM0ODE3KUBXU0ZfQ09NX1NIU19PVVRfRVBTX0RJTChRV","FIsMzQ4MTcpKQ==&amp;WINDOW=FIRST_POPUP&amp;HEIGHT=450&amp;WIDTH=450&amp;START_MAXIMIZED=FALSE&amp;VAR:CALENDAR=US&amp;VAR:SYMBOL=AMD&amp;VAR:INDEX=0"}</definedName>
    <definedName name="_127__FDSAUDITLINK__" localSheetId="0" hidden="1">{"fdsup://directions/FAT Viewer?action=UPDATE&amp;creator=factset&amp;DYN_ARGS=TRUE&amp;DOC_NAME=FAT:FQL_AUDITING_CLIENT_TEMPLATE.FAT&amp;display_string=Audit&amp;VAR:KEY=AJEDOXYFAR&amp;VAR:QUERY=KENTRl9JTlRBTkcoUVRSX1IsMzg4MDcpQFdTRl9JTlRBTkcoUVRSLDM4ODA3KSk=&amp;WINDOW=FIRST_POPUP&amp;H","EIGHT=450&amp;WIDTH=450&amp;START_MAXIMIZED=FALSE&amp;VAR:CALENDAR=US&amp;VAR:SYMBOL=ARX&amp;VAR:INDEX=0"}</definedName>
    <definedName name="_127__FDSAUDITLINK__" hidden="1">{"fdsup://directions/FAT Viewer?action=UPDATE&amp;creator=factset&amp;DYN_ARGS=TRUE&amp;DOC_NAME=FAT:FQL_AUDITING_CLIENT_TEMPLATE.FAT&amp;display_string=Audit&amp;VAR:KEY=SXSZONGJKP&amp;VAR:QUERY=KENTRl9JTlRBTkcoUVRSX1IsMzQ4MTcpQFdTRl9JTlRBTkcoUVRSLDM0ODE3KSk=&amp;WINDOW=FIRST_POPUP&amp;H","EIGHT=450&amp;WIDTH=450&amp;START_MAXIMIZED=FALSE&amp;VAR:CALENDAR=US&amp;VAR:SYMBOL=AMD&amp;VAR:INDEX=0"}</definedName>
    <definedName name="_128__FDSAUDITLINK__" localSheetId="0" hidden="1">{"fdsup://directions/FAT Viewer?action=UPDATE&amp;creator=factset&amp;DYN_ARGS=TRUE&amp;DOC_NAME=FAT:FQL_AUDITING_CLIENT_TEMPLATE.FAT&amp;display_string=Audit&amp;VAR:KEY=CVYXMHALKF&amp;VAR:QUERY=KENTRl9TSExEUlNfRVEoUVRSX1IsMzg4MDcpQFdTRl9TSExEUlNfRVEoUVRSLDM4ODA3KSk=&amp;WINDOW=FIRST","_POPUP&amp;HEIGHT=450&amp;WIDTH=450&amp;START_MAXIMIZED=FALSE&amp;VAR:CALENDAR=US&amp;VAR:SYMBOL=ARX&amp;VAR:INDEX=0"}</definedName>
    <definedName name="_128__FDSAUDITLINK__" hidden="1">{"fdsup://directions/FAT Viewer?action=UPDATE&amp;creator=factset&amp;DYN_ARGS=TRUE&amp;DOC_NAME=FAT:FQL_AUDITING_CLIENT_TEMPLATE.FAT&amp;display_string=Audit&amp;VAR:KEY=WDUVAFIDWR&amp;VAR:QUERY=KENTRl9DT01fU0hTX09VVF9FUFNfRElMKFFUUl9SLDM0Nzg5KUBXU0ZfQ09NX1NIU19PVVRfRVBTX0RJTChRV","FIsMzQ3ODkpKQ==&amp;WINDOW=FIRST_POPUP&amp;HEIGHT=450&amp;WIDTH=450&amp;START_MAXIMIZED=FALSE&amp;VAR:CALENDAR=US&amp;VAR:SYMBOL=AMD&amp;VAR:INDEX=0"}</definedName>
    <definedName name="_129__FDSAUDITLINK__" localSheetId="0" hidden="1">{"fdsup://directions/FAT Viewer?action=UPDATE&amp;creator=factset&amp;DYN_ARGS=TRUE&amp;DOC_NAME=FAT:FQL_AUDITING_CLIENT_TEMPLATE.FAT&amp;display_string=Audit&amp;VAR:KEY=ONQTWLWHCN&amp;VAR:QUERY=KENTRl9DT01fU0hTX09VVF9FUFNfRElMKFFUUl9SLDM4Nzc2KUBXU0ZfQ09NX1NIU19PVVRfRVBTX0RJTChRV","FIsMzg3NzYpKQ==&amp;WINDOW=FIRST_POPUP&amp;HEIGHT=450&amp;WIDTH=450&amp;START_MAXIMIZED=FALSE&amp;VAR:CALENDAR=US&amp;VAR:SYMBOL=ARX&amp;VAR:INDEX=0"}</definedName>
    <definedName name="_129__FDSAUDITLINK__" hidden="1">{"fdsup://directions/FAT Viewer?action=UPDATE&amp;creator=factset&amp;DYN_ARGS=TRUE&amp;DOC_NAME=FAT:FQL_AUDITING_CLIENT_TEMPLATE.FAT&amp;display_string=Audit&amp;VAR:KEY=OFMJAJGDCF&amp;VAR:QUERY=KENTRl9JTlRBTkcoUVRSX1IsMzQ3ODkpQFdTRl9JTlRBTkcoUVRSLDM0Nzg5KSk=&amp;WINDOW=FIRST_POPUP&amp;H","EIGHT=450&amp;WIDTH=450&amp;START_MAXIMIZED=FALSE&amp;VAR:CALENDAR=US&amp;VAR:SYMBOL=AMD&amp;VAR:INDEX=0"}</definedName>
    <definedName name="_13__FDSAUDITLINK__" localSheetId="0" hidden="1">{"fdsup://directions/FAT Viewer?action=UPDATE&amp;creator=factset&amp;DYN_ARGS=TRUE&amp;DOC_NAME=FAT:FQL_AUDITING_CLIENT_TEMPLATE.FAT&amp;display_string=Audit&amp;VAR:KEY=WJWRIFYDCN&amp;VAR:QUERY=KENTRl9JTlRBTkcoUVRSX1IsNDAxNzgpQFdTRl9JTlRBTkcoUVRSLDQwMTc4KSk=&amp;WINDOW=FIRST_POPUP&amp;H","EIGHT=450&amp;WIDTH=450&amp;START_MAXIMIZED=FALSE&amp;VAR:CALENDAR=US&amp;VAR:SYMBOL=ARX&amp;VAR:INDEX=0"}</definedName>
    <definedName name="_13__FDSAUDITLINK__" hidden="1">{"fdsup://directions/FAT Viewer?action=UPDATE&amp;creator=factset&amp;DYN_ARGS=TRUE&amp;DOC_NAME=FAT:FQL_AUDITING_CLIENT_TEMPLATE.FAT&amp;display_string=Audit&amp;VAR:KEY=MNIZYREHEB&amp;VAR:QUERY=KENTRl9JTlRBTkcoUVRSX1IsMzY5NTApQFdTRl9JTlRBTkcoUVRSLDM2OTUwKSk=&amp;WINDOW=FIRST_POPUP&amp;H","EIGHT=450&amp;WIDTH=450&amp;START_MAXIMIZED=FALSE&amp;VAR:CALENDAR=US&amp;VAR:SYMBOL=AMD&amp;VAR:INDEX=0"}</definedName>
    <definedName name="_130__FDSAUDITLINK__" localSheetId="0" hidden="1">{"fdsup://directions/FAT Viewer?action=UPDATE&amp;creator=factset&amp;DYN_ARGS=TRUE&amp;DOC_NAME=FAT:FQL_AUDITING_CLIENT_TEMPLATE.FAT&amp;display_string=Audit&amp;VAR:KEY=YNEFYZIBKL&amp;VAR:QUERY=KENTRl9JTlRBTkcoUVRSX1IsMzg3NzYpQFdTRl9JTlRBTkcoUVRSLDM4Nzc2KSk=&amp;WINDOW=FIRST_POPUP&amp;H","EIGHT=450&amp;WIDTH=450&amp;START_MAXIMIZED=FALSE&amp;VAR:CALENDAR=US&amp;VAR:SYMBOL=ARX&amp;VAR:INDEX=0"}</definedName>
    <definedName name="_130__FDSAUDITLINK__" hidden="1">{"fdsup://directions/FAT Viewer?action=UPDATE&amp;creator=factset&amp;DYN_ARGS=TRUE&amp;DOC_NAME=FAT:FQL_AUDITING_CLIENT_TEMPLATE.FAT&amp;display_string=Audit&amp;VAR:KEY=UBGDEHYLST&amp;VAR:QUERY=KENTRl9DT01fU0hTX09VVF9FUFNfRElMKFFUUl9SLDM0NzU4KUBXU0ZfQ09NX1NIU19PVVRfRVBTX0RJTChRV","FIsMzQ3NTgpKQ==&amp;WINDOW=FIRST_POPUP&amp;HEIGHT=450&amp;WIDTH=450&amp;START_MAXIMIZED=FALSE&amp;VAR:CALENDAR=US&amp;VAR:SYMBOL=AMD&amp;VAR:INDEX=0"}</definedName>
    <definedName name="_131__FDSAUDITLINK__" localSheetId="0" hidden="1">{"fdsup://directions/FAT Viewer?action=UPDATE&amp;creator=factset&amp;DYN_ARGS=TRUE&amp;DOC_NAME=FAT:FQL_AUDITING_CLIENT_TEMPLATE.FAT&amp;display_string=Audit&amp;VAR:KEY=YXCLGRGXOR&amp;VAR:QUERY=KENTRl9TSExEUlNfRVEoUVRSX1IsMzg3NzYpQFdTRl9TSExEUlNfRVEoUVRSLDM4Nzc2KSk=&amp;WINDOW=FIRST","_POPUP&amp;HEIGHT=450&amp;WIDTH=450&amp;START_MAXIMIZED=FALSE&amp;VAR:CALENDAR=US&amp;VAR:SYMBOL=ARX&amp;VAR:INDEX=0"}</definedName>
    <definedName name="_131__FDSAUDITLINK__" hidden="1">{"fdsup://directions/FAT Viewer?action=UPDATE&amp;creator=factset&amp;DYN_ARGS=TRUE&amp;DOC_NAME=FAT:FQL_AUDITING_CLIENT_TEMPLATE.FAT&amp;display_string=Audit&amp;VAR:KEY=OXOBWZINSB&amp;VAR:QUERY=KENTRl9JTlRBTkcoUVRSX1IsMzQ3NTgpQFdTRl9JTlRBTkcoUVRSLDM0NzU4KSk=&amp;WINDOW=FIRST_POPUP&amp;H","EIGHT=450&amp;WIDTH=450&amp;START_MAXIMIZED=FALSE&amp;VAR:CALENDAR=US&amp;VAR:SYMBOL=AMD&amp;VAR:INDEX=0"}</definedName>
    <definedName name="_132__FDSAUDITLINK__" localSheetId="0" hidden="1">{"fdsup://directions/FAT Viewer?action=UPDATE&amp;creator=factset&amp;DYN_ARGS=TRUE&amp;DOC_NAME=FAT:FQL_AUDITING_CLIENT_TEMPLATE.FAT&amp;display_string=Audit&amp;VAR:KEY=OJUFAVIJID&amp;VAR:QUERY=KENTRl9DT01fU0hTX09VVF9FUFNfRElMKFFUUl9SLDM4NzQ4KUBXU0ZfQ09NX1NIU19PVVRfRVBTX0RJTChRV","FIsMzg3NDgpKQ==&amp;WINDOW=FIRST_POPUP&amp;HEIGHT=450&amp;WIDTH=450&amp;START_MAXIMIZED=FALSE&amp;VAR:CALENDAR=US&amp;VAR:SYMBOL=ARX&amp;VAR:INDEX=0"}</definedName>
    <definedName name="_132__FDSAUDITLINK__" hidden="1">{"fdsup://directions/FAT Viewer?action=UPDATE&amp;creator=factset&amp;DYN_ARGS=TRUE&amp;DOC_NAME=FAT:FQL_AUDITING_CLIENT_TEMPLATE.FAT&amp;display_string=Audit&amp;VAR:KEY=WRYRMPATCV&amp;VAR:QUERY=KENTRl9DT01fU0hTX09VVF9FUFNfRElMKFFUUl9SLDM0NzMwKUBXU0ZfQ09NX1NIU19PVVRfRVBTX0RJTChRV","FIsMzQ3MzApKQ==&amp;WINDOW=FIRST_POPUP&amp;HEIGHT=450&amp;WIDTH=450&amp;START_MAXIMIZED=FALSE&amp;VAR:CALENDAR=US&amp;VAR:SYMBOL=AMD&amp;VAR:INDEX=0"}</definedName>
    <definedName name="_133__FDSAUDITLINK__" localSheetId="0" hidden="1">{"fdsup://directions/FAT Viewer?action=UPDATE&amp;creator=factset&amp;DYN_ARGS=TRUE&amp;DOC_NAME=FAT:FQL_AUDITING_CLIENT_TEMPLATE.FAT&amp;display_string=Audit&amp;VAR:KEY=SZYZAXAFOL&amp;VAR:QUERY=KENTRl9JTlRBTkcoUVRSX1IsMzg3NDgpQFdTRl9JTlRBTkcoUVRSLDM4NzQ4KSk=&amp;WINDOW=FIRST_POPUP&amp;H","EIGHT=450&amp;WIDTH=450&amp;START_MAXIMIZED=FALSE&amp;VAR:CALENDAR=US&amp;VAR:SYMBOL=ARX&amp;VAR:INDEX=0"}</definedName>
    <definedName name="_133__FDSAUDITLINK__" hidden="1">{"fdsup://directions/FAT Viewer?action=UPDATE&amp;creator=factset&amp;DYN_ARGS=TRUE&amp;DOC_NAME=FAT:FQL_AUDITING_CLIENT_TEMPLATE.FAT&amp;display_string=Audit&amp;VAR:KEY=QHYFWHAFGT&amp;VAR:QUERY=KENTRl9JTlRBTkcoUVRSX1IsMzQ3MzApQFdTRl9JTlRBTkcoUVRSLDM0NzMwKSk=&amp;WINDOW=FIRST_POPUP&amp;H","EIGHT=450&amp;WIDTH=450&amp;START_MAXIMIZED=FALSE&amp;VAR:CALENDAR=US&amp;VAR:SYMBOL=AMD&amp;VAR:INDEX=0"}</definedName>
    <definedName name="_134__FDSAUDITLINK__" localSheetId="0" hidden="1">{"fdsup://directions/FAT Viewer?action=UPDATE&amp;creator=factset&amp;DYN_ARGS=TRUE&amp;DOC_NAME=FAT:FQL_AUDITING_CLIENT_TEMPLATE.FAT&amp;display_string=Audit&amp;VAR:KEY=MNYPMDYLUZ&amp;VAR:QUERY=KENTRl9TSExEUlNfRVEoUVRSX1IsMzg3NDgpQFdTRl9TSExEUlNfRVEoUVRSLDM4NzQ4KSk=&amp;WINDOW=FIRST","_POPUP&amp;HEIGHT=450&amp;WIDTH=450&amp;START_MAXIMIZED=FALSE&amp;VAR:CALENDAR=US&amp;VAR:SYMBOL=ARX&amp;VAR:INDEX=0"}</definedName>
    <definedName name="_134__FDSAUDITLINK__" hidden="1">{"fdsup://directions/FAT Viewer?action=UPDATE&amp;creator=factset&amp;DYN_ARGS=TRUE&amp;DOC_NAME=FAT:FQL_AUDITING_CLIENT_TEMPLATE.FAT&amp;display_string=Audit&amp;VAR:KEY=UTENADMRKB&amp;VAR:QUERY=KENTRl9DT01fU0hTX09VVF9FUFNfRElMKFFUUl9SLDM0Njk4KUBXU0ZfQ09NX1NIU19PVVRfRVBTX0RJTChRV","FIsMzQ2OTgpKQ==&amp;WINDOW=FIRST_POPUP&amp;HEIGHT=450&amp;WIDTH=450&amp;START_MAXIMIZED=FALSE&amp;VAR:CALENDAR=US&amp;VAR:SYMBOL=AMD&amp;VAR:INDEX=0"}</definedName>
    <definedName name="_135__FDSAUDITLINK__" localSheetId="0" hidden="1">{"fdsup://directions/FAT Viewer?action=UPDATE&amp;creator=factset&amp;DYN_ARGS=TRUE&amp;DOC_NAME=FAT:FQL_AUDITING_CLIENT_TEMPLATE.FAT&amp;display_string=Audit&amp;VAR:KEY=SJETOHCDUR&amp;VAR:QUERY=KENTRl9DT01fU0hTX09VVF9FUFNfRElMKFFUUl9SLDM4NzE2KUBXU0ZfQ09NX1NIU19PVVRfRVBTX0RJTChRV","FIsMzg3MTYpKQ==&amp;WINDOW=FIRST_POPUP&amp;HEIGHT=450&amp;WIDTH=450&amp;START_MAXIMIZED=FALSE&amp;VAR:CALENDAR=US&amp;VAR:SYMBOL=ARX&amp;VAR:INDEX=0"}</definedName>
    <definedName name="_135__FDSAUDITLINK__" hidden="1">{"fdsup://directions/FAT Viewer?action=UPDATE&amp;creator=factset&amp;DYN_ARGS=TRUE&amp;DOC_NAME=FAT:FQL_AUDITING_CLIENT_TEMPLATE.FAT&amp;display_string=Audit&amp;VAR:KEY=WBAJAJEJSV&amp;VAR:QUERY=KENTRl9JTlRBTkcoUVRSX1IsMzQ2OTgpQFdTRl9JTlRBTkcoUVRSLDM0Njk4KSk=&amp;WINDOW=FIRST_POPUP&amp;H","EIGHT=450&amp;WIDTH=450&amp;START_MAXIMIZED=FALSE&amp;VAR:CALENDAR=US&amp;VAR:SYMBOL=AMD&amp;VAR:INDEX=0"}</definedName>
    <definedName name="_136__FDSAUDITLINK__" localSheetId="0" hidden="1">{"fdsup://directions/FAT Viewer?action=UPDATE&amp;creator=factset&amp;DYN_ARGS=TRUE&amp;DOC_NAME=FAT:FQL_AUDITING_CLIENT_TEMPLATE.FAT&amp;display_string=Audit&amp;VAR:KEY=KPEJYZWLIR&amp;VAR:QUERY=KENTRl9JTlRBTkcoUVRSX1IsMzg3MTYpQFdTRl9JTlRBTkcoUVRSLDM4NzE2KSk=&amp;WINDOW=FIRST_POPUP&amp;H","EIGHT=450&amp;WIDTH=450&amp;START_MAXIMIZED=FALSE&amp;VAR:CALENDAR=US&amp;VAR:SYMBOL=ARX&amp;VAR:INDEX=0"}</definedName>
    <definedName name="_136__FDSAUDITLINK__" hidden="1">{"fdsup://directions/FAT Viewer?action=UPDATE&amp;creator=factset&amp;DYN_ARGS=TRUE&amp;DOC_NAME=FAT:FQL_AUDITING_CLIENT_TEMPLATE.FAT&amp;display_string=Audit&amp;VAR:KEY=MRIHORKVUX&amp;VAR:QUERY=KENTRl9DT01fU0hTX09VVF9FUFNfRElMKFFUUl9SLDM0NjY4KUBXU0ZfQ09NX1NIU19PVVRfRVBTX0RJTChRV","FIsMzQ2NjgpKQ==&amp;WINDOW=FIRST_POPUP&amp;HEIGHT=450&amp;WIDTH=450&amp;START_MAXIMIZED=FALSE&amp;VAR:CALENDAR=US&amp;VAR:SYMBOL=AMD&amp;VAR:INDEX=0"}</definedName>
    <definedName name="_137__FDSAUDITLINK__" localSheetId="0" hidden="1">{"fdsup://directions/FAT Viewer?action=UPDATE&amp;creator=factset&amp;DYN_ARGS=TRUE&amp;DOC_NAME=FAT:FQL_AUDITING_CLIENT_TEMPLATE.FAT&amp;display_string=Audit&amp;VAR:KEY=KHOVERYNKL&amp;VAR:QUERY=KENTRl9TSExEUlNfRVEoUVRSX1IsMzg3MTYpQFdTRl9TSExEUlNfRVEoUVRSLDM4NzE2KSk=&amp;WINDOW=FIRST","_POPUP&amp;HEIGHT=450&amp;WIDTH=450&amp;START_MAXIMIZED=FALSE&amp;VAR:CALENDAR=US&amp;VAR:SYMBOL=ARX&amp;VAR:INDEX=0"}</definedName>
    <definedName name="_137__FDSAUDITLINK__" hidden="1">{"fdsup://directions/FAT Viewer?action=UPDATE&amp;creator=factset&amp;DYN_ARGS=TRUE&amp;DOC_NAME=FAT:FQL_AUDITING_CLIENT_TEMPLATE.FAT&amp;display_string=Audit&amp;VAR:KEY=EXMLMJMHMV&amp;VAR:QUERY=KENTRl9JTlRBTkcoUVRSX1IsMzQ2NjgpQFdTRl9JTlRBTkcoUVRSLDM0NjY4KSk=&amp;WINDOW=FIRST_POPUP&amp;H","EIGHT=450&amp;WIDTH=450&amp;START_MAXIMIZED=FALSE&amp;VAR:CALENDAR=US&amp;VAR:SYMBOL=AMD&amp;VAR:INDEX=0"}</definedName>
    <definedName name="_138__FDSAUDITLINK__" localSheetId="0" hidden="1">{"fdsup://directions/FAT Viewer?action=UPDATE&amp;creator=factset&amp;DYN_ARGS=TRUE&amp;DOC_NAME=FAT:FQL_AUDITING_CLIENT_TEMPLATE.FAT&amp;display_string=Audit&amp;VAR:KEY=SDWPWXMZEV&amp;VAR:QUERY=KENTRl9DT01fU0hTX09VVF9FUFNfRElMKFFUUl9SLDM4Njg2KUBXU0ZfQ09NX1NIU19PVVRfRVBTX0RJTChRV","FIsMzg2ODYpKQ==&amp;WINDOW=FIRST_POPUP&amp;HEIGHT=450&amp;WIDTH=450&amp;START_MAXIMIZED=FALSE&amp;VAR:CALENDAR=US&amp;VAR:SYMBOL=ARX&amp;VAR:INDEX=0"}</definedName>
    <definedName name="_138__FDSAUDITLINK__" hidden="1">{"fdsup://directions/FAT Viewer?action=UPDATE&amp;creator=factset&amp;DYN_ARGS=TRUE&amp;DOC_NAME=FAT:FQL_AUDITING_CLIENT_TEMPLATE.FAT&amp;display_string=Audit&amp;VAR:KEY=EHINILYXGT&amp;VAR:QUERY=KENTRl9DT01fU0hTX09VVF9FUFNfRElMKFFUUl9SLDM0NjM4KUBXU0ZfQ09NX1NIU19PVVRfRVBTX0RJTChRV","FIsMzQ2MzgpKQ==&amp;WINDOW=FIRST_POPUP&amp;HEIGHT=450&amp;WIDTH=450&amp;START_MAXIMIZED=FALSE&amp;VAR:CALENDAR=US&amp;VAR:SYMBOL=AMD&amp;VAR:INDEX=0"}</definedName>
    <definedName name="_139__FDSAUDITLINK__" localSheetId="0" hidden="1">{"fdsup://directions/FAT Viewer?action=UPDATE&amp;creator=factset&amp;DYN_ARGS=TRUE&amp;DOC_NAME=FAT:FQL_AUDITING_CLIENT_TEMPLATE.FAT&amp;display_string=Audit&amp;VAR:KEY=QHUXSXOJCT&amp;VAR:QUERY=KENTRl9JTlRBTkcoUVRSX1IsMzg2ODYpQFdTRl9JTlRBTkcoUVRSLDM4Njg2KSk=&amp;WINDOW=FIRST_POPUP&amp;H","EIGHT=450&amp;WIDTH=450&amp;START_MAXIMIZED=FALSE&amp;VAR:CALENDAR=US&amp;VAR:SYMBOL=ARX&amp;VAR:INDEX=0"}</definedName>
    <definedName name="_139__FDSAUDITLINK__" hidden="1">{"fdsup://directions/FAT Viewer?action=UPDATE&amp;creator=factset&amp;DYN_ARGS=TRUE&amp;DOC_NAME=FAT:FQL_AUDITING_CLIENT_TEMPLATE.FAT&amp;display_string=Audit&amp;VAR:KEY=KHOXAJADGZ&amp;VAR:QUERY=KENTRl9JTlRBTkcoUVRSX1IsMzQ2MzgpQFdTRl9JTlRBTkcoUVRSLDM0NjM4KSk=&amp;WINDOW=FIRST_POPUP&amp;H","EIGHT=450&amp;WIDTH=450&amp;START_MAXIMIZED=FALSE&amp;VAR:CALENDAR=US&amp;VAR:SYMBOL=AMD&amp;VAR:INDEX=0"}</definedName>
    <definedName name="_14__FDSAUDITLINK__" localSheetId="0" hidden="1">{"fdsup://directions/FAT Viewer?action=UPDATE&amp;creator=factset&amp;DYN_ARGS=TRUE&amp;DOC_NAME=FAT:FQL_AUDITING_CLIENT_TEMPLATE.FAT&amp;display_string=Audit&amp;VAR:KEY=QRADATMNYB&amp;VAR:QUERY=KENTRl9TSExEUlNfRVEoUVRSX1IsNDAxNzgpQFdTRl9TSExEUlNfRVEoUVRSLDQwMTc4KSk=&amp;WINDOW=FIRST","_POPUP&amp;HEIGHT=450&amp;WIDTH=450&amp;START_MAXIMIZED=FALSE&amp;VAR:CALENDAR=US&amp;VAR:SYMBOL=ARX&amp;VAR:INDEX=0"}</definedName>
    <definedName name="_14__FDSAUDITLINK__" hidden="1">{"fdsup://directions/FAT Viewer?action=UPDATE&amp;creator=factset&amp;DYN_ARGS=TRUE&amp;DOC_NAME=FAT:FQL_AUDITING_CLIENT_TEMPLATE.FAT&amp;display_string=Audit&amp;VAR:KEY=SNSFGJCNOX&amp;VAR:QUERY=KENTRl9JTlRBTkcoUVRSX1IsMzY5MjIpQFdTRl9JTlRBTkcoUVRSLDM2OTIyKSk=&amp;WINDOW=FIRST_POPUP&amp;H","EIGHT=450&amp;WIDTH=450&amp;START_MAXIMIZED=FALSE&amp;VAR:CALENDAR=US&amp;VAR:SYMBOL=AMD&amp;VAR:INDEX=0"}</definedName>
    <definedName name="_140__FDSAUDITLINK__" localSheetId="0" hidden="1">{"fdsup://directions/FAT Viewer?action=UPDATE&amp;creator=factset&amp;DYN_ARGS=TRUE&amp;DOC_NAME=FAT:FQL_AUDITING_CLIENT_TEMPLATE.FAT&amp;display_string=Audit&amp;VAR:KEY=KFAHIZCJCB&amp;VAR:QUERY=KENTRl9TSExEUlNfRVEoUVRSX1IsMzg2ODYpQFdTRl9TSExEUlNfRVEoUVRSLDM4Njg2KSk=&amp;WINDOW=FIRST","_POPUP&amp;HEIGHT=450&amp;WIDTH=450&amp;START_MAXIMIZED=FALSE&amp;VAR:CALENDAR=US&amp;VAR:SYMBOL=ARX&amp;VAR:INDEX=0"}</definedName>
    <definedName name="_140__FDSAUDITLINK__" hidden="1">{"fdsup://directions/FAT Viewer?action=UPDATE&amp;creator=factset&amp;DYN_ARGS=TRUE&amp;DOC_NAME=FAT:FQL_AUDITING_CLIENT_TEMPLATE.FAT&amp;display_string=Audit&amp;VAR:KEY=ALSPUTGLKP&amp;VAR:QUERY=KENTRl9DT01fU0hTX09VVF9FUFNfRElMKFFUUl9SLDM0NjA3KUBXU0ZfQ09NX1NIU19PVVRfRVBTX0RJTChRV","FIsMzQ2MDcpKQ==&amp;WINDOW=FIRST_POPUP&amp;HEIGHT=450&amp;WIDTH=450&amp;START_MAXIMIZED=FALSE&amp;VAR:CALENDAR=US&amp;VAR:SYMBOL=AMD&amp;VAR:INDEX=0"}</definedName>
    <definedName name="_141__FDSAUDITLINK__" localSheetId="0" hidden="1">{"fdsup://directions/FAT Viewer?action=UPDATE&amp;creator=factset&amp;DYN_ARGS=TRUE&amp;DOC_NAME=FAT:FQL_AUDITING_CLIENT_TEMPLATE.FAT&amp;display_string=Audit&amp;VAR:KEY=YLEXSBONEL&amp;VAR:QUERY=KENTRl9DT01fU0hTX09VVF9FUFNfRElMKFFUUl9SLDM4NjU2KUBXU0ZfQ09NX1NIU19PVVRfRVBTX0RJTChRV","FIsMzg2NTYpKQ==&amp;WINDOW=FIRST_POPUP&amp;HEIGHT=450&amp;WIDTH=450&amp;START_MAXIMIZED=FALSE&amp;VAR:CALENDAR=US&amp;VAR:SYMBOL=ARX&amp;VAR:INDEX=0"}</definedName>
    <definedName name="_141__FDSAUDITLINK__" hidden="1">{"fdsup://directions/FAT Viewer?action=UPDATE&amp;creator=factset&amp;DYN_ARGS=TRUE&amp;DOC_NAME=FAT:FQL_AUDITING_CLIENT_TEMPLATE.FAT&amp;display_string=Audit&amp;VAR:KEY=KBWPWHIVUL&amp;VAR:QUERY=KENTRl9JTlRBTkcoUVRSX1IsMzQ2MDcpQFdTRl9JTlRBTkcoUVRSLDM0NjA3KSk=&amp;WINDOW=FIRST_POPUP&amp;H","EIGHT=450&amp;WIDTH=450&amp;START_MAXIMIZED=FALSE&amp;VAR:CALENDAR=US&amp;VAR:SYMBOL=AMD&amp;VAR:INDEX=0"}</definedName>
    <definedName name="_142__FDSAUDITLINK__" localSheetId="0" hidden="1">{"fdsup://directions/FAT Viewer?action=UPDATE&amp;creator=factset&amp;DYN_ARGS=TRUE&amp;DOC_NAME=FAT:FQL_AUDITING_CLIENT_TEMPLATE.FAT&amp;display_string=Audit&amp;VAR:KEY=CFILUNWNAV&amp;VAR:QUERY=KENTRl9JTlRBTkcoUVRSX1IsMzg2NTYpQFdTRl9JTlRBTkcoUVRSLDM4NjU2KSk=&amp;WINDOW=FIRST_POPUP&amp;H","EIGHT=450&amp;WIDTH=450&amp;START_MAXIMIZED=FALSE&amp;VAR:CALENDAR=US&amp;VAR:SYMBOL=ARX&amp;VAR:INDEX=0"}</definedName>
    <definedName name="_142__FDSAUDITLINK__" hidden="1">{"fdsup://directions/FAT Viewer?action=UPDATE&amp;creator=factset&amp;DYN_ARGS=TRUE&amp;DOC_NAME=FAT:FQL_AUDITING_CLIENT_TEMPLATE.FAT&amp;display_string=Audit&amp;VAR:KEY=ARKJYHEBOT&amp;VAR:QUERY=KENTRl9DT01fU0hTX09VVF9FUFNfRElMKFFUUl9SLDM0NTc3KUBXU0ZfQ09NX1NIU19PVVRfRVBTX0RJTChRV","FIsMzQ1NzcpKQ==&amp;WINDOW=FIRST_POPUP&amp;HEIGHT=450&amp;WIDTH=450&amp;START_MAXIMIZED=FALSE&amp;VAR:CALENDAR=US&amp;VAR:SYMBOL=AMD&amp;VAR:INDEX=0"}</definedName>
    <definedName name="_143__FDSAUDITLINK__" localSheetId="0" hidden="1">{"fdsup://directions/FAT Viewer?action=UPDATE&amp;creator=factset&amp;DYN_ARGS=TRUE&amp;DOC_NAME=FAT:FQL_AUDITING_CLIENT_TEMPLATE.FAT&amp;display_string=Audit&amp;VAR:KEY=UXURANYBQX&amp;VAR:QUERY=KENTRl9TSExEUlNfRVEoUVRSX1IsMzg2NTYpQFdTRl9TSExEUlNfRVEoUVRSLDM4NjU2KSk=&amp;WINDOW=FIRST","_POPUP&amp;HEIGHT=450&amp;WIDTH=450&amp;START_MAXIMIZED=FALSE&amp;VAR:CALENDAR=US&amp;VAR:SYMBOL=ARX&amp;VAR:INDEX=0"}</definedName>
    <definedName name="_143__FDSAUDITLINK__" hidden="1">{"fdsup://directions/FAT Viewer?action=UPDATE&amp;creator=factset&amp;DYN_ARGS=TRUE&amp;DOC_NAME=FAT:FQL_AUDITING_CLIENT_TEMPLATE.FAT&amp;display_string=Audit&amp;VAR:KEY=WFGTYNGXCR&amp;VAR:QUERY=KENTRl9JTlRBTkcoUVRSX1IsMzQ1NzcpQFdTRl9JTlRBTkcoUVRSLDM0NTc3KSk=&amp;WINDOW=FIRST_POPUP&amp;H","EIGHT=450&amp;WIDTH=450&amp;START_MAXIMIZED=FALSE&amp;VAR:CALENDAR=US&amp;VAR:SYMBOL=AMD&amp;VAR:INDEX=0"}</definedName>
    <definedName name="_144__FDSAUDITLINK__" localSheetId="0" hidden="1">{"fdsup://directions/FAT Viewer?action=UPDATE&amp;creator=factset&amp;DYN_ARGS=TRUE&amp;DOC_NAME=FAT:FQL_AUDITING_CLIENT_TEMPLATE.FAT&amp;display_string=Audit&amp;VAR:KEY=WVYNAVGHMP&amp;VAR:QUERY=KENTRl9DT01fU0hTX09VVF9FUFNfRElMKFFUUl9SLDM4NjI1KUBXU0ZfQ09NX1NIU19PVVRfRVBTX0RJTChRV","FIsMzg2MjUpKQ==&amp;WINDOW=FIRST_POPUP&amp;HEIGHT=450&amp;WIDTH=450&amp;START_MAXIMIZED=FALSE&amp;VAR:CALENDAR=US&amp;VAR:SYMBOL=ARX&amp;VAR:INDEX=0"}</definedName>
    <definedName name="_144__FDSAUDITLINK__" hidden="1">{"fdsup://directions/FAT Viewer?action=UPDATE&amp;creator=factset&amp;DYN_ARGS=TRUE&amp;DOC_NAME=FAT:FQL_AUDITING_CLIENT_TEMPLATE.FAT&amp;display_string=Audit&amp;VAR:KEY=MFULODEBOZ&amp;VAR:QUERY=KENTRl9DT01fU0hTX09VVF9FUFNfRElMKFFUUl9SLDM0NTQ0KUBXU0ZfQ09NX1NIU19PVVRfRVBTX0RJTChRV","FIsMzQ1NDQpKQ==&amp;WINDOW=FIRST_POPUP&amp;HEIGHT=450&amp;WIDTH=450&amp;START_MAXIMIZED=FALSE&amp;VAR:CALENDAR=US&amp;VAR:SYMBOL=AMD&amp;VAR:INDEX=0"}</definedName>
    <definedName name="_145__FDSAUDITLINK__" localSheetId="0" hidden="1">{"fdsup://directions/FAT Viewer?action=UPDATE&amp;creator=factset&amp;DYN_ARGS=TRUE&amp;DOC_NAME=FAT:FQL_AUDITING_CLIENT_TEMPLATE.FAT&amp;display_string=Audit&amp;VAR:KEY=MPIDWTSDAH&amp;VAR:QUERY=KENTRl9JTlRBTkcoUVRSX1IsMzg2MjUpQFdTRl9JTlRBTkcoUVRSLDM4NjI1KSk=&amp;WINDOW=FIRST_POPUP&amp;H","EIGHT=450&amp;WIDTH=450&amp;START_MAXIMIZED=FALSE&amp;VAR:CALENDAR=US&amp;VAR:SYMBOL=ARX&amp;VAR:INDEX=0"}</definedName>
    <definedName name="_145__FDSAUDITLINK__" hidden="1">{"fdsup://directions/FAT Viewer?action=UPDATE&amp;creator=factset&amp;DYN_ARGS=TRUE&amp;DOC_NAME=FAT:FQL_AUDITING_CLIENT_TEMPLATE.FAT&amp;display_string=Audit&amp;VAR:KEY=GNMJETYXED&amp;VAR:QUERY=KENTRl9JTlRBTkcoUVRSX1IsMzQ1NDQpQFdTRl9JTlRBTkcoUVRSLDM0NTQ0KSk=&amp;WINDOW=FIRST_POPUP&amp;H","EIGHT=450&amp;WIDTH=450&amp;START_MAXIMIZED=FALSE&amp;VAR:CALENDAR=US&amp;VAR:SYMBOL=AMD&amp;VAR:INDEX=0"}</definedName>
    <definedName name="_146__FDSAUDITLINK__" localSheetId="0" hidden="1">{"fdsup://directions/FAT Viewer?action=UPDATE&amp;creator=factset&amp;DYN_ARGS=TRUE&amp;DOC_NAME=FAT:FQL_AUDITING_CLIENT_TEMPLATE.FAT&amp;display_string=Audit&amp;VAR:KEY=UHMJENAXGD&amp;VAR:QUERY=KENTRl9TSExEUlNfRVEoUVRSX1IsMzg2MjUpQFdTRl9TSExEUlNfRVEoUVRSLDM4NjI1KSk=&amp;WINDOW=FIRST","_POPUP&amp;HEIGHT=450&amp;WIDTH=450&amp;START_MAXIMIZED=FALSE&amp;VAR:CALENDAR=US&amp;VAR:SYMBOL=ARX&amp;VAR:INDEX=0"}</definedName>
    <definedName name="_146__FDSAUDITLINK__" hidden="1">{"fdsup://directions/FAT Viewer?action=UPDATE&amp;creator=factset&amp;DYN_ARGS=TRUE&amp;DOC_NAME=FAT:FQL_AUDITING_CLIENT_TEMPLATE.FAT&amp;display_string=Audit&amp;VAR:KEY=MJGLIFKDAF&amp;VAR:QUERY=KENTRl9DT01fU0hTX09VVF9FUFNfRElMKFFUUl9SLDM0NTE1KUBXU0ZfQ09NX1NIU19PVVRfRVBTX0RJTChRV","FIsMzQ1MTUpKQ==&amp;WINDOW=FIRST_POPUP&amp;HEIGHT=450&amp;WIDTH=450&amp;START_MAXIMIZED=FALSE&amp;VAR:CALENDAR=US&amp;VAR:SYMBOL=AMD&amp;VAR:INDEX=0"}</definedName>
    <definedName name="_147__FDSAUDITLINK__" localSheetId="0" hidden="1">{"fdsup://directions/FAT Viewer?action=UPDATE&amp;creator=factset&amp;DYN_ARGS=TRUE&amp;DOC_NAME=FAT:FQL_AUDITING_CLIENT_TEMPLATE.FAT&amp;display_string=Audit&amp;VAR:KEY=IZYREHEBEN&amp;VAR:QUERY=KENTRl9DT01fU0hTX09VVF9FUFNfRElMKFFUUl9SLDM4NTk1KUBXU0ZfQ09NX1NIU19PVVRfRVBTX0RJTChRV","FIsMzg1OTUpKQ==&amp;WINDOW=FIRST_POPUP&amp;HEIGHT=450&amp;WIDTH=450&amp;START_MAXIMIZED=FALSE&amp;VAR:CALENDAR=US&amp;VAR:SYMBOL=ARX&amp;VAR:INDEX=0"}</definedName>
    <definedName name="_147__FDSAUDITLINK__" hidden="1">{"fdsup://directions/FAT Viewer?action=UPDATE&amp;creator=factset&amp;DYN_ARGS=TRUE&amp;DOC_NAME=FAT:FQL_AUDITING_CLIENT_TEMPLATE.FAT&amp;display_string=Audit&amp;VAR:KEY=ONEZOBMNEJ&amp;VAR:QUERY=KENTRl9JTlRBTkcoUVRSX1IsMzQ1MTUpQFdTRl9JTlRBTkcoUVRSLDM0NTE1KSk=&amp;WINDOW=FIRST_POPUP&amp;H","EIGHT=450&amp;WIDTH=450&amp;START_MAXIMIZED=FALSE&amp;VAR:CALENDAR=US&amp;VAR:SYMBOL=AMD&amp;VAR:INDEX=0"}</definedName>
    <definedName name="_148__FDSAUDITLINK__" localSheetId="0" hidden="1">{"fdsup://directions/FAT Viewer?action=UPDATE&amp;creator=factset&amp;DYN_ARGS=TRUE&amp;DOC_NAME=FAT:FQL_AUDITING_CLIENT_TEMPLATE.FAT&amp;display_string=Audit&amp;VAR:KEY=SFGJCNOXCP&amp;VAR:QUERY=KENTRl9JTlRBTkcoUVRSX1IsMzg1OTUpQFdTRl9JTlRBTkcoUVRSLDM4NTk1KSk=&amp;WINDOW=FIRST_POPUP&amp;H","EIGHT=450&amp;WIDTH=450&amp;START_MAXIMIZED=FALSE&amp;VAR:CALENDAR=US&amp;VAR:SYMBOL=ARX&amp;VAR:INDEX=0"}</definedName>
    <definedName name="_148__FDSAUDITLINK__" hidden="1">{"fdsup://directions/FAT Viewer?action=UPDATE&amp;creator=factset&amp;DYN_ARGS=TRUE&amp;DOC_NAME=FAT:FQL_AUDITING_CLIENT_TEMPLATE.FAT&amp;display_string=Audit&amp;VAR:KEY=URQXKTSLOB&amp;VAR:QUERY=KENTRl9DT01fU0hTX09VVF9FUFNfRElMKFFUUl9SLDM0NDg1KUBXU0ZfQ09NX1NIU19PVVRfRVBTX0RJTChRV","FIsMzQ0ODUpKQ==&amp;WINDOW=FIRST_POPUP&amp;HEIGHT=450&amp;WIDTH=450&amp;START_MAXIMIZED=FALSE&amp;VAR:CALENDAR=US&amp;VAR:SYMBOL=AMD&amp;VAR:INDEX=0"}</definedName>
    <definedName name="_149__FDSAUDITLINK__" localSheetId="0" hidden="1">{"fdsup://directions/FAT Viewer?action=UPDATE&amp;creator=factset&amp;DYN_ARGS=TRUE&amp;DOC_NAME=FAT:FQL_AUDITING_CLIENT_TEMPLATE.FAT&amp;display_string=Audit&amp;VAR:KEY=QPCZMVYFEN&amp;VAR:QUERY=KENTRl9TSExEUlNfRVEoUVRSX1IsMzg1OTUpQFdTRl9TSExEUlNfRVEoUVRSLDM4NTk1KSk=&amp;WINDOW=FIRST","_POPUP&amp;HEIGHT=450&amp;WIDTH=450&amp;START_MAXIMIZED=FALSE&amp;VAR:CALENDAR=US&amp;VAR:SYMBOL=ARX&amp;VAR:INDEX=0"}</definedName>
    <definedName name="_149__FDSAUDITLINK__" hidden="1">{"fdsup://directions/FAT Viewer?action=UPDATE&amp;creator=factset&amp;DYN_ARGS=TRUE&amp;DOC_NAME=FAT:FQL_AUDITING_CLIENT_TEMPLATE.FAT&amp;display_string=Audit&amp;VAR:KEY=CZUVWJCPEZ&amp;VAR:QUERY=KENTRl9JTlRBTkcoUVRSX1IsMzQ0ODUpQFdTRl9JTlRBTkcoUVRSLDM0NDg1KSk=&amp;WINDOW=FIRST_POPUP&amp;H","EIGHT=450&amp;WIDTH=450&amp;START_MAXIMIZED=FALSE&amp;VAR:CALENDAR=US&amp;VAR:SYMBOL=AMD&amp;VAR:INDEX=0"}</definedName>
    <definedName name="_15__FDSAUDITLINK__" localSheetId="0" hidden="1">{"fdsup://directions/FAT Viewer?action=UPDATE&amp;creator=factset&amp;DYN_ARGS=TRUE&amp;DOC_NAME=FAT:FQL_AUDITING_CLIENT_TEMPLATE.FAT&amp;display_string=Audit&amp;VAR:KEY=UPKBEZCFID&amp;VAR:QUERY=KENTRl9JTlRBTkcoUVRSX1IsNDAxNDcpQFdTRl9JTlRBTkcoUVRSLDQwMTQ3KSk=&amp;WINDOW=FIRST_POPUP&amp;H","EIGHT=450&amp;WIDTH=450&amp;START_MAXIMIZED=FALSE&amp;VAR:CALENDAR=US&amp;VAR:SYMBOL=ARX&amp;VAR:INDEX=0"}</definedName>
    <definedName name="_15__FDSAUDITLINK__" hidden="1">{"fdsup://directions/FAT Viewer?action=UPDATE&amp;creator=factset&amp;DYN_ARGS=TRUE&amp;DOC_NAME=FAT:FQL_AUDITING_CLIENT_TEMPLATE.FAT&amp;display_string=Audit&amp;VAR:KEY=OLQPCZMVYF&amp;VAR:QUERY=KENTRl9JTlRBTkcoUVRSX1IsMzY4ODkpQFdTRl9JTlRBTkcoUVRSLDM2ODg5KSk=&amp;WINDOW=FIRST_POPUP&amp;H","EIGHT=450&amp;WIDTH=450&amp;START_MAXIMIZED=FALSE&amp;VAR:CALENDAR=US&amp;VAR:SYMBOL=AMD&amp;VAR:INDEX=0"}</definedName>
    <definedName name="_150__FDSAUDITLINK__" localSheetId="0" hidden="1">{"fdsup://directions/FAT Viewer?action=UPDATE&amp;creator=factset&amp;DYN_ARGS=TRUE&amp;DOC_NAME=FAT:FQL_AUDITING_CLIENT_TEMPLATE.FAT&amp;display_string=Audit&amp;VAR:KEY=WROFIJSFMJ&amp;VAR:QUERY=KENTRl9DT01fU0hTX09VVF9FUFNfRElMKFFUUl9SLDM4NTYyKUBXU0ZfQ09NX1NIU19PVVRfRVBTX0RJTChRV","FIsMzg1NjIpKQ==&amp;WINDOW=FIRST_POPUP&amp;HEIGHT=450&amp;WIDTH=450&amp;START_MAXIMIZED=FALSE&amp;VAR:CALENDAR=US&amp;VAR:SYMBOL=ARX&amp;VAR:INDEX=0"}</definedName>
    <definedName name="_150__FDSAUDITLINK__" hidden="1">{"fdsup://directions/FAT Viewer?action=UPDATE&amp;creator=factset&amp;DYN_ARGS=TRUE&amp;DOC_NAME=FAT:FQL_AUDITING_CLIENT_TEMPLATE.FAT&amp;display_string=Audit&amp;VAR:KEY=WRYZCLGVAT&amp;VAR:QUERY=KENTRl9DT01fU0hTX09VVF9FUFNfRElMKFFUUl9SLDM0NDUzKUBXU0ZfQ09NX1NIU19PVVRfRVBTX0RJTChRV","FIsMzQ0NTMpKQ==&amp;WINDOW=FIRST_POPUP&amp;HEIGHT=450&amp;WIDTH=450&amp;START_MAXIMIZED=FALSE&amp;VAR:CALENDAR=US&amp;VAR:SYMBOL=AMD&amp;VAR:INDEX=0"}</definedName>
    <definedName name="_151__FDSAUDITLINK__" localSheetId="0" hidden="1">{"fdsup://directions/FAT Viewer?action=UPDATE&amp;creator=factset&amp;DYN_ARGS=TRUE&amp;DOC_NAME=FAT:FQL_AUDITING_CLIENT_TEMPLATE.FAT&amp;display_string=Audit&amp;VAR:KEY=UREDIREHMP&amp;VAR:QUERY=KENTRl9JTlRBTkcoUVRSX1IsMzg1NjIpQFdTRl9JTlRBTkcoUVRSLDM4NTYyKSk=&amp;WINDOW=FIRST_POPUP&amp;H","EIGHT=450&amp;WIDTH=450&amp;START_MAXIMIZED=FALSE&amp;VAR:CALENDAR=US&amp;VAR:SYMBOL=ARX&amp;VAR:INDEX=0"}</definedName>
    <definedName name="_151__FDSAUDITLINK__" hidden="1">{"fdsup://directions/FAT Viewer?action=UPDATE&amp;creator=factset&amp;DYN_ARGS=TRUE&amp;DOC_NAME=FAT:FQL_AUDITING_CLIENT_TEMPLATE.FAT&amp;display_string=Audit&amp;VAR:KEY=KTEHEXUNKX&amp;VAR:QUERY=KENTRl9JTlRBTkcoUVRSX1IsMzQ0NTMpQFdTRl9JTlRBTkcoUVRSLDM0NDUzKSk=&amp;WINDOW=FIRST_POPUP&amp;H","EIGHT=450&amp;WIDTH=450&amp;START_MAXIMIZED=FALSE&amp;VAR:CALENDAR=US&amp;VAR:SYMBOL=AMD&amp;VAR:INDEX=0"}</definedName>
    <definedName name="_152__FDSAUDITLINK__" localSheetId="0" hidden="1">{"fdsup://directions/FAT Viewer?action=UPDATE&amp;creator=factset&amp;DYN_ARGS=TRUE&amp;DOC_NAME=FAT:FQL_AUDITING_CLIENT_TEMPLATE.FAT&amp;display_string=Audit&amp;VAR:KEY=MVMHIFMLGZ&amp;VAR:QUERY=KENTRl9TSExEUlNfRVEoUVRSX1IsMzg1NjIpQFdTRl9TSExEUlNfRVEoUVRSLDM4NTYyKSk=&amp;WINDOW=FIRST","_POPUP&amp;HEIGHT=450&amp;WIDTH=450&amp;START_MAXIMIZED=FALSE&amp;VAR:CALENDAR=US&amp;VAR:SYMBOL=ARX&amp;VAR:INDEX=0"}</definedName>
    <definedName name="_152__FDSAUDITLINK__" hidden="1">{"fdsup://directions/FAT Viewer?action=UPDATE&amp;creator=factset&amp;DYN_ARGS=TRUE&amp;DOC_NAME=FAT:FQL_AUDITING_CLIENT_TEMPLATE.FAT&amp;display_string=Audit&amp;VAR:KEY=SJIXWFSXQJ&amp;VAR:QUERY=KENTRl9DT01fU0hTX09VVF9FUFNfRElMKFFUUl9SLDM0NDI0KUBXU0ZfQ09NX1NIU19PVVRfRVBTX0RJTChRV","FIsMzQ0MjQpKQ==&amp;WINDOW=FIRST_POPUP&amp;HEIGHT=450&amp;WIDTH=450&amp;START_MAXIMIZED=FALSE&amp;VAR:CALENDAR=US&amp;VAR:SYMBOL=AMD&amp;VAR:INDEX=0"}</definedName>
    <definedName name="_153__FDSAUDITLINK__" localSheetId="0" hidden="1">{"fdsup://directions/FAT Viewer?action=UPDATE&amp;creator=factset&amp;DYN_ARGS=TRUE&amp;DOC_NAME=FAT:FQL_AUDITING_CLIENT_TEMPLATE.FAT&amp;display_string=Audit&amp;VAR:KEY=MZGXMZGJSF&amp;VAR:QUERY=KENTRl9DT01fU0hTX09VVF9FUFNfRElMKFFUUl9SLDM4NTMzKUBXU0ZfQ09NX1NIU19PVVRfRVBTX0RJTChRV","FIsMzg1MzMpKQ==&amp;WINDOW=FIRST_POPUP&amp;HEIGHT=450&amp;WIDTH=450&amp;START_MAXIMIZED=FALSE&amp;VAR:CALENDAR=US&amp;VAR:SYMBOL=ARX&amp;VAR:INDEX=0"}</definedName>
    <definedName name="_153__FDSAUDITLINK__" hidden="1">{"fdsup://directions/FAT Viewer?action=UPDATE&amp;creator=factset&amp;DYN_ARGS=TRUE&amp;DOC_NAME=FAT:FQL_AUDITING_CLIENT_TEMPLATE.FAT&amp;display_string=Audit&amp;VAR:KEY=QVQBATWZSD&amp;VAR:QUERY=KENTRl9JTlRBTkcoUVRSX1IsMzQ0MjQpQFdTRl9JTlRBTkcoUVRSLDM0NDI0KSk=&amp;WINDOW=FIRST_POPUP&amp;H","EIGHT=450&amp;WIDTH=450&amp;START_MAXIMIZED=FALSE&amp;VAR:CALENDAR=US&amp;VAR:SYMBOL=AMD&amp;VAR:INDEX=0"}</definedName>
    <definedName name="_154__FDSAUDITLINK__" localSheetId="0" hidden="1">{"fdsup://directions/FAT Viewer?action=UPDATE&amp;creator=factset&amp;DYN_ARGS=TRUE&amp;DOC_NAME=FAT:FQL_AUDITING_CLIENT_TEMPLATE.FAT&amp;display_string=Audit&amp;VAR:KEY=UFABETWXIF&amp;VAR:QUERY=KENTRl9JTlRBTkcoUVRSX1IsMzg1MzMpQFdTRl9JTlRBTkcoUVRSLDM4NTMzKSk=&amp;WINDOW=FIRST_POPUP&amp;H","EIGHT=450&amp;WIDTH=450&amp;START_MAXIMIZED=FALSE&amp;VAR:CALENDAR=US&amp;VAR:SYMBOL=ARX&amp;VAR:INDEX=0"}</definedName>
    <definedName name="_154__FDSAUDITLINK__" hidden="1">{"fdsup://directions/FAT Viewer?action=UPDATE&amp;creator=factset&amp;DYN_ARGS=TRUE&amp;DOC_NAME=FAT:FQL_AUDITING_CLIENT_TEMPLATE.FAT&amp;display_string=Audit&amp;VAR:KEY=OFENMVCLCJ&amp;VAR:QUERY=KENTRl9DT01fU0hTX09VVF9FUFNfRElMKFFUUl9SLDM0MzkzKUBXU0ZfQ09NX1NIU19PVVRfRVBTX0RJTChRV","FIsMzQzOTMpKQ==&amp;WINDOW=FIRST_POPUP&amp;HEIGHT=450&amp;WIDTH=450&amp;START_MAXIMIZED=FALSE&amp;VAR:CALENDAR=US&amp;VAR:SYMBOL=AMD&amp;VAR:INDEX=0"}</definedName>
    <definedName name="_155__FDSAUDITLINK__" localSheetId="0" hidden="1">{"fdsup://directions/FAT Viewer?action=UPDATE&amp;creator=factset&amp;DYN_ARGS=TRUE&amp;DOC_NAME=FAT:FQL_AUDITING_CLIENT_TEMPLATE.FAT&amp;display_string=Audit&amp;VAR:KEY=ALGZCVQZCJ&amp;VAR:QUERY=KENTRl9TSExEUlNfRVEoUVRSX1IsMzg1MzMpQFdTRl9TSExEUlNfRVEoUVRSLDM4NTMzKSk=&amp;WINDOW=FIRST","_POPUP&amp;HEIGHT=450&amp;WIDTH=450&amp;START_MAXIMIZED=FALSE&amp;VAR:CALENDAR=US&amp;VAR:SYMBOL=ARX&amp;VAR:INDEX=0"}</definedName>
    <definedName name="_155__FDSAUDITLINK__" hidden="1">{"fdsup://directions/FAT Viewer?action=UPDATE&amp;creator=factset&amp;DYN_ARGS=TRUE&amp;DOC_NAME=FAT:FQL_AUDITING_CLIENT_TEMPLATE.FAT&amp;display_string=Audit&amp;VAR:KEY=CBKLCDCTEN&amp;VAR:QUERY=KENTRl9JTlRBTkcoUVRSX1IsMzQzOTMpQFdTRl9JTlRBTkcoUVRSLDM0MzkzKSk=&amp;WINDOW=FIRST_POPUP&amp;H","EIGHT=450&amp;WIDTH=450&amp;START_MAXIMIZED=FALSE&amp;VAR:CALENDAR=US&amp;VAR:SYMBOL=AMD&amp;VAR:INDEX=0"}</definedName>
    <definedName name="_156__FDSAUDITLINK__" localSheetId="0" hidden="1">{"fdsup://directions/FAT Viewer?action=UPDATE&amp;creator=factset&amp;DYN_ARGS=TRUE&amp;DOC_NAME=FAT:FQL_AUDITING_CLIENT_TEMPLATE.FAT&amp;display_string=Audit&amp;VAR:KEY=STYDABQHKX&amp;VAR:QUERY=KENTRl9DT01fU0hTX09VVF9FUFNfRElMKFFUUl9SLDM4NTAzKUBXU0ZfQ09NX1NIU19PVVRfRVBTX0RJTChRV","FIsMzg1MDMpKQ==&amp;WINDOW=FIRST_POPUP&amp;HEIGHT=450&amp;WIDTH=450&amp;START_MAXIMIZED=FALSE&amp;VAR:CALENDAR=US&amp;VAR:SYMBOL=ARX&amp;VAR:INDEX=0"}</definedName>
    <definedName name="_156__FDSAUDITLINK__" hidden="1">{"fdsup://directions/FAT Viewer?action=UPDATE&amp;creator=factset&amp;DYN_ARGS=TRUE&amp;DOC_NAME=FAT:FQL_AUDITING_CLIENT_TEMPLATE.FAT&amp;display_string=Audit&amp;VAR:KEY=GXSBOHUDSD&amp;VAR:QUERY=KENTRl9DT01fU0hTX09VVF9FUFNfRElMKFFUUl9SLDM0MzY1KUBXU0ZfQ09NX1NIU19PVVRfRVBTX0RJTChRV","FIsMzQzNjUpKQ==&amp;WINDOW=FIRST_POPUP&amp;HEIGHT=450&amp;WIDTH=450&amp;START_MAXIMIZED=FALSE&amp;VAR:CALENDAR=US&amp;VAR:SYMBOL=AMD&amp;VAR:INDEX=0"}</definedName>
    <definedName name="_157__FDSAUDITLINK__" localSheetId="0" hidden="1">{"fdsup://directions/FAT Viewer?action=UPDATE&amp;creator=factset&amp;DYN_ARGS=TRUE&amp;DOC_NAME=FAT:FQL_AUDITING_CLIENT_TEMPLATE.FAT&amp;display_string=Audit&amp;VAR:KEY=WJIZMZWJYH&amp;VAR:QUERY=KENTRl9JTlRBTkcoUVRSX1IsMzg1MDMpQFdTRl9JTlRBTkcoUVRSLDM4NTAzKSk=&amp;WINDOW=FIRST_POPUP&amp;H","EIGHT=450&amp;WIDTH=450&amp;START_MAXIMIZED=FALSE&amp;VAR:CALENDAR=US&amp;VAR:SYMBOL=ARX&amp;VAR:INDEX=0"}</definedName>
    <definedName name="_157__FDSAUDITLINK__" hidden="1">{"fdsup://directions/FAT Viewer?action=UPDATE&amp;creator=factset&amp;DYN_ARGS=TRUE&amp;DOC_NAME=FAT:FQL_AUDITING_CLIENT_TEMPLATE.FAT&amp;display_string=Audit&amp;VAR:KEY=MBCVAPOVAP&amp;VAR:QUERY=KENTRl9JTlRBTkcoUVRSX1IsMzQzNjUpQFdTRl9JTlRBTkcoUVRSLDM0MzY1KSk=&amp;WINDOW=FIRST_POPUP&amp;H","EIGHT=450&amp;WIDTH=450&amp;START_MAXIMIZED=FALSE&amp;VAR:CALENDAR=US&amp;VAR:SYMBOL=AMD&amp;VAR:INDEX=0"}</definedName>
    <definedName name="_158__FDSAUDITLINK__" localSheetId="0" hidden="1">{"fdsup://directions/FAT Viewer?action=UPDATE&amp;creator=factset&amp;DYN_ARGS=TRUE&amp;DOC_NAME=FAT:FQL_AUDITING_CLIENT_TEMPLATE.FAT&amp;display_string=Audit&amp;VAR:KEY=MJKLGFGPGP&amp;VAR:QUERY=KENTRl9TSExEUlNfRVEoUVRSX1IsMzg1MDMpQFdTRl9TSExEUlNfRVEoUVRSLDM4NTAzKSk=&amp;WINDOW=FIRST","_POPUP&amp;HEIGHT=450&amp;WIDTH=450&amp;START_MAXIMIZED=FALSE&amp;VAR:CALENDAR=US&amp;VAR:SYMBOL=ARX&amp;VAR:INDEX=0"}</definedName>
    <definedName name="_158__FDSAUDITLINK__" hidden="1">{"fdsup://directions/FAT Viewer?action=UPDATE&amp;creator=factset&amp;DYN_ARGS=TRUE&amp;DOC_NAME=FAT:FQL_AUDITING_CLIENT_TEMPLATE.FAT&amp;display_string=Audit&amp;VAR:KEY=UZONWTSFKD&amp;VAR:QUERY=KENTRl9DT01fU0hTX09VVF9FUFNfRElMKFFUUl9SLDM0MzM0KUBXU0ZfQ09NX1NIU19PVVRfRVBTX0RJTChRV","FIsMzQzMzQpKQ==&amp;WINDOW=FIRST_POPUP&amp;HEIGHT=450&amp;WIDTH=450&amp;START_MAXIMIZED=FALSE&amp;VAR:CALENDAR=US&amp;VAR:SYMBOL=AMD&amp;VAR:INDEX=0"}</definedName>
    <definedName name="_159__FDSAUDITLINK__" localSheetId="0" hidden="1">{"fdsup://directions/FAT Viewer?action=UPDATE&amp;creator=factset&amp;DYN_ARGS=TRUE&amp;DOC_NAME=FAT:FQL_AUDITING_CLIENT_TEMPLATE.FAT&amp;display_string=Audit&amp;VAR:KEY=MVITULQVMJ&amp;VAR:QUERY=KENTRl9DT01fU0hTX09VVF9FUFNfRElMKFFUUl9SLDM4NDcxKUBXU0ZfQ09NX1NIU19PVVRfRVBTX0RJTChRV","FIsMzg0NzEpKQ==&amp;WINDOW=FIRST_POPUP&amp;HEIGHT=450&amp;WIDTH=450&amp;START_MAXIMIZED=FALSE&amp;VAR:CALENDAR=US&amp;VAR:SYMBOL=ARX&amp;VAR:INDEX=0"}</definedName>
    <definedName name="_159__FDSAUDITLINK__" hidden="1">{"fdsup://directions/FAT Viewer?action=UPDATE&amp;creator=factset&amp;DYN_ARGS=TRUE&amp;DOC_NAME=FAT:FQL_AUDITING_CLIENT_TEMPLATE.FAT&amp;display_string=Audit&amp;VAR:KEY=CLGRYBUBOJ&amp;VAR:QUERY=KENTRl9JTlRBTkcoUVRSX1IsMzQzMzQpQFdTRl9JTlRBTkcoUVRSLDM0MzM0KSk=&amp;WINDOW=FIRST_POPUP&amp;H","EIGHT=450&amp;WIDTH=450&amp;START_MAXIMIZED=FALSE&amp;VAR:CALENDAR=US&amp;VAR:SYMBOL=AMD&amp;VAR:INDEX=0"}</definedName>
    <definedName name="_16__FDSAUDITLINK__" localSheetId="0" hidden="1">{"fdsup://directions/FAT Viewer?action=UPDATE&amp;creator=factset&amp;DYN_ARGS=TRUE&amp;DOC_NAME=FAT:FQL_AUDITING_CLIENT_TEMPLATE.FAT&amp;display_string=Audit&amp;VAR:KEY=AVCLGLSFKN&amp;VAR:QUERY=KENTRl9TSExEUlNfRVEoUVRSX1IsNDAxNDcpQFdTRl9TSExEUlNfRVEoUVRSLDQwMTQ3KSk=&amp;WINDOW=FIRST","_POPUP&amp;HEIGHT=450&amp;WIDTH=450&amp;START_MAXIMIZED=FALSE&amp;VAR:CALENDAR=US&amp;VAR:SYMBOL=ARX&amp;VAR:INDEX=0"}</definedName>
    <definedName name="_16__FDSAUDITLINK__" hidden="1">{"fdsup://directions/FAT Viewer?action=UPDATE&amp;creator=factset&amp;DYN_ARGS=TRUE&amp;DOC_NAME=FAT:FQL_AUDITING_CLIENT_TEMPLATE.FAT&amp;display_string=Audit&amp;VAR:KEY=STWROFIJSF&amp;VAR:QUERY=KENTRl9JTlRBTkcoUVRSX1IsMzY4NjApQFdTRl9JTlRBTkcoUVRSLDM2ODYwKSk=&amp;WINDOW=FIRST_POPUP&amp;H","EIGHT=450&amp;WIDTH=450&amp;START_MAXIMIZED=FALSE&amp;VAR:CALENDAR=US&amp;VAR:SYMBOL=AMD&amp;VAR:INDEX=0"}</definedName>
    <definedName name="_160__FDSAUDITLINK__" localSheetId="0" hidden="1">{"fdsup://directions/FAT Viewer?action=UPDATE&amp;creator=factset&amp;DYN_ARGS=TRUE&amp;DOC_NAME=FAT:FQL_AUDITING_CLIENT_TEMPLATE.FAT&amp;display_string=Audit&amp;VAR:KEY=SVKVINODOX&amp;VAR:QUERY=KENTRl9JTlRBTkcoUVRSX1IsMzg0NzEpQFdTRl9JTlRBTkcoUVRSLDM4NDcxKSk=&amp;WINDOW=FIRST_POPUP&amp;H","EIGHT=450&amp;WIDTH=450&amp;START_MAXIMIZED=FALSE&amp;VAR:CALENDAR=US&amp;VAR:SYMBOL=ARX&amp;VAR:INDEX=0"}</definedName>
    <definedName name="_160__FDSAUDITLINK__" hidden="1">{"fdsup://directions/FAT Viewer?action=UPDATE&amp;creator=factset&amp;DYN_ARGS=TRUE&amp;DOC_NAME=FAT:FQL_AUDITING_CLIENT_TEMPLATE.FAT&amp;display_string=Audit&amp;VAR:KEY=WTQFQXQBEZ&amp;VAR:QUERY=KENTRl9DT01fU0hTX09VVF9FUFNfRElMKFFUUl9SLDM0MzAzKUBXU0ZfQ09NX1NIU19PVVRfRVBTX0RJTChRV","FIsMzQzMDMpKQ==&amp;WINDOW=FIRST_POPUP&amp;HEIGHT=450&amp;WIDTH=450&amp;START_MAXIMIZED=FALSE&amp;VAR:CALENDAR=US&amp;VAR:SYMBOL=AMD&amp;VAR:INDEX=0"}</definedName>
    <definedName name="_161__FDSAUDITLINK__" localSheetId="0" hidden="1">{"fdsup://directions/FAT Viewer?action=UPDATE&amp;creator=factset&amp;DYN_ARGS=TRUE&amp;DOC_NAME=FAT:FQL_AUDITING_CLIENT_TEMPLATE.FAT&amp;display_string=Audit&amp;VAR:KEY=WFQBERIZQZ&amp;VAR:QUERY=KENTRl9TSExEUlNfRVEoUVRSX1IsMzg0NzEpQFdTRl9TSExEUlNfRVEoUVRSLDM4NDcxKSk=&amp;WINDOW=FIRST","_POPUP&amp;HEIGHT=450&amp;WIDTH=450&amp;START_MAXIMIZED=FALSE&amp;VAR:CALENDAR=US&amp;VAR:SYMBOL=ARX&amp;VAR:INDEX=0"}</definedName>
    <definedName name="_161__FDSAUDITLINK__" hidden="1">{"fdsup://directions/FAT Viewer?action=UPDATE&amp;creator=factset&amp;DYN_ARGS=TRUE&amp;DOC_NAME=FAT:FQL_AUDITING_CLIENT_TEMPLATE.FAT&amp;display_string=Audit&amp;VAR:KEY=ETIHQFITOP&amp;VAR:QUERY=KENTRl9JTlRBTkcoUVRSX1IsMzQzMDMpQFdTRl9JTlRBTkcoUVRSLDM0MzAzKSk=&amp;WINDOW=FIRST_POPUP&amp;H","EIGHT=450&amp;WIDTH=450&amp;START_MAXIMIZED=FALSE&amp;VAR:CALENDAR=US&amp;VAR:SYMBOL=AMD&amp;VAR:INDEX=0"}</definedName>
    <definedName name="_162__FDSAUDITLINK__" localSheetId="0" hidden="1">{"fdsup://directions/FAT Viewer?action=UPDATE&amp;creator=factset&amp;DYN_ARGS=TRUE&amp;DOC_NAME=FAT:FQL_AUDITING_CLIENT_TEMPLATE.FAT&amp;display_string=Audit&amp;VAR:KEY=IZMPANOLOT&amp;VAR:QUERY=KENTRl9DT01fU0hTX09VVF9FUFNfRElMKFFUUl9SLDM4NDQyKUBXU0ZfQ09NX1NIU19PVVRfRVBTX0RJTChRV","FIsMzg0NDIpKQ==&amp;WINDOW=FIRST_POPUP&amp;HEIGHT=450&amp;WIDTH=450&amp;START_MAXIMIZED=FALSE&amp;VAR:CALENDAR=US&amp;VAR:SYMBOL=ARX&amp;VAR:INDEX=0"}</definedName>
    <definedName name="_162__FDSAUDITLINK__" hidden="1">{"fdsup://directions/FAT Viewer?action=UPDATE&amp;creator=factset&amp;DYN_ARGS=TRUE&amp;DOC_NAME=FAT:FQL_AUDITING_CLIENT_TEMPLATE.FAT&amp;display_string=Audit&amp;VAR:KEY=ORIJKZEDGL&amp;VAR:QUERY=KENTRl9DT01fU0hTX09VVF9FUFNfRElMKFFUUl9SLDM0MjcxKUBXU0ZfQ09NX1NIU19PVVRfRVBTX0RJTChRV","FIsMzQyNzEpKQ==&amp;WINDOW=FIRST_POPUP&amp;HEIGHT=450&amp;WIDTH=450&amp;START_MAXIMIZED=FALSE&amp;VAR:CALENDAR=US&amp;VAR:SYMBOL=AMD&amp;VAR:INDEX=0"}</definedName>
    <definedName name="_163__FDSAUDITLINK__" localSheetId="0" hidden="1">{"fdsup://directions/FAT Viewer?action=UPDATE&amp;creator=factset&amp;DYN_ARGS=TRUE&amp;DOC_NAME=FAT:FQL_AUDITING_CLIENT_TEMPLATE.FAT&amp;display_string=Audit&amp;VAR:KEY=YPCNUPAHKJ&amp;VAR:QUERY=KENTRl9JTlRBTkcoUVRSX1IsMzg0NDIpQFdTRl9JTlRBTkcoUVRSLDM4NDQyKSk=&amp;WINDOW=FIRST_POPUP&amp;H","EIGHT=450&amp;WIDTH=450&amp;START_MAXIMIZED=FALSE&amp;VAR:CALENDAR=US&amp;VAR:SYMBOL=ARX&amp;VAR:INDEX=0"}</definedName>
    <definedName name="_163__FDSAUDITLINK__" hidden="1">{"fdsup://directions/FAT Viewer?action=UPDATE&amp;creator=factset&amp;DYN_ARGS=TRUE&amp;DOC_NAME=FAT:FQL_AUDITING_CLIENT_TEMPLATE.FAT&amp;display_string=Audit&amp;VAR:KEY=IXWXABCNQP&amp;VAR:QUERY=KENTRl9JTlRBTkcoUVRSX1IsMzQyNzEpQFdTRl9JTlRBTkcoUVRSLDM0MjcxKSk=&amp;WINDOW=FIRST_POPUP&amp;H","EIGHT=450&amp;WIDTH=450&amp;START_MAXIMIZED=FALSE&amp;VAR:CALENDAR=US&amp;VAR:SYMBOL=AMD&amp;VAR:INDEX=0"}</definedName>
    <definedName name="_164__FDSAUDITLINK__" localSheetId="0" hidden="1">{"fdsup://directions/FAT Viewer?action=UPDATE&amp;creator=factset&amp;DYN_ARGS=TRUE&amp;DOC_NAME=FAT:FQL_AUDITING_CLIENT_TEMPLATE.FAT&amp;display_string=Audit&amp;VAR:KEY=ALYPYPUXWX&amp;VAR:QUERY=KENTRl9TSExEUlNfRVEoUVRSX1IsMzg0NDIpQFdTRl9TSExEUlNfRVEoUVRSLDM4NDQyKSk=&amp;WINDOW=FIRST","_POPUP&amp;HEIGHT=450&amp;WIDTH=450&amp;START_MAXIMIZED=FALSE&amp;VAR:CALENDAR=US&amp;VAR:SYMBOL=ARX&amp;VAR:INDEX=0"}</definedName>
    <definedName name="_164__FDSAUDITLINK__" hidden="1">{"fdsup://directions/FAT Viewer?action=UPDATE&amp;creator=factset&amp;DYN_ARGS=TRUE&amp;DOC_NAME=FAT:FQL_AUDITING_CLIENT_TEMPLATE.FAT&amp;display_string=Audit&amp;VAR:KEY=QFAZMXKHAR&amp;VAR:QUERY=KENTRl9DT01fU0hTX09VVF9FUFNfRElMKFFUUl9SLDM0MjQyKUBXU0ZfQ09NX1NIU19PVVRfRVBTX0RJTChRV","FIsMzQyNDIpKQ==&amp;WINDOW=FIRST_POPUP&amp;HEIGHT=450&amp;WIDTH=450&amp;START_MAXIMIZED=FALSE&amp;VAR:CALENDAR=US&amp;VAR:SYMBOL=AMD&amp;VAR:INDEX=0"}</definedName>
    <definedName name="_165__FDSAUDITLINK__" localSheetId="0" hidden="1">{"fdsup://directions/FAT Viewer?action=UPDATE&amp;creator=factset&amp;DYN_ARGS=TRUE&amp;DOC_NAME=FAT:FQL_AUDITING_CLIENT_TEMPLATE.FAT&amp;display_string=Audit&amp;VAR:KEY=EZKNMJKLKB&amp;VAR:QUERY=KENTRl9DT01fU0hTX09VVF9FUFNfRElMKFFUUl9SLDM4NDExKUBXU0ZfQ09NX1NIU19PVVRfRVBTX0RJTChRV","FIsMzg0MTEpKQ==&amp;WINDOW=FIRST_POPUP&amp;HEIGHT=450&amp;WIDTH=450&amp;START_MAXIMIZED=FALSE&amp;VAR:CALENDAR=US&amp;VAR:SYMBOL=ARX&amp;VAR:INDEX=0"}</definedName>
    <definedName name="_165__FDSAUDITLINK__" hidden="1">{"fdsup://directions/FAT Viewer?action=UPDATE&amp;creator=factset&amp;DYN_ARGS=TRUE&amp;DOC_NAME=FAT:FQL_AUDITING_CLIENT_TEMPLATE.FAT&amp;display_string=Audit&amp;VAR:KEY=ULSJOLSFOZ&amp;VAR:QUERY=KENTRl9JTlRBTkcoUVRSX1IsMzQyNDIpQFdTRl9JTlRBTkcoUVRSLDM0MjQyKSk=&amp;WINDOW=FIRST_POPUP&amp;H","EIGHT=450&amp;WIDTH=450&amp;START_MAXIMIZED=FALSE&amp;VAR:CALENDAR=US&amp;VAR:SYMBOL=AMD&amp;VAR:INDEX=0"}</definedName>
    <definedName name="_166__FDSAUDITLINK__" localSheetId="0" hidden="1">{"fdsup://directions/FAT Viewer?action=UPDATE&amp;creator=factset&amp;DYN_ARGS=TRUE&amp;DOC_NAME=FAT:FQL_AUDITING_CLIENT_TEMPLATE.FAT&amp;display_string=Audit&amp;VAR:KEY=ETOLEDWJGF&amp;VAR:QUERY=KENTRl9JTlRBTkcoUVRSX1IsMzg0MTEpQFdTRl9JTlRBTkcoUVRSLDM4NDExKSk=&amp;WINDOW=FIRST_POPUP&amp;H","EIGHT=450&amp;WIDTH=450&amp;START_MAXIMIZED=FALSE&amp;VAR:CALENDAR=US&amp;VAR:SYMBOL=ARX&amp;VAR:INDEX=0"}</definedName>
    <definedName name="_166__FDSAUDITLINK__" hidden="1">{"fdsup://directions/FAT Viewer?action=UPDATE&amp;creator=factset&amp;DYN_ARGS=TRUE&amp;DOC_NAME=FAT:FQL_AUDITING_CLIENT_TEMPLATE.FAT&amp;display_string=Audit&amp;VAR:KEY=KHEXYBOZUL&amp;VAR:QUERY=KENTRl9DT01fU0hTX09VVF9FUFNfRElMKFFUUl9SLDM0MjEyKUBXU0ZfQ09NX1NIU19PVVRfRVBTX0RJTChRV","FIsMzQyMTIpKQ==&amp;WINDOW=FIRST_POPUP&amp;HEIGHT=450&amp;WIDTH=450&amp;START_MAXIMIZED=FALSE&amp;VAR:CALENDAR=US&amp;VAR:SYMBOL=AMD&amp;VAR:INDEX=0"}</definedName>
    <definedName name="_167__FDSAUDITLINK__" localSheetId="0" hidden="1">{"fdsup://directions/FAT Viewer?action=UPDATE&amp;creator=factset&amp;DYN_ARGS=TRUE&amp;DOC_NAME=FAT:FQL_AUDITING_CLIENT_TEMPLATE.FAT&amp;display_string=Audit&amp;VAR:KEY=EJUTUPOHAT&amp;VAR:QUERY=KENTRl9TSExEUlNfRVEoUVRSX1IsMzg0MTEpQFdTRl9TSExEUlNfRVEoUVRSLDM4NDExKSk=&amp;WINDOW=FIRST","_POPUP&amp;HEIGHT=450&amp;WIDTH=450&amp;START_MAXIMIZED=FALSE&amp;VAR:CALENDAR=US&amp;VAR:SYMBOL=ARX&amp;VAR:INDEX=0"}</definedName>
    <definedName name="_167__FDSAUDITLINK__" hidden="1">{"fdsup://directions/FAT Viewer?action=UPDATE&amp;creator=factset&amp;DYN_ARGS=TRUE&amp;DOC_NAME=FAT:FQL_AUDITING_CLIENT_TEMPLATE.FAT&amp;display_string=Audit&amp;VAR:KEY=AXCFMPYZQP&amp;VAR:QUERY=KENTRl9JTlRBTkcoUVRSX1IsMzQyMTIpQFdTRl9JTlRBTkcoUVRSLDM0MjEyKSk=&amp;WINDOW=FIRST_POPUP&amp;H","EIGHT=450&amp;WIDTH=450&amp;START_MAXIMIZED=FALSE&amp;VAR:CALENDAR=US&amp;VAR:SYMBOL=AMD&amp;VAR:INDEX=0"}</definedName>
    <definedName name="_168__FDSAUDITLINK__" localSheetId="0" hidden="1">{"fdsup://directions/FAT Viewer?action=UPDATE&amp;creator=factset&amp;DYN_ARGS=TRUE&amp;DOC_NAME=FAT:FQL_AUDITING_CLIENT_TEMPLATE.FAT&amp;display_string=Audit&amp;VAR:KEY=SPOJUTYTOH&amp;VAR:QUERY=KENTRl9DT01fU0hTX09VVF9FUFNfRElMKFFUUl9SLDM4MzgzKUBXU0ZfQ09NX1NIU19PVVRfRVBTX0RJTChRV","FIsMzgzODMpKQ==&amp;WINDOW=FIRST_POPUP&amp;HEIGHT=450&amp;WIDTH=450&amp;START_MAXIMIZED=FALSE&amp;VAR:CALENDAR=US&amp;VAR:SYMBOL=ARX&amp;VAR:INDEX=0"}</definedName>
    <definedName name="_168__FDSAUDITLINK__" hidden="1">{"fdsup://directions/FAT Viewer?action=UPDATE&amp;creator=factset&amp;DYN_ARGS=TRUE&amp;DOC_NAME=FAT:FQL_AUDITING_CLIENT_TEMPLATE.FAT&amp;display_string=Audit&amp;VAR:KEY=ITQBODQZYH&amp;VAR:QUERY=KENTRl9DT01fU0hTX09VVF9FUFNfRElMKFFUUl9SLDM0MTgwKUBXU0ZfQ09NX1NIU19PVVRfRVBTX0RJTChRV","FIsMzQxODApKQ==&amp;WINDOW=FIRST_POPUP&amp;HEIGHT=450&amp;WIDTH=450&amp;START_MAXIMIZED=FALSE&amp;VAR:CALENDAR=US&amp;VAR:SYMBOL=AMD&amp;VAR:INDEX=0"}</definedName>
    <definedName name="_169__FDSAUDITLINK__" localSheetId="0" hidden="1">{"fdsup://directions/FAT Viewer?action=UPDATE&amp;creator=factset&amp;DYN_ARGS=TRUE&amp;DOC_NAME=FAT:FQL_AUDITING_CLIENT_TEMPLATE.FAT&amp;display_string=Audit&amp;VAR:KEY=IPIVWNMPOB&amp;VAR:QUERY=KENTRl9JTlRBTkcoUVRSX1IsMzgzODMpQFdTRl9JTlRBTkcoUVRSLDM4MzgzKSk=&amp;WINDOW=FIRST_POPUP&amp;H","EIGHT=450&amp;WIDTH=450&amp;START_MAXIMIZED=FALSE&amp;VAR:CALENDAR=US&amp;VAR:SYMBOL=ARX&amp;VAR:INDEX=0"}</definedName>
    <definedName name="_169__FDSAUDITLINK__" hidden="1">{"fdsup://directions/FAT Viewer?action=UPDATE&amp;creator=factset&amp;DYN_ARGS=TRUE&amp;DOC_NAME=FAT:FQL_AUDITING_CLIENT_TEMPLATE.FAT&amp;display_string=Audit&amp;VAR:KEY=YRCZEBGRML&amp;VAR:QUERY=KENTRl9JTlRBTkcoUVRSX1IsMzQxODApQFdTRl9JTlRBTkcoUVRSLDM0MTgwKSk=&amp;WINDOW=FIRST_POPUP&amp;H","EIGHT=450&amp;WIDTH=450&amp;START_MAXIMIZED=FALSE&amp;VAR:CALENDAR=US&amp;VAR:SYMBOL=AMD&amp;VAR:INDEX=0"}</definedName>
    <definedName name="_17__FDSAUDITLINK__" localSheetId="0" hidden="1">{"fdsup://directions/FAT Viewer?action=UPDATE&amp;creator=factset&amp;DYN_ARGS=TRUE&amp;DOC_NAME=FAT:FQL_AUDITING_CLIENT_TEMPLATE.FAT&amp;display_string=Audit&amp;VAR:KEY=YVMPKPIJSZ&amp;VAR:QUERY=KENTRl9JTlRBTkcoUVRSX1IsNDAxMTcpQFdTRl9JTlRBTkcoUVRSLDQwMTE3KSk=&amp;WINDOW=FIRST_POPUP&amp;H","EIGHT=450&amp;WIDTH=450&amp;START_MAXIMIZED=FALSE&amp;VAR:CALENDAR=US&amp;VAR:SYMBOL=ARX&amp;VAR:INDEX=0"}</definedName>
    <definedName name="_17__FDSAUDITLINK__" hidden="1">{"fdsup://directions/FAT Viewer?action=UPDATE&amp;creator=factset&amp;DYN_ARGS=TRUE&amp;DOC_NAME=FAT:FQL_AUDITING_CLIENT_TEMPLATE.FAT&amp;display_string=Audit&amp;VAR:KEY=KDUREDIREH&amp;VAR:QUERY=KENTRl9JTlRBTkcoUVRSX1IsMzY4MzApQFdTRl9JTlRBTkcoUVRSLDM2ODMwKSk=&amp;WINDOW=FIRST_POPUP&amp;H","EIGHT=450&amp;WIDTH=450&amp;START_MAXIMIZED=FALSE&amp;VAR:CALENDAR=US&amp;VAR:SYMBOL=AMD&amp;VAR:INDEX=0"}</definedName>
    <definedName name="_170__FDSAUDITLINK__" localSheetId="0" hidden="1">{"fdsup://directions/FAT Viewer?action=UPDATE&amp;creator=factset&amp;DYN_ARGS=TRUE&amp;DOC_NAME=FAT:FQL_AUDITING_CLIENT_TEMPLATE.FAT&amp;display_string=Audit&amp;VAR:KEY=YRSPYXIFOT&amp;VAR:QUERY=KENTRl9TSExEUlNfRVEoUVRSX1IsMzgzODMpQFdTRl9TSExEUlNfRVEoUVRSLDM4MzgzKSk=&amp;WINDOW=FIRST","_POPUP&amp;HEIGHT=450&amp;WIDTH=450&amp;START_MAXIMIZED=FALSE&amp;VAR:CALENDAR=US&amp;VAR:SYMBOL=ARX&amp;VAR:INDEX=0"}</definedName>
    <definedName name="_170__FDSAUDITLINK__" hidden="1">{"fdsup://directions/FAT Viewer?action=UPDATE&amp;creator=factset&amp;DYN_ARGS=TRUE&amp;DOC_NAME=FAT:FQL_AUDITING_CLIENT_TEMPLATE.FAT&amp;display_string=Audit&amp;VAR:KEY=IFQZWBGXGF&amp;VAR:QUERY=KENTRl9DT01fU0hTX09VVF9FUFNfRElMKFFUUl9SLDM0MTUwKUBXU0ZfQ09NX1NIU19PVVRfRVBTX0RJTChRV","FIsMzQxNTApKQ==&amp;WINDOW=FIRST_POPUP&amp;HEIGHT=450&amp;WIDTH=450&amp;START_MAXIMIZED=FALSE&amp;VAR:CALENDAR=US&amp;VAR:SYMBOL=AMD&amp;VAR:INDEX=0"}</definedName>
    <definedName name="_171__FDSAUDITLINK__" localSheetId="0" hidden="1">{"fdsup://directions/FAT Viewer?action=UPDATE&amp;creator=factset&amp;DYN_ARGS=TRUE&amp;DOC_NAME=FAT:FQL_AUDITING_CLIENT_TEMPLATE.FAT&amp;display_string=Audit&amp;VAR:KEY=QJSBSTENUT&amp;VAR:QUERY=KENTRl9DT01fU0hTX09VVF9FUFNfRElMKFFUUl9SLDM4MzUyKUBXU0ZfQ09NX1NIU19PVVRfRVBTX0RJTChRV","FIsMzgzNTIpKQ==&amp;WINDOW=FIRST_POPUP&amp;HEIGHT=450&amp;WIDTH=450&amp;START_MAXIMIZED=FALSE&amp;VAR:CALENDAR=US&amp;VAR:SYMBOL=ARX&amp;VAR:INDEX=0"}</definedName>
    <definedName name="_171__FDSAUDITLINK__" hidden="1">{"fdsup://directions/FAT Viewer?action=UPDATE&amp;creator=factset&amp;DYN_ARGS=TRUE&amp;DOC_NAME=FAT:FQL_AUDITING_CLIENT_TEMPLATE.FAT&amp;display_string=Audit&amp;VAR:KEY=KLKDEXEBOJ&amp;VAR:QUERY=KENTRl9JTlRBTkcoUVRSX1IsMzQxNTApQFdTRl9JTlRBTkcoUVRSLDM0MTUwKSk=&amp;WINDOW=FIRST_POPUP&amp;H","EIGHT=450&amp;WIDTH=450&amp;START_MAXIMIZED=FALSE&amp;VAR:CALENDAR=US&amp;VAR:SYMBOL=AMD&amp;VAR:INDEX=0"}</definedName>
    <definedName name="_172__FDSAUDITLINK__" localSheetId="0" hidden="1">{"fdsup://directions/FAT Viewer?action=UPDATE&amp;creator=factset&amp;DYN_ARGS=TRUE&amp;DOC_NAME=FAT:FQL_AUDITING_CLIENT_TEMPLATE.FAT&amp;display_string=Audit&amp;VAR:KEY=OLCXEXUFGB&amp;VAR:QUERY=KENTRl9JTlRBTkcoUVRSX1IsMzgzNTIpQFdTRl9JTlRBTkcoUVRSLDM4MzUyKSk=&amp;WINDOW=FIRST_POPUP&amp;H","EIGHT=450&amp;WIDTH=450&amp;START_MAXIMIZED=FALSE&amp;VAR:CALENDAR=US&amp;VAR:SYMBOL=ARX&amp;VAR:INDEX=0"}</definedName>
    <definedName name="_172__FDSAUDITLINK__" hidden="1">{"fdsup://directions/FAT Viewer?action=UPDATE&amp;creator=factset&amp;DYN_ARGS=TRUE&amp;DOC_NAME=FAT:FQL_AUDITING_CLIENT_TEMPLATE.FAT&amp;display_string=Audit&amp;VAR:KEY=KBINGZKXYB&amp;VAR:QUERY=KENTRl9DT01fU0hTX09VVF9FUFNfRElMKFFUUl9SLDM0MTE3KUBXU0ZfQ09NX1NIU19PVVRfRVBTX0RJTChRV","FIsMzQxMTcpKQ==&amp;WINDOW=FIRST_POPUP&amp;HEIGHT=450&amp;WIDTH=450&amp;START_MAXIMIZED=FALSE&amp;VAR:CALENDAR=US&amp;VAR:SYMBOL=AMD&amp;VAR:INDEX=0"}</definedName>
    <definedName name="_173__FDSAUDITLINK__" localSheetId="0" hidden="1">{"fdsup://directions/FAT Viewer?action=UPDATE&amp;creator=factset&amp;DYN_ARGS=TRUE&amp;DOC_NAME=FAT:FQL_AUDITING_CLIENT_TEMPLATE.FAT&amp;display_string=Audit&amp;VAR:KEY=QLGXCTOFAB&amp;VAR:QUERY=KENTRl9TSExEUlNfRVEoUVRSX1IsMzgzNTIpQFdTRl9TSExEUlNfRVEoUVRSLDM4MzUyKSk=&amp;WINDOW=FIRST","_POPUP&amp;HEIGHT=450&amp;WIDTH=450&amp;START_MAXIMIZED=FALSE&amp;VAR:CALENDAR=US&amp;VAR:SYMBOL=ARX&amp;VAR:INDEX=0"}</definedName>
    <definedName name="_173__FDSAUDITLINK__" hidden="1">{"fdsup://directions/FAT Viewer?action=UPDATE&amp;creator=factset&amp;DYN_ARGS=TRUE&amp;DOC_NAME=FAT:FQL_AUDITING_CLIENT_TEMPLATE.FAT&amp;display_string=Audit&amp;VAR:KEY=CFILUHMTOT&amp;VAR:QUERY=KENTRl9JTlRBTkcoUVRSX1IsMzQxMTcpQFdTRl9JTlRBTkcoUVRSLDM0MTE3KSk=&amp;WINDOW=FIRST_POPUP&amp;H","EIGHT=450&amp;WIDTH=450&amp;START_MAXIMIZED=FALSE&amp;VAR:CALENDAR=US&amp;VAR:SYMBOL=AMD&amp;VAR:INDEX=0"}</definedName>
    <definedName name="_174__FDSAUDITLINK__" localSheetId="0" hidden="1">{"fdsup://directions/FAT Viewer?action=UPDATE&amp;creator=factset&amp;DYN_ARGS=TRUE&amp;DOC_NAME=FAT:FQL_AUDITING_CLIENT_TEMPLATE.FAT&amp;display_string=Audit&amp;VAR:KEY=MLUFYXOPIV&amp;VAR:QUERY=KENTRl9DT01fU0hTX09VVF9FUFNfRElMKFFUUl9SLDM4MzIxKUBXU0ZfQ09NX1NIU19PVVRfRVBTX0RJTChRV","FIsMzgzMjEpKQ==&amp;WINDOW=FIRST_POPUP&amp;HEIGHT=450&amp;WIDTH=450&amp;START_MAXIMIZED=FALSE&amp;VAR:CALENDAR=US&amp;VAR:SYMBOL=ARX&amp;VAR:INDEX=0"}</definedName>
    <definedName name="_174__FDSAUDITLINK__" hidden="1">{"fdsup://directions/FAT Viewer?action=UPDATE&amp;creator=factset&amp;DYN_ARGS=TRUE&amp;DOC_NAME=FAT:FQL_AUDITING_CLIENT_TEMPLATE.FAT&amp;display_string=Audit&amp;VAR:KEY=UTYZAXQFKX&amp;VAR:QUERY=KENTRl9DT01fU0hTX09VVF9FUFNfRElMKFFUUl9SLDM0MDg5KUBXU0ZfQ09NX1NIU19PVVRfRVBTX0RJTChRV","FIsMzQwODkpKQ==&amp;WINDOW=FIRST_POPUP&amp;HEIGHT=450&amp;WIDTH=450&amp;START_MAXIMIZED=FALSE&amp;VAR:CALENDAR=US&amp;VAR:SYMBOL=AMD&amp;VAR:INDEX=0"}</definedName>
    <definedName name="_175__FDSAUDITLINK__" localSheetId="0" hidden="1">{"fdsup://directions/FAT Viewer?action=UPDATE&amp;creator=factset&amp;DYN_ARGS=TRUE&amp;DOC_NAME=FAT:FQL_AUDITING_CLIENT_TEMPLATE.FAT&amp;display_string=Audit&amp;VAR:KEY=EHWNSLARKR&amp;VAR:QUERY=KENTRl9JTlRBTkcoUVRSX1IsMzgzMjEpQFdTRl9JTlRBTkcoUVRSLDM4MzIxKSk=&amp;WINDOW=FIRST_POPUP&amp;H","EIGHT=450&amp;WIDTH=450&amp;START_MAXIMIZED=FALSE&amp;VAR:CALENDAR=US&amp;VAR:SYMBOL=ARX&amp;VAR:INDEX=0"}</definedName>
    <definedName name="_175__FDSAUDITLINK__" hidden="1">{"fdsup://directions/FAT Viewer?action=UPDATE&amp;creator=factset&amp;DYN_ARGS=TRUE&amp;DOC_NAME=FAT:FQL_AUDITING_CLIENT_TEMPLATE.FAT&amp;display_string=Audit&amp;VAR:KEY=YJUJYLOROZ&amp;VAR:QUERY=KENTRl9JTlRBTkcoUVRSX1IsMzQwODkpQFdTRl9JTlRBTkcoUVRSLDM0MDg5KSk=&amp;WINDOW=FIRST_POPUP&amp;H","EIGHT=450&amp;WIDTH=450&amp;START_MAXIMIZED=FALSE&amp;VAR:CALENDAR=US&amp;VAR:SYMBOL=AMD&amp;VAR:INDEX=0"}</definedName>
    <definedName name="_176__FDSAUDITLINK__" localSheetId="0" hidden="1">{"fdsup://directions/FAT Viewer?action=UPDATE&amp;creator=factset&amp;DYN_ARGS=TRUE&amp;DOC_NAME=FAT:FQL_AUDITING_CLIENT_TEMPLATE.FAT&amp;display_string=Audit&amp;VAR:KEY=KTAXSVEJUX&amp;VAR:QUERY=KENTRl9TSExEUlNfRVEoUVRSX1IsMzgzMjEpQFdTRl9TSExEUlNfRVEoUVRSLDM4MzIxKSk=&amp;WINDOW=FIRST","_POPUP&amp;HEIGHT=450&amp;WIDTH=450&amp;START_MAXIMIZED=FALSE&amp;VAR:CALENDAR=US&amp;VAR:SYMBOL=ARX&amp;VAR:INDEX=0"}</definedName>
    <definedName name="_176__FDSAUDITLINK__" hidden="1">{"fdsup://directions/FAT Viewer?action=UPDATE&amp;creator=factset&amp;DYN_ARGS=TRUE&amp;DOC_NAME=FAT:FQL_AUDITING_CLIENT_TEMPLATE.FAT&amp;display_string=Audit&amp;VAR:KEY=YLOVIBWHCF&amp;VAR:QUERY=KENTRl9DT01fU0hTX09VVF9FUFNfRElMKFFUUl9SLDM0MDU5KUBXU0ZfQ09NX1NIU19PVVRfRVBTX0RJTChRV","FIsMzQwNTkpKQ==&amp;WINDOW=FIRST_POPUP&amp;HEIGHT=450&amp;WIDTH=450&amp;START_MAXIMIZED=FALSE&amp;VAR:CALENDAR=US&amp;VAR:SYMBOL=AMD&amp;VAR:INDEX=0"}</definedName>
    <definedName name="_177__FDSAUDITLINK__" localSheetId="0" hidden="1">{"fdsup://directions/FAT Viewer?action=UPDATE&amp;creator=factset&amp;DYN_ARGS=TRUE&amp;DOC_NAME=FAT:FQL_AUDITING_CLIENT_TEMPLATE.FAT&amp;display_string=Audit&amp;VAR:KEY=ELUFCFMHIZ&amp;VAR:QUERY=KENTRl9DT01fU0hTX09VVF9FUFNfRElMKFFUUl9SLDM4Mjg5KUBXU0ZfQ09NX1NIU19PVVRfRVBTX0RJTChRV","FIsMzgyODkpKQ==&amp;WINDOW=FIRST_POPUP&amp;HEIGHT=450&amp;WIDTH=450&amp;START_MAXIMIZED=FALSE&amp;VAR:CALENDAR=US&amp;VAR:SYMBOL=ARX&amp;VAR:INDEX=0"}</definedName>
    <definedName name="_177__FDSAUDITLINK__" hidden="1">{"fdsup://directions/FAT Viewer?action=UPDATE&amp;creator=factset&amp;DYN_ARGS=TRUE&amp;DOC_NAME=FAT:FQL_AUDITING_CLIENT_TEMPLATE.FAT&amp;display_string=Audit&amp;VAR:KEY=WZKLGVKJWJ&amp;VAR:QUERY=KENTRl9JTlRBTkcoUVRSX1IsMzQwNTkpQFdTRl9JTlRBTkcoUVRSLDM0MDU5KSk=&amp;WINDOW=FIRST_POPUP&amp;H","EIGHT=450&amp;WIDTH=450&amp;START_MAXIMIZED=FALSE&amp;VAR:CALENDAR=US&amp;VAR:SYMBOL=AMD&amp;VAR:INDEX=0"}</definedName>
    <definedName name="_178__FDSAUDITLINK__" localSheetId="0" hidden="1">{"fdsup://directions/FAT Viewer?action=UPDATE&amp;creator=factset&amp;DYN_ARGS=TRUE&amp;DOC_NAME=FAT:FQL_AUDITING_CLIENT_TEMPLATE.FAT&amp;display_string=Audit&amp;VAR:KEY=YXSRSLABYT&amp;VAR:QUERY=KENTRl9JTlRBTkcoUVRSX1IsMzgyODkpQFdTRl9JTlRBTkcoUVRSLDM4Mjg5KSk=&amp;WINDOW=FIRST_POPUP&amp;H","EIGHT=450&amp;WIDTH=450&amp;START_MAXIMIZED=FALSE&amp;VAR:CALENDAR=US&amp;VAR:SYMBOL=ARX&amp;VAR:INDEX=0"}</definedName>
    <definedName name="_178__FDSAUDITLINK__" hidden="1">{"fdsup://directions/FAT Viewer?action=UPDATE&amp;creator=factset&amp;DYN_ARGS=TRUE&amp;DOC_NAME=FAT:FQL_AUDITING_CLIENT_TEMPLATE.FAT&amp;display_string=Audit&amp;VAR:KEY=SVUZMNYNKL&amp;VAR:QUERY=KENTRl9DT01fU0hTX09VVF9FUFNfRElMKFFUUl9SLDM0MDI2KUBXU0ZfQ09NX1NIU19PVVRfRVBTX0RJTChRV","FIsMzQwMjYpKQ==&amp;WINDOW=FIRST_POPUP&amp;HEIGHT=450&amp;WIDTH=450&amp;START_MAXIMIZED=FALSE&amp;VAR:CALENDAR=US&amp;VAR:SYMBOL=AMD&amp;VAR:INDEX=0"}</definedName>
    <definedName name="_179__FDSAUDITLINK__" localSheetId="0" hidden="1">{"fdsup://directions/FAT Viewer?action=UPDATE&amp;creator=factset&amp;DYN_ARGS=TRUE&amp;DOC_NAME=FAT:FQL_AUDITING_CLIENT_TEMPLATE.FAT&amp;display_string=Audit&amp;VAR:KEY=UZKHYDIHUD&amp;VAR:QUERY=KENTRl9TSExEUlNfRVEoUVRSX1IsMzgyODkpQFdTRl9TSExEUlNfRVEoUVRSLDM4Mjg5KSk=&amp;WINDOW=FIRST","_POPUP&amp;HEIGHT=450&amp;WIDTH=450&amp;START_MAXIMIZED=FALSE&amp;VAR:CALENDAR=US&amp;VAR:SYMBOL=ARX&amp;VAR:INDEX=0"}</definedName>
    <definedName name="_179__FDSAUDITLINK__" hidden="1">{"fdsup://directions/FAT Viewer?action=UPDATE&amp;creator=factset&amp;DYN_ARGS=TRUE&amp;DOC_NAME=FAT:FQL_AUDITING_CLIENT_TEMPLATE.FAT&amp;display_string=Audit&amp;VAR:KEY=SBIXYTMDCX&amp;VAR:QUERY=KENTRl9JTlRBTkcoUVRSX1IsMzQwMjYpQFdTRl9JTlRBTkcoUVRSLDM0MDI2KSk=&amp;WINDOW=FIRST_POPUP&amp;H","EIGHT=450&amp;WIDTH=450&amp;START_MAXIMIZED=FALSE&amp;VAR:CALENDAR=US&amp;VAR:SYMBOL=AMD&amp;VAR:INDEX=0"}</definedName>
    <definedName name="_18__FDSAUDITLINK__" localSheetId="0" hidden="1">{"fdsup://directions/FAT Viewer?action=UPDATE&amp;creator=factset&amp;DYN_ARGS=TRUE&amp;DOC_NAME=FAT:FQL_AUDITING_CLIENT_TEMPLATE.FAT&amp;display_string=Audit&amp;VAR:KEY=INEFGREHSP&amp;VAR:QUERY=KENTRl9TSExEUlNfRVEoUVRSX1IsNDAxMTcpQFdTRl9TSExEUlNfRVEoUVRSLDQwMTE3KSk=&amp;WINDOW=FIRST","_POPUP&amp;HEIGHT=450&amp;WIDTH=450&amp;START_MAXIMIZED=FALSE&amp;VAR:CALENDAR=US&amp;VAR:SYMBOL=ARX&amp;VAR:INDEX=0"}</definedName>
    <definedName name="_18__FDSAUDITLINK__" hidden="1">{"fdsup://directions/FAT Viewer?action=UPDATE&amp;creator=factset&amp;DYN_ARGS=TRUE&amp;DOC_NAME=FAT:FQL_AUDITING_CLIENT_TEMPLATE.FAT&amp;display_string=Audit&amp;VAR:KEY=ETMVMHIFML&amp;VAR:QUERY=KENTRl9JTlRBTkcoUVRSX1IsMzY3OTgpQFdTRl9JTlRBTkcoUVRSLDM2Nzk4KSk=&amp;WINDOW=FIRST_POPUP&amp;H","EIGHT=450&amp;WIDTH=450&amp;START_MAXIMIZED=FALSE&amp;VAR:CALENDAR=US&amp;VAR:SYMBOL=AMD&amp;VAR:INDEX=0"}</definedName>
    <definedName name="_180__FDSAUDITLINK__" localSheetId="0" hidden="1">{"fdsup://directions/FAT Viewer?action=UPDATE&amp;creator=factset&amp;DYN_ARGS=TRUE&amp;DOC_NAME=FAT:FQL_AUDITING_CLIENT_TEMPLATE.FAT&amp;display_string=Audit&amp;VAR:KEY=QFKNCBSTAN&amp;VAR:QUERY=KENTRl9DT01fU0hTX09VVF9FUFNfRElMKFFUUl9SLDM4MjYwKUBXU0ZfQ09NX1NIU19PVVRfRVBTX0RJTChRV","FIsMzgyNjApKQ==&amp;WINDOW=FIRST_POPUP&amp;HEIGHT=450&amp;WIDTH=450&amp;START_MAXIMIZED=FALSE&amp;VAR:CALENDAR=US&amp;VAR:SYMBOL=ARX&amp;VAR:INDEX=0"}</definedName>
    <definedName name="_180__FDSAUDITLINK__" hidden="1">{"fdsup://directions/FAT Viewer?action=UPDATE&amp;creator=factset&amp;DYN_ARGS=TRUE&amp;DOC_NAME=FAT:FQL_AUDITING_CLIENT_TEMPLATE.FAT&amp;display_string=Audit&amp;VAR:KEY=WJYXKNIHIL&amp;VAR:QUERY=KENTRl9DT01fU0hTX09VVF9FUFNfRElMKFFUUl9SLDMzOTk4KUBXU0ZfQ09NX1NIU19PVVRfRVBTX0RJTChRV","FIsMzM5OTgpKQ==&amp;WINDOW=FIRST_POPUP&amp;HEIGHT=450&amp;WIDTH=450&amp;START_MAXIMIZED=FALSE&amp;VAR:CALENDAR=US&amp;VAR:SYMBOL=AMD&amp;VAR:INDEX=0"}</definedName>
    <definedName name="_181__FDSAUDITLINK__" localSheetId="0" hidden="1">{"fdsup://directions/FAT Viewer?action=UPDATE&amp;creator=factset&amp;DYN_ARGS=TRUE&amp;DOC_NAME=FAT:FQL_AUDITING_CLIENT_TEMPLATE.FAT&amp;display_string=Audit&amp;VAR:KEY=OZODERINEV&amp;VAR:QUERY=KENTRl9JTlRBTkcoUVRSX1IsMzgyNjApQFdTRl9JTlRBTkcoUVRSLDM4MjYwKSk=&amp;WINDOW=FIRST_POPUP&amp;H","EIGHT=450&amp;WIDTH=450&amp;START_MAXIMIZED=FALSE&amp;VAR:CALENDAR=US&amp;VAR:SYMBOL=ARX&amp;VAR:INDEX=0"}</definedName>
    <definedName name="_181__FDSAUDITLINK__" hidden="1">{"fdsup://directions/FAT Viewer?action=UPDATE&amp;creator=factset&amp;DYN_ARGS=TRUE&amp;DOC_NAME=FAT:FQL_AUDITING_CLIENT_TEMPLATE.FAT&amp;display_string=Audit&amp;VAR:KEY=KDSXWLKXYV&amp;VAR:QUERY=KENTRl9JTlRBTkcoUVRSX1IsMzM5OTgpQFdTRl9JTlRBTkcoUVRSLDMzOTk4KSk=&amp;WINDOW=FIRST_POPUP&amp;H","EIGHT=450&amp;WIDTH=450&amp;START_MAXIMIZED=FALSE&amp;VAR:CALENDAR=US&amp;VAR:SYMBOL=AMD&amp;VAR:INDEX=0"}</definedName>
    <definedName name="_182__FDSAUDITLINK__" localSheetId="0" hidden="1">{"fdsup://directions/FAT Viewer?action=UPDATE&amp;creator=factset&amp;DYN_ARGS=TRUE&amp;DOC_NAME=FAT:FQL_AUDITING_CLIENT_TEMPLATE.FAT&amp;display_string=Audit&amp;VAR:KEY=ERIDSTYTYJ&amp;VAR:QUERY=KENTRl9TSExEUlNfRVEoUVRSX1IsMzgyNjApQFdTRl9TSExEUlNfRVEoUVRSLDM4MjYwKSk=&amp;WINDOW=FIRST","_POPUP&amp;HEIGHT=450&amp;WIDTH=450&amp;START_MAXIMIZED=FALSE&amp;VAR:CALENDAR=US&amp;VAR:SYMBOL=ARX&amp;VAR:INDEX=0"}</definedName>
    <definedName name="_182__FDSAUDITLINK__" hidden="1">{"fdsup://directions/FAT Viewer?action=UPDATE&amp;creator=factset&amp;DYN_ARGS=TRUE&amp;DOC_NAME=FAT:FQL_AUDITING_CLIENT_TEMPLATE.FAT&amp;display_string=Audit&amp;VAR:KEY=IJGBSDCNWV&amp;VAR:QUERY=KENTRl9DT01fU0hTX09VVF9FUFNfRElMKFFUUl9SLDMzOTY5KUBXU0ZfQ09NX1NIU19PVVRfRVBTX0RJTChRV","FIsMzM5NjkpKQ==&amp;WINDOW=FIRST_POPUP&amp;HEIGHT=450&amp;WIDTH=450&amp;START_MAXIMIZED=FALSE&amp;VAR:CALENDAR=US&amp;VAR:SYMBOL=AMD&amp;VAR:INDEX=0"}</definedName>
    <definedName name="_183__FDSAUDITLINK__" localSheetId="0" hidden="1">{"fdsup://directions/FAT Viewer?action=UPDATE&amp;creator=factset&amp;DYN_ARGS=TRUE&amp;DOC_NAME=FAT:FQL_AUDITING_CLIENT_TEMPLATE.FAT&amp;display_string=Audit&amp;VAR:KEY=SDCXKBEHER&amp;VAR:QUERY=KENTRl9DT01fU0hTX09VVF9FUFNfRElMKFFUUl9SLDM4MjMwKUBXU0ZfQ09NX1NIU19PVVRfRVBTX0RJTChRV","FIsMzgyMzApKQ==&amp;WINDOW=FIRST_POPUP&amp;HEIGHT=450&amp;WIDTH=450&amp;START_MAXIMIZED=FALSE&amp;VAR:CALENDAR=US&amp;VAR:SYMBOL=ARX&amp;VAR:INDEX=0"}</definedName>
    <definedName name="_183__FDSAUDITLINK__" hidden="1">{"fdsup://directions/FAT Viewer?action=UPDATE&amp;creator=factset&amp;DYN_ARGS=TRUE&amp;DOC_NAME=FAT:FQL_AUDITING_CLIENT_TEMPLATE.FAT&amp;display_string=Audit&amp;VAR:KEY=WJQFOHGZCN&amp;VAR:QUERY=KENTRl9JTlRBTkcoUVRSX1IsMzM5NjkpQFdTRl9JTlRBTkcoUVRSLDMzOTY5KSk=&amp;WINDOW=FIRST_POPUP&amp;H","EIGHT=450&amp;WIDTH=450&amp;START_MAXIMIZED=FALSE&amp;VAR:CALENDAR=US&amp;VAR:SYMBOL=AMD&amp;VAR:INDEX=0"}</definedName>
    <definedName name="_184__FDSAUDITLINK__" localSheetId="0" hidden="1">{"fdsup://directions/FAT Viewer?action=UPDATE&amp;creator=factset&amp;DYN_ARGS=TRUE&amp;DOC_NAME=FAT:FQL_AUDITING_CLIENT_TEMPLATE.FAT&amp;display_string=Audit&amp;VAR:KEY=OFSPIDKTUZ&amp;VAR:QUERY=KENTRl9JTlRBTkcoUVRSX1IsMzgyMzApQFdTRl9JTlRBTkcoUVRSLDM4MjMwKSk=&amp;WINDOW=FIRST_POPUP&amp;H","EIGHT=450&amp;WIDTH=450&amp;START_MAXIMIZED=FALSE&amp;VAR:CALENDAR=US&amp;VAR:SYMBOL=ARX&amp;VAR:INDEX=0"}</definedName>
    <definedName name="_184__FDSAUDITLINK__" hidden="1">{"fdsup://directions/FAT Viewer?action=UPDATE&amp;creator=factset&amp;DYN_ARGS=TRUE&amp;DOC_NAME=FAT:FQL_AUDITING_CLIENT_TEMPLATE.FAT&amp;display_string=Audit&amp;VAR:KEY=ALWZINKLIP&amp;VAR:QUERY=KENTRl9DT01fU0hTX09VVF9FUFNfRElMKFFUUl9SLDMzOTM4KUBXU0ZfQ09NX1NIU19PVVRfRVBTX0RJTChRV","FIsMzM5MzgpKQ==&amp;WINDOW=FIRST_POPUP&amp;HEIGHT=450&amp;WIDTH=450&amp;START_MAXIMIZED=FALSE&amp;VAR:CALENDAR=US&amp;VAR:SYMBOL=AMD&amp;VAR:INDEX=0"}</definedName>
    <definedName name="_185__FDSAUDITLINK__" localSheetId="0" hidden="1">{"fdsup://directions/FAT Viewer?action=UPDATE&amp;creator=factset&amp;DYN_ARGS=TRUE&amp;DOC_NAME=FAT:FQL_AUDITING_CLIENT_TEMPLATE.FAT&amp;display_string=Audit&amp;VAR:KEY=ULSLWLSPAV&amp;VAR:QUERY=KENTRl9TSExEUlNfRVEoUVRSX1IsMzgyMzApQFdTRl9TSExEUlNfRVEoUVRSLDM4MjMwKSk=&amp;WINDOW=FIRST","_POPUP&amp;HEIGHT=450&amp;WIDTH=450&amp;START_MAXIMIZED=FALSE&amp;VAR:CALENDAR=US&amp;VAR:SYMBOL=ARX&amp;VAR:INDEX=0"}</definedName>
    <definedName name="_185__FDSAUDITLINK__" hidden="1">{"fdsup://directions/FAT Viewer?action=UPDATE&amp;creator=factset&amp;DYN_ARGS=TRUE&amp;DOC_NAME=FAT:FQL_AUDITING_CLIENT_TEMPLATE.FAT&amp;display_string=Audit&amp;VAR:KEY=WDUXUTCLCV&amp;VAR:QUERY=KENTRl9JTlRBTkcoUVRSX1IsMzM5MzgpQFdTRl9JTlRBTkcoUVRSLDMzOTM4KSk=&amp;WINDOW=FIRST_POPUP&amp;H","EIGHT=450&amp;WIDTH=450&amp;START_MAXIMIZED=FALSE&amp;VAR:CALENDAR=US&amp;VAR:SYMBOL=AMD&amp;VAR:INDEX=0"}</definedName>
    <definedName name="_186__FDSAUDITLINK__" localSheetId="0" hidden="1">{"fdsup://directions/FAT Viewer?action=UPDATE&amp;creator=factset&amp;DYN_ARGS=TRUE&amp;DOC_NAME=FAT:FQL_AUDITING_CLIENT_TEMPLATE.FAT&amp;display_string=Audit&amp;VAR:KEY=EVWZUTSVQH&amp;VAR:QUERY=KENTRl9DT01fU0hTX09VVF9FUFNfRElMKFFUUl9SLDM4MTk4KUBXU0ZfQ09NX1NIU19PVVRfRVBTX0RJTChRV","FIsMzgxOTgpKQ==&amp;WINDOW=FIRST_POPUP&amp;HEIGHT=450&amp;WIDTH=450&amp;START_MAXIMIZED=FALSE&amp;VAR:CALENDAR=US&amp;VAR:SYMBOL=ARX&amp;VAR:INDEX=0"}</definedName>
    <definedName name="_186__FDSAUDITLINK__" hidden="1">{"fdsup://directions/FAT Viewer?action=UPDATE&amp;creator=factset&amp;DYN_ARGS=TRUE&amp;DOC_NAME=FAT:FQL_AUDITING_CLIENT_TEMPLATE.FAT&amp;display_string=Audit&amp;VAR:KEY=UTCFSHYRUH&amp;VAR:QUERY=KENTRl9DT01fU0hTX09VVF9FUFNfRElMKFFUUl9SLDMzOTA3KUBXU0ZfQ09NX1NIU19PVVRfRVBTX0RJTChRV","FIsMzM5MDcpKQ==&amp;WINDOW=FIRST_POPUP&amp;HEIGHT=450&amp;WIDTH=450&amp;START_MAXIMIZED=FALSE&amp;VAR:CALENDAR=US&amp;VAR:SYMBOL=AMD&amp;VAR:INDEX=0"}</definedName>
    <definedName name="_187__FDSAUDITLINK__" localSheetId="0" hidden="1">{"fdsup://directions/FAT Viewer?action=UPDATE&amp;creator=factset&amp;DYN_ARGS=TRUE&amp;DOC_NAME=FAT:FQL_AUDITING_CLIENT_TEMPLATE.FAT&amp;display_string=Audit&amp;VAR:KEY=UJIFGTCHCB&amp;VAR:QUERY=KENTRl9JTlRBTkcoUVRSX1IsMzgxOTgpQFdTRl9JTlRBTkcoUVRSLDM4MTk4KSk=&amp;WINDOW=FIRST_POPUP&amp;H","EIGHT=450&amp;WIDTH=450&amp;START_MAXIMIZED=FALSE&amp;VAR:CALENDAR=US&amp;VAR:SYMBOL=ARX&amp;VAR:INDEX=0"}</definedName>
    <definedName name="_187__FDSAUDITLINK__" hidden="1">{"fdsup://directions/FAT Viewer?action=UPDATE&amp;creator=factset&amp;DYN_ARGS=TRUE&amp;DOC_NAME=FAT:FQL_AUDITING_CLIENT_TEMPLATE.FAT&amp;display_string=Audit&amp;VAR:KEY=GPSDWHOVUN&amp;VAR:QUERY=KENTRl9JTlRBTkcoUVRSX1IsMzM5MDcpQFdTRl9JTlRBTkcoUVRSLDMzOTA3KSk=&amp;WINDOW=FIRST_POPUP&amp;H","EIGHT=450&amp;WIDTH=450&amp;START_MAXIMIZED=FALSE&amp;VAR:CALENDAR=US&amp;VAR:SYMBOL=AMD&amp;VAR:INDEX=0"}</definedName>
    <definedName name="_188__FDSAUDITLINK__" localSheetId="0" hidden="1">{"fdsup://directions/FAT Viewer?action=UPDATE&amp;creator=factset&amp;DYN_ARGS=TRUE&amp;DOC_NAME=FAT:FQL_AUDITING_CLIENT_TEMPLATE.FAT&amp;display_string=Audit&amp;VAR:KEY=QLWXQJWZEP&amp;VAR:QUERY=KENTRl9TSExEUlNfRVEoUVRSX1IsMzgxOTgpQFdTRl9TSExEUlNfRVEoUVRSLDM4MTk4KSk=&amp;WINDOW=FIRST","_POPUP&amp;HEIGHT=450&amp;WIDTH=450&amp;START_MAXIMIZED=FALSE&amp;VAR:CALENDAR=US&amp;VAR:SYMBOL=ARX&amp;VAR:INDEX=0"}</definedName>
    <definedName name="_188__FDSAUDITLINK__" hidden="1">{"fdsup://directions/FAT Viewer?action=UPDATE&amp;creator=factset&amp;DYN_ARGS=TRUE&amp;DOC_NAME=FAT:FQL_AUDITING_CLIENT_TEMPLATE.FAT&amp;display_string=Audit&amp;VAR:KEY=IFWDKFARMZ&amp;VAR:QUERY=KENTRl9DT01fU0hTX09VVF9FUFNfRElMKFFUUl9SLDMzODc3KUBXU0ZfQ09NX1NIU19PVVRfRVBTX0RJTChRV","FIsMzM4NzcpKQ==&amp;WINDOW=FIRST_POPUP&amp;HEIGHT=450&amp;WIDTH=450&amp;START_MAXIMIZED=FALSE&amp;VAR:CALENDAR=US&amp;VAR:SYMBOL=AMD&amp;VAR:INDEX=0"}</definedName>
    <definedName name="_189__FDSAUDITLINK__" localSheetId="0" hidden="1">{"fdsup://directions/FAT Viewer?action=UPDATE&amp;creator=factset&amp;DYN_ARGS=TRUE&amp;DOC_NAME=FAT:FQL_AUDITING_CLIENT_TEMPLATE.FAT&amp;display_string=Audit&amp;VAR:KEY=MFWTEDQTOP&amp;VAR:QUERY=KENTRl9DT01fU0hTX09VVF9FUFNfRElMKFFUUl9SLDM4MTY4KUBXU0ZfQ09NX1NIU19PVVRfRVBTX0RJTChRV","FIsMzgxNjgpKQ==&amp;WINDOW=FIRST_POPUP&amp;HEIGHT=450&amp;WIDTH=450&amp;START_MAXIMIZED=FALSE&amp;VAR:CALENDAR=US&amp;VAR:SYMBOL=ARX&amp;VAR:INDEX=0"}</definedName>
    <definedName name="_189__FDSAUDITLINK__" hidden="1">{"fdsup://directions/FAT Viewer?action=UPDATE&amp;creator=factset&amp;DYN_ARGS=TRUE&amp;DOC_NAME=FAT:FQL_AUDITING_CLIENT_TEMPLATE.FAT&amp;display_string=Audit&amp;VAR:KEY=QZMLSBKFCP&amp;VAR:QUERY=KENTRl9JTlRBTkcoUVRSX1IsMzM4NzcpQFdTRl9JTlRBTkcoUVRSLDMzODc3KSk=&amp;WINDOW=FIRST_POPUP&amp;H","EIGHT=450&amp;WIDTH=450&amp;START_MAXIMIZED=FALSE&amp;VAR:CALENDAR=US&amp;VAR:SYMBOL=AMD&amp;VAR:INDEX=0"}</definedName>
    <definedName name="_19__FDSAUDITLINK__" localSheetId="0" hidden="1">{"fdsup://directions/FAT Viewer?action=UPDATE&amp;creator=factset&amp;DYN_ARGS=TRUE&amp;DOC_NAME=FAT:FQL_AUDITING_CLIENT_TEMPLATE.FAT&amp;display_string=Audit&amp;VAR:KEY=ARWFCZGLKD&amp;VAR:QUERY=KENTRl9JTlRBTkcoUVRSX1IsNDAwODYpQFdTRl9JTlRBTkcoUVRSLDQwMDg2KSk=&amp;WINDOW=FIRST_POPUP&amp;H","EIGHT=450&amp;WIDTH=450&amp;START_MAXIMIZED=FALSE&amp;VAR:CALENDAR=US&amp;VAR:SYMBOL=ARX&amp;VAR:INDEX=0"}</definedName>
    <definedName name="_19__FDSAUDITLINK__" hidden="1">{"fdsup://directions/FAT Viewer?action=UPDATE&amp;creator=factset&amp;DYN_ARGS=TRUE&amp;DOC_NAME=FAT:FQL_AUDITING_CLIENT_TEMPLATE.FAT&amp;display_string=Audit&amp;VAR:KEY=CRMZGXMZGJ&amp;VAR:QUERY=KENTRl9JTlRBTkcoUVRSX1IsMzY3NjkpQFdTRl9JTlRBTkcoUVRSLDM2NzY5KSk=&amp;WINDOW=FIRST_POPUP&amp;H","EIGHT=450&amp;WIDTH=450&amp;START_MAXIMIZED=FALSE&amp;VAR:CALENDAR=US&amp;VAR:SYMBOL=AMD&amp;VAR:INDEX=0"}</definedName>
    <definedName name="_190__FDSAUDITLINK__" localSheetId="0" hidden="1">{"fdsup://directions/FAT Viewer?action=UPDATE&amp;creator=factset&amp;DYN_ARGS=TRUE&amp;DOC_NAME=FAT:FQL_AUDITING_CLIENT_TEMPLATE.FAT&amp;display_string=Audit&amp;VAR:KEY=CXKBMJSLYJ&amp;VAR:QUERY=KENTRl9JTlRBTkcoUVRSX1IsMzgxNjgpQFdTRl9JTlRBTkcoUVRSLDM4MTY4KSk=&amp;WINDOW=FIRST_POPUP&amp;H","EIGHT=450&amp;WIDTH=450&amp;START_MAXIMIZED=FALSE&amp;VAR:CALENDAR=US&amp;VAR:SYMBOL=ARX&amp;VAR:INDEX=0"}</definedName>
    <definedName name="_190__FDSAUDITLINK__" hidden="1">{"fdsup://directions/FAT Viewer?action=UPDATE&amp;creator=factset&amp;DYN_ARGS=TRUE&amp;DOC_NAME=FAT:FQL_AUDITING_CLIENT_TEMPLATE.FAT&amp;display_string=Audit&amp;VAR:KEY=KPKHOLUDMB&amp;VAR:QUERY=KENTRl9DT01fU0hTX09VVF9FUFNfRElMKFFUUl9SLDMzODQ3KUBXU0ZfQ09NX1NIU19PVVRfRVBTX0RJTChRV","FIsMzM4NDcpKQ==&amp;WINDOW=FIRST_POPUP&amp;HEIGHT=450&amp;WIDTH=450&amp;START_MAXIMIZED=FALSE&amp;VAR:CALENDAR=US&amp;VAR:SYMBOL=AMD&amp;VAR:INDEX=0"}</definedName>
    <definedName name="_191__FDSAUDITLINK__" localSheetId="0" hidden="1">{"fdsup://directions/FAT Viewer?action=UPDATE&amp;creator=factset&amp;DYN_ARGS=TRUE&amp;DOC_NAME=FAT:FQL_AUDITING_CLIENT_TEMPLATE.FAT&amp;display_string=Audit&amp;VAR:KEY=AFMROTURMN&amp;VAR:QUERY=KENTRl9TSExEUlNfRVEoUVRSX1IsMzgxNjgpQFdTRl9TSExEUlNfRVEoUVRSLDM4MTY4KSk=&amp;WINDOW=FIRST","_POPUP&amp;HEIGHT=450&amp;WIDTH=450&amp;START_MAXIMIZED=FALSE&amp;VAR:CALENDAR=US&amp;VAR:SYMBOL=ARX&amp;VAR:INDEX=0"}</definedName>
    <definedName name="_191__FDSAUDITLINK__" hidden="1">{"fdsup://directions/FAT Viewer?action=UPDATE&amp;creator=factset&amp;DYN_ARGS=TRUE&amp;DOC_NAME=FAT:FQL_AUDITING_CLIENT_TEMPLATE.FAT&amp;display_string=Audit&amp;VAR:KEY=YPWTABWNSP&amp;VAR:QUERY=KENTRl9JTlRBTkcoUVRSX1IsMzM4NDcpQFdTRl9JTlRBTkcoUVRSLDMzODQ3KSk=&amp;WINDOW=FIRST_POPUP&amp;H","EIGHT=450&amp;WIDTH=450&amp;START_MAXIMIZED=FALSE&amp;VAR:CALENDAR=US&amp;VAR:SYMBOL=AMD&amp;VAR:INDEX=0"}</definedName>
    <definedName name="_192__FDSAUDITLINK__" localSheetId="0" hidden="1">{"fdsup://directions/FAT Viewer?action=UPDATE&amp;creator=factset&amp;DYN_ARGS=TRUE&amp;DOC_NAME=FAT:FQL_AUDITING_CLIENT_TEMPLATE.FAT&amp;display_string=Audit&amp;VAR:KEY=KHKBULMFER&amp;VAR:QUERY=KENTRl9DT01fU0hTX09VVF9FUFNfRElMKFFUUl9SLDM4MTM1KUBXU0ZfQ09NX1NIU19PVVRfRVBTX0RJTChRV","FIsMzgxMzUpKQ==&amp;WINDOW=FIRST_POPUP&amp;HEIGHT=450&amp;WIDTH=450&amp;START_MAXIMIZED=FALSE&amp;VAR:CALENDAR=US&amp;VAR:SYMBOL=ARX&amp;VAR:INDEX=0"}</definedName>
    <definedName name="_192__FDSAUDITLINK__" hidden="1">{"fdsup://directions/FAT Viewer?action=UPDATE&amp;creator=factset&amp;DYN_ARGS=TRUE&amp;DOC_NAME=FAT:FQL_AUDITING_CLIENT_TEMPLATE.FAT&amp;display_string=Audit&amp;VAR:KEY=GNQDEDIRKR&amp;VAR:QUERY=KENTRl9DT01fU0hTX09VVF9FUFNfRElMKFFUUl9SLDMzODE2KUBXU0ZfQ09NX1NIU19PVVRfRVBTX0RJTChRV","FIsMzM4MTYpKQ==&amp;WINDOW=FIRST_POPUP&amp;HEIGHT=450&amp;WIDTH=450&amp;START_MAXIMIZED=FALSE&amp;VAR:CALENDAR=US&amp;VAR:SYMBOL=AMD&amp;VAR:INDEX=0"}</definedName>
    <definedName name="_193__FDSAUDITLINK__" localSheetId="0" hidden="1">{"fdsup://directions/FAT Viewer?action=UPDATE&amp;creator=factset&amp;DYN_ARGS=TRUE&amp;DOC_NAME=FAT:FQL_AUDITING_CLIENT_TEMPLATE.FAT&amp;display_string=Audit&amp;VAR:KEY=SXIVMLQFWT&amp;VAR:QUERY=KENTRl9JTlRBTkcoUVRSX1IsMzgxMzUpQFdTRl9JTlRBTkcoUVRSLDM4MTM1KSk=&amp;WINDOW=FIRST_POPUP&amp;H","EIGHT=450&amp;WIDTH=450&amp;START_MAXIMIZED=FALSE&amp;VAR:CALENDAR=US&amp;VAR:SYMBOL=ARX&amp;VAR:INDEX=0"}</definedName>
    <definedName name="_193__FDSAUDITLINK__" hidden="1">{"fdsup://directions/FAT Viewer?action=UPDATE&amp;creator=factset&amp;DYN_ARGS=TRUE&amp;DOC_NAME=FAT:FQL_AUDITING_CLIENT_TEMPLATE.FAT&amp;display_string=Audit&amp;VAR:KEY=GJKXWJCZEP&amp;VAR:QUERY=KENTRl9JTlRBTkcoUVRSX1IsMzM4MTYpQFdTRl9JTlRBTkcoUVRSLDMzODE2KSk=&amp;WINDOW=FIRST_POPUP&amp;H","EIGHT=450&amp;WIDTH=450&amp;START_MAXIMIZED=FALSE&amp;VAR:CALENDAR=US&amp;VAR:SYMBOL=AMD&amp;VAR:INDEX=0"}</definedName>
    <definedName name="_194__FDSAUDITLINK__" localSheetId="0" hidden="1">{"fdsup://directions/FAT Viewer?action=UPDATE&amp;creator=factset&amp;DYN_ARGS=TRUE&amp;DOC_NAME=FAT:FQL_AUDITING_CLIENT_TEMPLATE.FAT&amp;display_string=Audit&amp;VAR:KEY=GHIFGLALKL&amp;VAR:QUERY=KENTRl9TSExEUlNfRVEoUVRSX1IsMzgxMzUpQFdTRl9TSExEUlNfRVEoUVRSLDM4MTM1KSk=&amp;WINDOW=FIRST","_POPUP&amp;HEIGHT=450&amp;WIDTH=450&amp;START_MAXIMIZED=FALSE&amp;VAR:CALENDAR=US&amp;VAR:SYMBOL=ARX&amp;VAR:INDEX=0"}</definedName>
    <definedName name="_194__FDSAUDITLINK__" hidden="1">{"fdsup://directions/FAT Viewer?action=UPDATE&amp;creator=factset&amp;DYN_ARGS=TRUE&amp;DOC_NAME=FAT:FQL_AUDITING_CLIENT_TEMPLATE.FAT&amp;display_string=Audit&amp;VAR:KEY=SPAXABUVSH&amp;VAR:QUERY=KENTRl9DT01fU0hTX09VVF9FUFNfRElMKFFUUl9SLDMzNzg1KUBXU0ZfQ09NX1NIU19PVVRfRVBTX0RJTChRV","FIsMzM3ODUpKQ==&amp;WINDOW=FIRST_POPUP&amp;HEIGHT=450&amp;WIDTH=450&amp;START_MAXIMIZED=FALSE&amp;VAR:CALENDAR=US&amp;VAR:SYMBOL=AMD&amp;VAR:INDEX=0"}</definedName>
    <definedName name="_195__FDSAUDITLINK__" localSheetId="0" hidden="1">{"fdsup://directions/FAT Viewer?action=UPDATE&amp;creator=factset&amp;DYN_ARGS=TRUE&amp;DOC_NAME=FAT:FQL_AUDITING_CLIENT_TEMPLATE.FAT&amp;display_string=Audit&amp;VAR:KEY=ALMDCVGZAL&amp;VAR:QUERY=KENTRl9DT01fU0hTX09VVF9FUFNfRElMKFFUUl9SLDM4MTA3KUBXU0ZfQ09NX1NIU19PVVRfRVBTX0RJTChRV","FIsMzgxMDcpKQ==&amp;WINDOW=FIRST_POPUP&amp;HEIGHT=450&amp;WIDTH=450&amp;START_MAXIMIZED=FALSE&amp;VAR:CALENDAR=US&amp;VAR:SYMBOL=ARX&amp;VAR:INDEX=0"}</definedName>
    <definedName name="_195__FDSAUDITLINK__" hidden="1">{"fdsup://directions/FAT Viewer?action=UPDATE&amp;creator=factset&amp;DYN_ARGS=TRUE&amp;DOC_NAME=FAT:FQL_AUDITING_CLIENT_TEMPLATE.FAT&amp;display_string=Audit&amp;VAR:KEY=SNYJOVEDIX&amp;VAR:QUERY=KENTRl9JTlRBTkcoUVRSX1IsMzM3ODUpQFdTRl9JTlRBTkcoUVRSLDMzNzg1KSk=&amp;WINDOW=FIRST_POPUP&amp;H","EIGHT=450&amp;WIDTH=450&amp;START_MAXIMIZED=FALSE&amp;VAR:CALENDAR=US&amp;VAR:SYMBOL=AMD&amp;VAR:INDEX=0"}</definedName>
    <definedName name="_196__FDSAUDITLINK__" localSheetId="0" hidden="1">{"fdsup://directions/FAT Viewer?action=UPDATE&amp;creator=factset&amp;DYN_ARGS=TRUE&amp;DOC_NAME=FAT:FQL_AUDITING_CLIENT_TEMPLATE.FAT&amp;display_string=Audit&amp;VAR:KEY=WPCHWDOVCX&amp;VAR:QUERY=KENTRl9JTlRBTkcoUVRSX1IsMzgxMDcpQFdTRl9JTlRBTkcoUVRSLDM4MTA3KSk=&amp;WINDOW=FIRST_POPUP&amp;H","EIGHT=450&amp;WIDTH=450&amp;START_MAXIMIZED=FALSE&amp;VAR:CALENDAR=US&amp;VAR:SYMBOL=ARX&amp;VAR:INDEX=0"}</definedName>
    <definedName name="_196__FDSAUDITLINK__" hidden="1">{"fdsup://directions/FAT Viewer?action=UPDATE&amp;creator=factset&amp;DYN_ARGS=TRUE&amp;DOC_NAME=FAT:FQL_AUDITING_CLIENT_TEMPLATE.FAT&amp;display_string=Audit&amp;VAR:KEY=OVMZWVYBSL&amp;VAR:QUERY=KENTRl9DT01fU0hTX09VVF9FUFNfRElMKFFUUl9SLDMzNzUzKUBXU0ZfQ09NX1NIU19PVVRfRVBTX0RJTChRV","FIsMzM3NTMpKQ==&amp;WINDOW=FIRST_POPUP&amp;HEIGHT=450&amp;WIDTH=450&amp;START_MAXIMIZED=FALSE&amp;VAR:CALENDAR=US&amp;VAR:SYMBOL=AMD&amp;VAR:INDEX=0"}</definedName>
    <definedName name="_197__FDSAUDITLINK__" localSheetId="0" hidden="1">{"fdsup://directions/FAT Viewer?action=UPDATE&amp;creator=factset&amp;DYN_ARGS=TRUE&amp;DOC_NAME=FAT:FQL_AUDITING_CLIENT_TEMPLATE.FAT&amp;display_string=Audit&amp;VAR:KEY=YTONUTUTUV&amp;VAR:QUERY=KENTRl9TSExEUlNfRVEoUVRSX1IsMzgxMDcpQFdTRl9TSExEUlNfRVEoUVRSLDM4MTA3KSk=&amp;WINDOW=FIRST","_POPUP&amp;HEIGHT=450&amp;WIDTH=450&amp;START_MAXIMIZED=FALSE&amp;VAR:CALENDAR=US&amp;VAR:SYMBOL=ARX&amp;VAR:INDEX=0"}</definedName>
    <definedName name="_197__FDSAUDITLINK__" hidden="1">{"fdsup://directions/FAT Viewer?action=UPDATE&amp;creator=factset&amp;DYN_ARGS=TRUE&amp;DOC_NAME=FAT:FQL_AUDITING_CLIENT_TEMPLATE.FAT&amp;display_string=Audit&amp;VAR:KEY=ETWJSXEDIP&amp;VAR:QUERY=KENTRl9JTlRBTkcoUVRSX1IsMzM3NTMpQFdTRl9JTlRBTkcoUVRSLDMzNzUzKSk=&amp;WINDOW=FIRST_POPUP&amp;H","EIGHT=450&amp;WIDTH=450&amp;START_MAXIMIZED=FALSE&amp;VAR:CALENDAR=US&amp;VAR:SYMBOL=AMD&amp;VAR:INDEX=0"}</definedName>
    <definedName name="_198__FDSAUDITLINK__" localSheetId="0" hidden="1">{"fdsup://directions/FAT Viewer?action=UPDATE&amp;creator=factset&amp;DYN_ARGS=TRUE&amp;DOC_NAME=FAT:FQL_AUDITING_CLIENT_TEMPLATE.FAT&amp;display_string=Audit&amp;VAR:KEY=APKZILENSP&amp;VAR:QUERY=KENTRl9DT01fU0hTX09VVF9FUFNfRElMKFFUUl9SLDM4MDc3KUBXU0ZfQ09NX1NIU19PVVRfRVBTX0RJTChRV","FIsMzgwNzcpKQ==&amp;WINDOW=FIRST_POPUP&amp;HEIGHT=450&amp;WIDTH=450&amp;START_MAXIMIZED=FALSE&amp;VAR:CALENDAR=US&amp;VAR:SYMBOL=ARX&amp;VAR:INDEX=0"}</definedName>
    <definedName name="_198__FDSAUDITLINK__" hidden="1">{"fdsup://directions/FAT Viewer?action=UPDATE&amp;creator=factset&amp;DYN_ARGS=TRUE&amp;DOC_NAME=FAT:FQL_AUDITING_CLIENT_TEMPLATE.FAT&amp;display_string=Audit&amp;VAR:KEY=ENQZMFWXSL&amp;VAR:QUERY=KENTRl9DT01fU0hTX09VVF9FUFNfRElMKFFUUl9SLDMzNzI0KUBXU0ZfQ09NX1NIU19PVVRfRVBTX0RJTChRV","FIsMzM3MjQpKQ==&amp;WINDOW=FIRST_POPUP&amp;HEIGHT=450&amp;WIDTH=450&amp;START_MAXIMIZED=FALSE&amp;VAR:CALENDAR=US&amp;VAR:SYMBOL=AMD&amp;VAR:INDEX=0"}</definedName>
    <definedName name="_199__FDSAUDITLINK__" localSheetId="0" hidden="1">{"fdsup://directions/FAT Viewer?action=UPDATE&amp;creator=factset&amp;DYN_ARGS=TRUE&amp;DOC_NAME=FAT:FQL_AUDITING_CLIENT_TEMPLATE.FAT&amp;display_string=Audit&amp;VAR:KEY=CDCRELINGB&amp;VAR:QUERY=KENTRl9JTlRBTkcoUVRSX1IsMzgwNzcpQFdTRl9JTlRBTkcoUVRSLDM4MDc3KSk=&amp;WINDOW=FIRST_POPUP&amp;H","EIGHT=450&amp;WIDTH=450&amp;START_MAXIMIZED=FALSE&amp;VAR:CALENDAR=US&amp;VAR:SYMBOL=ARX&amp;VAR:INDEX=0"}</definedName>
    <definedName name="_199__FDSAUDITLINK__" hidden="1">{"fdsup://directions/FAT Viewer?action=UPDATE&amp;creator=factset&amp;DYN_ARGS=TRUE&amp;DOC_NAME=FAT:FQL_AUDITING_CLIENT_TEMPLATE.FAT&amp;display_string=Audit&amp;VAR:KEY=SHQBQZIVMX&amp;VAR:QUERY=KENTRl9JTlRBTkcoUVRSX1IsMzM3MjQpQFdTRl9JTlRBTkcoUVRSLDMzNzI0KSk=&amp;WINDOW=FIRST_POPUP&amp;H","EIGHT=450&amp;WIDTH=450&amp;START_MAXIMIZED=FALSE&amp;VAR:CALENDAR=US&amp;VAR:SYMBOL=AMD&amp;VAR:INDEX=0"}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Q94">#REF!</definedName>
    <definedName name="_1Q95">#REF!</definedName>
    <definedName name="_2__123Graph_ACHART_1" hidden="1">#REF!</definedName>
    <definedName name="_2__FDSAUDITLINK__" localSheetId="0" hidden="1">{"fdsup://directions/FAT Viewer?action=UPDATE&amp;creator=factset&amp;DYN_ARGS=TRUE&amp;DOC_NAME=FAT:FQL_AUDITING_CLIENT_TEMPLATE.FAT&amp;display_string=Audit&amp;VAR:KEY=GLITOVUVKN&amp;VAR:QUERY=KENTRl9TSExEUlNfRVEoUVRSX1IsNDAzNDQpQFdTRl9TSExEUlNfRVEoUVRSLDQwMzQ0KSk=&amp;WINDOW=FIRST","_POPUP&amp;HEIGHT=450&amp;WIDTH=450&amp;START_MAXIMIZED=FALSE&amp;VAR:CALENDAR=US&amp;VAR:SYMBOL=ARX&amp;VAR:INDEX=0"}</definedName>
    <definedName name="_2__FDSAUDITLINK__" hidden="1">{"fdsup://directions/FAT Viewer?action=UPDATE&amp;creator=factset&amp;DYN_ARGS=TRUE&amp;DOC_NAME=FAT:FQL_AUDITING_CLIENT_TEMPLATE.FAT&amp;display_string=Audit&amp;VAR:KEY=GHKPEJYZWL&amp;VAR:QUERY=KENTRl9JTlRBTkcoUVRSX1IsMzcyODcpQFdTRl9JTlRBTkcoUVRSLDM3Mjg3KSk=&amp;WINDOW=FIRST_POPUP&amp;H","EIGHT=450&amp;WIDTH=450&amp;START_MAXIMIZED=FALSE&amp;VAR:CALENDAR=US&amp;VAR:SYMBOL=AMD&amp;VAR:INDEX=0"}</definedName>
    <definedName name="_20__FDSAUDITLINK__" localSheetId="0" hidden="1">{"fdsup://directions/FAT Viewer?action=UPDATE&amp;creator=factset&amp;DYN_ARGS=TRUE&amp;DOC_NAME=FAT:FQL_AUDITING_CLIENT_TEMPLATE.FAT&amp;display_string=Audit&amp;VAR:KEY=YJAXUDYDUT&amp;VAR:QUERY=KENTRl9TSExEUlNfRVEoUVRSX1IsNDAwODYpQFdTRl9TSExEUlNfRVEoUVRSLDQwMDg2KSk=&amp;WINDOW=FIRST","_POPUP&amp;HEIGHT=450&amp;WIDTH=450&amp;START_MAXIMIZED=FALSE&amp;VAR:CALENDAR=US&amp;VAR:SYMBOL=ARX&amp;VAR:INDEX=0"}</definedName>
    <definedName name="_20__FDSAUDITLINK__" hidden="1">{"fdsup://directions/FAT Viewer?action=UPDATE&amp;creator=factset&amp;DYN_ARGS=TRUE&amp;DOC_NAME=FAT:FQL_AUDITING_CLIENT_TEMPLATE.FAT&amp;display_string=Audit&amp;VAR:KEY=MTUFABETWX&amp;VAR:QUERY=KENTRl9JTlRBTkcoUVRSX1IsMzY3MzgpQFdTRl9JTlRBTkcoUVRSLDM2NzM4KSk=&amp;WINDOW=FIRST_POPUP&amp;H","EIGHT=450&amp;WIDTH=450&amp;START_MAXIMIZED=FALSE&amp;VAR:CALENDAR=US&amp;VAR:SYMBOL=AMD&amp;VAR:INDEX=0"}</definedName>
    <definedName name="_20_Jul_94">#REF!</definedName>
    <definedName name="_200__FDSAUDITLINK__" localSheetId="0" hidden="1">{"fdsup://directions/FAT Viewer?action=UPDATE&amp;creator=factset&amp;DYN_ARGS=TRUE&amp;DOC_NAME=FAT:FQL_AUDITING_CLIENT_TEMPLATE.FAT&amp;display_string=Audit&amp;VAR:KEY=QPSPEXKPMF&amp;VAR:QUERY=KENTRl9TSExEUlNfRVEoUVRSX1IsMzgwNzcpQFdTRl9TSExEUlNfRVEoUVRSLDM4MDc3KSk=&amp;WINDOW=FIRST","_POPUP&amp;HEIGHT=450&amp;WIDTH=450&amp;START_MAXIMIZED=FALSE&amp;VAR:CALENDAR=US&amp;VAR:SYMBOL=ARX&amp;VAR:INDEX=0"}</definedName>
    <definedName name="_200__FDSAUDITLINK__" hidden="1">{"fdsup://directions/FAT Viewer?action=UPDATE&amp;creator=factset&amp;DYN_ARGS=TRUE&amp;DOC_NAME=FAT:FQL_AUDITING_CLIENT_TEMPLATE.FAT&amp;display_string=Audit&amp;VAR:KEY=GBEZCBIPGH&amp;VAR:QUERY=KENTRl9DT01fU0hTX09VVF9FUFNfRElMKFFUUl9SLDMzNjk0KUBXU0ZfQ09NX1NIU19PVVRfRVBTX0RJTChRV","FIsMzM2OTQpKQ==&amp;WINDOW=FIRST_POPUP&amp;HEIGHT=450&amp;WIDTH=450&amp;START_MAXIMIZED=FALSE&amp;VAR:CALENDAR=US&amp;VAR:SYMBOL=AMD&amp;VAR:INDEX=0"}</definedName>
    <definedName name="_2003Q4_T10">#REF!</definedName>
    <definedName name="_201__FDSAUDITLINK__" localSheetId="0" hidden="1">{"fdsup://directions/FAT Viewer?action=UPDATE&amp;creator=factset&amp;DYN_ARGS=TRUE&amp;DOC_NAME=FAT:FQL_AUDITING_CLIENT_TEMPLATE.FAT&amp;display_string=Audit&amp;VAR:KEY=MFUVILAHYX&amp;VAR:QUERY=KENTRl9DT01fU0hTX09VVF9FUFNfRElMKFFUUl9SLDM4MDQ0KUBXU0ZfQ09NX1NIU19PVVRfRVBTX0RJTChRV","FIsMzgwNDQpKQ==&amp;WINDOW=FIRST_POPUP&amp;HEIGHT=450&amp;WIDTH=450&amp;START_MAXIMIZED=FALSE&amp;VAR:CALENDAR=US&amp;VAR:SYMBOL=ARX&amp;VAR:INDEX=0"}</definedName>
    <definedName name="_201__FDSAUDITLINK__" hidden="1">{"fdsup://directions/FAT Viewer?action=UPDATE&amp;creator=factset&amp;DYN_ARGS=TRUE&amp;DOC_NAME=FAT:FQL_AUDITING_CLIENT_TEMPLATE.FAT&amp;display_string=Audit&amp;VAR:KEY=KZAJOTOJMH&amp;VAR:QUERY=KENTRl9JTlRBTkcoUVRSX1IsMzM2OTQpQFdTRl9JTlRBTkcoUVRSLDMzNjk0KSk=&amp;WINDOW=FIRST_POPUP&amp;H","EIGHT=450&amp;WIDTH=450&amp;START_MAXIMIZED=FALSE&amp;VAR:CALENDAR=US&amp;VAR:SYMBOL=AMD&amp;VAR:INDEX=0"}</definedName>
    <definedName name="_202__FDSAUDITLINK__" localSheetId="0" hidden="1">{"fdsup://directions/FAT Viewer?action=UPDATE&amp;creator=factset&amp;DYN_ARGS=TRUE&amp;DOC_NAME=FAT:FQL_AUDITING_CLIENT_TEMPLATE.FAT&amp;display_string=Audit&amp;VAR:KEY=WFMPKBQHWV&amp;VAR:QUERY=KENTRl9JTlRBTkcoUVRSX1IsMzgwNDQpQFdTRl9JTlRBTkcoUVRSLDM4MDQ0KSk=&amp;WINDOW=FIRST_POPUP&amp;H","EIGHT=450&amp;WIDTH=450&amp;START_MAXIMIZED=FALSE&amp;VAR:CALENDAR=US&amp;VAR:SYMBOL=ARX&amp;VAR:INDEX=0"}</definedName>
    <definedName name="_202__FDSAUDITLINK__" hidden="1">{"fdsup://directions/FAT Viewer?action=UPDATE&amp;creator=factset&amp;DYN_ARGS=TRUE&amp;DOC_NAME=FAT:FQL_AUDITING_CLIENT_TEMPLATE.FAT&amp;display_string=Audit&amp;VAR:KEY=MXUFCXYFCH&amp;VAR:QUERY=KENTRl9DT01fU0hTX09VVF9FUFNfRElMKFFUUl9SLDMzNjYyKUBXU0ZfQ09NX1NIU19PVVRfRVBTX0RJTChRV","FIsMzM2NjIpKQ==&amp;WINDOW=FIRST_POPUP&amp;HEIGHT=450&amp;WIDTH=450&amp;START_MAXIMIZED=FALSE&amp;VAR:CALENDAR=US&amp;VAR:SYMBOL=AMD&amp;VAR:INDEX=0"}</definedName>
    <definedName name="_203__FDSAUDITLINK__" localSheetId="0" hidden="1">{"fdsup://directions/FAT Viewer?action=UPDATE&amp;creator=factset&amp;DYN_ARGS=TRUE&amp;DOC_NAME=FAT:FQL_AUDITING_CLIENT_TEMPLATE.FAT&amp;display_string=Audit&amp;VAR:KEY=ORIJCLQROP&amp;VAR:QUERY=KENTRl9TSExEUlNfRVEoUVRSX1IsMzgwNDQpQFdTRl9TSExEUlNfRVEoUVRSLDM4MDQ0KSk=&amp;WINDOW=FIRST","_POPUP&amp;HEIGHT=450&amp;WIDTH=450&amp;START_MAXIMIZED=FALSE&amp;VAR:CALENDAR=US&amp;VAR:SYMBOL=ARX&amp;VAR:INDEX=0"}</definedName>
    <definedName name="_203__FDSAUDITLINK__" hidden="1">{"fdsup://directions/FAT Viewer?action=UPDATE&amp;creator=factset&amp;DYN_ARGS=TRUE&amp;DOC_NAME=FAT:FQL_AUDITING_CLIENT_TEMPLATE.FAT&amp;display_string=Audit&amp;VAR:KEY=ILAZWDYLGN&amp;VAR:QUERY=KENTRl9JTlRBTkcoUVRSX1IsMzM2NjIpQFdTRl9JTlRBTkcoUVRSLDMzNjYyKSk=&amp;WINDOW=FIRST_POPUP&amp;H","EIGHT=450&amp;WIDTH=450&amp;START_MAXIMIZED=FALSE&amp;VAR:CALENDAR=US&amp;VAR:SYMBOL=AMD&amp;VAR:INDEX=0"}</definedName>
    <definedName name="_204__FDSAUDITLINK__" localSheetId="0" hidden="1">{"fdsup://directions/FAT Viewer?action=UPDATE&amp;creator=factset&amp;DYN_ARGS=TRUE&amp;DOC_NAME=FAT:FQL_AUDITING_CLIENT_TEMPLATE.FAT&amp;display_string=Audit&amp;VAR:KEY=OJMXQBSHMB&amp;VAR:QUERY=KENTRl9DT01fU0hTX09VVF9FUFNfRElMKFFUUl9SLDM4MDE2KUBXU0ZfQ09NX1NIU19PVVRfRVBTX0RJTChRV","FIsMzgwMTYpKQ==&amp;WINDOW=FIRST_POPUP&amp;HEIGHT=450&amp;WIDTH=450&amp;START_MAXIMIZED=FALSE&amp;VAR:CALENDAR=US&amp;VAR:SYMBOL=ARX&amp;VAR:INDEX=0"}</definedName>
    <definedName name="_204__FDSAUDITLINK__" hidden="1">{"fdsup://directions/FAT Viewer?action=UPDATE&amp;creator=factset&amp;DYN_ARGS=TRUE&amp;DOC_NAME=FAT:FQL_AUDITING_CLIENT_TEMPLATE.FAT&amp;display_string=Audit&amp;VAR:KEY=MDKBYZORMP&amp;VAR:QUERY=KENTRl9DT01fU0hTX09VVF9FUFNfRElMKFFUUl9SLDMzNjM0KUBXU0ZfQ09NX1NIU19PVVRfRVBTX0RJTChRV","FIsMzM2MzQpKQ==&amp;WINDOW=FIRST_POPUP&amp;HEIGHT=450&amp;WIDTH=450&amp;START_MAXIMIZED=FALSE&amp;VAR:CALENDAR=US&amp;VAR:SYMBOL=AMD&amp;VAR:INDEX=0"}</definedName>
    <definedName name="_205__FDSAUDITLINK__" localSheetId="0" hidden="1">{"fdsup://directions/FAT Viewer?action=UPDATE&amp;creator=factset&amp;DYN_ARGS=TRUE&amp;DOC_NAME=FAT:FQL_AUDITING_CLIENT_TEMPLATE.FAT&amp;display_string=Audit&amp;VAR:KEY=KNORULAPKD&amp;VAR:QUERY=KENTRl9JTlRBTkcoUVRSX1IsMzgwMTYpQFdTRl9JTlRBTkcoUVRSLDM4MDE2KSk=&amp;WINDOW=FIRST_POPUP&amp;H","EIGHT=450&amp;WIDTH=450&amp;START_MAXIMIZED=FALSE&amp;VAR:CALENDAR=US&amp;VAR:SYMBOL=ARX&amp;VAR:INDEX=0"}</definedName>
    <definedName name="_205__FDSAUDITLINK__" hidden="1">{"fdsup://directions/FAT Viewer?action=UPDATE&amp;creator=factset&amp;DYN_ARGS=TRUE&amp;DOC_NAME=FAT:FQL_AUDITING_CLIENT_TEMPLATE.FAT&amp;display_string=Audit&amp;VAR:KEY=EDSRAHIDAT&amp;VAR:QUERY=KENTRl9JTlRBTkcoUVRSX1IsMzM2MzQpQFdTRl9JTlRBTkcoUVRSLDMzNjM0KSk=&amp;WINDOW=FIRST_POPUP&amp;H","EIGHT=450&amp;WIDTH=450&amp;START_MAXIMIZED=FALSE&amp;VAR:CALENDAR=US&amp;VAR:SYMBOL=AMD&amp;VAR:INDEX=0"}</definedName>
    <definedName name="_206__FDSAUDITLINK__" localSheetId="0" hidden="1">{"fdsup://directions/FAT Viewer?action=UPDATE&amp;creator=factset&amp;DYN_ARGS=TRUE&amp;DOC_NAME=FAT:FQL_AUDITING_CLIENT_TEMPLATE.FAT&amp;display_string=Audit&amp;VAR:KEY=SJMBEBKNAB&amp;VAR:QUERY=KENTRl9TSExEUlNfRVEoUVRSX1IsMzgwMTYpQFdTRl9TSExEUlNfRVEoUVRSLDM4MDE2KSk=&amp;WINDOW=FIRST","_POPUP&amp;HEIGHT=450&amp;WIDTH=450&amp;START_MAXIMIZED=FALSE&amp;VAR:CALENDAR=US&amp;VAR:SYMBOL=ARX&amp;VAR:INDEX=0"}</definedName>
    <definedName name="_206__FDSAUDITLINK__" hidden="1">{"fdsup://directions/FAT Viewer?action=UPDATE&amp;creator=factset&amp;DYN_ARGS=TRUE&amp;DOC_NAME=FAT:FQL_AUDITING_CLIENT_TEMPLATE.FAT&amp;display_string=Audit&amp;VAR:KEY=YDYTENQBOT&amp;VAR:QUERY=KENTRl9DT01fU0hTX09VVF9FUFNfRElMKFFUUl9SLDMzNjAzKUBXU0ZfQ09NX1NIU19PVVRfRVBTX0RJTChRV","FIsMzM2MDMpKQ==&amp;WINDOW=FIRST_POPUP&amp;HEIGHT=450&amp;WIDTH=450&amp;START_MAXIMIZED=FALSE&amp;VAR:CALENDAR=US&amp;VAR:SYMBOL=AMD&amp;VAR:INDEX=0"}</definedName>
    <definedName name="_207__FDSAUDITLINK__" localSheetId="0" hidden="1">{"fdsup://directions/FAT Viewer?action=UPDATE&amp;creator=factset&amp;DYN_ARGS=TRUE&amp;DOC_NAME=FAT:FQL_AUDITING_CLIENT_TEMPLATE.FAT&amp;display_string=Audit&amp;VAR:KEY=OFENSXWFAH&amp;VAR:QUERY=KENTRl9DT01fU0hTX09VVF9FUFNfRElMKFFUUl9SLDM3OTg2KUBXU0ZfQ09NX1NIU19PVVRfRVBTX0RJTChRV","FIsMzc5ODYpKQ==&amp;WINDOW=FIRST_POPUP&amp;HEIGHT=450&amp;WIDTH=450&amp;START_MAXIMIZED=FALSE&amp;VAR:CALENDAR=US&amp;VAR:SYMBOL=ARX&amp;VAR:INDEX=0"}</definedName>
    <definedName name="_207__FDSAUDITLINK__" hidden="1">{"fdsup://directions/FAT Viewer?action=UPDATE&amp;creator=factset&amp;DYN_ARGS=TRUE&amp;DOC_NAME=FAT:FQL_AUDITING_CLIENT_TEMPLATE.FAT&amp;display_string=Audit&amp;VAR:KEY=OHWBIJUDWP&amp;VAR:QUERY=KENTRl9JTlRBTkcoUVRSX1IsMzM2MDMpQFdTRl9JTlRBTkcoUVRSLDMzNjAzKSk=&amp;WINDOW=FIRST_POPUP&amp;H","EIGHT=450&amp;WIDTH=450&amp;START_MAXIMIZED=FALSE&amp;VAR:CALENDAR=US&amp;VAR:SYMBOL=AMD&amp;VAR:INDEX=0"}</definedName>
    <definedName name="_208__FDSAUDITLINK__" localSheetId="0" hidden="1">{"fdsup://directions/FAT Viewer?action=UPDATE&amp;creator=factset&amp;DYN_ARGS=TRUE&amp;DOC_NAME=FAT:FQL_AUDITING_CLIENT_TEMPLATE.FAT&amp;display_string=Audit&amp;VAR:KEY=IPSVMXYVUH&amp;VAR:QUERY=KENTRl9JTlRBTkcoUVRSX1IsMzc5ODYpQFdTRl9JTlRBTkcoUVRSLDM3OTg2KSk=&amp;WINDOW=FIRST_POPUP&amp;H","EIGHT=450&amp;WIDTH=450&amp;START_MAXIMIZED=FALSE&amp;VAR:CALENDAR=US&amp;VAR:SYMBOL=ARX&amp;VAR:INDEX=0"}</definedName>
    <definedName name="_208__FDSAUDITLINK__" hidden="1">{"fdsup://directions/FAT Viewer?action=UPDATE&amp;creator=factset&amp;DYN_ARGS=TRUE&amp;DOC_NAME=FAT:FQL_AUDITING_CLIENT_TEMPLATE.FAT&amp;display_string=Audit&amp;VAR:KEY=CJGBOFAPUN&amp;VAR:QUERY=KENTRl9DT01fU0hTX09VVF9FUFNfRElMKFFUUl9SLDMzNTcxKUBXU0ZfQ09NX1NIU19PVVRfRVBTX0RJTChRV","FIsMzM1NzEpKQ==&amp;WINDOW=FIRST_POPUP&amp;HEIGHT=450&amp;WIDTH=450&amp;START_MAXIMIZED=FALSE&amp;VAR:CALENDAR=US&amp;VAR:SYMBOL=AMD&amp;VAR:INDEX=0"}</definedName>
    <definedName name="_209__FDSAUDITLINK__" localSheetId="0" hidden="1">{"fdsup://directions/FAT Viewer?action=UPDATE&amp;creator=factset&amp;DYN_ARGS=TRUE&amp;DOC_NAME=FAT:FQL_AUDITING_CLIENT_TEMPLATE.FAT&amp;display_string=Audit&amp;VAR:KEY=MHKVAZOPAF&amp;VAR:QUERY=KENTRl9TSExEUlNfRVEoUVRSX1IsMzc5ODYpQFdTRl9TSExEUlNfRVEoUVRSLDM3OTg2KSk=&amp;WINDOW=FIRST","_POPUP&amp;HEIGHT=450&amp;WIDTH=450&amp;START_MAXIMIZED=FALSE&amp;VAR:CALENDAR=US&amp;VAR:SYMBOL=ARX&amp;VAR:INDEX=0"}</definedName>
    <definedName name="_209__FDSAUDITLINK__" hidden="1">{"fdsup://directions/FAT Viewer?action=UPDATE&amp;creator=factset&amp;DYN_ARGS=TRUE&amp;DOC_NAME=FAT:FQL_AUDITING_CLIENT_TEMPLATE.FAT&amp;display_string=Audit&amp;VAR:KEY=UJCNCDWZYH&amp;VAR:QUERY=KENTRl9JTlRBTkcoUVRSX1IsMzM1NzEpQFdTRl9JTlRBTkcoUVRSLDMzNTcxKSk=&amp;WINDOW=FIRST_POPUP&amp;H","EIGHT=450&amp;WIDTH=450&amp;START_MAXIMIZED=FALSE&amp;VAR:CALENDAR=US&amp;VAR:SYMBOL=AMD&amp;VAR:INDEX=0"}</definedName>
    <definedName name="_21__FDSAUDITLINK__" localSheetId="0" hidden="1">{"fdsup://directions/FAT Viewer?action=UPDATE&amp;creator=factset&amp;DYN_ARGS=TRUE&amp;DOC_NAME=FAT:FQL_AUDITING_CLIENT_TEMPLATE.FAT&amp;display_string=Audit&amp;VAR:KEY=EDGVUJKFML&amp;VAR:QUERY=KENTRl9JTlRBTkcoUVRSX1IsMzk5NjQpQFdTRl9JTlRBTkcoUVRSLDM5OTY0KSk=&amp;WINDOW=FIRST_POPUP&amp;H","EIGHT=450&amp;WIDTH=450&amp;START_MAXIMIZED=FALSE&amp;VAR:CALENDAR=US&amp;VAR:SYMBOL=ARX&amp;VAR:INDEX=0"}</definedName>
    <definedName name="_21__FDSAUDITLINK__" hidden="1">{"fdsup://directions/FAT Viewer?action=UPDATE&amp;creator=factset&amp;DYN_ARGS=TRUE&amp;DOC_NAME=FAT:FQL_AUDITING_CLIENT_TEMPLATE.FAT&amp;display_string=Audit&amp;VAR:KEY=ABALGZCVQZ&amp;VAR:QUERY=KENTRl9JTlRBTkcoUVRSX1IsMzY3MDcpQFdTRl9JTlRBTkcoUVRSLDM2NzA3KSk=&amp;WINDOW=FIRST_POPUP&amp;H","EIGHT=450&amp;WIDTH=450&amp;START_MAXIMIZED=FALSE&amp;VAR:CALENDAR=US&amp;VAR:SYMBOL=AMD&amp;VAR:INDEX=0"}</definedName>
    <definedName name="_210__FDSAUDITLINK__" localSheetId="0" hidden="1">{"fdsup://directions/FAT Viewer?action=UPDATE&amp;creator=factset&amp;DYN_ARGS=TRUE&amp;DOC_NAME=FAT:FQL_AUDITING_CLIENT_TEMPLATE.FAT&amp;display_string=Audit&amp;VAR:KEY=KVGPWDETKJ&amp;VAR:QUERY=KENTRl9DT01fU0hTX09VVF9FUFNfRElMKFFUUl9SLDM3OTUzKUBXU0ZfQ09NX1NIU19PVVRfRVBTX0RJTChRV","FIsMzc5NTMpKQ==&amp;WINDOW=FIRST_POPUP&amp;HEIGHT=450&amp;WIDTH=450&amp;START_MAXIMIZED=FALSE&amp;VAR:CALENDAR=US&amp;VAR:SYMBOL=ARX&amp;VAR:INDEX=0"}</definedName>
    <definedName name="_210__FDSAUDITLINK__" hidden="1">{"fdsup://directions/FAT Viewer?action=UPDATE&amp;creator=factset&amp;DYN_ARGS=TRUE&amp;DOC_NAME=FAT:FQL_AUDITING_CLIENT_TEMPLATE.FAT&amp;display_string=Audit&amp;VAR:KEY=ULILIHILQP&amp;VAR:QUERY=KENTRl9DT01fU0hTX09VVF9FUFNfRElMKFFUUl9SLDMzNTQyKUBXU0ZfQ09NX1NIU19PVVRfRVBTX0RJTChRV","FIsMzM1NDIpKQ==&amp;WINDOW=FIRST_POPUP&amp;HEIGHT=450&amp;WIDTH=450&amp;START_MAXIMIZED=FALSE&amp;VAR:CALENDAR=US&amp;VAR:SYMBOL=AMD&amp;VAR:INDEX=0"}</definedName>
    <definedName name="_211__FDSAUDITLINK__" localSheetId="0" hidden="1">{"fdsup://directions/FAT Viewer?action=UPDATE&amp;creator=factset&amp;DYN_ARGS=TRUE&amp;DOC_NAME=FAT:FQL_AUDITING_CLIENT_TEMPLATE.FAT&amp;display_string=Audit&amp;VAR:KEY=CDYLMVGFEX&amp;VAR:QUERY=KENTRl9JTlRBTkcoUVRSX1IsMzc5NTMpQFdTRl9JTlRBTkcoUVRSLDM3OTUzKSk=&amp;WINDOW=FIRST_POPUP&amp;H","EIGHT=450&amp;WIDTH=450&amp;START_MAXIMIZED=FALSE&amp;VAR:CALENDAR=US&amp;VAR:SYMBOL=ARX&amp;VAR:INDEX=0"}</definedName>
    <definedName name="_211__FDSAUDITLINK__" hidden="1">{"fdsup://directions/FAT Viewer?action=UPDATE&amp;creator=factset&amp;DYN_ARGS=TRUE&amp;DOC_NAME=FAT:FQL_AUDITING_CLIENT_TEMPLATE.FAT&amp;display_string=Audit&amp;VAR:KEY=ALWBKHSXEZ&amp;VAR:QUERY=KENTRl9JTlRBTkcoUVRSX1IsMzM1NDIpQFdTRl9JTlRBTkcoUVRSLDMzNTQyKSk=&amp;WINDOW=FIRST_POPUP&amp;H","EIGHT=450&amp;WIDTH=450&amp;START_MAXIMIZED=FALSE&amp;VAR:CALENDAR=US&amp;VAR:SYMBOL=AMD&amp;VAR:INDEX=0"}</definedName>
    <definedName name="_212__FDSAUDITLINK__" localSheetId="0" hidden="1">{"fdsup://directions/FAT Viewer?action=UPDATE&amp;creator=factset&amp;DYN_ARGS=TRUE&amp;DOC_NAME=FAT:FQL_AUDITING_CLIENT_TEMPLATE.FAT&amp;display_string=Audit&amp;VAR:KEY=UXYFSFKLKV&amp;VAR:QUERY=KENTRl9TSExEUlNfRVEoUVRSX1IsMzc5NTMpQFdTRl9TSExEUlNfRVEoUVRSLDM3OTUzKSk=&amp;WINDOW=FIRST","_POPUP&amp;HEIGHT=450&amp;WIDTH=450&amp;START_MAXIMIZED=FALSE&amp;VAR:CALENDAR=US&amp;VAR:SYMBOL=ARX&amp;VAR:INDEX=0"}</definedName>
    <definedName name="_212__FDSAUDITLINK__" hidden="1">{"fdsup://directions/FAT Viewer?action=UPDATE&amp;creator=factset&amp;DYN_ARGS=TRUE&amp;DOC_NAME=FAT:FQL_AUDITING_CLIENT_TEMPLATE.FAT&amp;display_string=Audit&amp;VAR:KEY=UJKNYZOXGH&amp;VAR:QUERY=KENTRl9DT01fU0hTX09VVF9FUFNfRElMKFFUUl9SLDMzNTExKUBXU0ZfQ09NX1NIU19PVVRfRVBTX0RJTChRV","FIsMzM1MTEpKQ==&amp;WINDOW=FIRST_POPUP&amp;HEIGHT=450&amp;WIDTH=450&amp;START_MAXIMIZED=FALSE&amp;VAR:CALENDAR=US&amp;VAR:SYMBOL=AMD&amp;VAR:INDEX=0"}</definedName>
    <definedName name="_213__FDSAUDITLINK__" localSheetId="0" hidden="1">{"fdsup://directions/FAT Viewer?action=UPDATE&amp;creator=factset&amp;DYN_ARGS=TRUE&amp;DOC_NAME=FAT:FQL_AUDITING_CLIENT_TEMPLATE.FAT&amp;display_string=Audit&amp;VAR:KEY=CZEJALUTQJ&amp;VAR:QUERY=KENTRl9DT01fU0hTX09VVF9FUFNfRElMKFFUUl9SLDM3OTI1KUBXU0ZfQ09NX1NIU19PVVRfRVBTX0RJTChRV","FIsMzc5MjUpKQ==&amp;WINDOW=FIRST_POPUP&amp;HEIGHT=450&amp;WIDTH=450&amp;START_MAXIMIZED=FALSE&amp;VAR:CALENDAR=US&amp;VAR:SYMBOL=ARX&amp;VAR:INDEX=0"}</definedName>
    <definedName name="_213__FDSAUDITLINK__" hidden="1">{"fdsup://directions/FAT Viewer?action=UPDATE&amp;creator=factset&amp;DYN_ARGS=TRUE&amp;DOC_NAME=FAT:FQL_AUDITING_CLIENT_TEMPLATE.FAT&amp;display_string=Audit&amp;VAR:KEY=UZINYXYJIP&amp;VAR:QUERY=KENTRl9JTlRBTkcoUVRSX1IsMzM1MTEpQFdTRl9JTlRBTkcoUVRSLDMzNTExKSk=&amp;WINDOW=FIRST_POPUP&amp;H","EIGHT=450&amp;WIDTH=450&amp;START_MAXIMIZED=FALSE&amp;VAR:CALENDAR=US&amp;VAR:SYMBOL=AMD&amp;VAR:INDEX=0"}</definedName>
    <definedName name="_214__FDSAUDITLINK__" localSheetId="0" hidden="1">{"fdsup://directions/FAT Viewer?action=UPDATE&amp;creator=factset&amp;DYN_ARGS=TRUE&amp;DOC_NAME=FAT:FQL_AUDITING_CLIENT_TEMPLATE.FAT&amp;display_string=Audit&amp;VAR:KEY=KPSJOXQDMT&amp;VAR:QUERY=KENTRl9JTlRBTkcoUVRSX1IsMzc5MjUpQFdTRl9JTlRBTkcoUVRSLDM3OTI1KSk=&amp;WINDOW=FIRST_POPUP&amp;H","EIGHT=450&amp;WIDTH=450&amp;START_MAXIMIZED=FALSE&amp;VAR:CALENDAR=US&amp;VAR:SYMBOL=ARX&amp;VAR:INDEX=0"}</definedName>
    <definedName name="_214__FDSAUDITLINK__" hidden="1">{"fdsup://directions/FAT Viewer?action=UPDATE&amp;creator=factset&amp;DYN_ARGS=TRUE&amp;DOC_NAME=FAT:FQL_AUDITING_CLIENT_TEMPLATE.FAT&amp;display_string=Audit&amp;VAR:KEY=KBUNSBMVWP&amp;VAR:QUERY=KENTRl9DT01fU0hTX09VVF9FUFNfRElMKFFUUl9SLDMzNDgwKUBXU0ZfQ09NX1NIU19PVVRfRVBTX0RJTChRV","FIsMzM0ODApKQ==&amp;WINDOW=FIRST_POPUP&amp;HEIGHT=450&amp;WIDTH=450&amp;START_MAXIMIZED=FALSE&amp;VAR:CALENDAR=US&amp;VAR:SYMBOL=AMD&amp;VAR:INDEX=0"}</definedName>
    <definedName name="_215__FDSAUDITLINK__" localSheetId="0" hidden="1">{"fdsup://directions/FAT Viewer?action=UPDATE&amp;creator=factset&amp;DYN_ARGS=TRUE&amp;DOC_NAME=FAT:FQL_AUDITING_CLIENT_TEMPLATE.FAT&amp;display_string=Audit&amp;VAR:KEY=ORUPWHUHQF&amp;VAR:QUERY=KENTRl9TSExEUlNfRVEoUVRSX1IsMzc5MjUpQFdTRl9TSExEUlNfRVEoUVRSLDM3OTI1KSk=&amp;WINDOW=FIRST","_POPUP&amp;HEIGHT=450&amp;WIDTH=450&amp;START_MAXIMIZED=FALSE&amp;VAR:CALENDAR=US&amp;VAR:SYMBOL=ARX&amp;VAR:INDEX=0"}</definedName>
    <definedName name="_215__FDSAUDITLINK__" hidden="1">{"fdsup://directions/FAT Viewer?action=UPDATE&amp;creator=factset&amp;DYN_ARGS=TRUE&amp;DOC_NAME=FAT:FQL_AUDITING_CLIENT_TEMPLATE.FAT&amp;display_string=Audit&amp;VAR:KEY=QTIRGRCNQP&amp;VAR:QUERY=KENTRl9JTlRBTkcoUVRSX1IsMzM0ODApQFdTRl9JTlRBTkcoUVRSLDMzNDgwKSk=&amp;WINDOW=FIRST_POPUP&amp;H","EIGHT=450&amp;WIDTH=450&amp;START_MAXIMIZED=FALSE&amp;VAR:CALENDAR=US&amp;VAR:SYMBOL=AMD&amp;VAR:INDEX=0"}</definedName>
    <definedName name="_216__FDSAUDITLINK__" localSheetId="0" hidden="1">{"fdsup://directions/FAT Viewer?action=UPDATE&amp;creator=factset&amp;DYN_ARGS=TRUE&amp;DOC_NAME=FAT:FQL_AUDITING_CLIENT_TEMPLATE.FAT&amp;display_string=Audit&amp;VAR:KEY=ODCBGXQHEP&amp;VAR:QUERY=KENTRl9DT01fU0hTX09VVF9FUFNfRElMKFFUUl9SLDM3ODk0KUBXU0ZfQ09NX1NIU19PVVRfRVBTX0RJTChRV","FIsMzc4OTQpKQ==&amp;WINDOW=FIRST_POPUP&amp;HEIGHT=450&amp;WIDTH=450&amp;START_MAXIMIZED=FALSE&amp;VAR:CALENDAR=US&amp;VAR:SYMBOL=ARX&amp;VAR:INDEX=0"}</definedName>
    <definedName name="_216__FDSAUDITLINK__" hidden="1">{"fdsup://directions/FAT Viewer?action=UPDATE&amp;creator=factset&amp;DYN_ARGS=TRUE&amp;DOC_NAME=FAT:FQL_AUDITING_CLIENT_TEMPLATE.FAT&amp;display_string=Audit&amp;VAR:KEY=GVGNCPODUV&amp;VAR:QUERY=KENTRl9DT01fU0hTX09VVF9FUFNfRElMKFFUUl9SLDMzNDUwKUBXU0ZfQ09NX1NIU19PVVRfRVBTX0RJTChRV","FIsMzM0NTApKQ==&amp;WINDOW=FIRST_POPUP&amp;HEIGHT=450&amp;WIDTH=450&amp;START_MAXIMIZED=FALSE&amp;VAR:CALENDAR=US&amp;VAR:SYMBOL=AMD&amp;VAR:INDEX=0"}</definedName>
    <definedName name="_217__FDSAUDITLINK__" localSheetId="0" hidden="1">{"fdsup://directions/FAT Viewer?action=UPDATE&amp;creator=factset&amp;DYN_ARGS=TRUE&amp;DOC_NAME=FAT:FQL_AUDITING_CLIENT_TEMPLATE.FAT&amp;display_string=Audit&amp;VAR:KEY=UVIBAHQFUR&amp;VAR:QUERY=KENTRl9JTlRBTkcoUVRSX1IsMzc4OTQpQFdTRl9JTlRBTkcoUVRSLDM3ODk0KSk=&amp;WINDOW=FIRST_POPUP&amp;H","EIGHT=450&amp;WIDTH=450&amp;START_MAXIMIZED=FALSE&amp;VAR:CALENDAR=US&amp;VAR:SYMBOL=ARX&amp;VAR:INDEX=0"}</definedName>
    <definedName name="_217__FDSAUDITLINK__" hidden="1">{"fdsup://directions/FAT Viewer?action=UPDATE&amp;creator=factset&amp;DYN_ARGS=TRUE&amp;DOC_NAME=FAT:FQL_AUDITING_CLIENT_TEMPLATE.FAT&amp;display_string=Audit&amp;VAR:KEY=KXGRIVODUV&amp;VAR:QUERY=KENTRl9JTlRBTkcoUVRSX1IsMzM0NTApQFdTRl9JTlRBTkcoUVRSLDMzNDUwKSk=&amp;WINDOW=FIRST_POPUP&amp;H","EIGHT=450&amp;WIDTH=450&amp;START_MAXIMIZED=FALSE&amp;VAR:CALENDAR=US&amp;VAR:SYMBOL=AMD&amp;VAR:INDEX=0"}</definedName>
    <definedName name="_218__FDSAUDITLINK__" localSheetId="0" hidden="1">{"fdsup://directions/FAT Viewer?action=UPDATE&amp;creator=factset&amp;DYN_ARGS=TRUE&amp;DOC_NAME=FAT:FQL_AUDITING_CLIENT_TEMPLATE.FAT&amp;display_string=Audit&amp;VAR:KEY=YHSVKLIHAJ&amp;VAR:QUERY=KENTRl9TSExEUlNfRVEoUVRSX1IsMzc4OTQpQFdTRl9TSExEUlNfRVEoUVRSLDM3ODk0KSk=&amp;WINDOW=FIRST","_POPUP&amp;HEIGHT=450&amp;WIDTH=450&amp;START_MAXIMIZED=FALSE&amp;VAR:CALENDAR=US&amp;VAR:SYMBOL=ARX&amp;VAR:INDEX=0"}</definedName>
    <definedName name="_218__FDSAUDITLINK__" hidden="1">{"fdsup://directions/FAT Viewer?action=UPDATE&amp;creator=factset&amp;DYN_ARGS=TRUE&amp;DOC_NAME=FAT:FQL_AUDITING_CLIENT_TEMPLATE.FAT&amp;display_string=Audit&amp;VAR:KEY=CRANOROXQD&amp;VAR:QUERY=KENTRl9DT01fU0hTX09VVF9FUFNfRElMKFFUUl9SLDMzNDE3KUBXU0ZfQ09NX1NIU19PVVRfRVBTX0RJTChRV","FIsMzM0MTcpKQ==&amp;WINDOW=FIRST_POPUP&amp;HEIGHT=450&amp;WIDTH=450&amp;START_MAXIMIZED=FALSE&amp;VAR:CALENDAR=US&amp;VAR:SYMBOL=AMD&amp;VAR:INDEX=0"}</definedName>
    <definedName name="_219__FDSAUDITLINK__" localSheetId="0" hidden="1">{"fdsup://directions/FAT Viewer?action=UPDATE&amp;creator=factset&amp;DYN_ARGS=TRUE&amp;DOC_NAME=FAT:FQL_AUDITING_CLIENT_TEMPLATE.FAT&amp;display_string=Audit&amp;VAR:KEY=QFUTKTQBSF&amp;VAR:QUERY=KENTRl9DT01fU0hTX09VVF9FUFNfRElMKFFUUl9SLDM3ODYyKUBXU0ZfQ09NX1NIU19PVVRfRVBTX0RJTChRV","FIsMzc4NjIpKQ==&amp;WINDOW=FIRST_POPUP&amp;HEIGHT=450&amp;WIDTH=450&amp;START_MAXIMIZED=FALSE&amp;VAR:CALENDAR=US&amp;VAR:SYMBOL=ARX&amp;VAR:INDEX=0"}</definedName>
    <definedName name="_219__FDSAUDITLINK__" hidden="1">{"fdsup://directions/FAT Viewer?action=UPDATE&amp;creator=factset&amp;DYN_ARGS=TRUE&amp;DOC_NAME=FAT:FQL_AUDITING_CLIENT_TEMPLATE.FAT&amp;display_string=Audit&amp;VAR:KEY=QLUTQLCLGJ&amp;VAR:QUERY=KENTRl9JTlRBTkcoUVRSX1IsMzM0MTcpQFdTRl9JTlRBTkcoUVRSLDMzNDE3KSk=&amp;WINDOW=FIRST_POPUP&amp;H","EIGHT=450&amp;WIDTH=450&amp;START_MAXIMIZED=FALSE&amp;VAR:CALENDAR=US&amp;VAR:SYMBOL=AMD&amp;VAR:INDEX=0"}</definedName>
    <definedName name="_22__FDSAUDITLINK__" localSheetId="0" hidden="1">{"fdsup://directions/FAT Viewer?action=UPDATE&amp;creator=factset&amp;DYN_ARGS=TRUE&amp;DOC_NAME=FAT:FQL_AUDITING_CLIENT_TEMPLATE.FAT&amp;display_string=Audit&amp;VAR:KEY=APOHOVILQV&amp;VAR:QUERY=KENTRl9TSExEUlNfRVEoUVRSX1IsMzk5NjQpQFdTRl9TSExEUlNfRVEoUVRSLDM5OTY0KSk=&amp;WINDOW=FIRST","_POPUP&amp;HEIGHT=450&amp;WIDTH=450&amp;START_MAXIMIZED=FALSE&amp;VAR:CALENDAR=US&amp;VAR:SYMBOL=ARX&amp;VAR:INDEX=0"}</definedName>
    <definedName name="_22__FDSAUDITLINK__" hidden="1">{"fdsup://directions/FAT Viewer?action=UPDATE&amp;creator=factset&amp;DYN_ARGS=TRUE&amp;DOC_NAME=FAT:FQL_AUDITING_CLIENT_TEMPLATE.FAT&amp;display_string=Audit&amp;VAR:KEY=KTSTYDABQH&amp;VAR:QUERY=KENTRl9JTlRBTkcoUVRSX1IsMzY2NzcpQFdTRl9JTlRBTkcoUVRSLDM2Njc3KSk=&amp;WINDOW=FIRST_POPUP&amp;H","EIGHT=450&amp;WIDTH=450&amp;START_MAXIMIZED=FALSE&amp;VAR:CALENDAR=US&amp;VAR:SYMBOL=AMD&amp;VAR:INDEX=0"}</definedName>
    <definedName name="_220__FDSAUDITLINK__" localSheetId="0" hidden="1">{"fdsup://directions/FAT Viewer?action=UPDATE&amp;creator=factset&amp;DYN_ARGS=TRUE&amp;DOC_NAME=FAT:FQL_AUDITING_CLIENT_TEMPLATE.FAT&amp;display_string=Audit&amp;VAR:KEY=CLSVCXCXSR&amp;VAR:QUERY=KENTRl9JTlRBTkcoUVRSX1IsMzc4NjIpQFdTRl9JTlRBTkcoUVRSLDM3ODYyKSk=&amp;WINDOW=FIRST_POPUP&amp;H","EIGHT=450&amp;WIDTH=450&amp;START_MAXIMIZED=FALSE&amp;VAR:CALENDAR=US&amp;VAR:SYMBOL=ARX&amp;VAR:INDEX=0"}</definedName>
    <definedName name="_220__FDSAUDITLINK__" hidden="1">{"fdsup://directions/FAT Viewer?action=UPDATE&amp;creator=factset&amp;DYN_ARGS=TRUE&amp;DOC_NAME=FAT:FQL_AUDITING_CLIENT_TEMPLATE.FAT&amp;display_string=Audit&amp;VAR:KEY=EZGTCLSBAD&amp;VAR:QUERY=KENTRl9DT01fU0hTX09VVF9FUFNfRElMKFFUUl9SLDMzMzg5KUBXU0ZfQ09NX1NIU19PVVRfRVBTX0RJTChRV","FIsMzMzODkpKQ==&amp;WINDOW=FIRST_POPUP&amp;HEIGHT=450&amp;WIDTH=450&amp;START_MAXIMIZED=FALSE&amp;VAR:CALENDAR=US&amp;VAR:SYMBOL=AMD&amp;VAR:INDEX=0"}</definedName>
    <definedName name="_221__FDSAUDITLINK__" localSheetId="0" hidden="1">{"fdsup://directions/FAT Viewer?action=UPDATE&amp;creator=factset&amp;DYN_ARGS=TRUE&amp;DOC_NAME=FAT:FQL_AUDITING_CLIENT_TEMPLATE.FAT&amp;display_string=Audit&amp;VAR:KEY=YPEZAZUTGF&amp;VAR:QUERY=KENTRl9TSExEUlNfRVEoUVRSX1IsMzc4NjIpQFdTRl9TSExEUlNfRVEoUVRSLDM3ODYyKSk=&amp;WINDOW=FIRST","_POPUP&amp;HEIGHT=450&amp;WIDTH=450&amp;START_MAXIMIZED=FALSE&amp;VAR:CALENDAR=US&amp;VAR:SYMBOL=ARX&amp;VAR:INDEX=0"}</definedName>
    <definedName name="_221__FDSAUDITLINK__" hidden="1">{"fdsup://directions/FAT Viewer?action=UPDATE&amp;creator=factset&amp;DYN_ARGS=TRUE&amp;DOC_NAME=FAT:FQL_AUDITING_CLIENT_TEMPLATE.FAT&amp;display_string=Audit&amp;VAR:KEY=YJKTCVWVCX&amp;VAR:QUERY=KENTRl9JTlRBTkcoUVRSX1IsMzMzODkpQFdTRl9JTlRBTkcoUVRSLDMzMzg5KSk=&amp;WINDOW=FIRST_POPUP&amp;H","EIGHT=450&amp;WIDTH=450&amp;START_MAXIMIZED=FALSE&amp;VAR:CALENDAR=US&amp;VAR:SYMBOL=AMD&amp;VAR:INDEX=0"}</definedName>
    <definedName name="_222__FDSAUDITLINK__" localSheetId="0" hidden="1">{"fdsup://directions/FAT Viewer?action=UPDATE&amp;creator=factset&amp;DYN_ARGS=TRUE&amp;DOC_NAME=FAT:FQL_AUDITING_CLIENT_TEMPLATE.FAT&amp;display_string=Audit&amp;VAR:KEY=CNMDQVWLAV&amp;VAR:QUERY=KENTRl9DT01fU0hTX09VVF9FUFNfRElMKFFUUl9SLDM3ODMzKUBXU0ZfQ09NX1NIU19PVVRfRVBTX0RJTChRV","FIsMzc4MzMpKQ==&amp;WINDOW=FIRST_POPUP&amp;HEIGHT=450&amp;WIDTH=450&amp;START_MAXIMIZED=FALSE&amp;VAR:CALENDAR=US&amp;VAR:SYMBOL=ARX&amp;VAR:INDEX=0"}</definedName>
    <definedName name="_222__FDSAUDITLINK__" hidden="1">{"fdsup://directions/FAT Viewer?action=UPDATE&amp;creator=factset&amp;DYN_ARGS=TRUE&amp;DOC_NAME=FAT:FQL_AUDITING_CLIENT_TEMPLATE.FAT&amp;display_string=Audit&amp;VAR:KEY=ENIFKRWBWP&amp;VAR:QUERY=KENTRl9DT01fU0hTX09VVF9FUFNfRElMKFFUUl9SLDMzMzU4KUBXU0ZfQ09NX1NIU19PVVRfRVBTX0RJTChRV","FIsMzMzNTgpKQ==&amp;WINDOW=FIRST_POPUP&amp;HEIGHT=450&amp;WIDTH=450&amp;START_MAXIMIZED=FALSE&amp;VAR:CALENDAR=US&amp;VAR:SYMBOL=AMD&amp;VAR:INDEX=0"}</definedName>
    <definedName name="_223__FDSAUDITLINK__" localSheetId="0" hidden="1">{"fdsup://directions/FAT Viewer?action=UPDATE&amp;creator=factset&amp;DYN_ARGS=TRUE&amp;DOC_NAME=FAT:FQL_AUDITING_CLIENT_TEMPLATE.FAT&amp;display_string=Audit&amp;VAR:KEY=OBYXIPWPML&amp;VAR:QUERY=KENTRl9JTlRBTkcoUVRSX1IsMzc4MzMpQFdTRl9JTlRBTkcoUVRSLDM3ODMzKSk=&amp;WINDOW=FIRST_POPUP&amp;H","EIGHT=450&amp;WIDTH=450&amp;START_MAXIMIZED=FALSE&amp;VAR:CALENDAR=US&amp;VAR:SYMBOL=ARX&amp;VAR:INDEX=0"}</definedName>
    <definedName name="_223__FDSAUDITLINK__" hidden="1">{"fdsup://directions/FAT Viewer?action=UPDATE&amp;creator=factset&amp;DYN_ARGS=TRUE&amp;DOC_NAME=FAT:FQL_AUDITING_CLIENT_TEMPLATE.FAT&amp;display_string=Audit&amp;VAR:KEY=CDCBWBYDQB&amp;VAR:QUERY=KENTRl9JTlRBTkcoUVRSX1IsMzMzNTgpQFdTRl9JTlRBTkcoUVRSLDMzMzU4KSk=&amp;WINDOW=FIRST_POPUP&amp;H","EIGHT=450&amp;WIDTH=450&amp;START_MAXIMIZED=FALSE&amp;VAR:CALENDAR=US&amp;VAR:SYMBOL=AMD&amp;VAR:INDEX=0"}</definedName>
    <definedName name="_224__FDSAUDITLINK__" localSheetId="0" hidden="1">{"fdsup://directions/FAT Viewer?action=UPDATE&amp;creator=factset&amp;DYN_ARGS=TRUE&amp;DOC_NAME=FAT:FQL_AUDITING_CLIENT_TEMPLATE.FAT&amp;display_string=Audit&amp;VAR:KEY=SNWJODKDSB&amp;VAR:QUERY=KENTRl9TSExEUlNfRVEoUVRSX1IsMzc4MzMpQFdTRl9TSExEUlNfRVEoUVRSLDM3ODMzKSk=&amp;WINDOW=FIRST","_POPUP&amp;HEIGHT=450&amp;WIDTH=450&amp;START_MAXIMIZED=FALSE&amp;VAR:CALENDAR=US&amp;VAR:SYMBOL=ARX&amp;VAR:INDEX=0"}</definedName>
    <definedName name="_224__FDSAUDITLINK__" hidden="1">{"fdsup://directions/FAT Viewer?action=UPDATE&amp;creator=factset&amp;DYN_ARGS=TRUE&amp;DOC_NAME=FAT:FQL_AUDITING_CLIENT_TEMPLATE.FAT&amp;display_string=Audit&amp;VAR:KEY=MRELINIDUN&amp;VAR:QUERY=KENTRl9DT01fU0hTX09VVF9FUFNfRElMKFFUUl9SLDMzMzI1KUBXU0ZfQ09NX1NIU19PVVRfRVBTX0RJTChRV","FIsMzMzMjUpKQ==&amp;WINDOW=FIRST_POPUP&amp;HEIGHT=450&amp;WIDTH=450&amp;START_MAXIMIZED=FALSE&amp;VAR:CALENDAR=US&amp;VAR:SYMBOL=AMD&amp;VAR:INDEX=0"}</definedName>
    <definedName name="_225__FDSAUDITLINK__" localSheetId="0" hidden="1">{"fdsup://directions/FAT Viewer?action=UPDATE&amp;creator=factset&amp;DYN_ARGS=TRUE&amp;DOC_NAME=FAT:FQL_AUDITING_CLIENT_TEMPLATE.FAT&amp;display_string=Audit&amp;VAR:KEY=ETQNUPQTER&amp;VAR:QUERY=KENTRl9DT01fU0hTX09VVF9FUFNfRElMKFFUUl9SLDM3ODAyKUBXU0ZfQ09NX1NIU19PVVRfRVBTX0RJTChRV","FIsMzc4MDIpKQ==&amp;WINDOW=FIRST_POPUP&amp;HEIGHT=450&amp;WIDTH=450&amp;START_MAXIMIZED=FALSE&amp;VAR:CALENDAR=US&amp;VAR:SYMBOL=ARX&amp;VAR:INDEX=0"}</definedName>
    <definedName name="_225__FDSAUDITLINK__" hidden="1">{"fdsup://directions/FAT Viewer?action=UPDATE&amp;creator=factset&amp;DYN_ARGS=TRUE&amp;DOC_NAME=FAT:FQL_AUDITING_CLIENT_TEMPLATE.FAT&amp;display_string=Audit&amp;VAR:KEY=IFODUDADIP&amp;VAR:QUERY=KENTRl9JTlRBTkcoUVRSX1IsMzMzMjUpQFdTRl9JTlRBTkcoUVRSLDMzMzI1KSk=&amp;WINDOW=FIRST_POPUP&amp;H","EIGHT=450&amp;WIDTH=450&amp;START_MAXIMIZED=FALSE&amp;VAR:CALENDAR=US&amp;VAR:SYMBOL=AMD&amp;VAR:INDEX=0"}</definedName>
    <definedName name="_226__FDSAUDITLINK__" localSheetId="0" hidden="1">{"fdsup://directions/FAT Viewer?action=UPDATE&amp;creator=factset&amp;DYN_ARGS=TRUE&amp;DOC_NAME=FAT:FQL_AUDITING_CLIENT_TEMPLATE.FAT&amp;display_string=Audit&amp;VAR:KEY=YZADSRMHAD&amp;VAR:QUERY=KENTRl9JTlRBTkcoUVRSX1IsMzc4MDIpQFdTRl9JTlRBTkcoUVRSLDM3ODAyKSk=&amp;WINDOW=FIRST_POPUP&amp;H","EIGHT=450&amp;WIDTH=450&amp;START_MAXIMIZED=FALSE&amp;VAR:CALENDAR=US&amp;VAR:SYMBOL=ARX&amp;VAR:INDEX=0"}</definedName>
    <definedName name="_226__FDSAUDITLINK__" hidden="1">{"fdsup://directions/FAT Viewer?action=UPDATE&amp;creator=factset&amp;DYN_ARGS=TRUE&amp;DOC_NAME=FAT:FQL_AUDITING_CLIENT_TEMPLATE.FAT&amp;display_string=Audit&amp;VAR:KEY=IVYHOZMZUD&amp;VAR:QUERY=KENTRl9DT01fU0hTX09VVF9FUFNfRElMKFFUUl9SLDMzMjk3KUBXU0ZfQ09NX1NIU19PVVRfRVBTX0RJTChRV","FIsMzMyOTcpKQ==&amp;WINDOW=FIRST_POPUP&amp;HEIGHT=450&amp;WIDTH=450&amp;START_MAXIMIZED=FALSE&amp;VAR:CALENDAR=US&amp;VAR:SYMBOL=AMD&amp;VAR:INDEX=0"}</definedName>
    <definedName name="_227__FDSAUDITLINK__" localSheetId="0" hidden="1">{"fdsup://directions/FAT Viewer?action=UPDATE&amp;creator=factset&amp;DYN_ARGS=TRUE&amp;DOC_NAME=FAT:FQL_AUDITING_CLIENT_TEMPLATE.FAT&amp;display_string=Audit&amp;VAR:KEY=QVMNCTKZKX&amp;VAR:QUERY=KENTRl9TSExEUlNfRVEoUVRSX1IsMzc4MDIpQFdTRl9TSExEUlNfRVEoUVRSLDM3ODAyKSk=&amp;WINDOW=FIRST","_POPUP&amp;HEIGHT=450&amp;WIDTH=450&amp;START_MAXIMIZED=FALSE&amp;VAR:CALENDAR=US&amp;VAR:SYMBOL=ARX&amp;VAR:INDEX=0"}</definedName>
    <definedName name="_227__FDSAUDITLINK__" hidden="1">{"fdsup://directions/FAT Viewer?action=UPDATE&amp;creator=factset&amp;DYN_ARGS=TRUE&amp;DOC_NAME=FAT:FQL_AUDITING_CLIENT_TEMPLATE.FAT&amp;display_string=Audit&amp;VAR:KEY=KPUZOZGRKX&amp;VAR:QUERY=KENTRl9JTlRBTkcoUVRSX1IsMzMyOTcpQFdTRl9JTlRBTkcoUVRSLDMzMjk3KSk=&amp;WINDOW=FIRST_POPUP&amp;H","EIGHT=450&amp;WIDTH=450&amp;START_MAXIMIZED=FALSE&amp;VAR:CALENDAR=US&amp;VAR:SYMBOL=AMD&amp;VAR:INDEX=0"}</definedName>
    <definedName name="_228__FDSAUDITLINK__" localSheetId="0" hidden="1">{"fdsup://directions/FAT Viewer?action=UPDATE&amp;creator=factset&amp;DYN_ARGS=TRUE&amp;DOC_NAME=FAT:FQL_AUDITING_CLIENT_TEMPLATE.FAT&amp;display_string=Audit&amp;VAR:KEY=OJOBSRWNKV&amp;VAR:QUERY=KENTRl9DT01fU0hTX09VVF9FUFNfRElMKFFUUl9SLDM3NzcxKUBXU0ZfQ09NX1NIU19PVVRfRVBTX0RJTChRV","FIsMzc3NzEpKQ==&amp;WINDOW=FIRST_POPUP&amp;HEIGHT=450&amp;WIDTH=450&amp;START_MAXIMIZED=FALSE&amp;VAR:CALENDAR=US&amp;VAR:SYMBOL=ARX&amp;VAR:INDEX=0"}</definedName>
    <definedName name="_228__FDSAUDITLINK__" hidden="1">{"fdsup://directions/FAT Viewer?action=UPDATE&amp;creator=factset&amp;DYN_ARGS=TRUE&amp;DOC_NAME=FAT:FQL_AUDITING_CLIENT_TEMPLATE.FAT&amp;display_string=Audit&amp;VAR:KEY=YHQTSVONSR&amp;VAR:QUERY=KENTRl9DT01fU0hTX09VVF9FUFNfRElMKFFUUl9SLDMzMjY5KUBXU0ZfQ09NX1NIU19PVVRfRVBTX0RJTChRV","FIsMzMyNjkpKQ==&amp;WINDOW=FIRST_POPUP&amp;HEIGHT=450&amp;WIDTH=450&amp;START_MAXIMIZED=FALSE&amp;VAR:CALENDAR=US&amp;VAR:SYMBOL=AMD&amp;VAR:INDEX=0"}</definedName>
    <definedName name="_229__FDSAUDITLINK__" localSheetId="0" hidden="1">{"fdsup://directions/FAT Viewer?action=UPDATE&amp;creator=factset&amp;DYN_ARGS=TRUE&amp;DOC_NAME=FAT:FQL_AUDITING_CLIENT_TEMPLATE.FAT&amp;display_string=Audit&amp;VAR:KEY=MJMNKLCBOF&amp;VAR:QUERY=KENTRl9JTlRBTkcoUVRSX1IsMzc3NzEpQFdTRl9JTlRBTkcoUVRSLDM3NzcxKSk=&amp;WINDOW=FIRST_POPUP&amp;H","EIGHT=450&amp;WIDTH=450&amp;START_MAXIMIZED=FALSE&amp;VAR:CALENDAR=US&amp;VAR:SYMBOL=ARX&amp;VAR:INDEX=0"}</definedName>
    <definedName name="_229__FDSAUDITLINK__" hidden="1">{"fdsup://directions/FAT Viewer?action=UPDATE&amp;creator=factset&amp;DYN_ARGS=TRUE&amp;DOC_NAME=FAT:FQL_AUDITING_CLIENT_TEMPLATE.FAT&amp;display_string=Audit&amp;VAR:KEY=KLSZKFETWB&amp;VAR:QUERY=KENTRl9JTlRBTkcoUVRSX1IsMzMyNjkpQFdTRl9JTlRBTkcoUVRSLDMzMjY5KSk=&amp;WINDOW=FIRST_POPUP&amp;H","EIGHT=450&amp;WIDTH=450&amp;START_MAXIMIZED=FALSE&amp;VAR:CALENDAR=US&amp;VAR:SYMBOL=AMD&amp;VAR:INDEX=0"}</definedName>
    <definedName name="_23__FDSAUDITLINK__" localSheetId="0" hidden="1">{"fdsup://directions/FAT Viewer?action=UPDATE&amp;creator=factset&amp;DYN_ARGS=TRUE&amp;DOC_NAME=FAT:FQL_AUDITING_CLIENT_TEMPLATE.FAT&amp;display_string=Audit&amp;VAR:KEY=SJSFCFULWT&amp;VAR:QUERY=KENTRl9JTlRBTkcoUVRSX1IsMzk5MzMpQFdTRl9JTlRBTkcoUVRSLDM5OTMzKSk=&amp;WINDOW=FIRST_POPUP&amp;H","EIGHT=450&amp;WIDTH=450&amp;START_MAXIMIZED=FALSE&amp;VAR:CALENDAR=US&amp;VAR:SYMBOL=ARX&amp;VAR:INDEX=0"}</definedName>
    <definedName name="_23__FDSAUDITLINK__" hidden="1">{"fdsup://directions/FAT Viewer?action=UPDATE&amp;creator=factset&amp;DYN_ARGS=TRUE&amp;DOC_NAME=FAT:FQL_AUDITING_CLIENT_TEMPLATE.FAT&amp;display_string=Audit&amp;VAR:KEY=QDWJIZMZWJ&amp;VAR:QUERY=KENTRl9JTlRBTkcoUVRSX1IsMzY2NDQpQFdTRl9JTlRBTkcoUVRSLDM2NjQ0KSk=&amp;WINDOW=FIRST_POPUP&amp;H","EIGHT=450&amp;WIDTH=450&amp;START_MAXIMIZED=FALSE&amp;VAR:CALENDAR=US&amp;VAR:SYMBOL=AMD&amp;VAR:INDEX=0"}</definedName>
    <definedName name="_230__FDSAUDITLINK__" localSheetId="0" hidden="1">{"fdsup://directions/FAT Viewer?action=UPDATE&amp;creator=factset&amp;DYN_ARGS=TRUE&amp;DOC_NAME=FAT:FQL_AUDITING_CLIENT_TEMPLATE.FAT&amp;display_string=Audit&amp;VAR:KEY=IXEVWHYLKZ&amp;VAR:QUERY=KENTRl9TSExEUlNfRVEoUVRSX1IsMzc3NzEpQFdTRl9TSExEUlNfRVEoUVRSLDM3NzcxKSk=&amp;WINDOW=FIRST","_POPUP&amp;HEIGHT=450&amp;WIDTH=450&amp;START_MAXIMIZED=FALSE&amp;VAR:CALENDAR=US&amp;VAR:SYMBOL=ARX&amp;VAR:INDEX=0"}</definedName>
    <definedName name="_230__FDSAUDITLINK__" hidden="1">{"fdsup://directions/FAT Viewer?action=UPDATE&amp;creator=factset&amp;DYN_ARGS=TRUE&amp;DOC_NAME=FAT:FQL_AUDITING_CLIENT_TEMPLATE.FAT&amp;display_string=Audit&amp;VAR:KEY=WFALUTYBGP&amp;VAR:QUERY=KENTRl9DT01fU0hTX09VVF9FUFNfRElMKFFUUl9SLDMzMjM4KUBXU0ZfQ09NX1NIU19PVVRfRVBTX0RJTChRV","FIsMzMyMzgpKQ==&amp;WINDOW=FIRST_POPUP&amp;HEIGHT=450&amp;WIDTH=450&amp;START_MAXIMIZED=FALSE&amp;VAR:CALENDAR=US&amp;VAR:SYMBOL=AMD&amp;VAR:INDEX=0"}</definedName>
    <definedName name="_231__FDSAUDITLINK__" localSheetId="0" hidden="1">{"fdsup://directions/FAT Viewer?action=UPDATE&amp;creator=factset&amp;DYN_ARGS=TRUE&amp;DOC_NAME=FAT:FQL_AUDITING_CLIENT_TEMPLATE.FAT&amp;display_string=Audit&amp;VAR:KEY=KRGZATWXAJ&amp;VAR:QUERY=KENTRl9DT01fU0hTX09VVF9FUFNfRElMKFFUUl9SLDM3NzQxKUBXU0ZfQ09NX1NIU19PVVRfRVBTX0RJTChRV","FIsMzc3NDEpKQ==&amp;WINDOW=FIRST_POPUP&amp;HEIGHT=450&amp;WIDTH=450&amp;START_MAXIMIZED=FALSE&amp;VAR:CALENDAR=US&amp;VAR:SYMBOL=ARX&amp;VAR:INDEX=0"}</definedName>
    <definedName name="_231__FDSAUDITLINK__" hidden="1">{"fdsup://directions/FAT Viewer?action=UPDATE&amp;creator=factset&amp;DYN_ARGS=TRUE&amp;DOC_NAME=FAT:FQL_AUDITING_CLIENT_TEMPLATE.FAT&amp;display_string=Audit&amp;VAR:KEY=ODYHONQXAZ&amp;VAR:QUERY=KENTRl9JTlRBTkcoUVRSX1IsMzMyMzgpQFdTRl9JTlRBTkcoUVRSLDMzMjM4KSk=&amp;WINDOW=FIRST_POPUP&amp;H","EIGHT=450&amp;WIDTH=450&amp;START_MAXIMIZED=FALSE&amp;VAR:CALENDAR=US&amp;VAR:SYMBOL=AMD&amp;VAR:INDEX=0"}</definedName>
    <definedName name="_232__FDSAUDITLINK__" localSheetId="0" hidden="1">{"fdsup://directions/FAT Viewer?action=UPDATE&amp;creator=factset&amp;DYN_ARGS=TRUE&amp;DOC_NAME=FAT:FQL_AUDITING_CLIENT_TEMPLATE.FAT&amp;display_string=Audit&amp;VAR:KEY=WBEHWVYTIH&amp;VAR:QUERY=KENTRl9JTlRBTkcoUVRSX1IsMzc3NDEpQFdTRl9JTlRBTkcoUVRSLDM3NzQxKSk=&amp;WINDOW=FIRST_POPUP&amp;H","EIGHT=450&amp;WIDTH=450&amp;START_MAXIMIZED=FALSE&amp;VAR:CALENDAR=US&amp;VAR:SYMBOL=ARX&amp;VAR:INDEX=0"}</definedName>
    <definedName name="_232__FDSAUDITLINK__" hidden="1">{"fdsup://directions/FAT Viewer?action=UPDATE&amp;creator=factset&amp;DYN_ARGS=TRUE&amp;DOC_NAME=FAT:FQL_AUDITING_CLIENT_TEMPLATE.FAT&amp;display_string=Audit&amp;VAR:KEY=YDGFSNGJUZ&amp;VAR:QUERY=KENTRl9DT01fU0hTX09VVF9FUFNfRElMKFFUUl9SLDMzMjA3KUBXU0ZfQ09NX1NIU19PVVRfRVBTX0RJTChRV","FIsMzMyMDcpKQ==&amp;WINDOW=FIRST_POPUP&amp;HEIGHT=450&amp;WIDTH=450&amp;START_MAXIMIZED=FALSE&amp;VAR:CALENDAR=US&amp;VAR:SYMBOL=AMD&amp;VAR:INDEX=0"}</definedName>
    <definedName name="_233__FDSAUDITLINK__" localSheetId="0" hidden="1">{"fdsup://directions/FAT Viewer?action=UPDATE&amp;creator=factset&amp;DYN_ARGS=TRUE&amp;DOC_NAME=FAT:FQL_AUDITING_CLIENT_TEMPLATE.FAT&amp;display_string=Audit&amp;VAR:KEY=SRULINKPWF&amp;VAR:QUERY=KENTRl9TSExEUlNfRVEoUVRSX1IsMzc3NDEpQFdTRl9TSExEUlNfRVEoUVRSLDM3NzQxKSk=&amp;WINDOW=FIRST","_POPUP&amp;HEIGHT=450&amp;WIDTH=450&amp;START_MAXIMIZED=FALSE&amp;VAR:CALENDAR=US&amp;VAR:SYMBOL=ARX&amp;VAR:INDEX=0"}</definedName>
    <definedName name="_233__FDSAUDITLINK__" hidden="1">{"fdsup://directions/FAT Viewer?action=UPDATE&amp;creator=factset&amp;DYN_ARGS=TRUE&amp;DOC_NAME=FAT:FQL_AUDITING_CLIENT_TEMPLATE.FAT&amp;display_string=Audit&amp;VAR:KEY=YBCBUFQRWT&amp;VAR:QUERY=KENTRl9JTlRBTkcoUVRSX1IsMzMyMDcpQFdTRl9JTlRBTkcoUVRSLDMzMjA3KSk=&amp;WINDOW=FIRST_POPUP&amp;H","EIGHT=450&amp;WIDTH=450&amp;START_MAXIMIZED=FALSE&amp;VAR:CALENDAR=US&amp;VAR:SYMBOL=AMD&amp;VAR:INDEX=0"}</definedName>
    <definedName name="_234__FDSAUDITLINK__" localSheetId="0" hidden="1">{"fdsup://directions/FAT Viewer?action=UPDATE&amp;creator=factset&amp;DYN_ARGS=TRUE&amp;DOC_NAME=FAT:FQL_AUDITING_CLIENT_TEMPLATE.FAT&amp;display_string=Audit&amp;VAR:KEY=QTEXITWVGD&amp;VAR:QUERY=KENTRl9DT01fU0hTX09VVF9FUFNfRElMKFFUUl9SLDM3NzExKUBXU0ZfQ09NX1NIU19PVVRfRVBTX0RJTChRV","FIsMzc3MTEpKQ==&amp;WINDOW=FIRST_POPUP&amp;HEIGHT=450&amp;WIDTH=450&amp;START_MAXIMIZED=FALSE&amp;VAR:CALENDAR=US&amp;VAR:SYMBOL=ARX&amp;VAR:INDEX=0"}</definedName>
    <definedName name="_234__FDSAUDITLINK__" hidden="1">{"fdsup://directions/FAT Viewer?action=UPDATE&amp;creator=factset&amp;DYN_ARGS=TRUE&amp;DOC_NAME=FAT:FQL_AUDITING_CLIENT_TEMPLATE.FAT&amp;display_string=Audit&amp;VAR:KEY=SVCFMTMNEH&amp;VAR:QUERY=KENTRl9DT01fU0hTX09VVF9FUFNfRElMKFFUUl9SLDMzMTc3KUBXU0ZfQ09NX1NIU19PVVRfRVBTX0RJTChRV","FIsMzMxNzcpKQ==&amp;WINDOW=FIRST_POPUP&amp;HEIGHT=450&amp;WIDTH=450&amp;START_MAXIMIZED=FALSE&amp;VAR:CALENDAR=US&amp;VAR:SYMBOL=AMD&amp;VAR:INDEX=0"}</definedName>
    <definedName name="_235__FDSAUDITLINK__" localSheetId="0" hidden="1">{"fdsup://directions/FAT Viewer?action=UPDATE&amp;creator=factset&amp;DYN_ARGS=TRUE&amp;DOC_NAME=FAT:FQL_AUDITING_CLIENT_TEMPLATE.FAT&amp;display_string=Audit&amp;VAR:KEY=SXULUVKDKR&amp;VAR:QUERY=KENTRl9JTlRBTkcoUVRSX1IsMzc3MTEpQFdTRl9JTlRBTkcoUVRSLDM3NzExKSk=&amp;WINDOW=FIRST_POPUP&amp;H","EIGHT=450&amp;WIDTH=450&amp;START_MAXIMIZED=FALSE&amp;VAR:CALENDAR=US&amp;VAR:SYMBOL=ARX&amp;VAR:INDEX=0"}</definedName>
    <definedName name="_235__FDSAUDITLINK__" hidden="1">{"fdsup://directions/FAT Viewer?action=UPDATE&amp;creator=factset&amp;DYN_ARGS=TRUE&amp;DOC_NAME=FAT:FQL_AUDITING_CLIENT_TEMPLATE.FAT&amp;display_string=Audit&amp;VAR:KEY=UPEPWDAVAV&amp;VAR:QUERY=KENTRl9JTlRBTkcoUVRSX1IsMzMxNzcpQFdTRl9JTlRBTkcoUVRSLDMzMTc3KSk=&amp;WINDOW=FIRST_POPUP&amp;H","EIGHT=450&amp;WIDTH=450&amp;START_MAXIMIZED=FALSE&amp;VAR:CALENDAR=US&amp;VAR:SYMBOL=AMD&amp;VAR:INDEX=0"}</definedName>
    <definedName name="_236__FDSAUDITLINK__" localSheetId="0" hidden="1">{"fdsup://directions/FAT Viewer?action=UPDATE&amp;creator=factset&amp;DYN_ARGS=TRUE&amp;DOC_NAME=FAT:FQL_AUDITING_CLIENT_TEMPLATE.FAT&amp;display_string=Audit&amp;VAR:KEY=UPGDIXCFCB&amp;VAR:QUERY=KENTRl9TSExEUlNfRVEoUVRSX1IsMzc3MTEpQFdTRl9TSExEUlNfRVEoUVRSLDM3NzExKSk=&amp;WINDOW=FIRST","_POPUP&amp;HEIGHT=450&amp;WIDTH=450&amp;START_MAXIMIZED=FALSE&amp;VAR:CALENDAR=US&amp;VAR:SYMBOL=ARX&amp;VAR:INDEX=0"}</definedName>
    <definedName name="_236__FDSAUDITLINK__" hidden="1">{"fdsup://directions/FAT Viewer?action=UPDATE&amp;creator=factset&amp;DYN_ARGS=TRUE&amp;DOC_NAME=FAT:FQL_AUDITING_CLIENT_TEMPLATE.FAT&amp;display_string=Audit&amp;VAR:KEY=GZENALIHQZ&amp;VAR:QUERY=KENTRl9DT01fU0hTX09VVF9FUFNfRElMKFFUUl9SLDMzMTQ0KUBXU0ZfQ09NX1NIU19PVVRfRVBTX0RJTChRV","FIsMzMxNDQpKQ==&amp;WINDOW=FIRST_POPUP&amp;HEIGHT=450&amp;WIDTH=450&amp;START_MAXIMIZED=FALSE&amp;VAR:CALENDAR=US&amp;VAR:SYMBOL=AMD&amp;VAR:INDEX=0"}</definedName>
    <definedName name="_237__FDSAUDITLINK__" localSheetId="0" hidden="1">{"fdsup://directions/FAT Viewer?action=UPDATE&amp;creator=factset&amp;DYN_ARGS=TRUE&amp;DOC_NAME=FAT:FQL_AUDITING_CLIENT_TEMPLATE.FAT&amp;display_string=Audit&amp;VAR:KEY=OXABGVSXGT&amp;VAR:QUERY=KENTRl9DT01fU0hTX09VVF9FUFNfRElMKFFUUl9SLDM3NjgwKUBXU0ZfQ09NX1NIU19PVVRfRVBTX0RJTChRV","FIsMzc2ODApKQ==&amp;WINDOW=FIRST_POPUP&amp;HEIGHT=450&amp;WIDTH=450&amp;START_MAXIMIZED=FALSE&amp;VAR:CALENDAR=US&amp;VAR:SYMBOL=ARX&amp;VAR:INDEX=0"}</definedName>
    <definedName name="_237__FDSAUDITLINK__" hidden="1">{"fdsup://directions/FAT Viewer?action=UPDATE&amp;creator=factset&amp;DYN_ARGS=TRUE&amp;DOC_NAME=FAT:FQL_AUDITING_CLIENT_TEMPLATE.FAT&amp;display_string=Audit&amp;VAR:KEY=ANEFKFOZQB&amp;VAR:QUERY=KENTRl9JTlRBTkcoUVRSX1IsMzMxNDQpQFdTRl9JTlRBTkcoUVRSLDMzMTQ0KSk=&amp;WINDOW=FIRST_POPUP&amp;H","EIGHT=450&amp;WIDTH=450&amp;START_MAXIMIZED=FALSE&amp;VAR:CALENDAR=US&amp;VAR:SYMBOL=AMD&amp;VAR:INDEX=0"}</definedName>
    <definedName name="_238__FDSAUDITLINK__" localSheetId="0" hidden="1">{"fdsup://directions/FAT Viewer?action=UPDATE&amp;creator=factset&amp;DYN_ARGS=TRUE&amp;DOC_NAME=FAT:FQL_AUDITING_CLIENT_TEMPLATE.FAT&amp;display_string=Audit&amp;VAR:KEY=UDAZEJGJAT&amp;VAR:QUERY=KENTRl9JTlRBTkcoUVRSX1IsMzc2ODApQFdTRl9JTlRBTkcoUVRSLDM3NjgwKSk=&amp;WINDOW=FIRST_POPUP&amp;H","EIGHT=450&amp;WIDTH=450&amp;START_MAXIMIZED=FALSE&amp;VAR:CALENDAR=US&amp;VAR:SYMBOL=ARX&amp;VAR:INDEX=0"}</definedName>
    <definedName name="_238__FDSAUDITLINK__" hidden="1">{"fdsup://directions/FAT Viewer?action=UPDATE&amp;creator=factset&amp;DYN_ARGS=TRUE&amp;DOC_NAME=FAT:FQL_AUDITING_CLIENT_TEMPLATE.FAT&amp;display_string=Audit&amp;VAR:KEY=WBOZKRUNWH&amp;VAR:QUERY=KENTRl9DT01fU0hTX09VVF9FUFNfRElMKFFUUl9SLDMzMTE2KUBXU0ZfQ09NX1NIU19PVVRfRVBTX0RJTChRV","FIsMzMxMTYpKQ==&amp;WINDOW=FIRST_POPUP&amp;HEIGHT=450&amp;WIDTH=450&amp;START_MAXIMIZED=FALSE&amp;VAR:CALENDAR=US&amp;VAR:SYMBOL=AMD&amp;VAR:INDEX=0"}</definedName>
    <definedName name="_239__FDSAUDITLINK__" localSheetId="0" hidden="1">{"fdsup://directions/FAT Viewer?action=UPDATE&amp;creator=factset&amp;DYN_ARGS=TRUE&amp;DOC_NAME=FAT:FQL_AUDITING_CLIENT_TEMPLATE.FAT&amp;display_string=Audit&amp;VAR:KEY=YZWJIDSHSZ&amp;VAR:QUERY=KENTRl9TSExEUlNfRVEoUVRSX1IsMzc2ODApQFdTRl9TSExEUlNfRVEoUVRSLDM3NjgwKSk=&amp;WINDOW=FIRST","_POPUP&amp;HEIGHT=450&amp;WIDTH=450&amp;START_MAXIMIZED=FALSE&amp;VAR:CALENDAR=US&amp;VAR:SYMBOL=ARX&amp;VAR:INDEX=0"}</definedName>
    <definedName name="_239__FDSAUDITLINK__" hidden="1">{"fdsup://directions/FAT Viewer?action=UPDATE&amp;creator=factset&amp;DYN_ARGS=TRUE&amp;DOC_NAME=FAT:FQL_AUDITING_CLIENT_TEMPLATE.FAT&amp;display_string=Audit&amp;VAR:KEY=CNQPUPARQX&amp;VAR:QUERY=KENTRl9JTlRBTkcoUVRSX1IsMzMxMTYpQFdTRl9JTlRBTkcoUVRSLDMzMTE2KSk=&amp;WINDOW=FIRST_POPUP&amp;H","EIGHT=450&amp;WIDTH=450&amp;START_MAXIMIZED=FALSE&amp;VAR:CALENDAR=US&amp;VAR:SYMBOL=AMD&amp;VAR:INDEX=0"}</definedName>
    <definedName name="_24__FDSAUDITLINK__" localSheetId="0" hidden="1">{"fdsup://directions/FAT Viewer?action=UPDATE&amp;creator=factset&amp;DYN_ARGS=TRUE&amp;DOC_NAME=FAT:FQL_AUDITING_CLIENT_TEMPLATE.FAT&amp;display_string=Audit&amp;VAR:KEY=QNAXOBEXEH&amp;VAR:QUERY=KENTRl9TSExEUlNfRVEoUVRSX1IsMzk5MzMpQFdTRl9TSExEUlNfRVEoUVRSLDM5OTMzKSk=&amp;WINDOW=FIRST","_POPUP&amp;HEIGHT=450&amp;WIDTH=450&amp;START_MAXIMIZED=FALSE&amp;VAR:CALENDAR=US&amp;VAR:SYMBOL=ARX&amp;VAR:INDEX=0"}</definedName>
    <definedName name="_24__FDSAUDITLINK__" hidden="1">{"fdsup://directions/FAT Viewer?action=UPDATE&amp;creator=factset&amp;DYN_ARGS=TRUE&amp;DOC_NAME=FAT:FQL_AUDITING_CLIENT_TEMPLATE.FAT&amp;display_string=Audit&amp;VAR:KEY=YFMJKLGFGP&amp;VAR:QUERY=KENTRl9JTlRBTkcoUVRSX1IsMzY2MTYpQFdTRl9JTlRBTkcoUVRSLDM2NjE2KSk=&amp;WINDOW=FIRST_POPUP&amp;H","EIGHT=450&amp;WIDTH=450&amp;START_MAXIMIZED=FALSE&amp;VAR:CALENDAR=US&amp;VAR:SYMBOL=AMD&amp;VAR:INDEX=0"}</definedName>
    <definedName name="_240__FDSAUDITLINK__" localSheetId="0" hidden="1">{"fdsup://directions/FAT Viewer?action=UPDATE&amp;creator=factset&amp;DYN_ARGS=TRUE&amp;DOC_NAME=FAT:FQL_AUDITING_CLIENT_TEMPLATE.FAT&amp;display_string=Audit&amp;VAR:KEY=AJMZWVYZYZ&amp;VAR:QUERY=KENTRl9DT01fU0hTX09VVF9FUFNfRElMKFFUUl9SLDM3NjUyKUBXU0ZfQ09NX1NIU19PVVRfRVBTX0RJTChRV","FIsMzc2NTIpKQ==&amp;WINDOW=FIRST_POPUP&amp;HEIGHT=450&amp;WIDTH=450&amp;START_MAXIMIZED=FALSE&amp;VAR:CALENDAR=US&amp;VAR:SYMBOL=ARX&amp;VAR:INDEX=0"}</definedName>
    <definedName name="_240__FDSAUDITLINK__" hidden="1">{"fdsup://directions/FAT Viewer?action=UPDATE&amp;creator=factset&amp;DYN_ARGS=TRUE&amp;DOC_NAME=FAT:FQL_AUDITING_CLIENT_TEMPLATE.FAT&amp;display_string=Audit&amp;VAR:KEY=IRUNOBIVMN&amp;VAR:QUERY=KENTRl9DT01fU0hTX09VVF9FUFNfRElMKFFUUl9SLDMzMDg1KUBXU0ZfQ09NX1NIU19PVVRfRVBTX0RJTChRV","FIsMzMwODUpKQ==&amp;WINDOW=FIRST_POPUP&amp;HEIGHT=450&amp;WIDTH=450&amp;START_MAXIMIZED=FALSE&amp;VAR:CALENDAR=US&amp;VAR:SYMBOL=AMD&amp;VAR:INDEX=0"}</definedName>
    <definedName name="_241__FDSAUDITLINK__" localSheetId="0" hidden="1">{"fdsup://directions/FAT Viewer?action=UPDATE&amp;creator=factset&amp;DYN_ARGS=TRUE&amp;DOC_NAME=FAT:FQL_AUDITING_CLIENT_TEMPLATE.FAT&amp;display_string=Audit&amp;VAR:KEY=EXABERMNMR&amp;VAR:QUERY=KENTRl9JTlRBTkcoUVRSX1IsMzc2NTIpQFdTRl9JTlRBTkcoUVRSLDM3NjUyKSk=&amp;WINDOW=FIRST_POPUP&amp;H","EIGHT=450&amp;WIDTH=450&amp;START_MAXIMIZED=FALSE&amp;VAR:CALENDAR=US&amp;VAR:SYMBOL=ARX&amp;VAR:INDEX=0"}</definedName>
    <definedName name="_241__FDSAUDITLINK__" hidden="1">{"fdsup://directions/FAT Viewer?action=UPDATE&amp;creator=factset&amp;DYN_ARGS=TRUE&amp;DOC_NAME=FAT:FQL_AUDITING_CLIENT_TEMPLATE.FAT&amp;display_string=Audit&amp;VAR:KEY=ILCHSVMLSV&amp;VAR:QUERY=KENTRl9JTlRBTkcoUVRSX1IsMzMwODUpQFdTRl9JTlRBTkcoUVRSLDMzMDg1KSk=&amp;WINDOW=FIRST_POPUP&amp;H","EIGHT=450&amp;WIDTH=450&amp;START_MAXIMIZED=FALSE&amp;VAR:CALENDAR=US&amp;VAR:SYMBOL=AMD&amp;VAR:INDEX=0"}</definedName>
    <definedName name="_242__FDSAUDITLINK__" localSheetId="0" hidden="1">{"fdsup://directions/FAT Viewer?action=UPDATE&amp;creator=factset&amp;DYN_ARGS=TRUE&amp;DOC_NAME=FAT:FQL_AUDITING_CLIENT_TEMPLATE.FAT&amp;display_string=Audit&amp;VAR:KEY=CLCVQBYTSL&amp;VAR:QUERY=KENTRl9TSExEUlNfRVEoUVRSX1IsMzc2NTIpQFdTRl9TSExEUlNfRVEoUVRSLDM3NjUyKSk=&amp;WINDOW=FIRST","_POPUP&amp;HEIGHT=450&amp;WIDTH=450&amp;START_MAXIMIZED=FALSE&amp;VAR:CALENDAR=US&amp;VAR:SYMBOL=ARX&amp;VAR:INDEX=0"}</definedName>
    <definedName name="_242__FDSAUDITLINK__" hidden="1">{"fdsup://directions/FAT Viewer?action=UPDATE&amp;creator=factset&amp;DYN_ARGS=TRUE&amp;DOC_NAME=FAT:FQL_AUDITING_CLIENT_TEMPLATE.FAT&amp;display_string=Audit&amp;VAR:KEY=WDCBKNWDAH&amp;VAR:QUERY=KENTRl9DT01fU0hTX09VVF9FUFNfRElMKFFUUl9SLDMzMDUzKUBXU0ZfQ09NX1NIU19PVVRfRVBTX0RJTChRV","FIsMzMwNTMpKQ==&amp;WINDOW=FIRST_POPUP&amp;HEIGHT=450&amp;WIDTH=450&amp;START_MAXIMIZED=FALSE&amp;VAR:CALENDAR=US&amp;VAR:SYMBOL=AMD&amp;VAR:INDEX=0"}</definedName>
    <definedName name="_243__FDSAUDITLINK__" localSheetId="0" hidden="1">{"fdsup://directions/FAT Viewer?action=UPDATE&amp;creator=factset&amp;DYN_ARGS=TRUE&amp;DOC_NAME=FAT:FQL_AUDITING_CLIENT_TEMPLATE.FAT&amp;display_string=Audit&amp;VAR:KEY=OLQZONENAR&amp;VAR:QUERY=KENTRl9DT01fU0hTX09VVF9FUFNfRElMKFFUUl9SLDM3NjIxKUBXU0ZfQ09NX1NIU19PVVRfRVBTX0RJTChRV","FIsMzc2MjEpKQ==&amp;WINDOW=FIRST_POPUP&amp;HEIGHT=450&amp;WIDTH=450&amp;START_MAXIMIZED=FALSE&amp;VAR:CALENDAR=US&amp;VAR:SYMBOL=ARX&amp;VAR:INDEX=0"}</definedName>
    <definedName name="_243__FDSAUDITLINK__" hidden="1">{"fdsup://directions/FAT Viewer?action=UPDATE&amp;creator=factset&amp;DYN_ARGS=TRUE&amp;DOC_NAME=FAT:FQL_AUDITING_CLIENT_TEMPLATE.FAT&amp;display_string=Audit&amp;VAR:KEY=UHKPODUPWH&amp;VAR:QUERY=KENTRl9JTlRBTkcoUVRSX1IsMzMwNTMpQFdTRl9JTlRBTkcoUVRSLDMzMDUzKSk=&amp;WINDOW=FIRST_POPUP&amp;H","EIGHT=450&amp;WIDTH=450&amp;START_MAXIMIZED=FALSE&amp;VAR:CALENDAR=US&amp;VAR:SYMBOL=AMD&amp;VAR:INDEX=0"}</definedName>
    <definedName name="_244__FDSAUDITLINK__" localSheetId="0" hidden="1">{"fdsup://directions/FAT Viewer?action=UPDATE&amp;creator=factset&amp;DYN_ARGS=TRUE&amp;DOC_NAME=FAT:FQL_AUDITING_CLIENT_TEMPLATE.FAT&amp;display_string=Audit&amp;VAR:KEY=KLQVKBOZKX&amp;VAR:QUERY=KENTRl9JTlRBTkcoUVRSX1IsMzc2MjEpQFdTRl9JTlRBTkcoUVRSLDM3NjIxKSk=&amp;WINDOW=FIRST_POPUP&amp;H","EIGHT=450&amp;WIDTH=450&amp;START_MAXIMIZED=FALSE&amp;VAR:CALENDAR=US&amp;VAR:SYMBOL=ARX&amp;VAR:INDEX=0"}</definedName>
    <definedName name="_244__FDSAUDITLINK__" hidden="1">{"fdsup://directions/FAT Viewer?action=UPDATE&amp;creator=factset&amp;DYN_ARGS=TRUE&amp;DOC_NAME=FAT:FQL_AUDITING_CLIENT_TEMPLATE.FAT&amp;display_string=Audit&amp;VAR:KEY=MDWHUFCHOV&amp;VAR:QUERY=KENTRl9DT01fU0hTX09VVF9FUFNfRElMKFFUUl9SLDMzMDI0KUBXU0ZfQ09NX1NIU19PVVRfRVBTX0RJTChRV","FIsMzMwMjQpKQ==&amp;WINDOW=FIRST_POPUP&amp;HEIGHT=450&amp;WIDTH=450&amp;START_MAXIMIZED=FALSE&amp;VAR:CALENDAR=US&amp;VAR:SYMBOL=AMD&amp;VAR:INDEX=0"}</definedName>
    <definedName name="_245__FDSAUDITLINK__" localSheetId="0" hidden="1">{"fdsup://directions/FAT Viewer?action=UPDATE&amp;creator=factset&amp;DYN_ARGS=TRUE&amp;DOC_NAME=FAT:FQL_AUDITING_CLIENT_TEMPLATE.FAT&amp;display_string=Audit&amp;VAR:KEY=KDYXCHSLGL&amp;VAR:QUERY=KENTRl9TSExEUlNfRVEoUVRSX1IsMzc2MjEpQFdTRl9TSExEUlNfRVEoUVRSLDM3NjIxKSk=&amp;WINDOW=FIRST","_POPUP&amp;HEIGHT=450&amp;WIDTH=450&amp;START_MAXIMIZED=FALSE&amp;VAR:CALENDAR=US&amp;VAR:SYMBOL=ARX&amp;VAR:INDEX=0"}</definedName>
    <definedName name="_245__FDSAUDITLINK__" hidden="1">{"fdsup://directions/FAT Viewer?action=UPDATE&amp;creator=factset&amp;DYN_ARGS=TRUE&amp;DOC_NAME=FAT:FQL_AUDITING_CLIENT_TEMPLATE.FAT&amp;display_string=Audit&amp;VAR:KEY=OHQDWBINOJ&amp;VAR:QUERY=KENTRl9JTlRBTkcoUVRSX1IsMzMwMjQpQFdTRl9JTlRBTkcoUVRSLDMzMDI0KSk=&amp;WINDOW=FIRST_POPUP&amp;H","EIGHT=450&amp;WIDTH=450&amp;START_MAXIMIZED=FALSE&amp;VAR:CALENDAR=US&amp;VAR:SYMBOL=AMD&amp;VAR:INDEX=0"}</definedName>
    <definedName name="_246__FDSAUDITLINK__" localSheetId="0" hidden="1">{"fdsup://directions/FAT Viewer?action=UPDATE&amp;creator=factset&amp;DYN_ARGS=TRUE&amp;DOC_NAME=FAT:FQL_AUDITING_CLIENT_TEMPLATE.FAT&amp;display_string=Audit&amp;VAR:KEY=KVCJQNQVEF&amp;VAR:QUERY=KENTRl9DT01fU0hTX09VVF9FUFNfRElMKFFUUl9SLDM3NTg5KUBXU0ZfQ09NX1NIU19PVVRfRVBTX0RJTChRV","FIsMzc1ODkpKQ==&amp;WINDOW=FIRST_POPUP&amp;HEIGHT=450&amp;WIDTH=450&amp;START_MAXIMIZED=FALSE&amp;VAR:CALENDAR=US&amp;VAR:SYMBOL=ARX&amp;VAR:INDEX=0"}</definedName>
    <definedName name="_246__FDSAUDITLINK__" hidden="1">{"fdsup://directions/FAT Viewer?action=UPDATE&amp;creator=factset&amp;DYN_ARGS=TRUE&amp;DOC_NAME=FAT:FQL_AUDITING_CLIENT_TEMPLATE.FAT&amp;display_string=Audit&amp;VAR:KEY=OFUXUVUJWN&amp;VAR:QUERY=KENTRl9DT01fU0hTX09VVF9FUFNfRElMKFFUUl9SLDMyOTkzKUBXU0ZfQ09NX1NIU19PVVRfRVBTX0RJTChRV","FIsMzI5OTMpKQ==&amp;WINDOW=FIRST_POPUP&amp;HEIGHT=450&amp;WIDTH=450&amp;START_MAXIMIZED=FALSE&amp;VAR:CALENDAR=US&amp;VAR:SYMBOL=AMD&amp;VAR:INDEX=0"}</definedName>
    <definedName name="_247__FDSAUDITLINK__" localSheetId="0" hidden="1">{"fdsup://directions/FAT Viewer?action=UPDATE&amp;creator=factset&amp;DYN_ARGS=TRUE&amp;DOC_NAME=FAT:FQL_AUDITING_CLIENT_TEMPLATE.FAT&amp;display_string=Audit&amp;VAR:KEY=CZIJUDGBCP&amp;VAR:QUERY=KENTRl9JTlRBTkcoUVRSX1IsMzc1ODkpQFdTRl9JTlRBTkcoUVRSLDM3NTg5KSk=&amp;WINDOW=FIRST_POPUP&amp;H","EIGHT=450&amp;WIDTH=450&amp;START_MAXIMIZED=FALSE&amp;VAR:CALENDAR=US&amp;VAR:SYMBOL=ARX&amp;VAR:INDEX=0"}</definedName>
    <definedName name="_247__FDSAUDITLINK__" hidden="1">{"fdsup://directions/FAT Viewer?action=UPDATE&amp;creator=factset&amp;DYN_ARGS=TRUE&amp;DOC_NAME=FAT:FQL_AUDITING_CLIENT_TEMPLATE.FAT&amp;display_string=Audit&amp;VAR:KEY=IRGPYRITKB&amp;VAR:QUERY=KENTRl9JTlRBTkcoUVRSX1IsMzI5OTMpQFdTRl9JTlRBTkcoUVRSLDMyOTkzKSk=&amp;WINDOW=FIRST_POPUP&amp;H","EIGHT=450&amp;WIDTH=450&amp;START_MAXIMIZED=FALSE&amp;VAR:CALENDAR=US&amp;VAR:SYMBOL=AMD&amp;VAR:INDEX=0"}</definedName>
    <definedName name="_248__FDSAUDITLINK__" localSheetId="0" hidden="1">{"fdsup://directions/FAT Viewer?action=UPDATE&amp;creator=factset&amp;DYN_ARGS=TRUE&amp;DOC_NAME=FAT:FQL_AUDITING_CLIENT_TEMPLATE.FAT&amp;display_string=Audit&amp;VAR:KEY=YZATQRMTOF&amp;VAR:QUERY=KENTRl9TSExEUlNfRVEoUVRSX1IsMzc1ODkpQFdTRl9TSExEUlNfRVEoUVRSLDM3NTg5KSk=&amp;WINDOW=FIRST","_POPUP&amp;HEIGHT=450&amp;WIDTH=450&amp;START_MAXIMIZED=FALSE&amp;VAR:CALENDAR=US&amp;VAR:SYMBOL=ARX&amp;VAR:INDEX=0"}</definedName>
    <definedName name="_248__FDSAUDITLINK__" hidden="1">{"fdsup://directions/FAT Viewer?action=UPDATE&amp;creator=factset&amp;DYN_ARGS=TRUE&amp;DOC_NAME=FAT:FQL_AUDITING_CLIENT_TEMPLATE.FAT&amp;display_string=Audit&amp;VAR:KEY=WTONQHQDUZ&amp;VAR:QUERY=KENTRl9DT01fU0hTX09VVF9FUFNfRElMKFFUUl9SLDMyOTYyKUBXU0ZfQ09NX1NIU19PVVRfRVBTX0RJTChRV","FIsMzI5NjIpKQ==&amp;WINDOW=FIRST_POPUP&amp;HEIGHT=450&amp;WIDTH=450&amp;START_MAXIMIZED=FALSE&amp;VAR:CALENDAR=US&amp;VAR:SYMBOL=AMD&amp;VAR:INDEX=0"}</definedName>
    <definedName name="_249__FDSAUDITLINK__" localSheetId="0" hidden="1">{"fdsup://directions/FAT Viewer?action=UPDATE&amp;creator=factset&amp;DYN_ARGS=TRUE&amp;DOC_NAME=FAT:FQL_AUDITING_CLIENT_TEMPLATE.FAT&amp;display_string=Audit&amp;VAR:KEY=EJWHONMBCT&amp;VAR:QUERY=KENTRl9DT01fU0hTX09VVF9FUFNfRElMKFFUUl9SLDM3NTYwKUBXU0ZfQ09NX1NIU19PVVRfRVBTX0RJTChRV","FIsMzc1NjApKQ==&amp;WINDOW=FIRST_POPUP&amp;HEIGHT=450&amp;WIDTH=450&amp;START_MAXIMIZED=FALSE&amp;VAR:CALENDAR=US&amp;VAR:SYMBOL=ARX&amp;VAR:INDEX=0"}</definedName>
    <definedName name="_249__FDSAUDITLINK__" hidden="1">{"fdsup://directions/FAT Viewer?action=UPDATE&amp;creator=factset&amp;DYN_ARGS=TRUE&amp;DOC_NAME=FAT:FQL_AUDITING_CLIENT_TEMPLATE.FAT&amp;display_string=Audit&amp;VAR:KEY=QJOLOPGHWH&amp;VAR:QUERY=KENTRl9JTlRBTkcoUVRSX1IsMzI5NjIpQFdTRl9JTlRBTkcoUVRSLDMyOTYyKSk=&amp;WINDOW=FIRST_POPUP&amp;H","EIGHT=450&amp;WIDTH=450&amp;START_MAXIMIZED=FALSE&amp;VAR:CALENDAR=US&amp;VAR:SYMBOL=AMD&amp;VAR:INDEX=0"}</definedName>
    <definedName name="_25__FDSAUDITLINK__" localSheetId="0" hidden="1">{"fdsup://directions/FAT Viewer?action=UPDATE&amp;creator=factset&amp;DYN_ARGS=TRUE&amp;DOC_NAME=FAT:FQL_AUDITING_CLIENT_TEMPLATE.FAT&amp;display_string=Audit&amp;VAR:KEY=IBYJWPKTOB&amp;VAR:QUERY=KENTRl9JTlRBTkcoUVRSX1IsMzk5MDMpQFdTRl9JTlRBTkcoUVRSLDM5OTAzKSk=&amp;WINDOW=FIRST_POPUP&amp;H","EIGHT=450&amp;WIDTH=450&amp;START_MAXIMIZED=FALSE&amp;VAR:CALENDAR=US&amp;VAR:SYMBOL=ARX&amp;VAR:INDEX=0"}</definedName>
    <definedName name="_25__FDSAUDITLINK__" hidden="1">{"fdsup://directions/FAT Viewer?action=UPDATE&amp;creator=factset&amp;DYN_ARGS=TRUE&amp;DOC_NAME=FAT:FQL_AUDITING_CLIENT_TEMPLATE.FAT&amp;display_string=Audit&amp;VAR:KEY=EVMVITULQV&amp;VAR:QUERY=KENTRl9JTlRBTkcoUVRSX1IsMzY1ODUpQFdTRl9JTlRBTkcoUVRSLDM2NTg1KSk=&amp;WINDOW=FIRST_POPUP&amp;H","EIGHT=450&amp;WIDTH=450&amp;START_MAXIMIZED=FALSE&amp;VAR:CALENDAR=US&amp;VAR:SYMBOL=AMD&amp;VAR:INDEX=0"}</definedName>
    <definedName name="_250__FDSAUDITLINK__" localSheetId="0" hidden="1">{"fdsup://directions/FAT Viewer?action=UPDATE&amp;creator=factset&amp;DYN_ARGS=TRUE&amp;DOC_NAME=FAT:FQL_AUDITING_CLIENT_TEMPLATE.FAT&amp;display_string=Audit&amp;VAR:KEY=YHMXQVYLKH&amp;VAR:QUERY=KENTRl9JTlRBTkcoUVRSX1IsMzc1NjApQFdTRl9JTlRBTkcoUVRSLDM3NTYwKSk=&amp;WINDOW=FIRST_POPUP&amp;H","EIGHT=450&amp;WIDTH=450&amp;START_MAXIMIZED=FALSE&amp;VAR:CALENDAR=US&amp;VAR:SYMBOL=ARX&amp;VAR:INDEX=0"}</definedName>
    <definedName name="_250__FDSAUDITLINK__" hidden="1">{"fdsup://directions/FAT Viewer?action=UPDATE&amp;creator=factset&amp;DYN_ARGS=TRUE&amp;DOC_NAME=FAT:FQL_AUDITING_CLIENT_TEMPLATE.FAT&amp;display_string=Audit&amp;VAR:KEY=KFEZCLCRSD&amp;VAR:QUERY=KENTRl9DT01fU0hTX09VVF9FUFNfRElMKFFUUl9SLDMyOTMyKUBXU0ZfQ09NX1NIU19PVVRfRVBTX0RJTChRV","FIsMzI5MzIpKQ==&amp;WINDOW=FIRST_POPUP&amp;HEIGHT=450&amp;WIDTH=450&amp;START_MAXIMIZED=FALSE&amp;VAR:CALENDAR=US&amp;VAR:SYMBOL=AMD&amp;VAR:INDEX=0"}</definedName>
    <definedName name="_251__FDSAUDITLINK__" localSheetId="0" hidden="1">{"fdsup://directions/FAT Viewer?action=UPDATE&amp;creator=factset&amp;DYN_ARGS=TRUE&amp;DOC_NAME=FAT:FQL_AUDITING_CLIENT_TEMPLATE.FAT&amp;display_string=Audit&amp;VAR:KEY=UJMXYJMLOT&amp;VAR:QUERY=KENTRl9TSExEUlNfRVEoUVRSX1IsMzc1NjApQFdTRl9TSExEUlNfRVEoUVRSLDM3NTYwKSk=&amp;WINDOW=FIRST","_POPUP&amp;HEIGHT=450&amp;WIDTH=450&amp;START_MAXIMIZED=FALSE&amp;VAR:CALENDAR=US&amp;VAR:SYMBOL=ARX&amp;VAR:INDEX=0"}</definedName>
    <definedName name="_251__FDSAUDITLINK__" hidden="1">{"fdsup://directions/FAT Viewer?action=UPDATE&amp;creator=factset&amp;DYN_ARGS=TRUE&amp;DOC_NAME=FAT:FQL_AUDITING_CLIENT_TEMPLATE.FAT&amp;display_string=Audit&amp;VAR:KEY=OPCBYLCVWF&amp;VAR:QUERY=KENTRl9JTlRBTkcoUVRSX1IsMzI5MzIpQFdTRl9JTlRBTkcoUVRSLDMyOTMyKSk=&amp;WINDOW=FIRST_POPUP&amp;H","EIGHT=450&amp;WIDTH=450&amp;START_MAXIMIZED=FALSE&amp;VAR:CALENDAR=US&amp;VAR:SYMBOL=AMD&amp;VAR:INDEX=0"}</definedName>
    <definedName name="_252__FDSAUDITLINK__" localSheetId="0" hidden="1">{"fdsup://directions/FAT Viewer?action=UPDATE&amp;creator=factset&amp;DYN_ARGS=TRUE&amp;DOC_NAME=FAT:FQL_AUDITING_CLIENT_TEMPLATE.FAT&amp;display_string=Audit&amp;VAR:KEY=IHINADAPET&amp;VAR:QUERY=KENTRl9DT01fU0hTX09VVF9FUFNfRElMKFFUUl9SLDM3NTI5KUBXU0ZfQ09NX1NIU19PVVRfRVBTX0RJTChRV","FIsMzc1MjkpKQ==&amp;WINDOW=FIRST_POPUP&amp;HEIGHT=450&amp;WIDTH=450&amp;START_MAXIMIZED=FALSE&amp;VAR:CALENDAR=US&amp;VAR:SYMBOL=ARX&amp;VAR:INDEX=0"}</definedName>
    <definedName name="_252__FDSAUDITLINK__" hidden="1">{"fdsup://directions/FAT Viewer?action=UPDATE&amp;creator=factset&amp;DYN_ARGS=TRUE&amp;DOC_NAME=FAT:FQL_AUDITING_CLIENT_TEMPLATE.FAT&amp;display_string=Audit&amp;VAR:KEY=MZMZIRGRQD&amp;VAR:QUERY=KENTRl9DT01fU0hTX09VVF9FUFNfRElMKFFUUl9SLDMyOTA0KUBXU0ZfQ09NX1NIU19PVVRfRVBTX0RJTChRV","FIsMzI5MDQpKQ==&amp;WINDOW=FIRST_POPUP&amp;HEIGHT=450&amp;WIDTH=450&amp;START_MAXIMIZED=FALSE&amp;VAR:CALENDAR=US&amp;VAR:SYMBOL=AMD&amp;VAR:INDEX=0"}</definedName>
    <definedName name="_253__FDSAUDITLINK__" localSheetId="0" hidden="1">{"fdsup://directions/FAT Viewer?action=UPDATE&amp;creator=factset&amp;DYN_ARGS=TRUE&amp;DOC_NAME=FAT:FQL_AUDITING_CLIENT_TEMPLATE.FAT&amp;display_string=Audit&amp;VAR:KEY=ILYHABUHOV&amp;VAR:QUERY=KENTRl9JTlRBTkcoUVRSX1IsMzc1MjkpQFdTRl9JTlRBTkcoUVRSLDM3NTI5KSk=&amp;WINDOW=FIRST_POPUP&amp;H","EIGHT=450&amp;WIDTH=450&amp;START_MAXIMIZED=FALSE&amp;VAR:CALENDAR=US&amp;VAR:SYMBOL=ARX&amp;VAR:INDEX=0"}</definedName>
    <definedName name="_253__FDSAUDITLINK__" hidden="1">{"fdsup://directions/FAT Viewer?action=UPDATE&amp;creator=factset&amp;DYN_ARGS=TRUE&amp;DOC_NAME=FAT:FQL_AUDITING_CLIENT_TEMPLATE.FAT&amp;display_string=Audit&amp;VAR:KEY=OLWNEPKPEB&amp;VAR:QUERY=KENTRl9JTlRBTkcoUVRSX1IsMzI5MDQpQFdTRl9JTlRBTkcoUVRSLDMyOTA0KSk=&amp;WINDOW=FIRST_POPUP&amp;H","EIGHT=450&amp;WIDTH=450&amp;START_MAXIMIZED=FALSE&amp;VAR:CALENDAR=US&amp;VAR:SYMBOL=AMD&amp;VAR:INDEX=0"}</definedName>
    <definedName name="_254__FDSAUDITLINK__" localSheetId="0" hidden="1">{"fdsup://directions/FAT Viewer?action=UPDATE&amp;creator=factset&amp;DYN_ARGS=TRUE&amp;DOC_NAME=FAT:FQL_AUDITING_CLIENT_TEMPLATE.FAT&amp;display_string=Audit&amp;VAR:KEY=KBAJITKPKZ&amp;VAR:QUERY=KENTRl9TSExEUlNfRVEoUVRSX1IsMzc1MjkpQFdTRl9TSExEUlNfRVEoUVRSLDM3NTI5KSk=&amp;WINDOW=FIRST","_POPUP&amp;HEIGHT=450&amp;WIDTH=450&amp;START_MAXIMIZED=FALSE&amp;VAR:CALENDAR=US&amp;VAR:SYMBOL=ARX&amp;VAR:INDEX=0"}</definedName>
    <definedName name="_254__FDSAUDITLINK__" hidden="1">{"fdsup://directions/FAT Viewer?action=UPDATE&amp;creator=factset&amp;DYN_ARGS=TRUE&amp;DOC_NAME=FAT:FQL_AUDITING_CLIENT_TEMPLATE.FAT&amp;display_string=Audit&amp;VAR:KEY=GTKDCPCRGJ&amp;VAR:QUERY=KENTRl9DT01fU0hTX09VVF9FUFNfRElMKFFUUl9SLDMyODcxKUBXU0ZfQ09NX1NIU19PVVRfRVBTX0RJTChRV","FIsMzI4NzEpKQ==&amp;WINDOW=FIRST_POPUP&amp;HEIGHT=450&amp;WIDTH=450&amp;START_MAXIMIZED=FALSE&amp;VAR:CALENDAR=US&amp;VAR:SYMBOL=AMD&amp;VAR:INDEX=0"}</definedName>
    <definedName name="_255__FDSAUDITLINK__" localSheetId="0" hidden="1">{"fdsup://directions/FAT Viewer?action=UPDATE&amp;creator=factset&amp;DYN_ARGS=TRUE&amp;DOC_NAME=FAT:FQL_AUDITING_CLIENT_TEMPLATE.FAT&amp;display_string=Audit&amp;VAR:KEY=ULSZIBYTMX&amp;VAR:QUERY=KENTRl9DT01fU0hTX09VVF9FUFNfRElMKFFUUl9SLDM3NDk4KUBXU0ZfQ09NX1NIU19PVVRfRVBTX0RJTChRV","FIsMzc0OTgpKQ==&amp;WINDOW=FIRST_POPUP&amp;HEIGHT=450&amp;WIDTH=450&amp;START_MAXIMIZED=FALSE&amp;VAR:CALENDAR=US&amp;VAR:SYMBOL=ARX&amp;VAR:INDEX=0"}</definedName>
    <definedName name="_255__FDSAUDITLINK__" hidden="1">{"fdsup://directions/FAT Viewer?action=UPDATE&amp;creator=factset&amp;DYN_ARGS=TRUE&amp;DOC_NAME=FAT:FQL_AUDITING_CLIENT_TEMPLATE.FAT&amp;display_string=Audit&amp;VAR:KEY=WFAZYZAZOH&amp;VAR:QUERY=KENTRl9JTlRBTkcoUVRSX1IsMzI4NzEpQFdTRl9JTlRBTkcoUVRSLDMyODcxKSk=&amp;WINDOW=FIRST_POPUP&amp;H","EIGHT=450&amp;WIDTH=450&amp;START_MAXIMIZED=FALSE&amp;VAR:CALENDAR=US&amp;VAR:SYMBOL=AMD&amp;VAR:INDEX=0"}</definedName>
    <definedName name="_256__FDSAUDITLINK__" localSheetId="0" hidden="1">{"fdsup://directions/FAT Viewer?action=UPDATE&amp;creator=factset&amp;DYN_ARGS=TRUE&amp;DOC_NAME=FAT:FQL_AUDITING_CLIENT_TEMPLATE.FAT&amp;display_string=Audit&amp;VAR:KEY=UFYHABSBIV&amp;VAR:QUERY=KENTRl9JTlRBTkcoUVRSX1IsMzc0OTgpQFdTRl9JTlRBTkcoUVRSLDM3NDk4KSk=&amp;WINDOW=FIRST_POPUP&amp;H","EIGHT=450&amp;WIDTH=450&amp;START_MAXIMIZED=FALSE&amp;VAR:CALENDAR=US&amp;VAR:SYMBOL=ARX&amp;VAR:INDEX=0"}</definedName>
    <definedName name="_256__FDSAUDITLINK__" hidden="1">{"fdsup://directions/FAT Viewer?action=UPDATE&amp;creator=factset&amp;DYN_ARGS=TRUE&amp;DOC_NAME=FAT:FQL_AUDITING_CLIENT_TEMPLATE.FAT&amp;display_string=Audit&amp;VAR:KEY=EZCLCRSDAP&amp;VAR:QUERY=KENTRl9DT01fU0hTX09VVF9FUFNfRElMKFFUUl9SLDQxMDI5KUBXU0ZfQ09NX1NIU19PVVRfRVBTX0RJTChRV","FIsNDEwMjkpKQ==&amp;WINDOW=FIRST_POPUP&amp;HEIGHT=450&amp;WIDTH=450&amp;START_MAXIMIZED=FALSE&amp;VAR:CALENDAR=US&amp;VAR:SYMBOL=AMD&amp;VAR:INDEX=0"}</definedName>
    <definedName name="_257__FDSAUDITLINK__" localSheetId="0" hidden="1">{"fdsup://directions/FAT Viewer?action=UPDATE&amp;creator=factset&amp;DYN_ARGS=TRUE&amp;DOC_NAME=FAT:FQL_AUDITING_CLIENT_TEMPLATE.FAT&amp;display_string=Audit&amp;VAR:KEY=SPEVSLMPQD&amp;VAR:QUERY=KENTRl9TSExEUlNfRVEoUVRSX1IsMzc0OTgpQFdTRl9TSExEUlNfRVEoUVRSLDM3NDk4KSk=&amp;WINDOW=FIRST","_POPUP&amp;HEIGHT=450&amp;WIDTH=450&amp;START_MAXIMIZED=FALSE&amp;VAR:CALENDAR=US&amp;VAR:SYMBOL=ARX&amp;VAR:INDEX=0"}</definedName>
    <definedName name="_257__FDSAUDITLINK__" hidden="1">{"fdsup://directions/FAT Viewer?action=UPDATE&amp;creator=factset&amp;DYN_ARGS=TRUE&amp;DOC_NAME=FAT:FQL_AUDITING_CLIENT_TEMPLATE.FAT&amp;display_string=Audit&amp;VAR:KEY=CBYLCVWFIZ&amp;VAR:QUERY=KENTRl9JTlRBTkcoUVRSX1IsNDEwMjkpQFdTRl9JTlRBTkcoUVRSLDQxMDI5KSk=&amp;WINDOW=FIRST_POPUP&amp;H","EIGHT=450&amp;WIDTH=450&amp;START_MAXIMIZED=FALSE&amp;VAR:CALENDAR=US&amp;VAR:SYMBOL=AMD&amp;VAR:INDEX=0"}</definedName>
    <definedName name="_258__FDSAUDITLINK__" localSheetId="0" hidden="1">{"fdsup://directions/FAT Viewer?action=UPDATE&amp;creator=factset&amp;DYN_ARGS=TRUE&amp;DOC_NAME=FAT:FQL_AUDITING_CLIENT_TEMPLATE.FAT&amp;display_string=Audit&amp;VAR:KEY=IBITWPELID&amp;VAR:QUERY=KENTRl9DT01fU0hTX09VVF9FUFNfRElMKFFUUl9SLDM3NDY4KUBXU0ZfQ09NX1NIU19PVVRfRVBTX0RJTChRV","FIsMzc0NjgpKQ==&amp;WINDOW=FIRST_POPUP&amp;HEIGHT=450&amp;WIDTH=450&amp;START_MAXIMIZED=FALSE&amp;VAR:CALENDAR=US&amp;VAR:SYMBOL=ARX&amp;VAR:INDEX=0"}</definedName>
    <definedName name="_258__FDSAUDITLINK__" hidden="1">{"fdsup://directions/FAT Viewer?action=UPDATE&amp;creator=factset&amp;DYN_ARGS=TRUE&amp;DOC_NAME=FAT:FQL_AUDITING_CLIENT_TEMPLATE.FAT&amp;display_string=Audit&amp;VAR:KEY=MZIRGRQDQT&amp;VAR:QUERY=KENTRl9TSExEUlNfRVEoUVRSX1IsNDEwMjkpQFdTRl9TSExEUlNfRVEoUVRSLDQxMDI5KSk=&amp;WINDOW=FIRST","_POPUP&amp;HEIGHT=450&amp;WIDTH=450&amp;START_MAXIMIZED=FALSE&amp;VAR:CALENDAR=US&amp;VAR:SYMBOL=AMD&amp;VAR:INDEX=0"}</definedName>
    <definedName name="_259__FDSAUDITLINK__" localSheetId="0" hidden="1">{"fdsup://directions/FAT Viewer?action=UPDATE&amp;creator=factset&amp;DYN_ARGS=TRUE&amp;DOC_NAME=FAT:FQL_AUDITING_CLIENT_TEMPLATE.FAT&amp;display_string=Audit&amp;VAR:KEY=WNWHGHMXUF&amp;VAR:QUERY=KENTRl9JTlRBTkcoUVRSX1IsMzc0NjgpQFdTRl9JTlRBTkcoUVRSLDM3NDY4KSk=&amp;WINDOW=FIRST_POPUP&amp;H","EIGHT=450&amp;WIDTH=450&amp;START_MAXIMIZED=FALSE&amp;VAR:CALENDAR=US&amp;VAR:SYMBOL=ARX&amp;VAR:INDEX=0"}</definedName>
    <definedName name="_259__FDSAUDITLINK__" hidden="1">{"fdsup://directions/FAT Viewer?action=UPDATE&amp;creator=factset&amp;DYN_ARGS=TRUE&amp;DOC_NAME=FAT:FQL_AUDITING_CLIENT_TEMPLATE.FAT&amp;display_string=Audit&amp;VAR:KEY=WNEPKPEBAB&amp;VAR:QUERY=KENTRl9DT01fU0hTX09VVF9FUFNfRElMKFFUUl9SLDQwOTk5KUBXU0ZfQ09NX1NIU19PVVRfRVBTX0RJTChRV","FIsNDA5OTkpKQ==&amp;WINDOW=FIRST_POPUP&amp;HEIGHT=450&amp;WIDTH=450&amp;START_MAXIMIZED=FALSE&amp;VAR:CALENDAR=US&amp;VAR:SYMBOL=AMD&amp;VAR:INDEX=0"}</definedName>
    <definedName name="_26__FDSAUDITLINK__" localSheetId="0" hidden="1">{"fdsup://directions/FAT Viewer?action=UPDATE&amp;creator=factset&amp;DYN_ARGS=TRUE&amp;DOC_NAME=FAT:FQL_AUDITING_CLIENT_TEMPLATE.FAT&amp;display_string=Audit&amp;VAR:KEY=OXINONKBWD&amp;VAR:QUERY=KENTRl9TSExEUlNfRVEoUVRSX1IsMzk5MDMpQFdTRl9TSExEUlNfRVEoUVRSLDM5OTAzKSk=&amp;WINDOW=FIRST","_POPUP&amp;HEIGHT=450&amp;WIDTH=450&amp;START_MAXIMIZED=FALSE&amp;VAR:CALENDAR=US&amp;VAR:SYMBOL=ARX&amp;VAR:INDEX=0"}</definedName>
    <definedName name="_26__FDSAUDITLINK__" hidden="1">{"fdsup://directions/FAT Viewer?action=UPDATE&amp;creator=factset&amp;DYN_ARGS=TRUE&amp;DOC_NAME=FAT:FQL_AUDITING_CLIENT_TEMPLATE.FAT&amp;display_string=Audit&amp;VAR:KEY=AZSVKVINOD&amp;VAR:QUERY=KENTRl9JTlRBTkcoUVRSX1IsMzY1NTYpQFdTRl9JTlRBTkcoUVRSLDM2NTU2KSk=&amp;WINDOW=FIRST_POPUP&amp;H","EIGHT=450&amp;WIDTH=450&amp;START_MAXIMIZED=FALSE&amp;VAR:CALENDAR=US&amp;VAR:SYMBOL=AMD&amp;VAR:INDEX=0"}</definedName>
    <definedName name="_260__FDSAUDITLINK__" localSheetId="0" hidden="1">{"fdsup://directions/FAT Viewer?action=UPDATE&amp;creator=factset&amp;DYN_ARGS=TRUE&amp;DOC_NAME=FAT:FQL_AUDITING_CLIENT_TEMPLATE.FAT&amp;display_string=Audit&amp;VAR:KEY=INCZUZKNUR&amp;VAR:QUERY=KENTRl9TSExEUlNfRVEoUVRSX1IsMzc0NjgpQFdTRl9TSExEUlNfRVEoUVRSLDM3NDY4KSk=&amp;WINDOW=FIRST","_POPUP&amp;HEIGHT=450&amp;WIDTH=450&amp;START_MAXIMIZED=FALSE&amp;VAR:CALENDAR=US&amp;VAR:SYMBOL=ARX&amp;VAR:INDEX=0"}</definedName>
    <definedName name="_260__FDSAUDITLINK__" hidden="1">{"fdsup://directions/FAT Viewer?action=UPDATE&amp;creator=factset&amp;DYN_ARGS=TRUE&amp;DOC_NAME=FAT:FQL_AUDITING_CLIENT_TEMPLATE.FAT&amp;display_string=Audit&amp;VAR:KEY=KDCPCRGJOX&amp;VAR:QUERY=KENTRl9JTlRBTkcoUVRSX1IsNDA5OTkpQFdTRl9JTlRBTkcoUVRSLDQwOTk5KSk=&amp;WINDOW=FIRST_POPUP&amp;H","EIGHT=450&amp;WIDTH=450&amp;START_MAXIMIZED=FALSE&amp;VAR:CALENDAR=US&amp;VAR:SYMBOL=AMD&amp;VAR:INDEX=0"}</definedName>
    <definedName name="_261__FDSAUDITLINK__" localSheetId="0" hidden="1">{"fdsup://directions/FAT Viewer?action=UPDATE&amp;creator=factset&amp;DYN_ARGS=TRUE&amp;DOC_NAME=FAT:FQL_AUDITING_CLIENT_TEMPLATE.FAT&amp;display_string=Audit&amp;VAR:KEY=SZONGJKPCL&amp;VAR:QUERY=KENTRl9DT01fU0hTX09VVF9FUFNfRElMKFFUUl9SLDM3NDM1KUBXU0ZfQ09NX1NIU19PVVRfRVBTX0RJTChRV","FIsMzc0MzUpKQ==&amp;WINDOW=FIRST_POPUP&amp;HEIGHT=450&amp;WIDTH=450&amp;START_MAXIMIZED=FALSE&amp;VAR:CALENDAR=US&amp;VAR:SYMBOL=ARX&amp;VAR:INDEX=0"}</definedName>
    <definedName name="_261__FDSAUDITLINK__" hidden="1">{"fdsup://directions/FAT Viewer?action=UPDATE&amp;creator=factset&amp;DYN_ARGS=TRUE&amp;DOC_NAME=FAT:FQL_AUDITING_CLIENT_TEMPLATE.FAT&amp;display_string=Audit&amp;VAR:KEY=AZYZAZOHSN&amp;VAR:QUERY=KENTRl9TSExEUlNfRVEoUVRSX1IsNDA5OTkpQFdTRl9TSExEUlNfRVEoUVRSLDQwOTk5KSk=&amp;WINDOW=FIRST","_POPUP&amp;HEIGHT=450&amp;WIDTH=450&amp;START_MAXIMIZED=FALSE&amp;VAR:CALENDAR=US&amp;VAR:SYMBOL=AMD&amp;VAR:INDEX=0"}</definedName>
    <definedName name="_262__FDSAUDITLINK__" hidden="1">{"fdsup://directions/FAT Viewer?action=UPDATE&amp;creator=factset&amp;DYN_ARGS=TRUE&amp;DOC_NAME=FAT:FQL_AUDITING_CLIENT_TEMPLATE.FAT&amp;display_string=Audit&amp;VAR:KEY=UVAFIDWRYV&amp;VAR:QUERY=KENTRl9JTlRBTkcoUVRSX1IsMzc0MzUpQFdTRl9JTlRBTkcoUVRSLDM3NDM1KSk=&amp;WINDOW=FIRST_POPUP&amp;H","EIGHT=450&amp;WIDTH=450&amp;START_MAXIMIZED=FALSE&amp;VAR:CALENDAR=US&amp;VAR:SYMBOL=ARX&amp;VAR:INDEX=0"}</definedName>
    <definedName name="_263__FDSAUDITLINK__" hidden="1">{"fdsup://directions/FAT Viewer?action=UPDATE&amp;creator=factset&amp;DYN_ARGS=TRUE&amp;DOC_NAME=FAT:FQL_AUDITING_CLIENT_TEMPLATE.FAT&amp;display_string=Audit&amp;VAR:KEY=MJAJGDCFAV&amp;VAR:QUERY=KENTRl9TSExEUlNfRVEoUVRSX1IsMzc0MzUpQFdTRl9TSExEUlNfRVEoUVRSLDM3NDM1KSk=&amp;WINDOW=FIRST","_POPUP&amp;HEIGHT=450&amp;WIDTH=450&amp;START_MAXIMIZED=FALSE&amp;VAR:CALENDAR=US&amp;VAR:SYMBOL=ARX&amp;VAR:INDEX=0"}</definedName>
    <definedName name="_264__FDSAUDITLINK__" hidden="1">{"fdsup://directions/FAT Viewer?action=UPDATE&amp;creator=factset&amp;DYN_ARGS=TRUE&amp;DOC_NAME=FAT:FQL_AUDITING_CLIENT_TEMPLATE.FAT&amp;display_string=Audit&amp;VAR:KEY=GDEHYLSTET&amp;VAR:QUERY=KENTRl9DT01fU0hTX09VVF9FUFNfRElMKFFUUl9SLDM3NDA3KUBXU0ZfQ09NX1NIU19PVVRfRVBTX0RJTChRV","FIsMzc0MDcpKQ==&amp;WINDOW=FIRST_POPUP&amp;HEIGHT=450&amp;WIDTH=450&amp;START_MAXIMIZED=FALSE&amp;VAR:CALENDAR=US&amp;VAR:SYMBOL=ARX&amp;VAR:INDEX=0"}</definedName>
    <definedName name="_265__FDSAUDITLINK__" localSheetId="0" hidden="1">{"fdsup://directions/FAT Viewer?action=UPDATE&amp;creator=factset&amp;DYN_ARGS=TRUE&amp;DOC_NAME=FAT:FQL_AUDITING_CLIENT_TEMPLATE.FAT&amp;display_string=Audit&amp;VAR:KEY=OBWZINSBEV&amp;VAR:QUERY=KENTRl9JTlRBTkcoUVRSX1IsMzc0MDcpQFdTRl9JTlRBTkcoUVRSLDM3NDA3KSk=&amp;WINDOW=FIRST_POPUP&amp;H","EIGHT=450&amp;WIDTH=450&amp;START_MAXIMIZED=FALSE&amp;VAR:CALENDAR=US&amp;VAR:SYMBOL=ARX&amp;VAR:INDEX=0"}</definedName>
    <definedName name="_265__FDSAUDITLINK__" hidden="1">{"fdsup://directions/FAT Viewer?action=UPDATE&amp;creator=factset&amp;DYN_ARGS=TRUE&amp;DOC_NAME=FAT:FQL_AUDITING_CLIENT_TEMPLATE.FAT&amp;display_string=Audit&amp;VAR:KEY=MBMBGDUVIT&amp;VAR:QUERY=KENTRl9TSExEUlNfRVEoUVRSX1IsNDEwOTApQFdTRl9TSExEUlNfRVEoUVRSLDQxMDkwKSk=&amp;WINDOW=FIRST","_POPUP&amp;HEIGHT=450&amp;WIDTH=450&amp;START_MAXIMIZED=FALSE&amp;VAR:CALENDAR=US&amp;VAR:SYMBOL=AMD&amp;VAR:INDEX=0"}</definedName>
    <definedName name="_266__FDSAUDITLINK__" localSheetId="0" hidden="1">{"fdsup://directions/FAT Viewer?action=UPDATE&amp;creator=factset&amp;DYN_ARGS=TRUE&amp;DOC_NAME=FAT:FQL_AUDITING_CLIENT_TEMPLATE.FAT&amp;display_string=Audit&amp;VAR:KEY=YRMPATCVMH&amp;VAR:QUERY=KENTRl9TSExEUlNfRVEoUVRSX1IsMzc0MDcpQFdTRl9TSExEUlNfRVEoUVRSLDM3NDA3KSk=&amp;WINDOW=FIRST","_POPUP&amp;HEIGHT=450&amp;WIDTH=450&amp;START_MAXIMIZED=FALSE&amp;VAR:CALENDAR=US&amp;VAR:SYMBOL=ARX&amp;VAR:INDEX=0"}</definedName>
    <definedName name="_266__FDSAUDITLINK__" hidden="1">{"fdsup://directions/FAT Viewer?action=UPDATE&amp;creator=factset&amp;DYN_ARGS=TRUE&amp;DOC_NAME=FAT:FQL_AUDITING_CLIENT_TEMPLATE.FAT&amp;display_string=Audit&amp;VAR:KEY=GHMLMVQLGL&amp;VAR:QUERY=KENTRl9JTlRBTkcoUVRSX1IsNDEwOTApQFdTRl9JTlRBTkcoUVRSLDQxMDkwKSk=&amp;WINDOW=FIRST_POPUP&amp;H","EIGHT=450&amp;WIDTH=450&amp;START_MAXIMIZED=FALSE&amp;VAR:CALENDAR=US&amp;VAR:SYMBOL=AMD&amp;VAR:INDEX=0"}</definedName>
    <definedName name="_267__FDSAUDITLINK__" localSheetId="0" hidden="1">{"fdsup://directions/FAT Viewer?action=UPDATE&amp;creator=factset&amp;DYN_ARGS=TRUE&amp;DOC_NAME=FAT:FQL_AUDITING_CLIENT_TEMPLATE.FAT&amp;display_string=Audit&amp;VAR:KEY=YFWHAFGTMX&amp;VAR:QUERY=KENTRl9DT01fU0hTX09VVF9FUFNfRElMKFFUUl9SLDM3Mzc2KUBXU0ZfQ09NX1NIU19PVVRfRVBTX0RJTChRV","FIsMzczNzYpKQ==&amp;WINDOW=FIRST_POPUP&amp;HEIGHT=450&amp;WIDTH=450&amp;START_MAXIMIZED=FALSE&amp;VAR:CALENDAR=US&amp;VAR:SYMBOL=ARX&amp;VAR:INDEX=0"}</definedName>
    <definedName name="_267__FDSAUDITLINK__" hidden="1">{"fdsup://directions/FAT Viewer?action=UPDATE&amp;creator=factset&amp;DYN_ARGS=TRUE&amp;DOC_NAME=FAT:FQL_AUDITING_CLIENT_TEMPLATE.FAT&amp;display_string=Audit&amp;VAR:KEY=KVGVQJQJSV&amp;VAR:QUERY=KENTRl9DT01fU0hTX09VVF9FUFNfRElMKFFUUl9SLDQxMDkwKUBXU0ZfQ09NX1NIU19PVVRfRVBTX0RJTChRV","FIsNDEwOTApKQ==&amp;WINDOW=FIRST_POPUP&amp;HEIGHT=450&amp;WIDTH=450&amp;START_MAXIMIZED=FALSE&amp;VAR:CALENDAR=US&amp;VAR:SYMBOL=AMD&amp;VAR:INDEX=0"}</definedName>
    <definedName name="_268__FDSAUDITLINK__" hidden="1">{"fdsup://directions/FAT Viewer?action=UPDATE&amp;creator=factset&amp;DYN_ARGS=TRUE&amp;DOC_NAME=FAT:FQL_AUDITING_CLIENT_TEMPLATE.FAT&amp;display_string=Audit&amp;VAR:KEY=ENADMRKBAP&amp;VAR:QUERY=KENTRl9JTlRBTkcoUVRSX1IsMzczNzYpQFdTRl9JTlRBTkcoUVRSLDM3Mzc2KSk=&amp;WINDOW=FIRST_POPUP&amp;H","EIGHT=450&amp;WIDTH=450&amp;START_MAXIMIZED=FALSE&amp;VAR:CALENDAR=US&amp;VAR:SYMBOL=ARX&amp;VAR:INDEX=0"}</definedName>
    <definedName name="_269__FDSAUDITLINK__" hidden="1">{"fdsup://directions/FAT Viewer?action=UPDATE&amp;creator=factset&amp;DYN_ARGS=TRUE&amp;DOC_NAME=FAT:FQL_AUDITING_CLIENT_TEMPLATE.FAT&amp;display_string=Audit&amp;VAR:KEY=AJAJEJSVUD&amp;VAR:QUERY=KENTRl9TSExEUlNfRVEoUVRSX1IsMzczNzYpQFdTRl9TSExEUlNfRVEoUVRSLDM3Mzc2KSk=&amp;WINDOW=FIRST","_POPUP&amp;HEIGHT=450&amp;WIDTH=450&amp;START_MAXIMIZED=FALSE&amp;VAR:CALENDAR=US&amp;VAR:SYMBOL=ARX&amp;VAR:INDEX=0"}</definedName>
    <definedName name="_27__FDSAUDITLINK__" localSheetId="0" hidden="1">{"fdsup://directions/FAT Viewer?action=UPDATE&amp;creator=factset&amp;DYN_ARGS=TRUE&amp;DOC_NAME=FAT:FQL_AUDITING_CLIENT_TEMPLATE.FAT&amp;display_string=Audit&amp;VAR:KEY=EDOFSROLUP&amp;VAR:QUERY=KENTRl9JTlRBTkcoUVRSX1IsMzk4NzEpQFdTRl9JTlRBTkcoUVRSLDM5ODcxKSk=&amp;WINDOW=FIRST_POPUP&amp;H","EIGHT=450&amp;WIDTH=450&amp;START_MAXIMIZED=FALSE&amp;VAR:CALENDAR=US&amp;VAR:SYMBOL=ARX&amp;VAR:INDEX=0"}</definedName>
    <definedName name="_27__FDSAUDITLINK__" hidden="1">{"fdsup://directions/FAT Viewer?action=UPDATE&amp;creator=factset&amp;DYN_ARGS=TRUE&amp;DOC_NAME=FAT:FQL_AUDITING_CLIENT_TEMPLATE.FAT&amp;display_string=Audit&amp;VAR:KEY=CZWFQBERIZ&amp;VAR:QUERY=KENTRl9JTlRBTkcoUVRSX1IsMzY1MjUpQFdTRl9JTlRBTkcoUVRSLDM2NTI1KSk=&amp;WINDOW=FIRST_POPUP&amp;H","EIGHT=450&amp;WIDTH=450&amp;START_MAXIMIZED=FALSE&amp;VAR:CALENDAR=US&amp;VAR:SYMBOL=AMD&amp;VAR:INDEX=0"}</definedName>
    <definedName name="_270__FDSAUDITLINK__" hidden="1">{"fdsup://directions/FAT Viewer?action=UPDATE&amp;creator=factset&amp;DYN_ARGS=TRUE&amp;DOC_NAME=FAT:FQL_AUDITING_CLIENT_TEMPLATE.FAT&amp;display_string=Audit&amp;VAR:KEY=IHORKVUXCT&amp;VAR:QUERY=KENTRl9DT01fU0hTX09VVF9FUFNfRElMKFFUUl9SLDM3MzQzKUBXU0ZfQ09NX1NIU19PVVRfRVBTX0RJTChRV","FIsMzczNDMpKQ==&amp;WINDOW=FIRST_POPUP&amp;HEIGHT=450&amp;WIDTH=450&amp;START_MAXIMIZED=FALSE&amp;VAR:CALENDAR=US&amp;VAR:SYMBOL=ARX&amp;VAR:INDEX=0"}</definedName>
    <definedName name="_271__FDSAUDITLINK__" hidden="1">{"fdsup://directions/FAT Viewer?action=UPDATE&amp;creator=factset&amp;DYN_ARGS=TRUE&amp;DOC_NAME=FAT:FQL_AUDITING_CLIENT_TEMPLATE.FAT&amp;display_string=Audit&amp;VAR:KEY=MLMJMHMVED&amp;VAR:QUERY=KENTRl9JTlRBTkcoUVRSX1IsMzczNDMpQFdTRl9JTlRBTkcoUVRSLDM3MzQzKSk=&amp;WINDOW=FIRST_POPUP&amp;H","EIGHT=450&amp;WIDTH=450&amp;START_MAXIMIZED=FALSE&amp;VAR:CALENDAR=US&amp;VAR:SYMBOL=ARX&amp;VAR:INDEX=0"}</definedName>
    <definedName name="_272__FDSAUDITLINK__" hidden="1">{"fdsup://directions/FAT Viewer?action=UPDATE&amp;creator=factset&amp;DYN_ARGS=TRUE&amp;DOC_NAME=FAT:FQL_AUDITING_CLIENT_TEMPLATE.FAT&amp;display_string=Audit&amp;VAR:KEY=INILYXGTWR&amp;VAR:QUERY=KENTRl9TSExEUlNfRVEoUVRSX1IsMzczNDMpQFdTRl9TSExEUlNfRVEoUVRSLDM3MzQzKSk=&amp;WINDOW=FIRST","_POPUP&amp;HEIGHT=450&amp;WIDTH=450&amp;START_MAXIMIZED=FALSE&amp;VAR:CALENDAR=US&amp;VAR:SYMBOL=ARX&amp;VAR:INDEX=0"}</definedName>
    <definedName name="_273__FDSAUDITLINK__" hidden="1">{"fdsup://directions/FAT Viewer?action=UPDATE&amp;creator=factset&amp;DYN_ARGS=TRUE&amp;DOC_NAME=FAT:FQL_AUDITING_CLIENT_TEMPLATE.FAT&amp;display_string=Audit&amp;VAR:KEY=OXAJADGZIL&amp;VAR:QUERY=KENTRl9DT01fU0hTX09VVF9FUFNfRElMKFFUUl9SLDM3MzE1KUBXU0ZfQ09NX1NIU19PVVRfRVBTX0RJTChRV","FIsMzczMTUpKQ==&amp;WINDOW=FIRST_POPUP&amp;HEIGHT=450&amp;WIDTH=450&amp;START_MAXIMIZED=FALSE&amp;VAR:CALENDAR=US&amp;VAR:SYMBOL=ARX&amp;VAR:INDEX=0"}</definedName>
    <definedName name="_274__FDSAUDITLINK__" hidden="1">{"fdsup://directions/FAT Viewer?action=UPDATE&amp;creator=factset&amp;DYN_ARGS=TRUE&amp;DOC_NAME=FAT:FQL_AUDITING_CLIENT_TEMPLATE.FAT&amp;display_string=Audit&amp;VAR:KEY=SPUTGLKPIB&amp;VAR:QUERY=KENTRl9JTlRBTkcoUVRSX1IsMzczMTUpQFdTRl9JTlRBTkcoUVRSLDM3MzE1KSk=&amp;WINDOW=FIRST_POPUP&amp;H","EIGHT=450&amp;WIDTH=450&amp;START_MAXIMIZED=FALSE&amp;VAR:CALENDAR=US&amp;VAR:SYMBOL=ARX&amp;VAR:INDEX=0"}</definedName>
    <definedName name="_275__FDSAUDITLINK__" hidden="1">{"fdsup://directions/FAT Viewer?action=UPDATE&amp;creator=factset&amp;DYN_ARGS=TRUE&amp;DOC_NAME=FAT:FQL_AUDITING_CLIENT_TEMPLATE.FAT&amp;display_string=Audit&amp;VAR:KEY=WPWHIVULOP&amp;VAR:QUERY=KENTRl9TSExEUlNfRVEoUVRSX1IsMzczMTUpQFdTRl9TSExEUlNfRVEoUVRSLDM3MzE1KSk=&amp;WINDOW=FIRST","_POPUP&amp;HEIGHT=450&amp;WIDTH=450&amp;START_MAXIMIZED=FALSE&amp;VAR:CALENDAR=US&amp;VAR:SYMBOL=ARX&amp;VAR:INDEX=0"}</definedName>
    <definedName name="_276__FDSAUDITLINK__" hidden="1">{"fdsup://directions/FAT Viewer?action=UPDATE&amp;creator=factset&amp;DYN_ARGS=TRUE&amp;DOC_NAME=FAT:FQL_AUDITING_CLIENT_TEMPLATE.FAT&amp;display_string=Audit&amp;VAR:KEY=KJYHEBOTUL&amp;VAR:QUERY=KENTRl9DT01fU0hTX09VVF9FUFNfRElMKFFUUl9SLDM3Mjg3KUBXU0ZfQ09NX1NIU19PVVRfRVBTX0RJTChRV","FIsMzcyODcpKQ==&amp;WINDOW=FIRST_POPUP&amp;HEIGHT=450&amp;WIDTH=450&amp;START_MAXIMIZED=FALSE&amp;VAR:CALENDAR=US&amp;VAR:SYMBOL=ARX&amp;VAR:INDEX=0"}</definedName>
    <definedName name="_277__FDSAUDITLINK__" hidden="1">{"fdsup://directions/FAT Viewer?action=UPDATE&amp;creator=factset&amp;DYN_ARGS=TRUE&amp;DOC_NAME=FAT:FQL_AUDITING_CLIENT_TEMPLATE.FAT&amp;display_string=Audit&amp;VAR:KEY=GTYNGXCREV&amp;VAR:QUERY=KENTRl9JTlRBTkcoUVRSX1IsMzcyODcpQFdTRl9JTlRBTkcoUVRSLDM3Mjg3KSk=&amp;WINDOW=FIRST_POPUP&amp;H","EIGHT=450&amp;WIDTH=450&amp;START_MAXIMIZED=FALSE&amp;VAR:CALENDAR=US&amp;VAR:SYMBOL=ARX&amp;VAR:INDEX=0"}</definedName>
    <definedName name="_278__FDSAUDITLINK__" hidden="1">{"fdsup://directions/FAT Viewer?action=UPDATE&amp;creator=factset&amp;DYN_ARGS=TRUE&amp;DOC_NAME=FAT:FQL_AUDITING_CLIENT_TEMPLATE.FAT&amp;display_string=Audit&amp;VAR:KEY=ULODEBOZIX&amp;VAR:QUERY=KENTRl9TSExEUlNfRVEoUVRSX1IsMzcyODcpQFdTRl9TSExEUlNfRVEoUVRSLDM3Mjg3KSk=&amp;WINDOW=FIRST","_POPUP&amp;HEIGHT=450&amp;WIDTH=450&amp;START_MAXIMIZED=FALSE&amp;VAR:CALENDAR=US&amp;VAR:SYMBOL=ARX&amp;VAR:INDEX=0"}</definedName>
    <definedName name="_279__FDSAUDITLINK__" hidden="1">{"fdsup://directions/FAT Viewer?action=UPDATE&amp;creator=factset&amp;DYN_ARGS=TRUE&amp;DOC_NAME=FAT:FQL_AUDITING_CLIENT_TEMPLATE.FAT&amp;display_string=Audit&amp;VAR:KEY=MJETYXEDAT&amp;VAR:QUERY=KENTRl9DT01fU0hTX09VVF9FUFNfRElMKFFUUl9SLDM3MjU2KUBXU0ZfQ09NX1NIU19PVVRfRVBTX0RJTChRV","FIsMzcyNTYpKQ==&amp;WINDOW=FIRST_POPUP&amp;HEIGHT=450&amp;WIDTH=450&amp;START_MAXIMIZED=FALSE&amp;VAR:CALENDAR=US&amp;VAR:SYMBOL=ARX&amp;VAR:INDEX=0"}</definedName>
    <definedName name="_28__FDSAUDITLINK__" localSheetId="0" hidden="1">{"fdsup://directions/FAT Viewer?action=UPDATE&amp;creator=factset&amp;DYN_ARGS=TRUE&amp;DOC_NAME=FAT:FQL_AUDITING_CLIENT_TEMPLATE.FAT&amp;display_string=Audit&amp;VAR:KEY=GDYRMBCRST&amp;VAR:QUERY=KENTRl9TSExEUlNfRVEoUVRSX1IsMzk4NzEpQFdTRl9TSExEUlNfRVEoUVRSLDM5ODcxKSk=&amp;WINDOW=FIRST","_POPUP&amp;HEIGHT=450&amp;WIDTH=450&amp;START_MAXIMIZED=FALSE&amp;VAR:CALENDAR=US&amp;VAR:SYMBOL=ARX&amp;VAR:INDEX=0"}</definedName>
    <definedName name="_28__FDSAUDITLINK__" hidden="1">{"fdsup://directions/FAT Viewer?action=UPDATE&amp;creator=factset&amp;DYN_ARGS=TRUE&amp;DOC_NAME=FAT:FQL_AUDITING_CLIENT_TEMPLATE.FAT&amp;display_string=Audit&amp;VAR:KEY=OFIZMPANOL&amp;VAR:QUERY=KENTRl9JTlRBTkcoUVRSX1IsMzY0OTQpQFdTRl9JTlRBTkcoUVRSLDM2NDk0KSk=&amp;WINDOW=FIRST_POPUP&amp;H","EIGHT=450&amp;WIDTH=450&amp;START_MAXIMIZED=FALSE&amp;VAR:CALENDAR=US&amp;VAR:SYMBOL=AMD&amp;VAR:INDEX=0"}</definedName>
    <definedName name="_280__FDSAUDITLINK__" hidden="1">{"fdsup://directions/FAT Viewer?action=UPDATE&amp;creator=factset&amp;DYN_ARGS=TRUE&amp;DOC_NAME=FAT:FQL_AUDITING_CLIENT_TEMPLATE.FAT&amp;display_string=Audit&amp;VAR:KEY=GLIFKDAFQZ&amp;VAR:QUERY=KENTRl9JTlRBTkcoUVRSX1IsMzcyNTYpQFdTRl9JTlRBTkcoUVRSLDM3MjU2KSk=&amp;WINDOW=FIRST_POPUP&amp;H","EIGHT=450&amp;WIDTH=450&amp;START_MAXIMIZED=FALSE&amp;VAR:CALENDAR=US&amp;VAR:SYMBOL=ARX&amp;VAR:INDEX=0"}</definedName>
    <definedName name="_281__FDSAUDITLINK__" hidden="1">{"fdsup://directions/FAT Viewer?action=UPDATE&amp;creator=factset&amp;DYN_ARGS=TRUE&amp;DOC_NAME=FAT:FQL_AUDITING_CLIENT_TEMPLATE.FAT&amp;display_string=Audit&amp;VAR:KEY=EZOBMNEJMN&amp;VAR:QUERY=KENTRl9TSExEUlNfRVEoUVRSX1IsMzcyNTYpQFdTRl9TSExEUlNfRVEoUVRSLDM3MjU2KSk=&amp;WINDOW=FIRST","_POPUP&amp;HEIGHT=450&amp;WIDTH=450&amp;START_MAXIMIZED=FALSE&amp;VAR:CALENDAR=US&amp;VAR:SYMBOL=ARX&amp;VAR:INDEX=0"}</definedName>
    <definedName name="_282__FDSAUDITLINK__" hidden="1">{"fdsup://directions/FAT Viewer?action=UPDATE&amp;creator=factset&amp;DYN_ARGS=TRUE&amp;DOC_NAME=FAT:FQL_AUDITING_CLIENT_TEMPLATE.FAT&amp;display_string=Audit&amp;VAR:KEY=QXKTSLOBCL&amp;VAR:QUERY=KENTRl9DT01fU0hTX09VVF9FUFNfRElMKFFUUl9SLDM3MjI1KUBXU0ZfQ09NX1NIU19PVVRfRVBTX0RJTChRV","FIsMzcyMjUpKQ==&amp;WINDOW=FIRST_POPUP&amp;HEIGHT=450&amp;WIDTH=450&amp;START_MAXIMIZED=FALSE&amp;VAR:CALENDAR=US&amp;VAR:SYMBOL=ARX&amp;VAR:INDEX=0"}</definedName>
    <definedName name="_283__FDSAUDITLINK__" hidden="1">{"fdsup://directions/FAT Viewer?action=UPDATE&amp;creator=factset&amp;DYN_ARGS=TRUE&amp;DOC_NAME=FAT:FQL_AUDITING_CLIENT_TEMPLATE.FAT&amp;display_string=Audit&amp;VAR:KEY=UVWJCPEZOL&amp;VAR:QUERY=KENTRl9JTlRBTkcoUVRSX1IsMzcyMjUpQFdTRl9JTlRBTkcoUVRSLDM3MjI1KSk=&amp;WINDOW=FIRST_POPUP&amp;H","EIGHT=450&amp;WIDTH=450&amp;START_MAXIMIZED=FALSE&amp;VAR:CALENDAR=US&amp;VAR:SYMBOL=ARX&amp;VAR:INDEX=0"}</definedName>
    <definedName name="_284__FDSAUDITLINK__" hidden="1">{"fdsup://directions/FAT Viewer?action=UPDATE&amp;creator=factset&amp;DYN_ARGS=TRUE&amp;DOC_NAME=FAT:FQL_AUDITING_CLIENT_TEMPLATE.FAT&amp;display_string=Audit&amp;VAR:KEY=YZCLGVATCB&amp;VAR:QUERY=KENTRl9TSExEUlNfRVEoUVRSX1IsMzcyMjUpQFdTRl9TSExEUlNfRVEoUVRSLDM3MjI1KSk=&amp;WINDOW=FIRST","_POPUP&amp;HEIGHT=450&amp;WIDTH=450&amp;START_MAXIMIZED=FALSE&amp;VAR:CALENDAR=US&amp;VAR:SYMBOL=ARX&amp;VAR:INDEX=0"}</definedName>
    <definedName name="_285__FDSAUDITLINK__" hidden="1">{"fdsup://directions/FAT Viewer?action=UPDATE&amp;creator=factset&amp;DYN_ARGS=TRUE&amp;DOC_NAME=FAT:FQL_AUDITING_CLIENT_TEMPLATE.FAT&amp;display_string=Audit&amp;VAR:KEY=EHEXUNKXMP&amp;VAR:QUERY=KENTRl9DT01fU0hTX09VVF9FUFNfRElMKFFUUl9SLDM3MTk1KUBXU0ZfQ09NX1NIU19PVVRfRVBTX0RJTChRV","FIsMzcxOTUpKQ==&amp;WINDOW=FIRST_POPUP&amp;HEIGHT=450&amp;WIDTH=450&amp;START_MAXIMIZED=FALSE&amp;VAR:CALENDAR=US&amp;VAR:SYMBOL=ARX&amp;VAR:INDEX=0"}</definedName>
    <definedName name="_286__FDSAUDITLINK__" hidden="1">{"fdsup://directions/FAT Viewer?action=UPDATE&amp;creator=factset&amp;DYN_ARGS=TRUE&amp;DOC_NAME=FAT:FQL_AUDITING_CLIENT_TEMPLATE.FAT&amp;display_string=Audit&amp;VAR:KEY=IXWFSXQJIL&amp;VAR:QUERY=KENTRl9JTlRBTkcoUVRSX1IsMzcxOTUpQFdTRl9JTlRBTkcoUVRSLDM3MTk1KSk=&amp;WINDOW=FIRST_POPUP&amp;H","EIGHT=450&amp;WIDTH=450&amp;START_MAXIMIZED=FALSE&amp;VAR:CALENDAR=US&amp;VAR:SYMBOL=ARX&amp;VAR:INDEX=0"}</definedName>
    <definedName name="_287__FDSAUDITLINK__" hidden="1">{"fdsup://directions/FAT Viewer?action=UPDATE&amp;creator=factset&amp;DYN_ARGS=TRUE&amp;DOC_NAME=FAT:FQL_AUDITING_CLIENT_TEMPLATE.FAT&amp;display_string=Audit&amp;VAR:KEY=QBATWZSDAF&amp;VAR:QUERY=KENTRl9TSExEUlNfRVEoUVRSX1IsMzcxOTUpQFdTRl9TSExEUlNfRVEoUVRSLDM3MTk1KSk=&amp;WINDOW=FIRST","_POPUP&amp;HEIGHT=450&amp;WIDTH=450&amp;START_MAXIMIZED=FALSE&amp;VAR:CALENDAR=US&amp;VAR:SYMBOL=ARX&amp;VAR:INDEX=0"}</definedName>
    <definedName name="_288__FDSAUDITLINK__" hidden="1">{"fdsup://directions/FAT Viewer?action=UPDATE&amp;creator=factset&amp;DYN_ARGS=TRUE&amp;DOC_NAME=FAT:FQL_AUDITING_CLIENT_TEMPLATE.FAT&amp;display_string=Audit&amp;VAR:KEY=ENMVCLCJKJ&amp;VAR:QUERY=KENTRl9DT01fU0hTX09VVF9FUFNfRElMKFFUUl9SLDM3MTYyKUBXU0ZfQ09NX1NIU19PVVRfRVBTX0RJTChRV","FIsMzcxNjIpKQ==&amp;WINDOW=FIRST_POPUP&amp;HEIGHT=450&amp;WIDTH=450&amp;START_MAXIMIZED=FALSE&amp;VAR:CALENDAR=US&amp;VAR:SYMBOL=ARX&amp;VAR:INDEX=0"}</definedName>
    <definedName name="_289__FDSAUDITLINK__" hidden="1">{"fdsup://directions/FAT Viewer?action=UPDATE&amp;creator=factset&amp;DYN_ARGS=TRUE&amp;DOC_NAME=FAT:FQL_AUDITING_CLIENT_TEMPLATE.FAT&amp;display_string=Audit&amp;VAR:KEY=KLCDCTENSD&amp;VAR:QUERY=KENTRl9JTlRBTkcoUVRSX1IsMzcxNjIpQFdTRl9JTlRBTkcoUVRSLDM3MTYyKSk=&amp;WINDOW=FIRST_POPUP&amp;H","EIGHT=450&amp;WIDTH=450&amp;START_MAXIMIZED=FALSE&amp;VAR:CALENDAR=US&amp;VAR:SYMBOL=ARX&amp;VAR:INDEX=0"}</definedName>
    <definedName name="_29__FDSAUDITLINK__" localSheetId="0" hidden="1">{"fdsup://directions/FAT Viewer?action=UPDATE&amp;creator=factset&amp;DYN_ARGS=TRUE&amp;DOC_NAME=FAT:FQL_AUDITING_CLIENT_TEMPLATE.FAT&amp;display_string=Audit&amp;VAR:KEY=GJEFUPSNCH&amp;VAR:QUERY=KENTRl9JTlRBTkcoUVRSX1IsMzk4NDMpQFdTRl9JTlRBTkcoUVRSLDM5ODQzKSk=&amp;WINDOW=FIRST_POPUP&amp;H","EIGHT=450&amp;WIDTH=450&amp;START_MAXIMIZED=FALSE&amp;VAR:CALENDAR=US&amp;VAR:SYMBOL=ARX&amp;VAR:INDEX=0"}</definedName>
    <definedName name="_29__FDSAUDITLINK__" hidden="1">{"fdsup://directions/FAT Viewer?action=UPDATE&amp;creator=factset&amp;DYN_ARGS=TRUE&amp;DOC_NAME=FAT:FQL_AUDITING_CLIENT_TEMPLATE.FAT&amp;display_string=Audit&amp;VAR:KEY=QDYPCNUPAH&amp;VAR:QUERY=KENTRl9JTlRBTkcoUVRSX1IsMzY0NjIpQFdTRl9JTlRBTkcoUVRSLDM2NDYyKSk=&amp;WINDOW=FIRST_POPUP&amp;H","EIGHT=450&amp;WIDTH=450&amp;START_MAXIMIZED=FALSE&amp;VAR:CALENDAR=US&amp;VAR:SYMBOL=AMD&amp;VAR:INDEX=0"}</definedName>
    <definedName name="_290__FDSAUDITLINK__" hidden="1">{"fdsup://directions/FAT Viewer?action=UPDATE&amp;creator=factset&amp;DYN_ARGS=TRUE&amp;DOC_NAME=FAT:FQL_AUDITING_CLIENT_TEMPLATE.FAT&amp;display_string=Audit&amp;VAR:KEY=SBOHUDSDOF&amp;VAR:QUERY=KENTRl9TSExEUlNfRVEoUVRSX1IsMzcxNjIpQFdTRl9TSExEUlNfRVEoUVRSLDM3MTYyKSk=&amp;WINDOW=FIRST","_POPUP&amp;HEIGHT=450&amp;WIDTH=450&amp;START_MAXIMIZED=FALSE&amp;VAR:CALENDAR=US&amp;VAR:SYMBOL=ARX&amp;VAR:INDEX=0"}</definedName>
    <definedName name="_291__FDSAUDITLINK__" hidden="1">{"fdsup://directions/FAT Viewer?action=UPDATE&amp;creator=factset&amp;DYN_ARGS=TRUE&amp;DOC_NAME=FAT:FQL_AUDITING_CLIENT_TEMPLATE.FAT&amp;display_string=Audit&amp;VAR:KEY=CVAPOVAPIJ&amp;VAR:QUERY=KENTRl9DT01fU0hTX09VVF9FUFNfRElMKFFUUl9SLDM3MTM0KUBXU0ZfQ09NX1NIU19PVVRfRVBTX0RJTChRV","FIsMzcxMzQpKQ==&amp;WINDOW=FIRST_POPUP&amp;HEIGHT=450&amp;WIDTH=450&amp;START_MAXIMIZED=FALSE&amp;VAR:CALENDAR=US&amp;VAR:SYMBOL=ARX&amp;VAR:INDEX=0"}</definedName>
    <definedName name="_292__FDSAUDITLINK__" hidden="1">{"fdsup://directions/FAT Viewer?action=UPDATE&amp;creator=factset&amp;DYN_ARGS=TRUE&amp;DOC_NAME=FAT:FQL_AUDITING_CLIENT_TEMPLATE.FAT&amp;display_string=Audit&amp;VAR:KEY=ONWTSFKDUB&amp;VAR:QUERY=KENTRl9JTlRBTkcoUVRSX1IsMzcxMzQpQFdTRl9JTlRBTkcoUVRSLDM3MTM0KSk=&amp;WINDOW=FIRST_POPUP&amp;H","EIGHT=450&amp;WIDTH=450&amp;START_MAXIMIZED=FALSE&amp;VAR:CALENDAR=US&amp;VAR:SYMBOL=ARX&amp;VAR:INDEX=0"}</definedName>
    <definedName name="_293__FDSAUDITLINK__" hidden="1">{"fdsup://directions/FAT Viewer?action=UPDATE&amp;creator=factset&amp;DYN_ARGS=TRUE&amp;DOC_NAME=FAT:FQL_AUDITING_CLIENT_TEMPLATE.FAT&amp;display_string=Audit&amp;VAR:KEY=GRYBUBOJIX&amp;VAR:QUERY=KENTRl9TSExEUlNfRVEoUVRSX1IsMzcxMzQpQFdTRl9TSExEUlNfRVEoUVRSLDM3MTM0KSk=&amp;WINDOW=FIRST","_POPUP&amp;HEIGHT=450&amp;WIDTH=450&amp;START_MAXIMIZED=FALSE&amp;VAR:CALENDAR=US&amp;VAR:SYMBOL=ARX&amp;VAR:INDEX=0"}</definedName>
    <definedName name="_294__FDSAUDITLINK__" hidden="1">{"fdsup://directions/FAT Viewer?action=UPDATE&amp;creator=factset&amp;DYN_ARGS=TRUE&amp;DOC_NAME=FAT:FQL_AUDITING_CLIENT_TEMPLATE.FAT&amp;display_string=Audit&amp;VAR:KEY=QFQXQBEZOZ&amp;VAR:QUERY=KENTRl9DT01fU0hTX09VVF9FUFNfRElMKFFUUl9SLDM3MTAzKUBXU0ZfQ09NX1NIU19PVVRfRVBTX0RJTChRV","FIsMzcxMDMpKQ==&amp;WINDOW=FIRST_POPUP&amp;HEIGHT=450&amp;WIDTH=450&amp;START_MAXIMIZED=FALSE&amp;VAR:CALENDAR=US&amp;VAR:SYMBOL=ARX&amp;VAR:INDEX=0"}</definedName>
    <definedName name="_295__FDSAUDITLINK__" hidden="1">{"fdsup://directions/FAT Viewer?action=UPDATE&amp;creator=factset&amp;DYN_ARGS=TRUE&amp;DOC_NAME=FAT:FQL_AUDITING_CLIENT_TEMPLATE.FAT&amp;display_string=Audit&amp;VAR:KEY=IHQFITOPSZ&amp;VAR:QUERY=KENTRl9JTlRBTkcoUVRSX1IsMzcxMDMpQFdTRl9JTlRBTkcoUVRSLDM3MTAzKSk=&amp;WINDOW=FIRST_POPUP&amp;H","EIGHT=450&amp;WIDTH=450&amp;START_MAXIMIZED=FALSE&amp;VAR:CALENDAR=US&amp;VAR:SYMBOL=ARX&amp;VAR:INDEX=0"}</definedName>
    <definedName name="_296__FDSAUDITLINK__" hidden="1">{"fdsup://directions/FAT Viewer?action=UPDATE&amp;creator=factset&amp;DYN_ARGS=TRUE&amp;DOC_NAME=FAT:FQL_AUDITING_CLIENT_TEMPLATE.FAT&amp;display_string=Audit&amp;VAR:KEY=IJKZEDGLIJ&amp;VAR:QUERY=KENTRl9TSExEUlNfRVEoUVRSX1IsMzcxMDMpQFdTRl9TSExEUlNfRVEoUVRSLDM3MTAzKSk=&amp;WINDOW=FIRST","_POPUP&amp;HEIGHT=450&amp;WIDTH=450&amp;START_MAXIMIZED=FALSE&amp;VAR:CALENDAR=US&amp;VAR:SYMBOL=ARX&amp;VAR:INDEX=0"}</definedName>
    <definedName name="_297__FDSAUDITLINK__" hidden="1">{"fdsup://directions/FAT Viewer?action=UPDATE&amp;creator=factset&amp;DYN_ARGS=TRUE&amp;DOC_NAME=FAT:FQL_AUDITING_CLIENT_TEMPLATE.FAT&amp;display_string=Audit&amp;VAR:KEY=WXABCNQPGZ&amp;VAR:QUERY=KENTRl9DT01fU0hTX09VVF9FUFNfRElMKFFUUl9SLDM3MDcxKUBXU0ZfQ09NX1NIU19PVVRfRVBTX0RJTChRV","FIsMzcwNzEpKQ==&amp;WINDOW=FIRST_POPUP&amp;HEIGHT=450&amp;WIDTH=450&amp;START_MAXIMIZED=FALSE&amp;VAR:CALENDAR=US&amp;VAR:SYMBOL=ARX&amp;VAR:INDEX=0"}</definedName>
    <definedName name="_298__FDSAUDITLINK__" hidden="1">{"fdsup://directions/FAT Viewer?action=UPDATE&amp;creator=factset&amp;DYN_ARGS=TRUE&amp;DOC_NAME=FAT:FQL_AUDITING_CLIENT_TEMPLATE.FAT&amp;display_string=Audit&amp;VAR:KEY=AZMXKHARML&amp;VAR:QUERY=KENTRl9JTlRBTkcoUVRSX1IsMzcwNzEpQFdTRl9JTlRBTkcoUVRSLDM3MDcxKSk=&amp;WINDOW=FIRST_POPUP&amp;H","EIGHT=450&amp;WIDTH=450&amp;START_MAXIMIZED=FALSE&amp;VAR:CALENDAR=US&amp;VAR:SYMBOL=ARX&amp;VAR:INDEX=0"}</definedName>
    <definedName name="_299__FDSAUDITLINK__" hidden="1">{"fdsup://directions/FAT Viewer?action=UPDATE&amp;creator=factset&amp;DYN_ARGS=TRUE&amp;DOC_NAME=FAT:FQL_AUDITING_CLIENT_TEMPLATE.FAT&amp;display_string=Audit&amp;VAR:KEY=SJOLSFOZQN&amp;VAR:QUERY=KENTRl9TSExEUlNfRVEoUVRSX1IsMzcwNzEpQFdTRl9TSExEUlNfRVEoUVRSLDM3MDcxKSk=&amp;WINDOW=FIRST","_POPUP&amp;HEIGHT=450&amp;WIDTH=450&amp;START_MAXIMIZED=FALSE&amp;VAR:CALENDAR=US&amp;VAR:SYMBOL=ARX&amp;VAR:INDEX=0"}</definedName>
    <definedName name="_2Q94">#REF!</definedName>
    <definedName name="_2Q95">#REF!</definedName>
    <definedName name="_3__FDSAUDITLINK__" localSheetId="0" hidden="1">{"fdsup://directions/FAT Viewer?action=UPDATE&amp;creator=factset&amp;DYN_ARGS=TRUE&amp;DOC_NAME=FAT:FQL_AUDITING_CLIENT_TEMPLATE.FAT&amp;display_string=Audit&amp;VAR:KEY=GDWPOFOVKZ&amp;VAR:QUERY=KENTRl9JTlRBTkcoUVRSX1IsNDAzMjkpQFdTRl9JTlRBTkcoUVRSLDQwMzI5KSk=&amp;WINDOW=FIRST_POPUP&amp;H","EIGHT=450&amp;WIDTH=450&amp;START_MAXIMIZED=FALSE&amp;VAR:CALENDAR=US&amp;VAR:SYMBOL=ARX&amp;VAR:INDEX=0"}</definedName>
    <definedName name="_3__FDSAUDITLINK__" hidden="1">{"fdsup://directions/FAT Viewer?action=UPDATE&amp;creator=factset&amp;DYN_ARGS=TRUE&amp;DOC_NAME=FAT:FQL_AUDITING_CLIENT_TEMPLATE.FAT&amp;display_string=Audit&amp;VAR:KEY=OZKHOVERYN&amp;VAR:QUERY=KENTRl9JTlRBTkcoUVRSX1IsMzcyNTYpQFdTRl9JTlRBTkcoUVRSLDM3MjU2KSk=&amp;WINDOW=FIRST_POPUP&amp;H","EIGHT=450&amp;WIDTH=450&amp;START_MAXIMIZED=FALSE&amp;VAR:CALENDAR=US&amp;VAR:SYMBOL=AMD&amp;VAR:INDEX=0"}</definedName>
    <definedName name="_30__FDSAUDITLINK__" localSheetId="0" hidden="1">{"fdsup://directions/FAT Viewer?action=UPDATE&amp;creator=factset&amp;DYN_ARGS=TRUE&amp;DOC_NAME=FAT:FQL_AUDITING_CLIENT_TEMPLATE.FAT&amp;display_string=Audit&amp;VAR:KEY=OHIJOTSXSJ&amp;VAR:QUERY=KENTRl9TSExEUlNfRVEoUVRSX1IsMzk4NDMpQFdTRl9TSExEUlNfRVEoUVRSLDM5ODQzKSk=&amp;WINDOW=FIRST","_POPUP&amp;HEIGHT=450&amp;WIDTH=450&amp;START_MAXIMIZED=FALSE&amp;VAR:CALENDAR=US&amp;VAR:SYMBOL=ARX&amp;VAR:INDEX=0"}</definedName>
    <definedName name="_30__FDSAUDITLINK__" hidden="1">{"fdsup://directions/FAT Viewer?action=UPDATE&amp;creator=factset&amp;DYN_ARGS=TRUE&amp;DOC_NAME=FAT:FQL_AUDITING_CLIENT_TEMPLATE.FAT&amp;display_string=Audit&amp;VAR:KEY=IZALYPYPUX&amp;VAR:QUERY=KENTRl9JTlRBTkcoUVRSX1IsMzY0MzMpQFdTRl9JTlRBTkcoUVRSLDM2NDMzKSk=&amp;WINDOW=FIRST_POPUP&amp;H","EIGHT=450&amp;WIDTH=450&amp;START_MAXIMIZED=FALSE&amp;VAR:CALENDAR=US&amp;VAR:SYMBOL=AMD&amp;VAR:INDEX=0"}</definedName>
    <definedName name="_300__FDSAUDITLINK__" hidden="1">{"fdsup://directions/FAT Viewer?action=UPDATE&amp;creator=factset&amp;DYN_ARGS=TRUE&amp;DOC_NAME=FAT:FQL_AUDITING_CLIENT_TEMPLATE.FAT&amp;display_string=Audit&amp;VAR:KEY=EXYBOZULOL&amp;VAR:QUERY=KENTRl9DT01fU0hTX09VVF9FUFNfRElMKFFUUl9SLDM3MDQyKUBXU0ZfQ09NX1NIU19PVVRfRVBTX0RJTChRV","FIsMzcwNDIpKQ==&amp;WINDOW=FIRST_POPUP&amp;HEIGHT=450&amp;WIDTH=450&amp;START_MAXIMIZED=FALSE&amp;VAR:CALENDAR=US&amp;VAR:SYMBOL=ARX&amp;VAR:INDEX=0"}</definedName>
    <definedName name="_301__FDSAUDITLINK__" hidden="1">{"fdsup://directions/FAT Viewer?action=UPDATE&amp;creator=factset&amp;DYN_ARGS=TRUE&amp;DOC_NAME=FAT:FQL_AUDITING_CLIENT_TEMPLATE.FAT&amp;display_string=Audit&amp;VAR:KEY=CFMPYZQPUJ&amp;VAR:QUERY=KENTRl9JTlRBTkcoUVRSX1IsMzcwNDIpQFdTRl9JTlRBTkcoUVRSLDM3MDQyKSk=&amp;WINDOW=FIRST_POPUP&amp;H","EIGHT=450&amp;WIDTH=450&amp;START_MAXIMIZED=FALSE&amp;VAR:CALENDAR=US&amp;VAR:SYMBOL=ARX&amp;VAR:INDEX=0"}</definedName>
    <definedName name="_302__FDSAUDITLINK__" hidden="1">{"fdsup://directions/FAT Viewer?action=UPDATE&amp;creator=factset&amp;DYN_ARGS=TRUE&amp;DOC_NAME=FAT:FQL_AUDITING_CLIENT_TEMPLATE.FAT&amp;display_string=Audit&amp;VAR:KEY=QBODQZYHEJ&amp;VAR:QUERY=KENTRl9TSExEUlNfRVEoUVRSX1IsMzcwNDIpQFdTRl9TSExEUlNfRVEoUVRSLDM3MDQyKSk=&amp;WINDOW=FIRST","_POPUP&amp;HEIGHT=450&amp;WIDTH=450&amp;START_MAXIMIZED=FALSE&amp;VAR:CALENDAR=US&amp;VAR:SYMBOL=ARX&amp;VAR:INDEX=0"}</definedName>
    <definedName name="_303__FDSAUDITLINK__" hidden="1">{"fdsup://directions/FAT Viewer?action=UPDATE&amp;creator=factset&amp;DYN_ARGS=TRUE&amp;DOC_NAME=FAT:FQL_AUDITING_CLIENT_TEMPLATE.FAT&amp;display_string=Audit&amp;VAR:KEY=CZEBGRMLSV&amp;VAR:QUERY=KENTRl9DT01fU0hTX09VVF9FUFNfRElMKFFUUl9SLDM3MDExKUBXU0ZfQ09NX1NIU19PVVRfRVBTX0RJTChRV","FIsMzcwMTEpKQ==&amp;WINDOW=FIRST_POPUP&amp;HEIGHT=450&amp;WIDTH=450&amp;START_MAXIMIZED=FALSE&amp;VAR:CALENDAR=US&amp;VAR:SYMBOL=ARX&amp;VAR:INDEX=0"}</definedName>
    <definedName name="_304__FDSAUDITLINK__" hidden="1">{"fdsup://directions/FAT Viewer?action=UPDATE&amp;creator=factset&amp;DYN_ARGS=TRUE&amp;DOC_NAME=FAT:FQL_AUDITING_CLIENT_TEMPLATE.FAT&amp;display_string=Audit&amp;VAR:KEY=QZWBGXGFWL&amp;VAR:QUERY=KENTRl9JTlRBTkcoUVRSX1IsMzcwMTEpQFdTRl9JTlRBTkcoUVRSLDM3MDExKSk=&amp;WINDOW=FIRST_POPUP&amp;H","EIGHT=450&amp;WIDTH=450&amp;START_MAXIMIZED=FALSE&amp;VAR:CALENDAR=US&amp;VAR:SYMBOL=ARX&amp;VAR:INDEX=0"}</definedName>
    <definedName name="_305__FDSAUDITLINK__" hidden="1">{"fdsup://directions/FAT Viewer?action=UPDATE&amp;creator=factset&amp;DYN_ARGS=TRUE&amp;DOC_NAME=FAT:FQL_AUDITING_CLIENT_TEMPLATE.FAT&amp;display_string=Audit&amp;VAR:KEY=KDEXEBOJUD&amp;VAR:QUERY=KENTRl9TSExEUlNfRVEoUVRSX1IsMzcwMTEpQFdTRl9TSExEUlNfRVEoUVRSLDM3MDExKSk=&amp;WINDOW=FIRST","_POPUP&amp;HEIGHT=450&amp;WIDTH=450&amp;START_MAXIMIZED=FALSE&amp;VAR:CALENDAR=US&amp;VAR:SYMBOL=ARX&amp;VAR:INDEX=0"}</definedName>
    <definedName name="_306__FDSAUDITLINK__" hidden="1">{"fdsup://directions/FAT Viewer?action=UPDATE&amp;creator=factset&amp;DYN_ARGS=TRUE&amp;DOC_NAME=FAT:FQL_AUDITING_CLIENT_TEMPLATE.FAT&amp;display_string=Audit&amp;VAR:KEY=INGZKXYBGR&amp;VAR:QUERY=KENTRl9DT01fU0hTX09VVF9FUFNfRElMKFFUUl9SLDM2OTgwKUBXU0ZfQ09NX1NIU19PVVRfRVBTX0RJTChRV","FIsMzY5ODApKQ==&amp;WINDOW=FIRST_POPUP&amp;HEIGHT=450&amp;WIDTH=450&amp;START_MAXIMIZED=FALSE&amp;VAR:CALENDAR=US&amp;VAR:SYMBOL=ARX&amp;VAR:INDEX=0"}</definedName>
    <definedName name="_307__FDSAUDITLINK__" hidden="1">{"fdsup://directions/FAT Viewer?action=UPDATE&amp;creator=factset&amp;DYN_ARGS=TRUE&amp;DOC_NAME=FAT:FQL_AUDITING_CLIENT_TEMPLATE.FAT&amp;display_string=Audit&amp;VAR:KEY=ILUHMTOTKJ&amp;VAR:QUERY=KENTRl9JTlRBTkcoUVRSX1IsMzY5ODApQFdTRl9JTlRBTkcoUVRSLDM2OTgwKSk=&amp;WINDOW=FIRST_POPUP&amp;H","EIGHT=450&amp;WIDTH=450&amp;START_MAXIMIZED=FALSE&amp;VAR:CALENDAR=US&amp;VAR:SYMBOL=ARX&amp;VAR:INDEX=0"}</definedName>
    <definedName name="_308__FDSAUDITLINK__" hidden="1">{"fdsup://directions/FAT Viewer?action=UPDATE&amp;creator=factset&amp;DYN_ARGS=TRUE&amp;DOC_NAME=FAT:FQL_AUDITING_CLIENT_TEMPLATE.FAT&amp;display_string=Audit&amp;VAR:KEY=YZAXQFKXWZ&amp;VAR:QUERY=KENTRl9TSExEUlNfRVEoUVRSX1IsMzY5ODApQFdTRl9TSExEUlNfRVEoUVRSLDM2OTgwKSk=&amp;WINDOW=FIRST","_POPUP&amp;HEIGHT=450&amp;WIDTH=450&amp;START_MAXIMIZED=FALSE&amp;VAR:CALENDAR=US&amp;VAR:SYMBOL=ARX&amp;VAR:INDEX=0"}</definedName>
    <definedName name="_309__FDSAUDITLINK__" hidden="1">{"fdsup://directions/FAT Viewer?action=UPDATE&amp;creator=factset&amp;DYN_ARGS=TRUE&amp;DOC_NAME=FAT:FQL_AUDITING_CLIENT_TEMPLATE.FAT&amp;display_string=Audit&amp;VAR:KEY=UJYLOROZAZ&amp;VAR:QUERY=KENTRl9DT01fU0hTX09VVF9FUFNfRElMKFFUUl9SLDM2OTUwKUBXU0ZfQ09NX1NIU19PVVRfRVBTX0RJTChRV","FIsMzY5NTApKQ==&amp;WINDOW=FIRST_POPUP&amp;HEIGHT=450&amp;WIDTH=450&amp;START_MAXIMIZED=FALSE&amp;VAR:CALENDAR=US&amp;VAR:SYMBOL=ARX&amp;VAR:INDEX=0"}</definedName>
    <definedName name="_31__FDSAUDITLINK__" localSheetId="0" hidden="1">{"fdsup://directions/FAT Viewer?action=UPDATE&amp;creator=factset&amp;DYN_ARGS=TRUE&amp;DOC_NAME=FAT:FQL_AUDITING_CLIENT_TEMPLATE.FAT&amp;display_string=Audit&amp;VAR:KEY=MTUNMRUZED&amp;VAR:QUERY=KENTRl9JTlRBTkcoUVRSX1IsMzk4MTMpQFdTRl9JTlRBTkcoUVRSLDM5ODEzKSk=&amp;WINDOW=FIRST_POPUP&amp;H","EIGHT=450&amp;WIDTH=450&amp;START_MAXIMIZED=FALSE&amp;VAR:CALENDAR=US&amp;VAR:SYMBOL=ARX&amp;VAR:INDEX=0"}</definedName>
    <definedName name="_31__FDSAUDITLINK__" hidden="1">{"fdsup://directions/FAT Viewer?action=UPDATE&amp;creator=factset&amp;DYN_ARGS=TRUE&amp;DOC_NAME=FAT:FQL_AUDITING_CLIENT_TEMPLATE.FAT&amp;display_string=Audit&amp;VAR:KEY=CLEZKNMJKL&amp;VAR:QUERY=KENTRl9JTlRBTkcoUVRSX1IsMzY0MDMpQFdTRl9JTlRBTkcoUVRSLDM2NDAzKSk=&amp;WINDOW=FIRST_POPUP&amp;H","EIGHT=450&amp;WIDTH=450&amp;START_MAXIMIZED=FALSE&amp;VAR:CALENDAR=US&amp;VAR:SYMBOL=AMD&amp;VAR:INDEX=0"}</definedName>
    <definedName name="_310__FDSAUDITLINK__" hidden="1">{"fdsup://directions/FAT Viewer?action=UPDATE&amp;creator=factset&amp;DYN_ARGS=TRUE&amp;DOC_NAME=FAT:FQL_AUDITING_CLIENT_TEMPLATE.FAT&amp;display_string=Audit&amp;VAR:KEY=OVIBWHCFCN&amp;VAR:QUERY=KENTRl9JTlRBTkcoUVRSX1IsMzY5NTApQFdTRl9JTlRBTkcoUVRSLDM2OTUwKSk=&amp;WINDOW=FIRST_POPUP&amp;H","EIGHT=450&amp;WIDTH=450&amp;START_MAXIMIZED=FALSE&amp;VAR:CALENDAR=US&amp;VAR:SYMBOL=ARX&amp;VAR:INDEX=0"}</definedName>
    <definedName name="_311__FDSAUDITLINK__" hidden="1">{"fdsup://directions/FAT Viewer?action=UPDATE&amp;creator=factset&amp;DYN_ARGS=TRUE&amp;DOC_NAME=FAT:FQL_AUDITING_CLIENT_TEMPLATE.FAT&amp;display_string=Audit&amp;VAR:KEY=KLGVKJWJQB&amp;VAR:QUERY=KENTRl9TSExEUlNfRVEoUVRSX1IsMzY5NTApQFdTRl9TSExEUlNfRVEoUVRSLDM2OTUwKSk=&amp;WINDOW=FIRST","_POPUP&amp;HEIGHT=450&amp;WIDTH=450&amp;START_MAXIMIZED=FALSE&amp;VAR:CALENDAR=US&amp;VAR:SYMBOL=ARX&amp;VAR:INDEX=0"}</definedName>
    <definedName name="_312__FDSAUDITLINK__" hidden="1">{"fdsup://directions/FAT Viewer?action=UPDATE&amp;creator=factset&amp;DYN_ARGS=TRUE&amp;DOC_NAME=FAT:FQL_AUDITING_CLIENT_TEMPLATE.FAT&amp;display_string=Audit&amp;VAR:KEY=UZMNYNKLQH&amp;VAR:QUERY=KENTRl9DT01fU0hTX09VVF9FUFNfRElMKFFUUl9SLDM2OTIyKUBXU0ZfQ09NX1NIU19PVVRfRVBTX0RJTChRV","FIsMzY5MjIpKQ==&amp;WINDOW=FIRST_POPUP&amp;HEIGHT=450&amp;WIDTH=450&amp;START_MAXIMIZED=FALSE&amp;VAR:CALENDAR=US&amp;VAR:SYMBOL=ARX&amp;VAR:INDEX=0"}</definedName>
    <definedName name="_313__FDSAUDITLINK__" hidden="1">{"fdsup://directions/FAT Viewer?action=UPDATE&amp;creator=factset&amp;DYN_ARGS=TRUE&amp;DOC_NAME=FAT:FQL_AUDITING_CLIENT_TEMPLATE.FAT&amp;display_string=Audit&amp;VAR:KEY=IXYTMDCXEZ&amp;VAR:QUERY=KENTRl9JTlRBTkcoUVRSX1IsMzY5MjIpQFdTRl9JTlRBTkcoUVRSLDM2OTIyKSk=&amp;WINDOW=FIRST_POPUP&amp;H","EIGHT=450&amp;WIDTH=450&amp;START_MAXIMIZED=FALSE&amp;VAR:CALENDAR=US&amp;VAR:SYMBOL=ARX&amp;VAR:INDEX=0"}</definedName>
    <definedName name="_314__FDSAUDITLINK__" hidden="1">{"fdsup://directions/FAT Viewer?action=UPDATE&amp;creator=factset&amp;DYN_ARGS=TRUE&amp;DOC_NAME=FAT:FQL_AUDITING_CLIENT_TEMPLATE.FAT&amp;display_string=Audit&amp;VAR:KEY=YXKNIHILET&amp;VAR:QUERY=KENTRl9TSExEUlNfRVEoUVRSX1IsMzY5MjIpQFdTRl9TSExEUlNfRVEoUVRSLDM2OTIyKSk=&amp;WINDOW=FIRST","_POPUP&amp;HEIGHT=450&amp;WIDTH=450&amp;START_MAXIMIZED=FALSE&amp;VAR:CALENDAR=US&amp;VAR:SYMBOL=ARX&amp;VAR:INDEX=0"}</definedName>
    <definedName name="_315__FDSAUDITLINK__" hidden="1">{"fdsup://directions/FAT Viewer?action=UPDATE&amp;creator=factset&amp;DYN_ARGS=TRUE&amp;DOC_NAME=FAT:FQL_AUDITING_CLIENT_TEMPLATE.FAT&amp;display_string=Audit&amp;VAR:KEY=SXWLKXYVMF&amp;VAR:QUERY=KENTRl9DT01fU0hTX09VVF9FUFNfRElMKFFUUl9SLDM2ODg5KUBXU0ZfQ09NX1NIU19PVVRfRVBTX0RJTChRV","FIsMzY4ODkpKQ==&amp;WINDOW=FIRST_POPUP&amp;HEIGHT=450&amp;WIDTH=450&amp;START_MAXIMIZED=FALSE&amp;VAR:CALENDAR=US&amp;VAR:SYMBOL=ARX&amp;VAR:INDEX=0"}</definedName>
    <definedName name="_316__FDSAUDITLINK__" hidden="1">{"fdsup://directions/FAT Viewer?action=UPDATE&amp;creator=factset&amp;DYN_ARGS=TRUE&amp;DOC_NAME=FAT:FQL_AUDITING_CLIENT_TEMPLATE.FAT&amp;display_string=Audit&amp;VAR:KEY=GBSDCNWVQL&amp;VAR:QUERY=KENTRl9JTlRBTkcoUVRSX1IsMzY4ODkpQFdTRl9JTlRBTkcoUVRSLDM2ODg5KSk=&amp;WINDOW=FIRST_POPUP&amp;H","EIGHT=450&amp;WIDTH=450&amp;START_MAXIMIZED=FALSE&amp;VAR:CALENDAR=US&amp;VAR:SYMBOL=ARX&amp;VAR:INDEX=0"}</definedName>
    <definedName name="_317__FDSAUDITLINK__" hidden="1">{"fdsup://directions/FAT Viewer?action=UPDATE&amp;creator=factset&amp;DYN_ARGS=TRUE&amp;DOC_NAME=FAT:FQL_AUDITING_CLIENT_TEMPLATE.FAT&amp;display_string=Audit&amp;VAR:KEY=QFOHGZCNOF&amp;VAR:QUERY=KENTRl9TSExEUlNfRVEoUVRSX1IsMzY4ODkpQFdTRl9TSExEUlNfRVEoUVRSLDM2ODg5KSk=&amp;WINDOW=FIRST","_POPUP&amp;HEIGHT=450&amp;WIDTH=450&amp;START_MAXIMIZED=FALSE&amp;VAR:CALENDAR=US&amp;VAR:SYMBOL=ARX&amp;VAR:INDEX=0"}</definedName>
    <definedName name="_318__FDSAUDITLINK__" hidden="1">{"fdsup://directions/FAT Viewer?action=UPDATE&amp;creator=factset&amp;DYN_ARGS=TRUE&amp;DOC_NAME=FAT:FQL_AUDITING_CLIENT_TEMPLATE.FAT&amp;display_string=Audit&amp;VAR:KEY=WZINKLIPSD&amp;VAR:QUERY=KENTRl9DT01fU0hTX09VVF9FUFNfRElMKFFUUl9SLDM2ODYwKUBXU0ZfQ09NX1NIU19PVVRfRVBTX0RJTChRV","FIsMzY4NjApKQ==&amp;WINDOW=FIRST_POPUP&amp;HEIGHT=450&amp;WIDTH=450&amp;START_MAXIMIZED=FALSE&amp;VAR:CALENDAR=US&amp;VAR:SYMBOL=ARX&amp;VAR:INDEX=0"}</definedName>
    <definedName name="_319__FDSAUDITLINK__" hidden="1">{"fdsup://directions/FAT Viewer?action=UPDATE&amp;creator=factset&amp;DYN_ARGS=TRUE&amp;DOC_NAME=FAT:FQL_AUDITING_CLIENT_TEMPLATE.FAT&amp;display_string=Audit&amp;VAR:KEY=UXUTCLCVAF&amp;VAR:QUERY=KENTRl9JTlRBTkcoUVRSX1IsMzY4NjApQFdTRl9JTlRBTkcoUVRSLDM2ODYwKSk=&amp;WINDOW=FIRST_POPUP&amp;H","EIGHT=450&amp;WIDTH=450&amp;START_MAXIMIZED=FALSE&amp;VAR:CALENDAR=US&amp;VAR:SYMBOL=ARX&amp;VAR:INDEX=0"}</definedName>
    <definedName name="_32__FDSAUDITLINK__" localSheetId="0" hidden="1">{"fdsup://directions/FAT Viewer?action=UPDATE&amp;creator=factset&amp;DYN_ARGS=TRUE&amp;DOC_NAME=FAT:FQL_AUDITING_CLIENT_TEMPLATE.FAT&amp;display_string=Audit&amp;VAR:KEY=ULCHMTMNKP&amp;VAR:QUERY=KENTRl9TSExEUlNfRVEoUVRSX1IsMzk4MTMpQFdTRl9TSExEUlNfRVEoUVRSLDM5ODEzKSk=&amp;WINDOW=FIRST","_POPUP&amp;HEIGHT=450&amp;WIDTH=450&amp;START_MAXIMIZED=FALSE&amp;VAR:CALENDAR=US&amp;VAR:SYMBOL=ARX&amp;VAR:INDEX=0"}</definedName>
    <definedName name="_32__FDSAUDITLINK__" hidden="1">{"fdsup://directions/FAT Viewer?action=UPDATE&amp;creator=factset&amp;DYN_ARGS=TRUE&amp;DOC_NAME=FAT:FQL_AUDITING_CLIENT_TEMPLATE.FAT&amp;display_string=Audit&amp;VAR:KEY=ORETOLEDWJ&amp;VAR:QUERY=KENTRl9JTlRBTkcoUVRSX1IsMzYzNzEpQFdTRl9JTlRBTkcoUVRSLDM2MzcxKSk=&amp;WINDOW=FIRST_POPUP&amp;H","EIGHT=450&amp;WIDTH=450&amp;START_MAXIMIZED=FALSE&amp;VAR:CALENDAR=US&amp;VAR:SYMBOL=AMD&amp;VAR:INDEX=0"}</definedName>
    <definedName name="_320__FDSAUDITLINK__" hidden="1">{"fdsup://directions/FAT Viewer?action=UPDATE&amp;creator=factset&amp;DYN_ARGS=TRUE&amp;DOC_NAME=FAT:FQL_AUDITING_CLIENT_TEMPLATE.FAT&amp;display_string=Audit&amp;VAR:KEY=CFSHYRUHCR&amp;VAR:QUERY=KENTRl9TSExEUlNfRVEoUVRSX1IsMzY4NjApQFdTRl9TSExEUlNfRVEoUVRSLDM2ODYwKSk=&amp;WINDOW=FIRST","_POPUP&amp;HEIGHT=450&amp;WIDTH=450&amp;START_MAXIMIZED=FALSE&amp;VAR:CALENDAR=US&amp;VAR:SYMBOL=ARX&amp;VAR:INDEX=0"}</definedName>
    <definedName name="_321__FDSAUDITLINK__" hidden="1">{"fdsup://directions/FAT Viewer?action=UPDATE&amp;creator=factset&amp;DYN_ARGS=TRUE&amp;DOC_NAME=FAT:FQL_AUDITING_CLIENT_TEMPLATE.FAT&amp;display_string=Audit&amp;VAR:KEY=SDWHOVUNGX&amp;VAR:QUERY=KENTRl9DT01fU0hTX09VVF9FUFNfRElMKFFUUl9SLDM2ODMwKUBXU0ZfQ09NX1NIU19PVVRfRVBTX0RJTChRV","FIsMzY4MzApKQ==&amp;WINDOW=FIRST_POPUP&amp;HEIGHT=450&amp;WIDTH=450&amp;START_MAXIMIZED=FALSE&amp;VAR:CALENDAR=US&amp;VAR:SYMBOL=ARX&amp;VAR:INDEX=0"}</definedName>
    <definedName name="_322__FDSAUDITLINK__" hidden="1">{"fdsup://directions/FAT Viewer?action=UPDATE&amp;creator=factset&amp;DYN_ARGS=TRUE&amp;DOC_NAME=FAT:FQL_AUDITING_CLIENT_TEMPLATE.FAT&amp;display_string=Audit&amp;VAR:KEY=WDKFARMZKP&amp;VAR:QUERY=KENTRl9JTlRBTkcoUVRSX1IsMzY4MzApQFdTRl9JTlRBTkcoUVRSLDM2ODMwKSk=&amp;WINDOW=FIRST_POPUP&amp;H","EIGHT=450&amp;WIDTH=450&amp;START_MAXIMIZED=FALSE&amp;VAR:CALENDAR=US&amp;VAR:SYMBOL=ARX&amp;VAR:INDEX=0"}</definedName>
    <definedName name="_323__FDSAUDITLINK__" hidden="1">{"fdsup://directions/FAT Viewer?action=UPDATE&amp;creator=factset&amp;DYN_ARGS=TRUE&amp;DOC_NAME=FAT:FQL_AUDITING_CLIENT_TEMPLATE.FAT&amp;display_string=Audit&amp;VAR:KEY=MLSBKFCPIV&amp;VAR:QUERY=KENTRl9TSExEUlNfRVEoUVRSX1IsMzY4MzApQFdTRl9TSExEUlNfRVEoUVRSLDM2ODMwKSk=&amp;WINDOW=FIRST","_POPUP&amp;HEIGHT=450&amp;WIDTH=450&amp;START_MAXIMIZED=FALSE&amp;VAR:CALENDAR=US&amp;VAR:SYMBOL=ARX&amp;VAR:INDEX=0"}</definedName>
    <definedName name="_324__FDSAUDITLINK__" hidden="1">{"fdsup://directions/FAT Viewer?action=UPDATE&amp;creator=factset&amp;DYN_ARGS=TRUE&amp;DOC_NAME=FAT:FQL_AUDITING_CLIENT_TEMPLATE.FAT&amp;display_string=Audit&amp;VAR:KEY=KHOLUDMBID&amp;VAR:QUERY=KENTRl9DT01fU0hTX09VVF9FUFNfRElMKFFUUl9SLDM2Nzk4KUBXU0ZfQ09NX1NIU19PVVRfRVBTX0RJTChRV","FIsMzY3OTgpKQ==&amp;WINDOW=FIRST_POPUP&amp;HEIGHT=450&amp;WIDTH=450&amp;START_MAXIMIZED=FALSE&amp;VAR:CALENDAR=US&amp;VAR:SYMBOL=ARX&amp;VAR:INDEX=0"}</definedName>
    <definedName name="_325__FDSAUDITLINK__" hidden="1">{"fdsup://directions/FAT Viewer?action=UPDATE&amp;creator=factset&amp;DYN_ARGS=TRUE&amp;DOC_NAME=FAT:FQL_AUDITING_CLIENT_TEMPLATE.FAT&amp;display_string=Audit&amp;VAR:KEY=WTABWNSPQV&amp;VAR:QUERY=KENTRl9JTlRBTkcoUVRSX1IsMzY3OTgpQFdTRl9JTlRBTkcoUVRSLDM2Nzk4KSk=&amp;WINDOW=FIRST_POPUP&amp;H","EIGHT=450&amp;WIDTH=450&amp;START_MAXIMIZED=FALSE&amp;VAR:CALENDAR=US&amp;VAR:SYMBOL=ARX&amp;VAR:INDEX=0"}</definedName>
    <definedName name="_326__FDSAUDITLINK__" hidden="1">{"fdsup://directions/FAT Viewer?action=UPDATE&amp;creator=factset&amp;DYN_ARGS=TRUE&amp;DOC_NAME=FAT:FQL_AUDITING_CLIENT_TEMPLATE.FAT&amp;display_string=Audit&amp;VAR:KEY=QDEDIRKRYZ&amp;VAR:QUERY=KENTRl9TSExEUlNfRVEoUVRSX1IsMzY3OTgpQFdTRl9TSExEUlNfRVEoUVRSLDM2Nzk4KSk=&amp;WINDOW=FIRST","_POPUP&amp;HEIGHT=450&amp;WIDTH=450&amp;START_MAXIMIZED=FALSE&amp;VAR:CALENDAR=US&amp;VAR:SYMBOL=ARX&amp;VAR:INDEX=0"}</definedName>
    <definedName name="_327__FDSAUDITLINK__" hidden="1">{"fdsup://directions/FAT Viewer?action=UPDATE&amp;creator=factset&amp;DYN_ARGS=TRUE&amp;DOC_NAME=FAT:FQL_AUDITING_CLIENT_TEMPLATE.FAT&amp;display_string=Audit&amp;VAR:KEY=KXWJCZEPYD&amp;VAR:QUERY=KENTRl9DT01fU0hTX09VVF9FUFNfRElMKFFUUl9SLDM2NzY5KUBXU0ZfQ09NX1NIU19PVVRfRVBTX0RJTChRV","FIsMzY3NjkpKQ==&amp;WINDOW=FIRST_POPUP&amp;HEIGHT=450&amp;WIDTH=450&amp;START_MAXIMIZED=FALSE&amp;VAR:CALENDAR=US&amp;VAR:SYMBOL=ARX&amp;VAR:INDEX=0"}</definedName>
    <definedName name="_328__FDSAUDITLINK__" hidden="1">{"fdsup://directions/FAT Viewer?action=UPDATE&amp;creator=factset&amp;DYN_ARGS=TRUE&amp;DOC_NAME=FAT:FQL_AUDITING_CLIENT_TEMPLATE.FAT&amp;display_string=Audit&amp;VAR:KEY=AXABUVSHUL&amp;VAR:QUERY=KENTRl9JTlRBTkcoUVRSX1IsMzY3NjkpQFdTRl9JTlRBTkcoUVRSLDM2NzY5KSk=&amp;WINDOW=FIRST_POPUP&amp;H","EIGHT=450&amp;WIDTH=450&amp;START_MAXIMIZED=FALSE&amp;VAR:CALENDAR=US&amp;VAR:SYMBOL=ARX&amp;VAR:INDEX=0"}</definedName>
    <definedName name="_329__FDSAUDITLINK__" hidden="1">{"fdsup://directions/FAT Viewer?action=UPDATE&amp;creator=factset&amp;DYN_ARGS=TRUE&amp;DOC_NAME=FAT:FQL_AUDITING_CLIENT_TEMPLATE.FAT&amp;display_string=Audit&amp;VAR:KEY=YJOVEDIXWL&amp;VAR:QUERY=KENTRl9TSExEUlNfRVEoUVRSX1IsMzY3NjkpQFdTRl9TSExEUlNfRVEoUVRSLDM2NzY5KSk=&amp;WINDOW=FIRST","_POPUP&amp;HEIGHT=450&amp;WIDTH=450&amp;START_MAXIMIZED=FALSE&amp;VAR:CALENDAR=US&amp;VAR:SYMBOL=ARX&amp;VAR:INDEX=0"}</definedName>
    <definedName name="_33__FDSAUDITLINK__" localSheetId="0" hidden="1">{"fdsup://directions/FAT Viewer?action=UPDATE&amp;creator=factset&amp;DYN_ARGS=TRUE&amp;DOC_NAME=FAT:FQL_AUDITING_CLIENT_TEMPLATE.FAT&amp;display_string=Audit&amp;VAR:KEY=CBSXWDCRKT&amp;VAR:QUERY=KENTRl9JTlRBTkcoUVRSX1IsMzk3ODApQFdTRl9JTlRBTkcoUVRSLDM5NzgwKSk=&amp;WINDOW=FIRST_POPUP&amp;H","EIGHT=450&amp;WIDTH=450&amp;START_MAXIMIZED=FALSE&amp;VAR:CALENDAR=US&amp;VAR:SYMBOL=ARX&amp;VAR:INDEX=0"}</definedName>
    <definedName name="_33__FDSAUDITLINK__" hidden="1">{"fdsup://directions/FAT Viewer?action=UPDATE&amp;creator=factset&amp;DYN_ARGS=TRUE&amp;DOC_NAME=FAT:FQL_AUDITING_CLIENT_TEMPLATE.FAT&amp;display_string=Audit&amp;VAR:KEY=IFEJUTUPOH&amp;VAR:QUERY=KENTRl9JTlRBTkcoUVRSX1IsMzYzNDEpQFdTRl9JTlRBTkcoUVRSLDM2MzQxKSk=&amp;WINDOW=FIRST_POPUP&amp;H","EIGHT=450&amp;WIDTH=450&amp;START_MAXIMIZED=FALSE&amp;VAR:CALENDAR=US&amp;VAR:SYMBOL=AMD&amp;VAR:INDEX=0"}</definedName>
    <definedName name="_330__FDSAUDITLINK__" hidden="1">{"fdsup://directions/FAT Viewer?action=UPDATE&amp;creator=factset&amp;DYN_ARGS=TRUE&amp;DOC_NAME=FAT:FQL_AUDITING_CLIENT_TEMPLATE.FAT&amp;display_string=Audit&amp;VAR:KEY=MZWVYBSLCD&amp;VAR:QUERY=KENTRl9DT01fU0hTX09VVF9FUFNfRElMKFFUUl9SLDM2NzM4KUBXU0ZfQ09NX1NIU19PVVRfRVBTX0RJTChRV","FIsMzY3MzgpKQ==&amp;WINDOW=FIRST_POPUP&amp;HEIGHT=450&amp;WIDTH=450&amp;START_MAXIMIZED=FALSE&amp;VAR:CALENDAR=US&amp;VAR:SYMBOL=ARX&amp;VAR:INDEX=0"}</definedName>
    <definedName name="_331__FDSAUDITLINK__" hidden="1">{"fdsup://directions/FAT Viewer?action=UPDATE&amp;creator=factset&amp;DYN_ARGS=TRUE&amp;DOC_NAME=FAT:FQL_AUDITING_CLIENT_TEMPLATE.FAT&amp;display_string=Audit&amp;VAR:KEY=WJSXEDIPEL&amp;VAR:QUERY=KENTRl9JTlRBTkcoUVRSX1IsMzY3MzgpQFdTRl9JTlRBTkcoUVRSLDM2NzM4KSk=&amp;WINDOW=FIRST_POPUP&amp;H","EIGHT=450&amp;WIDTH=450&amp;START_MAXIMIZED=FALSE&amp;VAR:CALENDAR=US&amp;VAR:SYMBOL=ARX&amp;VAR:INDEX=0"}</definedName>
    <definedName name="_332__FDSAUDITLINK__" hidden="1">{"fdsup://directions/FAT Viewer?action=UPDATE&amp;creator=factset&amp;DYN_ARGS=TRUE&amp;DOC_NAME=FAT:FQL_AUDITING_CLIENT_TEMPLATE.FAT&amp;display_string=Audit&amp;VAR:KEY=QZMFWXSLOF&amp;VAR:QUERY=KENTRl9TSExEUlNfRVEoUVRSX1IsMzY3MzgpQFdTRl9TSExEUlNfRVEoUVRSLDM2NzM4KSk=&amp;WINDOW=FIRST","_POPUP&amp;HEIGHT=450&amp;WIDTH=450&amp;START_MAXIMIZED=FALSE&amp;VAR:CALENDAR=US&amp;VAR:SYMBOL=ARX&amp;VAR:INDEX=0"}</definedName>
    <definedName name="_333__FDSAUDITLINK__" hidden="1">{"fdsup://directions/FAT Viewer?action=UPDATE&amp;creator=factset&amp;DYN_ARGS=TRUE&amp;DOC_NAME=FAT:FQL_AUDITING_CLIENT_TEMPLATE.FAT&amp;display_string=Audit&amp;VAR:KEY=QBQZIVMXMX&amp;VAR:QUERY=KENTRl9DT01fU0hTX09VVF9FUFNfRElMKFFUUl9SLDM2NzA3KUBXU0ZfQ09NX1NIU19PVVRfRVBTX0RJTChRV","FIsMzY3MDcpKQ==&amp;WINDOW=FIRST_POPUP&amp;HEIGHT=450&amp;WIDTH=450&amp;START_MAXIMIZED=FALSE&amp;VAR:CALENDAR=US&amp;VAR:SYMBOL=ARX&amp;VAR:INDEX=0"}</definedName>
    <definedName name="_334__FDSAUDITLINK__" hidden="1">{"fdsup://directions/FAT Viewer?action=UPDATE&amp;creator=factset&amp;DYN_ARGS=TRUE&amp;DOC_NAME=FAT:FQL_AUDITING_CLIENT_TEMPLATE.FAT&amp;display_string=Audit&amp;VAR:KEY=EZCBIPGHWJ&amp;VAR:QUERY=KENTRl9JTlRBTkcoUVRSX1IsMzY3MDcpQFdTRl9JTlRBTkcoUVRSLDM2NzA3KSk=&amp;WINDOW=FIRST_POPUP&amp;H","EIGHT=450&amp;WIDTH=450&amp;START_MAXIMIZED=FALSE&amp;VAR:CALENDAR=US&amp;VAR:SYMBOL=ARX&amp;VAR:INDEX=0"}</definedName>
    <definedName name="_335__FDSAUDITLINK__" hidden="1">{"fdsup://directions/FAT Viewer?action=UPDATE&amp;creator=factset&amp;DYN_ARGS=TRUE&amp;DOC_NAME=FAT:FQL_AUDITING_CLIENT_TEMPLATE.FAT&amp;display_string=Audit&amp;VAR:KEY=AJOTOJMHAP&amp;VAR:QUERY=KENTRl9TSExEUlNfRVEoUVRSX1IsMzY3MDcpQFdTRl9TSExEUlNfRVEoUVRSLDM2NzA3KSk=&amp;WINDOW=FIRST","_POPUP&amp;HEIGHT=450&amp;WIDTH=450&amp;START_MAXIMIZED=FALSE&amp;VAR:CALENDAR=US&amp;VAR:SYMBOL=ARX&amp;VAR:INDEX=0"}</definedName>
    <definedName name="_336__FDSAUDITLINK__" hidden="1">{"fdsup://directions/FAT Viewer?action=UPDATE&amp;creator=factset&amp;DYN_ARGS=TRUE&amp;DOC_NAME=FAT:FQL_AUDITING_CLIENT_TEMPLATE.FAT&amp;display_string=Audit&amp;VAR:KEY=UFCXYFCHWX&amp;VAR:QUERY=KENTRl9DT01fU0hTX09VVF9FUFNfRElMKFFUUl9SLDM2Njc3KUBXU0ZfQ09NX1NIU19PVVRfRVBTX0RJTChRV","FIsMzY2NzcpKQ==&amp;WINDOW=FIRST_POPUP&amp;HEIGHT=450&amp;WIDTH=450&amp;START_MAXIMIZED=FALSE&amp;VAR:CALENDAR=US&amp;VAR:SYMBOL=ARX&amp;VAR:INDEX=0"}</definedName>
    <definedName name="_337__FDSAUDITLINK__" hidden="1">{"fdsup://directions/FAT Viewer?action=UPDATE&amp;creator=factset&amp;DYN_ARGS=TRUE&amp;DOC_NAME=FAT:FQL_AUDITING_CLIENT_TEMPLATE.FAT&amp;display_string=Audit&amp;VAR:KEY=AZWDYLGNOZ&amp;VAR:QUERY=KENTRl9JTlRBTkcoUVRSX1IsMzY2NzcpQFdTRl9JTlRBTkcoUVRSLDM2Njc3KSk=&amp;WINDOW=FIRST_POPUP&amp;H","EIGHT=450&amp;WIDTH=450&amp;START_MAXIMIZED=FALSE&amp;VAR:CALENDAR=US&amp;VAR:SYMBOL=ARX&amp;VAR:INDEX=0"}</definedName>
    <definedName name="_338__FDSAUDITLINK__" hidden="1">{"fdsup://directions/FAT Viewer?action=UPDATE&amp;creator=factset&amp;DYN_ARGS=TRUE&amp;DOC_NAME=FAT:FQL_AUDITING_CLIENT_TEMPLATE.FAT&amp;display_string=Audit&amp;VAR:KEY=KBYZORMPCH&amp;VAR:QUERY=KENTRl9TSExEUlNfRVEoUVRSX1IsMzY2NzcpQFdTRl9TSExEUlNfRVEoUVRSLDM2Njc3KSk=&amp;WINDOW=FIRST","_POPUP&amp;HEIGHT=450&amp;WIDTH=450&amp;START_MAXIMIZED=FALSE&amp;VAR:CALENDAR=US&amp;VAR:SYMBOL=ARX&amp;VAR:INDEX=0"}</definedName>
    <definedName name="_339__FDSAUDITLINK__" hidden="1">{"fdsup://directions/FAT Viewer?action=UPDATE&amp;creator=factset&amp;DYN_ARGS=TRUE&amp;DOC_NAME=FAT:FQL_AUDITING_CLIENT_TEMPLATE.FAT&amp;display_string=Audit&amp;VAR:KEY=SRAHIDATUF&amp;VAR:QUERY=KENTRl9DT01fU0hTX09VVF9FUFNfRElMKFFUUl9SLDM2NjQ0KUBXU0ZfQ09NX1NIU19PVVRfRVBTX0RJTChRV","FIsMzY2NDQpKQ==&amp;WINDOW=FIRST_POPUP&amp;HEIGHT=450&amp;WIDTH=450&amp;START_MAXIMIZED=FALSE&amp;VAR:CALENDAR=US&amp;VAR:SYMBOL=ARX&amp;VAR:INDEX=0"}</definedName>
    <definedName name="_34__FDSAUDITLINK__" localSheetId="0" hidden="1">{"fdsup://directions/FAT Viewer?action=UPDATE&amp;creator=factset&amp;DYN_ARGS=TRUE&amp;DOC_NAME=FAT:FQL_AUDITING_CLIENT_TEMPLATE.FAT&amp;display_string=Audit&amp;VAR:KEY=CVGLSFQXIR&amp;VAR:QUERY=KENTRl9TSExEUlNfRVEoUVRSX1IsMzk3ODApQFdTRl9TSExEUlNfRVEoUVRSLDM5NzgwKSk=&amp;WINDOW=FIRST","_POPUP&amp;HEIGHT=450&amp;WIDTH=450&amp;START_MAXIMIZED=FALSE&amp;VAR:CALENDAR=US&amp;VAR:SYMBOL=ARX&amp;VAR:INDEX=0"}</definedName>
    <definedName name="_34__FDSAUDITLINK__" hidden="1">{"fdsup://directions/FAT Viewer?action=UPDATE&amp;creator=factset&amp;DYN_ARGS=TRUE&amp;DOC_NAME=FAT:FQL_AUDITING_CLIENT_TEMPLATE.FAT&amp;display_string=Audit&amp;VAR:KEY=SLSPOJUTYT&amp;VAR:QUERY=KENTRl9JTlRBTkcoUVRSX1IsMzYzMDgpQFdTRl9JTlRBTkcoUVRSLDM2MzA4KSk=&amp;WINDOW=FIRST_POPUP&amp;H","EIGHT=450&amp;WIDTH=450&amp;START_MAXIMIZED=FALSE&amp;VAR:CALENDAR=US&amp;VAR:SYMBOL=AMD&amp;VAR:INDEX=0"}</definedName>
    <definedName name="_340__FDSAUDITLINK__" hidden="1">{"fdsup://directions/FAT Viewer?action=UPDATE&amp;creator=factset&amp;DYN_ARGS=TRUE&amp;DOC_NAME=FAT:FQL_AUDITING_CLIENT_TEMPLATE.FAT&amp;display_string=Audit&amp;VAR:KEY=YTENQBOTIF&amp;VAR:QUERY=KENTRl9JTlRBTkcoUVRSX1IsMzY2NDQpQFdTRl9JTlRBTkcoUVRSLDM2NjQ0KSk=&amp;WINDOW=FIRST_POPUP&amp;H","EIGHT=450&amp;WIDTH=450&amp;START_MAXIMIZED=FALSE&amp;VAR:CALENDAR=US&amp;VAR:SYMBOL=ARX&amp;VAR:INDEX=0"}</definedName>
    <definedName name="_341__FDSAUDITLINK__" hidden="1">{"fdsup://directions/FAT Viewer?action=UPDATE&amp;creator=factset&amp;DYN_ARGS=TRUE&amp;DOC_NAME=FAT:FQL_AUDITING_CLIENT_TEMPLATE.FAT&amp;display_string=Audit&amp;VAR:KEY=WBIJUDWPAN&amp;VAR:QUERY=KENTRl9TSExEUlNfRVEoUVRSX1IsMzY2NDQpQFdTRl9TSExEUlNfRVEoUVRSLDM2NjQ0KSk=&amp;WINDOW=FIRST","_POPUP&amp;HEIGHT=450&amp;WIDTH=450&amp;START_MAXIMIZED=FALSE&amp;VAR:CALENDAR=US&amp;VAR:SYMBOL=ARX&amp;VAR:INDEX=0"}</definedName>
    <definedName name="_342__FDSAUDITLINK__" hidden="1">{"fdsup://directions/FAT Viewer?action=UPDATE&amp;creator=factset&amp;DYN_ARGS=TRUE&amp;DOC_NAME=FAT:FQL_AUDITING_CLIENT_TEMPLATE.FAT&amp;display_string=Audit&amp;VAR:KEY=GBOFAPUNSF&amp;VAR:QUERY=KENTRl9DT01fU0hTX09VVF9FUFNfRElMKFFUUl9SLDM2NjE2KUBXU0ZfQ09NX1NIU19PVVRfRVBTX0RJTChRV","FIsMzY2MTYpKQ==&amp;WINDOW=FIRST_POPUP&amp;HEIGHT=450&amp;WIDTH=450&amp;START_MAXIMIZED=FALSE&amp;VAR:CALENDAR=US&amp;VAR:SYMBOL=ARX&amp;VAR:INDEX=0"}</definedName>
    <definedName name="_343__FDSAUDITLINK__" hidden="1">{"fdsup://directions/FAT Viewer?action=UPDATE&amp;creator=factset&amp;DYN_ARGS=TRUE&amp;DOC_NAME=FAT:FQL_AUDITING_CLIENT_TEMPLATE.FAT&amp;display_string=Audit&amp;VAR:KEY=CNCDWZYHQL&amp;VAR:QUERY=KENTRl9JTlRBTkcoUVRSX1IsMzY2MTYpQFdTRl9JTlRBTkcoUVRSLDM2NjE2KSk=&amp;WINDOW=FIRST_POPUP&amp;H","EIGHT=450&amp;WIDTH=450&amp;START_MAXIMIZED=FALSE&amp;VAR:CALENDAR=US&amp;VAR:SYMBOL=ARX&amp;VAR:INDEX=0"}</definedName>
    <definedName name="_344__FDSAUDITLINK__" hidden="1">{"fdsup://directions/FAT Viewer?action=UPDATE&amp;creator=factset&amp;DYN_ARGS=TRUE&amp;DOC_NAME=FAT:FQL_AUDITING_CLIENT_TEMPLATE.FAT&amp;display_string=Audit&amp;VAR:KEY=ILIHILQPEH&amp;VAR:QUERY=KENTRl9TSExEUlNfRVEoUVRSX1IsMzY2MTYpQFdTRl9TSExEUlNfRVEoUVRSLDM2NjE2KSk=&amp;WINDOW=FIRST","_POPUP&amp;HEIGHT=450&amp;WIDTH=450&amp;START_MAXIMIZED=FALSE&amp;VAR:CALENDAR=US&amp;VAR:SYMBOL=ARX&amp;VAR:INDEX=0"}</definedName>
    <definedName name="_345__FDSAUDITLINK__" hidden="1">{"fdsup://directions/FAT Viewer?action=UPDATE&amp;creator=factset&amp;DYN_ARGS=TRUE&amp;DOC_NAME=FAT:FQL_AUDITING_CLIENT_TEMPLATE.FAT&amp;display_string=Audit&amp;VAR:KEY=WBKHSXEZQR&amp;VAR:QUERY=KENTRl9DT01fU0hTX09VVF9FUFNfRElMKFFUUl9SLDM2NTg1KUBXU0ZfQ09NX1NIU19PVVRfRVBTX0RJTChRV","FIsMzY1ODUpKQ==&amp;WINDOW=FIRST_POPUP&amp;HEIGHT=450&amp;WIDTH=450&amp;START_MAXIMIZED=FALSE&amp;VAR:CALENDAR=US&amp;VAR:SYMBOL=ARX&amp;VAR:INDEX=0"}</definedName>
    <definedName name="_346__FDSAUDITLINK__" hidden="1">{"fdsup://directions/FAT Viewer?action=UPDATE&amp;creator=factset&amp;DYN_ARGS=TRUE&amp;DOC_NAME=FAT:FQL_AUDITING_CLIENT_TEMPLATE.FAT&amp;display_string=Audit&amp;VAR:KEY=KNYZOXGHUL&amp;VAR:QUERY=KENTRl9JTlRBTkcoUVRSX1IsMzY1ODUpQFdTRl9JTlRBTkcoUVRSLDM2NTg1KSk=&amp;WINDOW=FIRST_POPUP&amp;H","EIGHT=450&amp;WIDTH=450&amp;START_MAXIMIZED=FALSE&amp;VAR:CALENDAR=US&amp;VAR:SYMBOL=ARX&amp;VAR:INDEX=0"}</definedName>
    <definedName name="_347__FDSAUDITLINK__" hidden="1">{"fdsup://directions/FAT Viewer?action=UPDATE&amp;creator=factset&amp;DYN_ARGS=TRUE&amp;DOC_NAME=FAT:FQL_AUDITING_CLIENT_TEMPLATE.FAT&amp;display_string=Audit&amp;VAR:KEY=INYXYJIPEV&amp;VAR:QUERY=KENTRl9TSExEUlNfRVEoUVRSX1IsMzY1ODUpQFdTRl9TSExEUlNfRVEoUVRSLDM2NTg1KSk=&amp;WINDOW=FIRST","_POPUP&amp;HEIGHT=450&amp;WIDTH=450&amp;START_MAXIMIZED=FALSE&amp;VAR:CALENDAR=US&amp;VAR:SYMBOL=ARX&amp;VAR:INDEX=0"}</definedName>
    <definedName name="_348__FDSAUDITLINK__" hidden="1">{"fdsup://directions/FAT Viewer?action=UPDATE&amp;creator=factset&amp;DYN_ARGS=TRUE&amp;DOC_NAME=FAT:FQL_AUDITING_CLIENT_TEMPLATE.FAT&amp;display_string=Audit&amp;VAR:KEY=UNSBMVWPMX&amp;VAR:QUERY=KENTRl9DT01fU0hTX09VVF9FUFNfRElMKFFUUl9SLDM2NTU2KUBXU0ZfQ09NX1NIU19PVVRfRVBTX0RJTChRV","FIsMzY1NTYpKQ==&amp;WINDOW=FIRST_POPUP&amp;HEIGHT=450&amp;WIDTH=450&amp;START_MAXIMIZED=FALSE&amp;VAR:CALENDAR=US&amp;VAR:SYMBOL=ARX&amp;VAR:INDEX=0"}</definedName>
    <definedName name="_349__FDSAUDITLINK__" hidden="1">{"fdsup://directions/FAT Viewer?action=UPDATE&amp;creator=factset&amp;DYN_ARGS=TRUE&amp;DOC_NAME=FAT:FQL_AUDITING_CLIENT_TEMPLATE.FAT&amp;display_string=Audit&amp;VAR:KEY=IRGRCNQPWV&amp;VAR:QUERY=KENTRl9JTlRBTkcoUVRSX1IsMzY1NTYpQFdTRl9JTlRBTkcoUVRSLDM2NTU2KSk=&amp;WINDOW=FIRST_POPUP&amp;H","EIGHT=450&amp;WIDTH=450&amp;START_MAXIMIZED=FALSE&amp;VAR:CALENDAR=US&amp;VAR:SYMBOL=ARX&amp;VAR:INDEX=0"}</definedName>
    <definedName name="_35__FDSAUDITLINK__" localSheetId="0" hidden="1">{"fdsup://directions/FAT Viewer?action=UPDATE&amp;creator=factset&amp;DYN_ARGS=TRUE&amp;DOC_NAME=FAT:FQL_AUDITING_CLIENT_TEMPLATE.FAT&amp;display_string=Audit&amp;VAR:KEY=YVMVWPUPQT&amp;VAR:QUERY=KENTRl9JTlRBTkcoUVRSX1IsMzk3NTIpQFdTRl9JTlRBTkcoUVRSLDM5NzUyKSk=&amp;WINDOW=FIRST_POPUP&amp;H","EIGHT=450&amp;WIDTH=450&amp;START_MAXIMIZED=FALSE&amp;VAR:CALENDAR=US&amp;VAR:SYMBOL=ARX&amp;VAR:INDEX=0"}</definedName>
    <definedName name="_35__FDSAUDITLINK__" hidden="1">{"fdsup://directions/FAT Viewer?action=UPDATE&amp;creator=factset&amp;DYN_ARGS=TRUE&amp;DOC_NAME=FAT:FQL_AUDITING_CLIENT_TEMPLATE.FAT&amp;display_string=Audit&amp;VAR:KEY=EVIPIVWNMP&amp;VAR:QUERY=KENTRl9JTlRBTkcoUVRSX1IsMzYyODApQFdTRl9JTlRBTkcoUVRSLDM2MjgwKSk=&amp;WINDOW=FIRST_POPUP&amp;H","EIGHT=450&amp;WIDTH=450&amp;START_MAXIMIZED=FALSE&amp;VAR:CALENDAR=US&amp;VAR:SYMBOL=AMD&amp;VAR:INDEX=0"}</definedName>
    <definedName name="_350__FDSAUDITLINK__" hidden="1">{"fdsup://directions/FAT Viewer?action=UPDATE&amp;creator=factset&amp;DYN_ARGS=TRUE&amp;DOC_NAME=FAT:FQL_AUDITING_CLIENT_TEMPLATE.FAT&amp;display_string=Audit&amp;VAR:KEY=GNCPODUVUT&amp;VAR:QUERY=KENTRl9TSExEUlNfRVEoUVRSX1IsMzY1NTYpQFdTRl9TSExEUlNfRVEoUVRSLDM2NTU2KSk=&amp;WINDOW=FIRST","_POPUP&amp;HEIGHT=450&amp;WIDTH=450&amp;START_MAXIMIZED=FALSE&amp;VAR:CALENDAR=US&amp;VAR:SYMBOL=ARX&amp;VAR:INDEX=0"}</definedName>
    <definedName name="_351__FDSAUDITLINK__" hidden="1">{"fdsup://directions/FAT Viewer?action=UPDATE&amp;creator=factset&amp;DYN_ARGS=TRUE&amp;DOC_NAME=FAT:FQL_AUDITING_CLIENT_TEMPLATE.FAT&amp;display_string=Audit&amp;VAR:KEY=GRIVODUVAB&amp;VAR:QUERY=KENTRl9DT01fU0hTX09VVF9FUFNfRElMKFFUUl9SLDM2NTI1KUBXU0ZfQ09NX1NIU19PVVRfRVBTX0RJTChRV","FIsMzY1MjUpKQ==&amp;WINDOW=FIRST_POPUP&amp;HEIGHT=450&amp;WIDTH=450&amp;START_MAXIMIZED=FALSE&amp;VAR:CALENDAR=US&amp;VAR:SYMBOL=ARX&amp;VAR:INDEX=0"}</definedName>
    <definedName name="_352__FDSAUDITLINK__" hidden="1">{"fdsup://directions/FAT Viewer?action=UPDATE&amp;creator=factset&amp;DYN_ARGS=TRUE&amp;DOC_NAME=FAT:FQL_AUDITING_CLIENT_TEMPLATE.FAT&amp;display_string=Audit&amp;VAR:KEY=ANOROXQDYD&amp;VAR:QUERY=KENTRl9JTlRBTkcoUVRSX1IsMzY1MjUpQFdTRl9JTlRBTkcoUVRSLDM2NTI1KSk=&amp;WINDOW=FIRST_POPUP&amp;H","EIGHT=450&amp;WIDTH=450&amp;START_MAXIMIZED=FALSE&amp;VAR:CALENDAR=US&amp;VAR:SYMBOL=ARX&amp;VAR:INDEX=0"}</definedName>
    <definedName name="_353__FDSAUDITLINK__" hidden="1">{"fdsup://directions/FAT Viewer?action=UPDATE&amp;creator=factset&amp;DYN_ARGS=TRUE&amp;DOC_NAME=FAT:FQL_AUDITING_CLIENT_TEMPLATE.FAT&amp;display_string=Audit&amp;VAR:KEY=UTQLCLGJUJ&amp;VAR:QUERY=KENTRl9TSExEUlNfRVEoUVRSX1IsMzY1MjUpQFdTRl9TSExEUlNfRVEoUVRSLDM2NTI1KSk=&amp;WINDOW=FIRST","_POPUP&amp;HEIGHT=450&amp;WIDTH=450&amp;START_MAXIMIZED=FALSE&amp;VAR:CALENDAR=US&amp;VAR:SYMBOL=ARX&amp;VAR:INDEX=0"}</definedName>
    <definedName name="_354__FDSAUDITLINK__" hidden="1">{"fdsup://directions/FAT Viewer?action=UPDATE&amp;creator=factset&amp;DYN_ARGS=TRUE&amp;DOC_NAME=FAT:FQL_AUDITING_CLIENT_TEMPLATE.FAT&amp;display_string=Audit&amp;VAR:KEY=GTCLSBADEB&amp;VAR:QUERY=KENTRl9DT01fU0hTX09VVF9FUFNfRElMKFFUUl9SLDM2NDk0KUBXU0ZfQ09NX1NIU19PVVRfRVBTX0RJTChRV","FIsMzY0OTQpKQ==&amp;WINDOW=FIRST_POPUP&amp;HEIGHT=450&amp;WIDTH=450&amp;START_MAXIMIZED=FALSE&amp;VAR:CALENDAR=US&amp;VAR:SYMBOL=ARX&amp;VAR:INDEX=0"}</definedName>
    <definedName name="_355__FDSAUDITLINK__" hidden="1">{"fdsup://directions/FAT Viewer?action=UPDATE&amp;creator=factset&amp;DYN_ARGS=TRUE&amp;DOC_NAME=FAT:FQL_AUDITING_CLIENT_TEMPLATE.FAT&amp;display_string=Audit&amp;VAR:KEY=KTCVWVCXSP&amp;VAR:QUERY=KENTRl9JTlRBTkcoUVRSX1IsMzY0OTQpQFdTRl9JTlRBTkcoUVRSLDM2NDk0KSk=&amp;WINDOW=FIRST_POPUP&amp;H","EIGHT=450&amp;WIDTH=450&amp;START_MAXIMIZED=FALSE&amp;VAR:CALENDAR=US&amp;VAR:SYMBOL=ARX&amp;VAR:INDEX=0"}</definedName>
    <definedName name="_356__FDSAUDITLINK__" hidden="1">{"fdsup://directions/FAT Viewer?action=UPDATE&amp;creator=factset&amp;DYN_ARGS=TRUE&amp;DOC_NAME=FAT:FQL_AUDITING_CLIENT_TEMPLATE.FAT&amp;display_string=Audit&amp;VAR:KEY=IFKRWBWPYJ&amp;VAR:QUERY=KENTRl9TSExEUlNfRVEoUVRSX1IsMzY0OTQpQFdTRl9TSExEUlNfRVEoUVRSLDM2NDk0KSk=&amp;WINDOW=FIRST","_POPUP&amp;HEIGHT=450&amp;WIDTH=450&amp;START_MAXIMIZED=FALSE&amp;VAR:CALENDAR=US&amp;VAR:SYMBOL=ARX&amp;VAR:INDEX=0"}</definedName>
    <definedName name="_357__FDSAUDITLINK__" hidden="1">{"fdsup://directions/FAT Viewer?action=UPDATE&amp;creator=factset&amp;DYN_ARGS=TRUE&amp;DOC_NAME=FAT:FQL_AUDITING_CLIENT_TEMPLATE.FAT&amp;display_string=Audit&amp;VAR:KEY=CBWBYDQBYR&amp;VAR:QUERY=KENTRl9DT01fU0hTX09VVF9FUFNfRElMKFFUUl9SLDM2NDYyKUBXU0ZfQ09NX1NIU19PVVRfRVBTX0RJTChRV","FIsMzY0NjIpKQ==&amp;WINDOW=FIRST_POPUP&amp;HEIGHT=450&amp;WIDTH=450&amp;START_MAXIMIZED=FALSE&amp;VAR:CALENDAR=US&amp;VAR:SYMBOL=ARX&amp;VAR:INDEX=0"}</definedName>
    <definedName name="_358__FDSAUDITLINK__" hidden="1">{"fdsup://directions/FAT Viewer?action=UPDATE&amp;creator=factset&amp;DYN_ARGS=TRUE&amp;DOC_NAME=FAT:FQL_AUDITING_CLIENT_TEMPLATE.FAT&amp;display_string=Audit&amp;VAR:KEY=ELINIDUNIT&amp;VAR:QUERY=KENTRl9JTlRBTkcoUVRSX1IsMzY0NjIpQFdTRl9JTlRBTkcoUVRSLDM2NDYyKSk=&amp;WINDOW=FIRST_POPUP&amp;H","EIGHT=450&amp;WIDTH=450&amp;START_MAXIMIZED=FALSE&amp;VAR:CALENDAR=US&amp;VAR:SYMBOL=ARX&amp;VAR:INDEX=0"}</definedName>
    <definedName name="_359__FDSAUDITLINK__" hidden="1">{"fdsup://directions/FAT Viewer?action=UPDATE&amp;creator=factset&amp;DYN_ARGS=TRUE&amp;DOC_NAME=FAT:FQL_AUDITING_CLIENT_TEMPLATE.FAT&amp;display_string=Audit&amp;VAR:KEY=ODUDADIPCV&amp;VAR:QUERY=KENTRl9TSExEUlNfRVEoUVRSX1IsMzY0NjIpQFdTRl9TSExEUlNfRVEoUVRSLDM2NDYyKSk=&amp;WINDOW=FIRST","_POPUP&amp;HEIGHT=450&amp;WIDTH=450&amp;START_MAXIMIZED=FALSE&amp;VAR:CALENDAR=US&amp;VAR:SYMBOL=ARX&amp;VAR:INDEX=0"}</definedName>
    <definedName name="_36__FDSAUDITLINK__" localSheetId="0" hidden="1">{"fdsup://directions/FAT Viewer?action=UPDATE&amp;creator=factset&amp;DYN_ARGS=TRUE&amp;DOC_NAME=FAT:FQL_AUDITING_CLIENT_TEMPLATE.FAT&amp;display_string=Audit&amp;VAR:KEY=QTGXCZYNEH&amp;VAR:QUERY=KENTRl9TSExEUlNfRVEoUVRSX1IsMzk3NTIpQFdTRl9TSExEUlNfRVEoUVRSLDM5NzUyKSk=&amp;WINDOW=FIRST","_POPUP&amp;HEIGHT=450&amp;WIDTH=450&amp;START_MAXIMIZED=FALSE&amp;VAR:CALENDAR=US&amp;VAR:SYMBOL=ARX&amp;VAR:INDEX=0"}</definedName>
    <definedName name="_36__FDSAUDITLINK__" hidden="1">{"fdsup://directions/FAT Viewer?action=UPDATE&amp;creator=factset&amp;DYN_ARGS=TRUE&amp;DOC_NAME=FAT:FQL_AUDITING_CLIENT_TEMPLATE.FAT&amp;display_string=Audit&amp;VAR:KEY=WPYRSPYXIF&amp;VAR:QUERY=KENTRl9JTlRBTkcoUVRSX1IsMzYyNTApQFdTRl9JTlRBTkcoUVRSLDM2MjUwKSk=&amp;WINDOW=FIRST_POPUP&amp;H","EIGHT=450&amp;WIDTH=450&amp;START_MAXIMIZED=FALSE&amp;VAR:CALENDAR=US&amp;VAR:SYMBOL=AMD&amp;VAR:INDEX=0"}</definedName>
    <definedName name="_360__FDSAUDITLINK__" hidden="1">{"fdsup://directions/FAT Viewer?action=UPDATE&amp;creator=factset&amp;DYN_ARGS=TRUE&amp;DOC_NAME=FAT:FQL_AUDITING_CLIENT_TEMPLATE.FAT&amp;display_string=Audit&amp;VAR:KEY=YHOZMZUDYT&amp;VAR:QUERY=KENTRl9DT01fU0hTX09VVF9FUFNfRElMKFFUUl9SLDM2NDMzKUBXU0ZfQ09NX1NIU19PVVRfRVBTX0RJTChRV","FIsMzY0MzMpKQ==&amp;WINDOW=FIRST_POPUP&amp;HEIGHT=450&amp;WIDTH=450&amp;START_MAXIMIZED=FALSE&amp;VAR:CALENDAR=US&amp;VAR:SYMBOL=ARX&amp;VAR:INDEX=0"}</definedName>
    <definedName name="_361__FDSAUDITLINK__" hidden="1">{"fdsup://directions/FAT Viewer?action=UPDATE&amp;creator=factset&amp;DYN_ARGS=TRUE&amp;DOC_NAME=FAT:FQL_AUDITING_CLIENT_TEMPLATE.FAT&amp;display_string=Audit&amp;VAR:KEY=UZOZGRKXKL&amp;VAR:QUERY=KENTRl9JTlRBTkcoUVRSX1IsMzY0MzMpQFdTRl9JTlRBTkcoUVRSLDM2NDMzKSk=&amp;WINDOW=FIRST_POPUP&amp;H","EIGHT=450&amp;WIDTH=450&amp;START_MAXIMIZED=FALSE&amp;VAR:CALENDAR=US&amp;VAR:SYMBOL=ARX&amp;VAR:INDEX=0"}</definedName>
    <definedName name="_362__FDSAUDITLINK__" hidden="1">{"fdsup://directions/FAT Viewer?action=UPDATE&amp;creator=factset&amp;DYN_ARGS=TRUE&amp;DOC_NAME=FAT:FQL_AUDITING_CLIENT_TEMPLATE.FAT&amp;display_string=Audit&amp;VAR:KEY=QTSVONSRIP&amp;VAR:QUERY=KENTRl9TSExEUlNfRVEoUVRSX1IsMzY0MzMpQFdTRl9TSExEUlNfRVEoUVRSLDM2NDMzKSk=&amp;WINDOW=FIRST","_POPUP&amp;HEIGHT=450&amp;WIDTH=450&amp;START_MAXIMIZED=FALSE&amp;VAR:CALENDAR=US&amp;VAR:SYMBOL=ARX&amp;VAR:INDEX=0"}</definedName>
    <definedName name="_363__FDSAUDITLINK__" hidden="1">{"fdsup://directions/FAT Viewer?action=UPDATE&amp;creator=factset&amp;DYN_ARGS=TRUE&amp;DOC_NAME=FAT:FQL_AUDITING_CLIENT_TEMPLATE.FAT&amp;display_string=Audit&amp;VAR:KEY=SZKFETWBYZ&amp;VAR:QUERY=KENTRl9DT01fU0hTX09VVF9FUFNfRElMKFFUUl9SLDM2NDAzKUBXU0ZfQ09NX1NIU19PVVRfRVBTX0RJTChRV","FIsMzY0MDMpKQ==&amp;WINDOW=FIRST_POPUP&amp;HEIGHT=450&amp;WIDTH=450&amp;START_MAXIMIZED=FALSE&amp;VAR:CALENDAR=US&amp;VAR:SYMBOL=ARX&amp;VAR:INDEX=0"}</definedName>
    <definedName name="_364__FDSAUDITLINK__" hidden="1">{"fdsup://directions/FAT Viewer?action=UPDATE&amp;creator=factset&amp;DYN_ARGS=TRUE&amp;DOC_NAME=FAT:FQL_AUDITING_CLIENT_TEMPLATE.FAT&amp;display_string=Audit&amp;VAR:KEY=ALUTYBGPKX&amp;VAR:QUERY=KENTRl9JTlRBTkcoUVRSX1IsMzY0MDMpQFdTRl9JTlRBTkcoUVRSLDM2NDAzKSk=&amp;WINDOW=FIRST_POPUP&amp;H","EIGHT=450&amp;WIDTH=450&amp;START_MAXIMIZED=FALSE&amp;VAR:CALENDAR=US&amp;VAR:SYMBOL=ARX&amp;VAR:INDEX=0"}</definedName>
    <definedName name="_365__FDSAUDITLINK__" hidden="1">{"fdsup://directions/FAT Viewer?action=UPDATE&amp;creator=factset&amp;DYN_ARGS=TRUE&amp;DOC_NAME=FAT:FQL_AUDITING_CLIENT_TEMPLATE.FAT&amp;display_string=Audit&amp;VAR:KEY=YHONQXAZSR&amp;VAR:QUERY=KENTRl9TSExEUlNfRVEoUVRSX1IsMzY0MDMpQFdTRl9TSExEUlNfRVEoUVRSLDM2NDAzKSk=&amp;WINDOW=FIRST","_POPUP&amp;HEIGHT=450&amp;WIDTH=450&amp;START_MAXIMIZED=FALSE&amp;VAR:CALENDAR=US&amp;VAR:SYMBOL=ARX&amp;VAR:INDEX=0"}</definedName>
    <definedName name="_366__FDSAUDITLINK__" hidden="1">{"fdsup://directions/FAT Viewer?action=UPDATE&amp;creator=factset&amp;DYN_ARGS=TRUE&amp;DOC_NAME=FAT:FQL_AUDITING_CLIENT_TEMPLATE.FAT&amp;display_string=Audit&amp;VAR:KEY=GFSNGJUZGB&amp;VAR:QUERY=KENTRl9DT01fU0hTX09VVF9FUFNfRElMKFFUUl9SLDM2MzcxKUBXU0ZfQ09NX1NIU19PVVRfRVBTX0RJTChRV","FIsMzYzNzEpKQ==&amp;WINDOW=FIRST_POPUP&amp;HEIGHT=450&amp;WIDTH=450&amp;START_MAXIMIZED=FALSE&amp;VAR:CALENDAR=US&amp;VAR:SYMBOL=ARX&amp;VAR:INDEX=0"}</definedName>
    <definedName name="_367__FDSAUDITLINK__" hidden="1">{"fdsup://directions/FAT Viewer?action=UPDATE&amp;creator=factset&amp;DYN_ARGS=TRUE&amp;DOC_NAME=FAT:FQL_AUDITING_CLIENT_TEMPLATE.FAT&amp;display_string=Audit&amp;VAR:KEY=CBUFQRWTMN&amp;VAR:QUERY=KENTRl9JTlRBTkcoUVRSX1IsMzYzNzEpQFdTRl9JTlRBTkcoUVRSLDM2MzcxKSk=&amp;WINDOW=FIRST_POPUP&amp;H","EIGHT=450&amp;WIDTH=450&amp;START_MAXIMIZED=FALSE&amp;VAR:CALENDAR=US&amp;VAR:SYMBOL=ARX&amp;VAR:INDEX=0"}</definedName>
    <definedName name="_368__FDSAUDITLINK__" hidden="1">{"fdsup://directions/FAT Viewer?action=UPDATE&amp;creator=factset&amp;DYN_ARGS=TRUE&amp;DOC_NAME=FAT:FQL_AUDITING_CLIENT_TEMPLATE.FAT&amp;display_string=Audit&amp;VAR:KEY=CFMTMNEHCF&amp;VAR:QUERY=KENTRl9TSExEUlNfRVEoUVRSX1IsMzYzNzEpQFdTRl9TSExEUlNfRVEoUVRSLDM2MzcxKSk=&amp;WINDOW=FIRST","_POPUP&amp;HEIGHT=450&amp;WIDTH=450&amp;START_MAXIMIZED=FALSE&amp;VAR:CALENDAR=US&amp;VAR:SYMBOL=ARX&amp;VAR:INDEX=0"}</definedName>
    <definedName name="_369__FDSAUDITLINK__" hidden="1">{"fdsup://directions/FAT Viewer?action=UPDATE&amp;creator=factset&amp;DYN_ARGS=TRUE&amp;DOC_NAME=FAT:FQL_AUDITING_CLIENT_TEMPLATE.FAT&amp;display_string=Audit&amp;VAR:KEY=EPWDAVAVWL&amp;VAR:QUERY=KENTRl9DT01fU0hTX09VVF9FUFNfRElMKFFUUl9SLDM2MzQxKUBXU0ZfQ09NX1NIU19PVVRfRVBTX0RJTChRV","FIsMzYzNDEpKQ==&amp;WINDOW=FIRST_POPUP&amp;HEIGHT=450&amp;WIDTH=450&amp;START_MAXIMIZED=FALSE&amp;VAR:CALENDAR=US&amp;VAR:SYMBOL=ARX&amp;VAR:INDEX=0"}</definedName>
    <definedName name="_37__FDSAUDITLINK__" localSheetId="0" hidden="1">{"fdsup://directions/FAT Viewer?action=UPDATE&amp;creator=factset&amp;DYN_ARGS=TRUE&amp;DOC_NAME=FAT:FQL_AUDITING_CLIENT_TEMPLATE.FAT&amp;display_string=Audit&amp;VAR:KEY=YZAHWDSREB&amp;VAR:QUERY=KENTRl9JTlRBTkcoUVRSX1IsMzk3MjEpQFdTRl9JTlRBTkcoUVRSLDM5NzIxKSk=&amp;WINDOW=FIRST_POPUP&amp;H","EIGHT=450&amp;WIDTH=450&amp;START_MAXIMIZED=FALSE&amp;VAR:CALENDAR=US&amp;VAR:SYMBOL=ARX&amp;VAR:INDEX=0"}</definedName>
    <definedName name="_37__FDSAUDITLINK__" hidden="1">{"fdsup://directions/FAT Viewer?action=UPDATE&amp;creator=factset&amp;DYN_ARGS=TRUE&amp;DOC_NAME=FAT:FQL_AUDITING_CLIENT_TEMPLATE.FAT&amp;display_string=Audit&amp;VAR:KEY=YRQJSBSTEN&amp;VAR:QUERY=KENTRl9JTlRBTkcoUVRSX1IsMzYyMTcpQFdTRl9JTlRBTkcoUVRSLDM2MjE3KSk=&amp;WINDOW=FIRST_POPUP&amp;H","EIGHT=450&amp;WIDTH=450&amp;START_MAXIMIZED=FALSE&amp;VAR:CALENDAR=US&amp;VAR:SYMBOL=AMD&amp;VAR:INDEX=0"}</definedName>
    <definedName name="_370__FDSAUDITLINK__" hidden="1">{"fdsup://directions/FAT Viewer?action=UPDATE&amp;creator=factset&amp;DYN_ARGS=TRUE&amp;DOC_NAME=FAT:FQL_AUDITING_CLIENT_TEMPLATE.FAT&amp;display_string=Audit&amp;VAR:KEY=ENALIHQZUJ&amp;VAR:QUERY=KENTRl9JTlRBTkcoUVRSX1IsMzYzNDEpQFdTRl9JTlRBTkcoUVRSLDM2MzQxKSk=&amp;WINDOW=FIRST_POPUP&amp;H","EIGHT=450&amp;WIDTH=450&amp;START_MAXIMIZED=FALSE&amp;VAR:CALENDAR=US&amp;VAR:SYMBOL=ARX&amp;VAR:INDEX=0"}</definedName>
    <definedName name="_371__FDSAUDITLINK__" hidden="1">{"fdsup://directions/FAT Viewer?action=UPDATE&amp;creator=factset&amp;DYN_ARGS=TRUE&amp;DOC_NAME=FAT:FQL_AUDITING_CLIENT_TEMPLATE.FAT&amp;display_string=Audit&amp;VAR:KEY=EFKFOZQBKX&amp;VAR:QUERY=KENTRl9TSExEUlNfRVEoUVRSX1IsMzYzNDEpQFdTRl9TSExEUlNfRVEoUVRSLDM2MzQxKSk=&amp;WINDOW=FIRST","_POPUP&amp;HEIGHT=450&amp;WIDTH=450&amp;START_MAXIMIZED=FALSE&amp;VAR:CALENDAR=US&amp;VAR:SYMBOL=ARX&amp;VAR:INDEX=0"}</definedName>
    <definedName name="_372__FDSAUDITLINK__" hidden="1">{"fdsup://directions/FAT Viewer?action=UPDATE&amp;creator=factset&amp;DYN_ARGS=TRUE&amp;DOC_NAME=FAT:FQL_AUDITING_CLIENT_TEMPLATE.FAT&amp;display_string=Audit&amp;VAR:KEY=OZKRUNWHIL&amp;VAR:QUERY=KENTRl9DT01fU0hTX09VVF9FUFNfRElMKFFUUl9SLDM2MzA4KUBXU0ZfQ09NX1NIU19PVVRfRVBTX0RJTChRV","FIsMzYzMDgpKQ==&amp;WINDOW=FIRST_POPUP&amp;HEIGHT=450&amp;WIDTH=450&amp;START_MAXIMIZED=FALSE&amp;VAR:CALENDAR=US&amp;VAR:SYMBOL=ARX&amp;VAR:INDEX=0"}</definedName>
    <definedName name="_373__FDSAUDITLINK__" hidden="1">{"fdsup://directions/FAT Viewer?action=UPDATE&amp;creator=factset&amp;DYN_ARGS=TRUE&amp;DOC_NAME=FAT:FQL_AUDITING_CLIENT_TEMPLATE.FAT&amp;display_string=Audit&amp;VAR:KEY=QPUPARQXUX&amp;VAR:QUERY=KENTRl9JTlRBTkcoUVRSX1IsMzYzMDgpQFdTRl9JTlRBTkcoUVRSLDM2MzA4KSk=&amp;WINDOW=FIRST_POPUP&amp;H","EIGHT=450&amp;WIDTH=450&amp;START_MAXIMIZED=FALSE&amp;VAR:CALENDAR=US&amp;VAR:SYMBOL=ARX&amp;VAR:INDEX=0"}</definedName>
    <definedName name="_374__FDSAUDITLINK__" hidden="1">{"fdsup://directions/FAT Viewer?action=UPDATE&amp;creator=factset&amp;DYN_ARGS=TRUE&amp;DOC_NAME=FAT:FQL_AUDITING_CLIENT_TEMPLATE.FAT&amp;display_string=Audit&amp;VAR:KEY=UNOBIVMNGP&amp;VAR:QUERY=KENTRl9TSExEUlNfRVEoUVRSX1IsMzYzMDgpQFdTRl9TSExEUlNfRVEoUVRSLDM2MzA4KSk=&amp;WINDOW=FIRST","_POPUP&amp;HEIGHT=450&amp;WIDTH=450&amp;START_MAXIMIZED=FALSE&amp;VAR:CALENDAR=US&amp;VAR:SYMBOL=ARX&amp;VAR:INDEX=0"}</definedName>
    <definedName name="_375__FDSAUDITLINK__" hidden="1">{"fdsup://directions/FAT Viewer?action=UPDATE&amp;creator=factset&amp;DYN_ARGS=TRUE&amp;DOC_NAME=FAT:FQL_AUDITING_CLIENT_TEMPLATE.FAT&amp;display_string=Audit&amp;VAR:KEY=CHSVMLSVYH&amp;VAR:QUERY=KENTRl9DT01fU0hTX09VVF9FUFNfRElMKFFUUl9SLDM2MjgwKUBXU0ZfQ09NX1NIU19PVVRfRVBTX0RJTChRV","FIsMzYyODApKQ==&amp;WINDOW=FIRST_POPUP&amp;HEIGHT=450&amp;WIDTH=450&amp;START_MAXIMIZED=FALSE&amp;VAR:CALENDAR=US&amp;VAR:SYMBOL=ARX&amp;VAR:INDEX=0"}</definedName>
    <definedName name="_376__FDSAUDITLINK__" hidden="1">{"fdsup://directions/FAT Viewer?action=UPDATE&amp;creator=factset&amp;DYN_ARGS=TRUE&amp;DOC_NAME=FAT:FQL_AUDITING_CLIENT_TEMPLATE.FAT&amp;display_string=Audit&amp;VAR:KEY=CBKNWDAHKJ&amp;VAR:QUERY=KENTRl9JTlRBTkcoUVRSX1IsMzYyODApQFdTRl9JTlRBTkcoUVRSLDM2MjgwKSk=&amp;WINDOW=FIRST_POPUP&amp;H","EIGHT=450&amp;WIDTH=450&amp;START_MAXIMIZED=FALSE&amp;VAR:CALENDAR=US&amp;VAR:SYMBOL=ARX&amp;VAR:INDEX=0"}</definedName>
    <definedName name="_377__FDSAUDITLINK__" hidden="1">{"fdsup://directions/FAT Viewer?action=UPDATE&amp;creator=factset&amp;DYN_ARGS=TRUE&amp;DOC_NAME=FAT:FQL_AUDITING_CLIENT_TEMPLATE.FAT&amp;display_string=Audit&amp;VAR:KEY=KPODUPWHYR&amp;VAR:QUERY=KENTRl9TSExEUlNfRVEoUVRSX1IsMzYyODApQFdTRl9TSExEUlNfRVEoUVRSLDM2MjgwKSk=&amp;WINDOW=FIRST","_POPUP&amp;HEIGHT=450&amp;WIDTH=450&amp;START_MAXIMIZED=FALSE&amp;VAR:CALENDAR=US&amp;VAR:SYMBOL=ARX&amp;VAR:INDEX=0"}</definedName>
    <definedName name="_378__FDSAUDITLINK__" hidden="1">{"fdsup://directions/FAT Viewer?action=UPDATE&amp;creator=factset&amp;DYN_ARGS=TRUE&amp;DOC_NAME=FAT:FQL_AUDITING_CLIENT_TEMPLATE.FAT&amp;display_string=Audit&amp;VAR:KEY=WHUFCHOVAN&amp;VAR:QUERY=KENTRl9DT01fU0hTX09VVF9FUFNfRElMKFFUUl9SLDM2MjUwKUBXU0ZfQ09NX1NIU19PVVRfRVBTX0RJTChRV","FIsMzYyNTApKQ==&amp;WINDOW=FIRST_POPUP&amp;HEIGHT=450&amp;WIDTH=450&amp;START_MAXIMIZED=FALSE&amp;VAR:CALENDAR=US&amp;VAR:SYMBOL=ARX&amp;VAR:INDEX=0"}</definedName>
    <definedName name="_379__FDSAUDITLINK__" hidden="1">{"fdsup://directions/FAT Viewer?action=UPDATE&amp;creator=factset&amp;DYN_ARGS=TRUE&amp;DOC_NAME=FAT:FQL_AUDITING_CLIENT_TEMPLATE.FAT&amp;display_string=Audit&amp;VAR:KEY=QDWBINOJIH&amp;VAR:QUERY=KENTRl9JTlRBTkcoUVRSX1IsMzYyNTApQFdTRl9JTlRBTkcoUVRSLDM2MjUwKSk=&amp;WINDOW=FIRST_POPUP&amp;H","EIGHT=450&amp;WIDTH=450&amp;START_MAXIMIZED=FALSE&amp;VAR:CALENDAR=US&amp;VAR:SYMBOL=ARX&amp;VAR:INDEX=0"}</definedName>
    <definedName name="_38__FDSAUDITLINK__" localSheetId="0" hidden="1">{"fdsup://directions/FAT Viewer?action=UPDATE&amp;creator=factset&amp;DYN_ARGS=TRUE&amp;DOC_NAME=FAT:FQL_AUDITING_CLIENT_TEMPLATE.FAT&amp;display_string=Audit&amp;VAR:KEY=AZYVSZGJQZ&amp;VAR:QUERY=KENTRl9TSExEUlNfRVEoUVRSX1IsMzk3MjEpQFdTRl9TSExEUlNfRVEoUVRSLDM5NzIxKSk=&amp;WINDOW=FIRST","_POPUP&amp;HEIGHT=450&amp;WIDTH=450&amp;START_MAXIMIZED=FALSE&amp;VAR:CALENDAR=US&amp;VAR:SYMBOL=ARX&amp;VAR:INDEX=0"}</definedName>
    <definedName name="_38__FDSAUDITLINK__" hidden="1">{"fdsup://directions/FAT Viewer?action=UPDATE&amp;creator=factset&amp;DYN_ARGS=TRUE&amp;DOC_NAME=FAT:FQL_AUDITING_CLIENT_TEMPLATE.FAT&amp;display_string=Audit&amp;VAR:KEY=YZOLCXEXUF&amp;VAR:QUERY=KENTRl9JTlRBTkcoUVRSX1IsMzYxODkpQFdTRl9JTlRBTkcoUVRSLDM2MTg5KSk=&amp;WINDOW=FIRST_POPUP&amp;H","EIGHT=450&amp;WIDTH=450&amp;START_MAXIMIZED=FALSE&amp;VAR:CALENDAR=US&amp;VAR:SYMBOL=AMD&amp;VAR:INDEX=0"}</definedName>
    <definedName name="_380__FDSAUDITLINK__" hidden="1">{"fdsup://directions/FAT Viewer?action=UPDATE&amp;creator=factset&amp;DYN_ARGS=TRUE&amp;DOC_NAME=FAT:FQL_AUDITING_CLIENT_TEMPLATE.FAT&amp;display_string=Audit&amp;VAR:KEY=UXUVUJWNOH&amp;VAR:QUERY=KENTRl9TSExEUlNfRVEoUVRSX1IsMzYyNTApQFdTRl9TSExEUlNfRVEoUVRSLDM2MjUwKSk=&amp;WINDOW=FIRST","_POPUP&amp;HEIGHT=450&amp;WIDTH=450&amp;START_MAXIMIZED=FALSE&amp;VAR:CALENDAR=US&amp;VAR:SYMBOL=ARX&amp;VAR:INDEX=0"}</definedName>
    <definedName name="_381__FDSAUDITLINK__" hidden="1">{"fdsup://directions/FAT Viewer?action=UPDATE&amp;creator=factset&amp;DYN_ARGS=TRUE&amp;DOC_NAME=FAT:FQL_AUDITING_CLIENT_TEMPLATE.FAT&amp;display_string=Audit&amp;VAR:KEY=ZMRSHSZMTM&amp;VAR:QUERY=RkZfU0hMRFJTX0VRKCdRVFInLDM0NzU4KQ==&amp;WINDOW=FIRST_POPUP&amp;HEIGHT=450&amp;WIDTH=450&amp;START_MA","XIMIZED=FALSE&amp;VAR:CALENDAR=US&amp;VAR:SYMBOL=INTC&amp;VAR:INDEX=0"}</definedName>
    <definedName name="_382__FDSAUDITLINK__" hidden="1">{"fdsup://directions/FAT Viewer?action=UPDATE&amp;creator=factset&amp;DYN_ARGS=TRUE&amp;DOC_NAME=FAT:FQL_AUDITING_CLIENT_TEMPLATE.FAT&amp;display_string=Audit&amp;VAR:KEY=ZMRSHSZMTM&amp;VAR:QUERY=RkZfU0hMRFJTX0VRKCdRVFInLDM0NzU4KQ==&amp;WINDOW=FIRST_POPUP&amp;HEIGHT=450&amp;WIDTH=450&amp;START_MA","XIMIZED=FALSE&amp;VAR:CALENDAR=US&amp;VAR:SYMBOL=INTC&amp;VAR:INDEX=0"}</definedName>
    <definedName name="_383__FDSAUDITLINK__" hidden="1">{"fdsup://directions/FAT Viewer?action=UPDATE&amp;creator=factset&amp;DYN_ARGS=TRUE&amp;DOC_NAME=FAT:FQL_AUDITING_CLIENT_TEMPLATE.FAT&amp;display_string=Audit&amp;VAR:KEY=NSPATQLEPM&amp;VAR:QUERY=RkZfU0hMRFJTX0VRKCdRVFInLDM0NzMwKQ==&amp;WINDOW=FIRST_POPUP&amp;HEIGHT=450&amp;WIDTH=450&amp;START_MA","XIMIZED=FALSE&amp;VAR:CALENDAR=US&amp;VAR:SYMBOL=INTC&amp;VAR:INDEX=0"}</definedName>
    <definedName name="_384__FDSAUDITLINK__" hidden="1">{"fdsup://directions/FAT Viewer?action=UPDATE&amp;creator=factset&amp;DYN_ARGS=TRUE&amp;DOC_NAME=FAT:FQL_AUDITING_CLIENT_TEMPLATE.FAT&amp;display_string=Audit&amp;VAR:KEY=NSPATQLEPM&amp;VAR:QUERY=RkZfU0hMRFJTX0VRKCdRVFInLDM0NzMwKQ==&amp;WINDOW=FIRST_POPUP&amp;HEIGHT=450&amp;WIDTH=450&amp;START_MA","XIMIZED=FALSE&amp;VAR:CALENDAR=US&amp;VAR:SYMBOL=INTC&amp;VAR:INDEX=0"}</definedName>
    <definedName name="_385__FDSAUDITLINK__" hidden="1">{"fdsup://directions/FAT Viewer?action=UPDATE&amp;creator=factset&amp;DYN_ARGS=TRUE&amp;DOC_NAME=FAT:FQL_AUDITING_CLIENT_TEMPLATE.FAT&amp;display_string=Audit&amp;VAR:KEY=ZQJSJORKJU&amp;VAR:QUERY=RkZfU0hMRFJTX0VRKCdRVFInLDM0Njk4KQ==&amp;WINDOW=FIRST_POPUP&amp;HEIGHT=450&amp;WIDTH=450&amp;START_MA","XIMIZED=FALSE&amp;VAR:CALENDAR=US&amp;VAR:SYMBOL=INTC&amp;VAR:INDEX=0"}</definedName>
    <definedName name="_386__FDSAUDITLINK__" hidden="1">{"fdsup://directions/FAT Viewer?action=UPDATE&amp;creator=factset&amp;DYN_ARGS=TRUE&amp;DOC_NAME=FAT:FQL_AUDITING_CLIENT_TEMPLATE.FAT&amp;display_string=Audit&amp;VAR:KEY=ZQJSJORKJU&amp;VAR:QUERY=RkZfU0hMRFJTX0VRKCdRVFInLDM0Njk4KQ==&amp;WINDOW=FIRST_POPUP&amp;HEIGHT=450&amp;WIDTH=450&amp;START_MA","XIMIZED=FALSE&amp;VAR:CALENDAR=US&amp;VAR:SYMBOL=INTC&amp;VAR:INDEX=0"}</definedName>
    <definedName name="_387__FDSAUDITLINK__" hidden="1">{"fdsup://directions/FAT Viewer?action=UPDATE&amp;creator=factset&amp;DYN_ARGS=TRUE&amp;DOC_NAME=FAT:FQL_AUDITING_CLIENT_TEMPLATE.FAT&amp;display_string=Audit&amp;VAR:KEY=INMNGDMXER&amp;VAR:QUERY=KENTRl9DT01fU0hTX09VVF9FUFNfRElMKFFUUl9SLDQxMTM3KUBXU0ZfQ09NX1NIU19PVVRfRVBTX0RJTChRV","FIsNDExMzcpKQ==&amp;WINDOW=FIRST_POPUP&amp;HEIGHT=450&amp;WIDTH=450&amp;START_MAXIMIZED=FALSE&amp;VAR:CALENDAR=US&amp;VAR:SYMBOL=ARX&amp;VAR:INDEX=0"}</definedName>
    <definedName name="_388__FDSAUDITLINK__" hidden="1">{"fdsup://directions/FAT Viewer?action=UPDATE&amp;creator=factset&amp;DYN_ARGS=TRUE&amp;DOC_NAME=FAT:FQL_AUDITING_CLIENT_TEMPLATE.FAT&amp;display_string=Audit&amp;VAR:KEY=CNCRADOVMF&amp;VAR:QUERY=KENTRl9JTlRBTkcoUVRSX1IsNDExMzcpQFdTRl9JTlRBTkcoUVRSLDQxMTM3KSk=&amp;WINDOW=FIRST_POPUP&amp;H","EIGHT=450&amp;WIDTH=450&amp;START_MAXIMIZED=FALSE&amp;VAR:CALENDAR=US&amp;VAR:SYMBOL=ARX&amp;VAR:INDEX=0"}</definedName>
    <definedName name="_389__FDSAUDITLINK__" hidden="1">{"fdsup://directions/FAT Viewer?action=UPDATE&amp;creator=factset&amp;DYN_ARGS=TRUE&amp;DOC_NAME=FAT:FQL_AUDITING_CLIENT_TEMPLATE.FAT&amp;display_string=Audit&amp;VAR:KEY=CBWLIFIVKT&amp;VAR:QUERY=KENTRl9TSExEUlNfRVEoUVRSX1IsNDExMzcpQFdTRl9TSExEUlNfRVEoUVRSLDQxMTM3KSk=&amp;WINDOW=FIRST","_POPUP&amp;HEIGHT=450&amp;WIDTH=450&amp;START_MAXIMIZED=FALSE&amp;VAR:CALENDAR=US&amp;VAR:SYMBOL=ARX&amp;VAR:INDEX=0"}</definedName>
    <definedName name="_39__FDSAUDITLINK__" localSheetId="0" hidden="1">{"fdsup://directions/FAT Viewer?action=UPDATE&amp;creator=factset&amp;DYN_ARGS=TRUE&amp;DOC_NAME=FAT:FQL_AUDITING_CLIENT_TEMPLATE.FAT&amp;display_string=Audit&amp;VAR:KEY=ETIPYVULEB&amp;VAR:QUERY=KENTRl9DT01fU0hTX09VVF9FUFNfRElMKFFUUl9SLDM5Njg5KUBXU0ZfQ09NX1NIU19PVVRfRVBTX0RJTChRV","FIsMzk2ODkpKQ==&amp;WINDOW=FIRST_POPUP&amp;HEIGHT=450&amp;WIDTH=450&amp;START_MAXIMIZED=FALSE&amp;VAR:CALENDAR=US&amp;VAR:SYMBOL=ARX&amp;VAR:INDEX=0"}</definedName>
    <definedName name="_39__FDSAUDITLINK__" hidden="1">{"fdsup://directions/FAT Viewer?action=UPDATE&amp;creator=factset&amp;DYN_ARGS=TRUE&amp;DOC_NAME=FAT:FQL_AUDITING_CLIENT_TEMPLATE.FAT&amp;display_string=Audit&amp;VAR:KEY=CHQLGXCTOF&amp;VAR:QUERY=KENTRl9JTlRBTkcoUVRSX1IsMzYxNjApQFdTRl9JTlRBTkcoUVRSLDM2MTYwKSk=&amp;WINDOW=FIRST_POPUP&amp;H","EIGHT=450&amp;WIDTH=450&amp;START_MAXIMIZED=FALSE&amp;VAR:CALENDAR=US&amp;VAR:SYMBOL=AMD&amp;VAR:INDEX=0"}</definedName>
    <definedName name="_390__FDSAUDITLINK__" hidden="1">{"fdsup://directions/FAT Viewer?action=UPDATE&amp;creator=factset&amp;DYN_ARGS=TRUE&amp;DOC_NAME=FAT:FQL_AUDITING_CLIENT_TEMPLATE.FAT&amp;display_string=Audit&amp;VAR:KEY=KZKNOXSLMX&amp;VAR:QUERY=KENTRl9DT01fU0hTX09VVF9FUFNfRElMKFFUUl9SLDQxMTIxKUBXU0ZfQ09NX1NIU19PVVRfRVBTX0RJTChRV","FIsNDExMjEpKQ==&amp;WINDOW=FIRST_POPUP&amp;HEIGHT=450&amp;WIDTH=450&amp;START_MAXIMIZED=FALSE&amp;VAR:CALENDAR=US&amp;VAR:SYMBOL=ARX&amp;VAR:INDEX=0"}</definedName>
    <definedName name="_391__FDSAUDITLINK__" hidden="1">{"fdsup://directions/FAT Viewer?action=UPDATE&amp;creator=factset&amp;DYN_ARGS=TRUE&amp;DOC_NAME=FAT:FQL_AUDITING_CLIENT_TEMPLATE.FAT&amp;display_string=Audit&amp;VAR:KEY=EXYLIFUVSD&amp;VAR:QUERY=KENTRl9JTlRBTkcoUVRSX1IsNDExMjEpQFdTRl9JTlRBTkcoUVRSLDQxMTIxKSk=&amp;WINDOW=FIRST_POPUP&amp;H","EIGHT=450&amp;WIDTH=450&amp;START_MAXIMIZED=FALSE&amp;VAR:CALENDAR=US&amp;VAR:SYMBOL=ARX&amp;VAR:INDEX=0"}</definedName>
    <definedName name="_392__FDSAUDITLINK__" hidden="1">{"fdsup://directions/FAT Viewer?action=UPDATE&amp;creator=factset&amp;DYN_ARGS=TRUE&amp;DOC_NAME=FAT:FQL_AUDITING_CLIENT_TEMPLATE.FAT&amp;display_string=Audit&amp;VAR:KEY=WRGTGJUZUH&amp;VAR:QUERY=KENTRl9TSExEUlNfRVEoUVRSX1IsNDExMjEpQFdTRl9TSExEUlNfRVEoUVRSLDQxMTIxKSk=&amp;WINDOW=FIRST","_POPUP&amp;HEIGHT=450&amp;WIDTH=450&amp;START_MAXIMIZED=FALSE&amp;VAR:CALENDAR=US&amp;VAR:SYMBOL=ARX&amp;VAR:INDEX=0"}</definedName>
    <definedName name="_393__FDSAUDITLINK__" hidden="1">{"fdsup://directions/FAT Viewer?action=UPDATE&amp;creator=factset&amp;DYN_ARGS=TRUE&amp;DOC_NAME=FAT:FQL_AUDITING_CLIENT_TEMPLATE.FAT&amp;display_string=Audit&amp;VAR:KEY=QVUNKVWZMJ&amp;VAR:QUERY=KENTRl9DT01fU0hTX09VVF9FUFNfRElMKFFUUl9SLDQxMDkwKUBXU0ZfQ09NX1NIU19PVVRfRVBTX0RJTChRV","FIsNDEwOTApKQ==&amp;WINDOW=FIRST_POPUP&amp;HEIGHT=450&amp;WIDTH=450&amp;START_MAXIMIZED=FALSE&amp;VAR:CALENDAR=US&amp;VAR:SYMBOL=ARX&amp;VAR:INDEX=0"}</definedName>
    <definedName name="_394__FDSAUDITLINK__" hidden="1">{"fdsup://directions/FAT Viewer?action=UPDATE&amp;creator=factset&amp;DYN_ARGS=TRUE&amp;DOC_NAME=FAT:FQL_AUDITING_CLIENT_TEMPLATE.FAT&amp;display_string=Audit&amp;VAR:KEY=EXSJINGVIZ&amp;VAR:QUERY=KENTRl9JTlRBTkcoUVRSX1IsNDEwOTApQFdTRl9JTlRBTkcoUVRSLDQxMDkwKSk=&amp;WINDOW=FIRST_POPUP&amp;H","EIGHT=450&amp;WIDTH=450&amp;START_MAXIMIZED=FALSE&amp;VAR:CALENDAR=US&amp;VAR:SYMBOL=ARX&amp;VAR:INDEX=0"}</definedName>
    <definedName name="_395__FDSAUDITLINK__" hidden="1">{"fdsup://directions/FAT Viewer?action=UPDATE&amp;creator=factset&amp;DYN_ARGS=TRUE&amp;DOC_NAME=FAT:FQL_AUDITING_CLIENT_TEMPLATE.FAT&amp;display_string=Audit&amp;VAR:KEY=OPMZYLCLUF&amp;VAR:QUERY=KENTRl9TSExEUlNfRVEoUVRSX1IsNDEwOTApQFdTRl9TSExEUlNfRVEoUVRSLDQxMDkwKSk=&amp;WINDOW=FIRST","_POPUP&amp;HEIGHT=450&amp;WIDTH=450&amp;START_MAXIMIZED=FALSE&amp;VAR:CALENDAR=US&amp;VAR:SYMBOL=ARX&amp;VAR:INDEX=0"}</definedName>
    <definedName name="_396__FDSAUDITLINK__" hidden="1">{"fdsup://directions/FAT Viewer?action=UPDATE&amp;creator=factset&amp;DYN_ARGS=TRUE&amp;DOC_NAME=FAT:FQL_AUDITING_CLIENT_TEMPLATE.FAT&amp;display_string=Audit&amp;VAR:KEY=INMNGDMXER&amp;VAR:QUERY=KENTRl9DT01fU0hTX09VVF9FUFNfRElMKFFUUl9SLDQxMTM3KUBXU0ZfQ09NX1NIU19PVVRfRVBTX0RJTChRV","FIsNDExMzcpKQ==&amp;WINDOW=FIRST_POPUP&amp;HEIGHT=450&amp;WIDTH=450&amp;START_MAXIMIZED=FALSE&amp;VAR:CALENDAR=US&amp;VAR:SYMBOL=ARX&amp;VAR:INDEX=0"}</definedName>
    <definedName name="_397__FDSAUDITLINK__" hidden="1">{"fdsup://directions/FAT Viewer?action=UPDATE&amp;creator=factset&amp;DYN_ARGS=TRUE&amp;DOC_NAME=FAT:FQL_AUDITING_CLIENT_TEMPLATE.FAT&amp;display_string=Audit&amp;VAR:KEY=CNCRADOVMF&amp;VAR:QUERY=KENTRl9JTlRBTkcoUVRSX1IsNDExMzcpQFdTRl9JTlRBTkcoUVRSLDQxMTM3KSk=&amp;WINDOW=FIRST_POPUP&amp;H","EIGHT=450&amp;WIDTH=450&amp;START_MAXIMIZED=FALSE&amp;VAR:CALENDAR=US&amp;VAR:SYMBOL=ARX&amp;VAR:INDEX=0"}</definedName>
    <definedName name="_398__FDSAUDITLINK__" hidden="1">{"fdsup://directions/FAT Viewer?action=UPDATE&amp;creator=factset&amp;DYN_ARGS=TRUE&amp;DOC_NAME=FAT:FQL_AUDITING_CLIENT_TEMPLATE.FAT&amp;display_string=Audit&amp;VAR:KEY=CBWLIFIVKT&amp;VAR:QUERY=KENTRl9TSExEUlNfRVEoUVRSX1IsNDExMzcpQFdTRl9TSExEUlNfRVEoUVRSLDQxMTM3KSk=&amp;WINDOW=FIRST","_POPUP&amp;HEIGHT=450&amp;WIDTH=450&amp;START_MAXIMIZED=FALSE&amp;VAR:CALENDAR=US&amp;VAR:SYMBOL=ARX&amp;VAR:INDEX=0"}</definedName>
    <definedName name="_399__FDSAUDITLINK__" hidden="1">{"fdsup://directions/FAT Viewer?action=UPDATE&amp;creator=factset&amp;DYN_ARGS=TRUE&amp;DOC_NAME=FAT:FQL_AUDITING_CLIENT_TEMPLATE.FAT&amp;display_string=Audit&amp;VAR:KEY=KZKNOXSLMX&amp;VAR:QUERY=KENTRl9DT01fU0hTX09VVF9FUFNfRElMKFFUUl9SLDQxMTIxKUBXU0ZfQ09NX1NIU19PVVRfRVBTX0RJTChRV","FIsNDExMjEpKQ==&amp;WINDOW=FIRST_POPUP&amp;HEIGHT=450&amp;WIDTH=450&amp;START_MAXIMIZED=FALSE&amp;VAR:CALENDAR=US&amp;VAR:SYMBOL=ARX&amp;VAR:INDEX=0"}</definedName>
    <definedName name="_3Q94">#REF!</definedName>
    <definedName name="_3Q95">#REF!</definedName>
    <definedName name="_4__123Graph_BCHART_1" hidden="1">#REF!</definedName>
    <definedName name="_4__FDSAUDITLINK__" localSheetId="0" hidden="1">{"fdsup://directions/FAT Viewer?action=UPDATE&amp;creator=factset&amp;DYN_ARGS=TRUE&amp;DOC_NAME=FAT:FQL_AUDITING_CLIENT_TEMPLATE.FAT&amp;display_string=Audit&amp;VAR:KEY=IJIXCVELIX&amp;VAR:QUERY=KENTRl9TSExEUlNfRVEoUVRSX1IsNDAzMjkpQFdTRl9TSExEUlNfRVEoUVRSLDQwMzI5KSk=&amp;WINDOW=FIRST","_POPUP&amp;HEIGHT=450&amp;WIDTH=450&amp;START_MAXIMIZED=FALSE&amp;VAR:CALENDAR=US&amp;VAR:SYMBOL=ARX&amp;VAR:INDEX=0"}</definedName>
    <definedName name="_4__FDSAUDITLINK__" hidden="1">{"fdsup://directions/FAT Viewer?action=UPDATE&amp;creator=factset&amp;DYN_ARGS=TRUE&amp;DOC_NAME=FAT:FQL_AUDITING_CLIENT_TEMPLATE.FAT&amp;display_string=Audit&amp;VAR:KEY=KBSDWPWXMZ&amp;VAR:QUERY=KENTRl9JTlRBTkcoUVRSX1IsMzcyMjUpQFdTRl9JTlRBTkcoUVRSLDM3MjI1KSk=&amp;WINDOW=FIRST_POPUP&amp;H","EIGHT=450&amp;WIDTH=450&amp;START_MAXIMIZED=FALSE&amp;VAR:CALENDAR=US&amp;VAR:SYMBOL=AMD&amp;VAR:INDEX=0"}</definedName>
    <definedName name="_40__FDSAUDITLINK__" localSheetId="0" hidden="1">{"fdsup://directions/FAT Viewer?action=UPDATE&amp;creator=factset&amp;DYN_ARGS=TRUE&amp;DOC_NAME=FAT:FQL_AUDITING_CLIENT_TEMPLATE.FAT&amp;display_string=Audit&amp;VAR:KEY=UVKTIRUPKP&amp;VAR:QUERY=KENTRl9JTlRBTkcoUVRSX1IsMzk2ODkpQFdTRl9JTlRBTkcoUVRSLDM5Njg5KSk=&amp;WINDOW=FIRST_POPUP&amp;H","EIGHT=450&amp;WIDTH=450&amp;START_MAXIMIZED=FALSE&amp;VAR:CALENDAR=US&amp;VAR:SYMBOL=ARX&amp;VAR:INDEX=0"}</definedName>
    <definedName name="_40__FDSAUDITLINK__" hidden="1">{"fdsup://directions/FAT Viewer?action=UPDATE&amp;creator=factset&amp;DYN_ARGS=TRUE&amp;DOC_NAME=FAT:FQL_AUDITING_CLIENT_TEMPLATE.FAT&amp;display_string=Audit&amp;VAR:KEY=GHMLUFYXOP&amp;VAR:QUERY=KENTRl9DT01fU0hTX09VVF9FUFNfRElMKFFUUl9SLDM2MTI5KUBXU0ZfQ09NX1NIU19PVVRfRVBTX0RJTChRV","FIsMzYxMjkpKQ==&amp;WINDOW=FIRST_POPUP&amp;HEIGHT=450&amp;WIDTH=450&amp;START_MAXIMIZED=FALSE&amp;VAR:CALENDAR=US&amp;VAR:SYMBOL=AMD&amp;VAR:INDEX=0"}</definedName>
    <definedName name="_400__FDSAUDITLINK__" hidden="1">{"fdsup://directions/FAT Viewer?action=UPDATE&amp;creator=factset&amp;DYN_ARGS=TRUE&amp;DOC_NAME=FAT:FQL_AUDITING_CLIENT_TEMPLATE.FAT&amp;display_string=Audit&amp;VAR:KEY=EXYLIFUVSD&amp;VAR:QUERY=KENTRl9JTlRBTkcoUVRSX1IsNDExMjEpQFdTRl9JTlRBTkcoUVRSLDQxMTIxKSk=&amp;WINDOW=FIRST_POPUP&amp;H","EIGHT=450&amp;WIDTH=450&amp;START_MAXIMIZED=FALSE&amp;VAR:CALENDAR=US&amp;VAR:SYMBOL=ARX&amp;VAR:INDEX=0"}</definedName>
    <definedName name="_401__FDSAUDITLINK__" hidden="1">{"fdsup://directions/FAT Viewer?action=UPDATE&amp;creator=factset&amp;DYN_ARGS=TRUE&amp;DOC_NAME=FAT:FQL_AUDITING_CLIENT_TEMPLATE.FAT&amp;display_string=Audit&amp;VAR:KEY=WRGTGJUZUH&amp;VAR:QUERY=KENTRl9TSExEUlNfRVEoUVRSX1IsNDExMjEpQFdTRl9TSExEUlNfRVEoUVRSLDQxMTIxKSk=&amp;WINDOW=FIRST","_POPUP&amp;HEIGHT=450&amp;WIDTH=450&amp;START_MAXIMIZED=FALSE&amp;VAR:CALENDAR=US&amp;VAR:SYMBOL=ARX&amp;VAR:INDEX=0"}</definedName>
    <definedName name="_402__FDSAUDITLINK__" hidden="1">{"fdsup://directions/FAT Viewer?action=UPDATE&amp;creator=factset&amp;DYN_ARGS=TRUE&amp;DOC_NAME=FAT:FQL_AUDITING_CLIENT_TEMPLATE.FAT&amp;display_string=Audit&amp;VAR:KEY=QVUNKVWZMJ&amp;VAR:QUERY=KENTRl9DT01fU0hTX09VVF9FUFNfRElMKFFUUl9SLDQxMDkwKUBXU0ZfQ09NX1NIU19PVVRfRVBTX0RJTChRV","FIsNDEwOTApKQ==&amp;WINDOW=FIRST_POPUP&amp;HEIGHT=450&amp;WIDTH=450&amp;START_MAXIMIZED=FALSE&amp;VAR:CALENDAR=US&amp;VAR:SYMBOL=ARX&amp;VAR:INDEX=0"}</definedName>
    <definedName name="_403__FDSAUDITLINK__" hidden="1">{"fdsup://directions/FAT Viewer?action=UPDATE&amp;creator=factset&amp;DYN_ARGS=TRUE&amp;DOC_NAME=FAT:FQL_AUDITING_CLIENT_TEMPLATE.FAT&amp;display_string=Audit&amp;VAR:KEY=EXSJINGVIZ&amp;VAR:QUERY=KENTRl9JTlRBTkcoUVRSX1IsNDEwOTApQFdTRl9JTlRBTkcoUVRSLDQxMDkwKSk=&amp;WINDOW=FIRST_POPUP&amp;H","EIGHT=450&amp;WIDTH=450&amp;START_MAXIMIZED=FALSE&amp;VAR:CALENDAR=US&amp;VAR:SYMBOL=ARX&amp;VAR:INDEX=0"}</definedName>
    <definedName name="_404__FDSAUDITLINK__" hidden="1">{"fdsup://directions/FAT Viewer?action=UPDATE&amp;creator=factset&amp;DYN_ARGS=TRUE&amp;DOC_NAME=FAT:FQL_AUDITING_CLIENT_TEMPLATE.FAT&amp;display_string=Audit&amp;VAR:KEY=OPMZYLCLUF&amp;VAR:QUERY=KENTRl9TSExEUlNfRVEoUVRSX1IsNDEwOTApQFdTRl9TSExEUlNfRVEoUVRSLDQxMDkwKSk=&amp;WINDOW=FIRST","_POPUP&amp;HEIGHT=450&amp;WIDTH=450&amp;START_MAXIMIZED=FALSE&amp;VAR:CALENDAR=US&amp;VAR:SYMBOL=ARX&amp;VAR:INDEX=0"}</definedName>
    <definedName name="_405__FDSAUDITLINK__" hidden="1">{"fdsup://directions/FAT Viewer?action=UPDATE&amp;creator=factset&amp;DYN_ARGS=TRUE&amp;DOC_NAME=FAT:FQL_AUDITING_CLIENT_TEMPLATE.FAT&amp;display_string=Audit&amp;VAR:KEY=HWPMXQFKDG&amp;VAR:QUERY=RkZfU0hMRFJTX0VRKCdRVFInLDM0MzkzKQ==&amp;WINDOW=FIRST_POPUP&amp;HEIGHT=450&amp;WIDTH=450&amp;START_MA","XIMIZED=FALSE&amp;VAR:CALENDAR=US&amp;VAR:SYMBOL=INTC&amp;VAR:INDEX=0"}</definedName>
    <definedName name="_406__FDSAUDITLINK__" hidden="1">{"fdsup://directions/FAT Viewer?action=UPDATE&amp;creator=factset&amp;DYN_ARGS=TRUE&amp;DOC_NAME=FAT:FQL_AUDITING_CLIENT_TEMPLATE.FAT&amp;display_string=Audit&amp;VAR:KEY=HWPMXQFKDG&amp;VAR:QUERY=RkZfU0hMRFJTX0VRKCdRVFInLDM0MzkzKQ==&amp;WINDOW=FIRST_POPUP&amp;HEIGHT=450&amp;WIDTH=450&amp;START_MA","XIMIZED=FALSE&amp;VAR:CALENDAR=US&amp;VAR:SYMBOL=INTC&amp;VAR:INDEX=0"}</definedName>
    <definedName name="_407__FDSAUDITLINK__" hidden="1">{"fdsup://directions/FAT Viewer?action=UPDATE&amp;creator=factset&amp;DYN_ARGS=TRUE&amp;DOC_NAME=FAT:FQL_AUDITING_CLIENT_TEMPLATE.FAT&amp;display_string=Audit&amp;VAR:KEY=HGHQRSRMXK&amp;VAR:QUERY=RkZfU0hMRFJTX0VRKCdRVFInLDM0MzY1KQ==&amp;WINDOW=FIRST_POPUP&amp;HEIGHT=450&amp;WIDTH=450&amp;START_MA","XIMIZED=FALSE&amp;VAR:CALENDAR=US&amp;VAR:SYMBOL=INTC&amp;VAR:INDEX=0"}</definedName>
    <definedName name="_408__FDSAUDITLINK__" hidden="1">{"fdsup://directions/FAT Viewer?action=UPDATE&amp;creator=factset&amp;DYN_ARGS=TRUE&amp;DOC_NAME=FAT:FQL_AUDITING_CLIENT_TEMPLATE.FAT&amp;display_string=Audit&amp;VAR:KEY=HGHQRSRMXK&amp;VAR:QUERY=RkZfU0hMRFJTX0VRKCdRVFInLDM0MzY1KQ==&amp;WINDOW=FIRST_POPUP&amp;HEIGHT=450&amp;WIDTH=450&amp;START_MA","XIMIZED=FALSE&amp;VAR:CALENDAR=US&amp;VAR:SYMBOL=INTC&amp;VAR:INDEX=0"}</definedName>
    <definedName name="_409__FDSAUDITLINK__" hidden="1">{"fdsup://directions/FAT Viewer?action=UPDATE&amp;creator=factset&amp;DYN_ARGS=TRUE&amp;DOC_NAME=FAT:FQL_AUDITING_CLIENT_TEMPLATE.FAT&amp;display_string=Audit&amp;VAR:KEY=BUREXWXKTA&amp;VAR:QUERY=RkZfU0hMRFJTX0VRKCdRVFInLDM0MzM0KQ==&amp;WINDOW=FIRST_POPUP&amp;HEIGHT=450&amp;WIDTH=450&amp;START_MA","XIMIZED=FALSE&amp;VAR:CALENDAR=US&amp;VAR:SYMBOL=INTC&amp;VAR:INDEX=0"}</definedName>
    <definedName name="_41__FDSAUDITLINK__" localSheetId="0" hidden="1">{"fdsup://directions/FAT Viewer?action=UPDATE&amp;creator=factset&amp;DYN_ARGS=TRUE&amp;DOC_NAME=FAT:FQL_AUDITING_CLIENT_TEMPLATE.FAT&amp;display_string=Audit&amp;VAR:KEY=MXGNADSDGH&amp;VAR:QUERY=KENTRl9TSExEUlNfRVEoUVRSX1IsMzk2ODkpQFdTRl9TSExEUlNfRVEoUVRSLDM5Njg5KSk=&amp;WINDOW=FIRST","_POPUP&amp;HEIGHT=450&amp;WIDTH=450&amp;START_MAXIMIZED=FALSE&amp;VAR:CALENDAR=US&amp;VAR:SYMBOL=ARX&amp;VAR:INDEX=0"}</definedName>
    <definedName name="_41__FDSAUDITLINK__" hidden="1">{"fdsup://directions/FAT Viewer?action=UPDATE&amp;creator=factset&amp;DYN_ARGS=TRUE&amp;DOC_NAME=FAT:FQL_AUDITING_CLIENT_TEMPLATE.FAT&amp;display_string=Audit&amp;VAR:KEY=QPEHWNSLAR&amp;VAR:QUERY=KENTRl9JTlRBTkcoUVRSX1IsMzYxMjkpQFdTRl9JTlRBTkcoUVRSLDM2MTI5KSk=&amp;WINDOW=FIRST_POPUP&amp;H","EIGHT=450&amp;WIDTH=450&amp;START_MAXIMIZED=FALSE&amp;VAR:CALENDAR=US&amp;VAR:SYMBOL=AMD&amp;VAR:INDEX=0"}</definedName>
    <definedName name="_410__FDSAUDITLINK__" hidden="1">{"fdsup://directions/FAT Viewer?action=UPDATE&amp;creator=factset&amp;DYN_ARGS=TRUE&amp;DOC_NAME=FAT:FQL_AUDITING_CLIENT_TEMPLATE.FAT&amp;display_string=Audit&amp;VAR:KEY=BUREXWXKTA&amp;VAR:QUERY=RkZfU0hMRFJTX0VRKCdRVFInLDM0MzM0KQ==&amp;WINDOW=FIRST_POPUP&amp;HEIGHT=450&amp;WIDTH=450&amp;START_MA","XIMIZED=FALSE&amp;VAR:CALENDAR=US&amp;VAR:SYMBOL=INTC&amp;VAR:INDEX=0"}</definedName>
    <definedName name="_411__FDSAUDITLINK__" hidden="1">{"fdsup://directions/FAT Viewer?action=UPDATE&amp;creator=factset&amp;DYN_ARGS=TRUE&amp;DOC_NAME=FAT:FQL_AUDITING_CLIENT_TEMPLATE.FAT&amp;display_string=Audit&amp;VAR:KEY=XKXKRGPWXO&amp;VAR:QUERY=RkZfU0hMRFJTX0VRKCdRVFInLDM0MzAzKQ==&amp;WINDOW=FIRST_POPUP&amp;HEIGHT=450&amp;WIDTH=450&amp;START_MA","XIMIZED=FALSE&amp;VAR:CALENDAR=US&amp;VAR:SYMBOL=INTC&amp;VAR:INDEX=0"}</definedName>
    <definedName name="_412__FDSAUDITLINK__" hidden="1">{"fdsup://directions/FAT Viewer?action=UPDATE&amp;creator=factset&amp;DYN_ARGS=TRUE&amp;DOC_NAME=FAT:FQL_AUDITING_CLIENT_TEMPLATE.FAT&amp;display_string=Audit&amp;VAR:KEY=XKXKRGPWXO&amp;VAR:QUERY=RkZfU0hMRFJTX0VRKCdRVFInLDM0MzAzKQ==&amp;WINDOW=FIRST_POPUP&amp;HEIGHT=450&amp;WIDTH=450&amp;START_MA","XIMIZED=FALSE&amp;VAR:CALENDAR=US&amp;VAR:SYMBOL=INTC&amp;VAR:INDEX=0"}</definedName>
    <definedName name="_413__FDSAUDITLINK__" hidden="1">{"fdsup://directions/FAT Viewer?action=UPDATE&amp;creator=factset&amp;DYN_ARGS=TRUE&amp;DOC_NAME=FAT:FQL_AUDITING_CLIENT_TEMPLATE.FAT&amp;display_string=Audit&amp;VAR:KEY=NIVOBSJKJY&amp;VAR:QUERY=RkZfU0hMRFJTX0VRKCdRVFInLDM0MjcxKQ==&amp;WINDOW=FIRST_POPUP&amp;HEIGHT=450&amp;WIDTH=450&amp;START_MA","XIMIZED=FALSE&amp;VAR:CALENDAR=US&amp;VAR:SYMBOL=INTC&amp;VAR:INDEX=0"}</definedName>
    <definedName name="_414__FDSAUDITLINK__" hidden="1">{"fdsup://directions/FAT Viewer?action=UPDATE&amp;creator=factset&amp;DYN_ARGS=TRUE&amp;DOC_NAME=FAT:FQL_AUDITING_CLIENT_TEMPLATE.FAT&amp;display_string=Audit&amp;VAR:KEY=NIVOBSJKJY&amp;VAR:QUERY=RkZfU0hMRFJTX0VRKCdRVFInLDM0MjcxKQ==&amp;WINDOW=FIRST_POPUP&amp;HEIGHT=450&amp;WIDTH=450&amp;START_MA","XIMIZED=FALSE&amp;VAR:CALENDAR=US&amp;VAR:SYMBOL=INTC&amp;VAR:INDEX=0"}</definedName>
    <definedName name="_415__FDSAUDITLINK__" hidden="1">{"fdsup://directions/FAT Viewer?action=UPDATE&amp;creator=factset&amp;DYN_ARGS=TRUE&amp;DOC_NAME=FAT:FQL_AUDITING_CLIENT_TEMPLATE.FAT&amp;display_string=Audit&amp;VAR:KEY=HAHKDAREFM&amp;VAR:QUERY=RkZfU0hMRFJTX0VRKCdRVFInLDM0MjQyKQ==&amp;WINDOW=FIRST_POPUP&amp;HEIGHT=450&amp;WIDTH=450&amp;START_MA","XIMIZED=FALSE&amp;VAR:CALENDAR=US&amp;VAR:SYMBOL=INTC&amp;VAR:INDEX=0"}</definedName>
    <definedName name="_416__FDSAUDITLINK__" hidden="1">{"fdsup://directions/FAT Viewer?action=UPDATE&amp;creator=factset&amp;DYN_ARGS=TRUE&amp;DOC_NAME=FAT:FQL_AUDITING_CLIENT_TEMPLATE.FAT&amp;display_string=Audit&amp;VAR:KEY=HAHKDAREFM&amp;VAR:QUERY=RkZfU0hMRFJTX0VRKCdRVFInLDM0MjQyKQ==&amp;WINDOW=FIRST_POPUP&amp;HEIGHT=450&amp;WIDTH=450&amp;START_MA","XIMIZED=FALSE&amp;VAR:CALENDAR=US&amp;VAR:SYMBOL=INTC&amp;VAR:INDEX=0"}</definedName>
    <definedName name="_417__FDSAUDITLINK__" hidden="1">{"fdsup://directions/FAT Viewer?action=UPDATE&amp;creator=factset&amp;DYN_ARGS=TRUE&amp;DOC_NAME=FAT:FQL_AUDITING_CLIENT_TEMPLATE.FAT&amp;display_string=Audit&amp;VAR:KEY=LGZQZGXGXM&amp;VAR:QUERY=RkZfU0hMRFJTX0VRKCdRVFInLDM0MjEyKQ==&amp;WINDOW=FIRST_POPUP&amp;HEIGHT=450&amp;WIDTH=450&amp;START_MA","XIMIZED=FALSE&amp;VAR:CALENDAR=US&amp;VAR:SYMBOL=INTC&amp;VAR:INDEX=0"}</definedName>
    <definedName name="_418__FDSAUDITLINK__" hidden="1">{"fdsup://directions/FAT Viewer?action=UPDATE&amp;creator=factset&amp;DYN_ARGS=TRUE&amp;DOC_NAME=FAT:FQL_AUDITING_CLIENT_TEMPLATE.FAT&amp;display_string=Audit&amp;VAR:KEY=LGZQZGXGXM&amp;VAR:QUERY=RkZfU0hMRFJTX0VRKCdRVFInLDM0MjEyKQ==&amp;WINDOW=FIRST_POPUP&amp;HEIGHT=450&amp;WIDTH=450&amp;START_MA","XIMIZED=FALSE&amp;VAR:CALENDAR=US&amp;VAR:SYMBOL=INTC&amp;VAR:INDEX=0"}</definedName>
    <definedName name="_419__FDSAUDITLINK__" hidden="1">{"fdsup://directions/FAT Viewer?action=UPDATE&amp;creator=factset&amp;DYN_ARGS=TRUE&amp;DOC_NAME=FAT:FQL_AUDITING_CLIENT_TEMPLATE.FAT&amp;display_string=Audit&amp;VAR:KEY=POZGRMXOTO&amp;VAR:QUERY=RkZfU0hMRFJTX0VRKCdRVFInLDM0MTgwKQ==&amp;WINDOW=FIRST_POPUP&amp;HEIGHT=450&amp;WIDTH=450&amp;START_MA","XIMIZED=FALSE&amp;VAR:CALENDAR=US&amp;VAR:SYMBOL=INTC&amp;VAR:INDEX=0"}</definedName>
    <definedName name="_42__FDSAUDITLINK__" localSheetId="0" hidden="1">{"fdsup://directions/FAT Viewer?action=UPDATE&amp;creator=factset&amp;DYN_ARGS=TRUE&amp;DOC_NAME=FAT:FQL_AUDITING_CLIENT_TEMPLATE.FAT&amp;display_string=Audit&amp;VAR:KEY=CDSTUFOBAD&amp;VAR:QUERY=KENTRl9DT01fU0hTX09VVF9FUFNfRElMKFFUUl9SLDM5NjYwKUBXU0ZfQ09NX1NIU19PVVRfRVBTX0RJTChRV","FIsMzk2NjApKQ==&amp;WINDOW=FIRST_POPUP&amp;HEIGHT=450&amp;WIDTH=450&amp;START_MAXIMIZED=FALSE&amp;VAR:CALENDAR=US&amp;VAR:SYMBOL=ARX&amp;VAR:INDEX=0"}</definedName>
    <definedName name="_42__FDSAUDITLINK__" hidden="1">{"fdsup://directions/FAT Viewer?action=UPDATE&amp;creator=factset&amp;DYN_ARGS=TRUE&amp;DOC_NAME=FAT:FQL_AUDITING_CLIENT_TEMPLATE.FAT&amp;display_string=Audit&amp;VAR:KEY=SNKTAXSVEJ&amp;VAR:QUERY=KENTRl9DT01fU0hTX09VVF9FUFNfRElMKFFUUl9SLDM2MDk4KUBXU0ZfQ09NX1NIU19PVVRfRVBTX0RJTChRV","FIsMzYwOTgpKQ==&amp;WINDOW=FIRST_POPUP&amp;HEIGHT=450&amp;WIDTH=450&amp;START_MAXIMIZED=FALSE&amp;VAR:CALENDAR=US&amp;VAR:SYMBOL=AMD&amp;VAR:INDEX=0"}</definedName>
    <definedName name="_420__FDSAUDITLINK__" hidden="1">{"fdsup://directions/FAT Viewer?action=UPDATE&amp;creator=factset&amp;DYN_ARGS=TRUE&amp;DOC_NAME=FAT:FQL_AUDITING_CLIENT_TEMPLATE.FAT&amp;display_string=Audit&amp;VAR:KEY=POZGRMXOTO&amp;VAR:QUERY=RkZfU0hMRFJTX0VRKCdRVFInLDM0MTgwKQ==&amp;WINDOW=FIRST_POPUP&amp;HEIGHT=450&amp;WIDTH=450&amp;START_MA","XIMIZED=FALSE&amp;VAR:CALENDAR=US&amp;VAR:SYMBOL=INTC&amp;VAR:INDEX=0"}</definedName>
    <definedName name="_421__FDSAUDITLINK__" hidden="1">{"fdsup://directions/FAT Viewer?action=UPDATE&amp;creator=factset&amp;DYN_ARGS=TRUE&amp;DOC_NAME=FAT:FQL_AUDITING_CLIENT_TEMPLATE.FAT&amp;display_string=Audit&amp;VAR:KEY=LKXSPQFIJS&amp;VAR:QUERY=RkZfU0hMRFJTX0VRKCdRVFInLDM0MTUwKQ==&amp;WINDOW=FIRST_POPUP&amp;HEIGHT=450&amp;WIDTH=450&amp;START_MA","XIMIZED=FALSE&amp;VAR:CALENDAR=US&amp;VAR:SYMBOL=INTC&amp;VAR:INDEX=0"}</definedName>
    <definedName name="_422__FDSAUDITLINK__" hidden="1">{"fdsup://directions/FAT Viewer?action=UPDATE&amp;creator=factset&amp;DYN_ARGS=TRUE&amp;DOC_NAME=FAT:FQL_AUDITING_CLIENT_TEMPLATE.FAT&amp;display_string=Audit&amp;VAR:KEY=LKXSPQFIJS&amp;VAR:QUERY=RkZfU0hMRFJTX0VRKCdRVFInLDM0MTUwKQ==&amp;WINDOW=FIRST_POPUP&amp;HEIGHT=450&amp;WIDTH=450&amp;START_MA","XIMIZED=FALSE&amp;VAR:CALENDAR=US&amp;VAR:SYMBOL=INTC&amp;VAR:INDEX=0"}</definedName>
    <definedName name="_423__FDSAUDITLINK__" hidden="1">{"fdsup://directions/FAT Viewer?action=UPDATE&amp;creator=factset&amp;DYN_ARGS=TRUE&amp;DOC_NAME=FAT:FQL_AUDITING_CLIENT_TEMPLATE.FAT&amp;display_string=Audit&amp;VAR:KEY=LGJUZGDIBW&amp;VAR:QUERY=RkZfU0hMRFJTX0VRKCdRVFInLDM0MTE3KQ==&amp;WINDOW=FIRST_POPUP&amp;HEIGHT=450&amp;WIDTH=450&amp;START_MA","XIMIZED=FALSE&amp;VAR:CALENDAR=US&amp;VAR:SYMBOL=INTC&amp;VAR:INDEX=0"}</definedName>
    <definedName name="_424__FDSAUDITLINK__" hidden="1">{"fdsup://directions/FAT Viewer?action=UPDATE&amp;creator=factset&amp;DYN_ARGS=TRUE&amp;DOC_NAME=FAT:FQL_AUDITING_CLIENT_TEMPLATE.FAT&amp;display_string=Audit&amp;VAR:KEY=LGJUZGDIBW&amp;VAR:QUERY=RkZfU0hMRFJTX0VRKCdRVFInLDM0MTE3KQ==&amp;WINDOW=FIRST_POPUP&amp;HEIGHT=450&amp;WIDTH=450&amp;START_MA","XIMIZED=FALSE&amp;VAR:CALENDAR=US&amp;VAR:SYMBOL=INTC&amp;VAR:INDEX=0"}</definedName>
    <definedName name="_425__FDSAUDITLINK__" hidden="1">{"fdsup://directions/FAT Viewer?action=UPDATE&amp;creator=factset&amp;DYN_ARGS=TRUE&amp;DOC_NAME=FAT:FQL_AUDITING_CLIENT_TEMPLATE.FAT&amp;display_string=Audit&amp;VAR:KEY=BOFMHUFWNM&amp;VAR:QUERY=RkZfU0hMRFJTX0VRKCdRVFInLDM0MDg5KQ==&amp;WINDOW=FIRST_POPUP&amp;HEIGHT=450&amp;WIDTH=450&amp;START_MA","XIMIZED=FALSE&amp;VAR:CALENDAR=US&amp;VAR:SYMBOL=INTC&amp;VAR:INDEX=0"}</definedName>
    <definedName name="_426__FDSAUDITLINK__" hidden="1">{"fdsup://directions/FAT Viewer?action=UPDATE&amp;creator=factset&amp;DYN_ARGS=TRUE&amp;DOC_NAME=FAT:FQL_AUDITING_CLIENT_TEMPLATE.FAT&amp;display_string=Audit&amp;VAR:KEY=BOFMHUFWNM&amp;VAR:QUERY=RkZfU0hMRFJTX0VRKCdRVFInLDM0MDg5KQ==&amp;WINDOW=FIRST_POPUP&amp;HEIGHT=450&amp;WIDTH=450&amp;START_MA","XIMIZED=FALSE&amp;VAR:CALENDAR=US&amp;VAR:SYMBOL=INTC&amp;VAR:INDEX=0"}</definedName>
    <definedName name="_427__FDSAUDITLINK__" hidden="1">{"fdsup://directions/FAT Viewer?action=UPDATE&amp;creator=factset&amp;DYN_ARGS=TRUE&amp;DOC_NAME=FAT:FQL_AUDITING_CLIENT_TEMPLATE.FAT&amp;display_string=Audit&amp;VAR:KEY=HGRQRITOZA&amp;VAR:QUERY=RkZfU0hMRFJTX0VRKCdRVFInLDM0MDU5KQ==&amp;WINDOW=FIRST_POPUP&amp;HEIGHT=450&amp;WIDTH=450&amp;START_MA","XIMIZED=FALSE&amp;VAR:CALENDAR=US&amp;VAR:SYMBOL=INTC&amp;VAR:INDEX=0"}</definedName>
    <definedName name="_428__FDSAUDITLINK__" hidden="1">{"fdsup://directions/FAT Viewer?action=UPDATE&amp;creator=factset&amp;DYN_ARGS=TRUE&amp;DOC_NAME=FAT:FQL_AUDITING_CLIENT_TEMPLATE.FAT&amp;display_string=Audit&amp;VAR:KEY=HGRQRITOZA&amp;VAR:QUERY=RkZfU0hMRFJTX0VRKCdRVFInLDM0MDU5KQ==&amp;WINDOW=FIRST_POPUP&amp;HEIGHT=450&amp;WIDTH=450&amp;START_MA","XIMIZED=FALSE&amp;VAR:CALENDAR=US&amp;VAR:SYMBOL=INTC&amp;VAR:INDEX=0"}</definedName>
    <definedName name="_429__FDSAUDITLINK__" hidden="1">{"fdsup://directions/FAT Viewer?action=UPDATE&amp;creator=factset&amp;DYN_ARGS=TRUE&amp;DOC_NAME=FAT:FQL_AUDITING_CLIENT_TEMPLATE.FAT&amp;display_string=Audit&amp;VAR:KEY=XETYTENCVU&amp;VAR:QUERY=RkZfU0hMRFJTX0VRKCdRVFInLDM0MDI2KQ==&amp;WINDOW=FIRST_POPUP&amp;HEIGHT=450&amp;WIDTH=450&amp;START_MA","XIMIZED=FALSE&amp;VAR:CALENDAR=US&amp;VAR:SYMBOL=INTC&amp;VAR:INDEX=0"}</definedName>
    <definedName name="_43__FDSAUDITLINK__" localSheetId="0" hidden="1">{"fdsup://directions/FAT Viewer?action=UPDATE&amp;creator=factset&amp;DYN_ARGS=TRUE&amp;DOC_NAME=FAT:FQL_AUDITING_CLIENT_TEMPLATE.FAT&amp;display_string=Audit&amp;VAR:KEY=OTCJCVKLMB&amp;VAR:QUERY=KENTRl9JTlRBTkcoUVRSX1IsMzk2NjApQFdTRl9JTlRBTkcoUVRSLDM5NjYwKSk=&amp;WINDOW=FIRST_POPUP&amp;H","EIGHT=450&amp;WIDTH=450&amp;START_MAXIMIZED=FALSE&amp;VAR:CALENDAR=US&amp;VAR:SYMBOL=ARX&amp;VAR:INDEX=0"}</definedName>
    <definedName name="_43__FDSAUDITLINK__" hidden="1">{"fdsup://directions/FAT Viewer?action=UPDATE&amp;creator=factset&amp;DYN_ARGS=TRUE&amp;DOC_NAME=FAT:FQL_AUDITING_CLIENT_TEMPLATE.FAT&amp;display_string=Audit&amp;VAR:KEY=SDELUFCFMH&amp;VAR:QUERY=KENTRl9JTlRBTkcoUVRSX1IsMzYwOTgpQFdTRl9JTlRBTkcoUVRSLDM2MDk4KSk=&amp;WINDOW=FIRST_POPUP&amp;H","EIGHT=450&amp;WIDTH=450&amp;START_MAXIMIZED=FALSE&amp;VAR:CALENDAR=US&amp;VAR:SYMBOL=AMD&amp;VAR:INDEX=0"}</definedName>
    <definedName name="_430__FDSAUDITLINK__" hidden="1">{"fdsup://directions/FAT Viewer?action=UPDATE&amp;creator=factset&amp;DYN_ARGS=TRUE&amp;DOC_NAME=FAT:FQL_AUDITING_CLIENT_TEMPLATE.FAT&amp;display_string=Audit&amp;VAR:KEY=XETYTENCVU&amp;VAR:QUERY=RkZfU0hMRFJTX0VRKCdRVFInLDM0MDI2KQ==&amp;WINDOW=FIRST_POPUP&amp;HEIGHT=450&amp;WIDTH=450&amp;START_MA","XIMIZED=FALSE&amp;VAR:CALENDAR=US&amp;VAR:SYMBOL=INTC&amp;VAR:INDEX=0"}</definedName>
    <definedName name="_431__FDSAUDITLINK__" hidden="1">{"fdsup://directions/FAT Viewer?action=UPDATE&amp;creator=factset&amp;DYN_ARGS=TRUE&amp;DOC_NAME=FAT:FQL_AUDITING_CLIENT_TEMPLATE.FAT&amp;display_string=Audit&amp;VAR:KEY=PAPQVWZSDY&amp;VAR:QUERY=RkZfU0hMRFJTX0VRKCdRVFInLDMzOTk4KQ==&amp;WINDOW=FIRST_POPUP&amp;HEIGHT=450&amp;WIDTH=450&amp;START_MA","XIMIZED=FALSE&amp;VAR:CALENDAR=US&amp;VAR:SYMBOL=INTC&amp;VAR:INDEX=0"}</definedName>
    <definedName name="_432__FDSAUDITLINK__" hidden="1">{"fdsup://directions/FAT Viewer?action=UPDATE&amp;creator=factset&amp;DYN_ARGS=TRUE&amp;DOC_NAME=FAT:FQL_AUDITING_CLIENT_TEMPLATE.FAT&amp;display_string=Audit&amp;VAR:KEY=PAPQVWZSDY&amp;VAR:QUERY=RkZfU0hMRFJTX0VRKCdRVFInLDMzOTk4KQ==&amp;WINDOW=FIRST_POPUP&amp;HEIGHT=450&amp;WIDTH=450&amp;START_MA","XIMIZED=FALSE&amp;VAR:CALENDAR=US&amp;VAR:SYMBOL=INTC&amp;VAR:INDEX=0"}</definedName>
    <definedName name="_433__FDSAUDITLINK__" hidden="1">{"fdsup://directions/FAT Viewer?action=UPDATE&amp;creator=factset&amp;DYN_ARGS=TRUE&amp;DOC_NAME=FAT:FQL_AUDITING_CLIENT_TEMPLATE.FAT&amp;display_string=Audit&amp;VAR:KEY=RYXMHMTQLG&amp;VAR:QUERY=RkZfU0hMRFJTX0VRKCdRVFInLDMzOTY5KQ==&amp;WINDOW=FIRST_POPUP&amp;HEIGHT=450&amp;WIDTH=450&amp;START_MA","XIMIZED=FALSE&amp;VAR:CALENDAR=US&amp;VAR:SYMBOL=INTC&amp;VAR:INDEX=0"}</definedName>
    <definedName name="_434__FDSAUDITLINK__" hidden="1">{"fdsup://directions/FAT Viewer?action=UPDATE&amp;creator=factset&amp;DYN_ARGS=TRUE&amp;DOC_NAME=FAT:FQL_AUDITING_CLIENT_TEMPLATE.FAT&amp;display_string=Audit&amp;VAR:KEY=RYXMHMTQLG&amp;VAR:QUERY=RkZfU0hMRFJTX0VRKCdRVFInLDMzOTY5KQ==&amp;WINDOW=FIRST_POPUP&amp;HEIGHT=450&amp;WIDTH=450&amp;START_MA","XIMIZED=FALSE&amp;VAR:CALENDAR=US&amp;VAR:SYMBOL=INTC&amp;VAR:INDEX=0"}</definedName>
    <definedName name="_435__FDSAUDITLINK__" hidden="1">{"fdsup://directions/FAT Viewer?action=UPDATE&amp;creator=factset&amp;DYN_ARGS=TRUE&amp;DOC_NAME=FAT:FQL_AUDITING_CLIENT_TEMPLATE.FAT&amp;display_string=Audit&amp;VAR:KEY=TOVANGRUTG&amp;VAR:QUERY=RkZfU0hMRFJTX0VRKCdRVFInLDMzOTM4KQ==&amp;WINDOW=FIRST_POPUP&amp;HEIGHT=450&amp;WIDTH=450&amp;START_MA","XIMIZED=FALSE&amp;VAR:CALENDAR=US&amp;VAR:SYMBOL=INTC&amp;VAR:INDEX=0"}</definedName>
    <definedName name="_436__FDSAUDITLINK__" hidden="1">{"fdsup://directions/FAT Viewer?action=UPDATE&amp;creator=factset&amp;DYN_ARGS=TRUE&amp;DOC_NAME=FAT:FQL_AUDITING_CLIENT_TEMPLATE.FAT&amp;display_string=Audit&amp;VAR:KEY=TOVANGRUTG&amp;VAR:QUERY=RkZfU0hMRFJTX0VRKCdRVFInLDMzOTM4KQ==&amp;WINDOW=FIRST_POPUP&amp;HEIGHT=450&amp;WIDTH=450&amp;START_MA","XIMIZED=FALSE&amp;VAR:CALENDAR=US&amp;VAR:SYMBOL=INTC&amp;VAR:INDEX=0"}</definedName>
    <definedName name="_437__FDSAUDITLINK__" hidden="1">{"fdsup://directions/FAT Viewer?action=UPDATE&amp;creator=factset&amp;DYN_ARGS=TRUE&amp;DOC_NAME=FAT:FQL_AUDITING_CLIENT_TEMPLATE.FAT&amp;display_string=Audit&amp;VAR:KEY=PGZQZCHORI&amp;VAR:QUERY=RkZfU0hMRFJTX0VRKCdRVFInLDMzOTA3KQ==&amp;WINDOW=FIRST_POPUP&amp;HEIGHT=450&amp;WIDTH=450&amp;START_MA","XIMIZED=FALSE&amp;VAR:CALENDAR=US&amp;VAR:SYMBOL=INTC&amp;VAR:INDEX=0"}</definedName>
    <definedName name="_438__FDSAUDITLINK__" hidden="1">{"fdsup://directions/FAT Viewer?action=UPDATE&amp;creator=factset&amp;DYN_ARGS=TRUE&amp;DOC_NAME=FAT:FQL_AUDITING_CLIENT_TEMPLATE.FAT&amp;display_string=Audit&amp;VAR:KEY=PGZQZCHORI&amp;VAR:QUERY=RkZfU0hMRFJTX0VRKCdRVFInLDMzOTA3KQ==&amp;WINDOW=FIRST_POPUP&amp;HEIGHT=450&amp;WIDTH=450&amp;START_MA","XIMIZED=FALSE&amp;VAR:CALENDAR=US&amp;VAR:SYMBOL=INTC&amp;VAR:INDEX=0"}</definedName>
    <definedName name="_439__FDSAUDITLINK__" hidden="1">{"fdsup://directions/FAT Viewer?action=UPDATE&amp;creator=factset&amp;DYN_ARGS=TRUE&amp;DOC_NAME=FAT:FQL_AUDITING_CLIENT_TEMPLATE.FAT&amp;display_string=Audit&amp;VAR:KEY=TOHEHAZCLA&amp;VAR:QUERY=RkZfU0hMRFJTX0VRKCdRVFInLDMzODc3KQ==&amp;WINDOW=FIRST_POPUP&amp;HEIGHT=450&amp;WIDTH=450&amp;START_MA","XIMIZED=FALSE&amp;VAR:CALENDAR=US&amp;VAR:SYMBOL=INTC&amp;VAR:INDEX=0"}</definedName>
    <definedName name="_44__FDSAUDITLINK__" localSheetId="0" hidden="1">{"fdsup://directions/FAT Viewer?action=UPDATE&amp;creator=factset&amp;DYN_ARGS=TRUE&amp;DOC_NAME=FAT:FQL_AUDITING_CLIENT_TEMPLATE.FAT&amp;display_string=Audit&amp;VAR:KEY=CXEPOPCPWJ&amp;VAR:QUERY=KENTRl9TSExEUlNfRVEoUVRSX1IsMzk2NjApQFdTRl9TSExEUlNfRVEoUVRSLDM5NjYwKSk=&amp;WINDOW=FIRST","_POPUP&amp;HEIGHT=450&amp;WIDTH=450&amp;START_MAXIMIZED=FALSE&amp;VAR:CALENDAR=US&amp;VAR:SYMBOL=ARX&amp;VAR:INDEX=0"}</definedName>
    <definedName name="_44__FDSAUDITLINK__" hidden="1">{"fdsup://directions/FAT Viewer?action=UPDATE&amp;creator=factset&amp;DYN_ARGS=TRUE&amp;DOC_NAME=FAT:FQL_AUDITING_CLIENT_TEMPLATE.FAT&amp;display_string=Audit&amp;VAR:KEY=GZYXSRSLAB&amp;VAR:QUERY=KENTRl9DT01fU0hTX09VVF9FUFNfRElMKFFUUl9SLDM2MDY4KUBXU0ZfQ09NX1NIU19PVVRfRVBTX0RJTChRV","FIsMzYwNjgpKQ==&amp;WINDOW=FIRST_POPUP&amp;HEIGHT=450&amp;WIDTH=450&amp;START_MAXIMIZED=FALSE&amp;VAR:CALENDAR=US&amp;VAR:SYMBOL=AMD&amp;VAR:INDEX=0"}</definedName>
    <definedName name="_440__FDSAUDITLINK__" hidden="1">{"fdsup://directions/FAT Viewer?action=UPDATE&amp;creator=factset&amp;DYN_ARGS=TRUE&amp;DOC_NAME=FAT:FQL_AUDITING_CLIENT_TEMPLATE.FAT&amp;display_string=Audit&amp;VAR:KEY=TOHEHAZCLA&amp;VAR:QUERY=RkZfU0hMRFJTX0VRKCdRVFInLDMzODc3KQ==&amp;WINDOW=FIRST_POPUP&amp;HEIGHT=450&amp;WIDTH=450&amp;START_MA","XIMIZED=FALSE&amp;VAR:CALENDAR=US&amp;VAR:SYMBOL=INTC&amp;VAR:INDEX=0"}</definedName>
    <definedName name="_441__FDSAUDITLINK__" hidden="1">{"fdsup://directions/FAT Viewer?action=UPDATE&amp;creator=factset&amp;DYN_ARGS=TRUE&amp;DOC_NAME=FAT:FQL_AUDITING_CLIENT_TEMPLATE.FAT&amp;display_string=Audit&amp;VAR:KEY=ZMTKTWRCXW&amp;VAR:QUERY=RkZfU0hMRFJTX0VRKCdRVFInLDMzODQ3KQ==&amp;WINDOW=FIRST_POPUP&amp;HEIGHT=450&amp;WIDTH=450&amp;START_MA","XIMIZED=FALSE&amp;VAR:CALENDAR=US&amp;VAR:SYMBOL=INTC&amp;VAR:INDEX=0"}</definedName>
    <definedName name="_442__FDSAUDITLINK__" hidden="1">{"fdsup://directions/FAT Viewer?action=UPDATE&amp;creator=factset&amp;DYN_ARGS=TRUE&amp;DOC_NAME=FAT:FQL_AUDITING_CLIENT_TEMPLATE.FAT&amp;display_string=Audit&amp;VAR:KEY=ZMTKTWRCXW&amp;VAR:QUERY=RkZfU0hMRFJTX0VRKCdRVFInLDMzODQ3KQ==&amp;WINDOW=FIRST_POPUP&amp;HEIGHT=450&amp;WIDTH=450&amp;START_MA","XIMIZED=FALSE&amp;VAR:CALENDAR=US&amp;VAR:SYMBOL=INTC&amp;VAR:INDEX=0"}</definedName>
    <definedName name="_443__FDSAUDITLINK__" hidden="1">{"fdsup://directions/FAT Viewer?action=UPDATE&amp;creator=factset&amp;DYN_ARGS=TRUE&amp;DOC_NAME=FAT:FQL_AUDITING_CLIENT_TEMPLATE.FAT&amp;display_string=Audit&amp;VAR:KEY=PQPIBUTQJC&amp;VAR:QUERY=RkZfU0hMRFJTX0VRKCdRVFInLDMzODE2KQ==&amp;WINDOW=FIRST_POPUP&amp;HEIGHT=450&amp;WIDTH=450&amp;START_MA","XIMIZED=FALSE&amp;VAR:CALENDAR=US&amp;VAR:SYMBOL=INTC&amp;VAR:INDEX=0"}</definedName>
    <definedName name="_444__FDSAUDITLINK__" hidden="1">{"fdsup://directions/FAT Viewer?action=UPDATE&amp;creator=factset&amp;DYN_ARGS=TRUE&amp;DOC_NAME=FAT:FQL_AUDITING_CLIENT_TEMPLATE.FAT&amp;display_string=Audit&amp;VAR:KEY=PQPIBUTQJC&amp;VAR:QUERY=RkZfU0hMRFJTX0VRKCdRVFInLDMzODE2KQ==&amp;WINDOW=FIRST_POPUP&amp;HEIGHT=450&amp;WIDTH=450&amp;START_MA","XIMIZED=FALSE&amp;VAR:CALENDAR=US&amp;VAR:SYMBOL=INTC&amp;VAR:INDEX=0"}</definedName>
    <definedName name="_445__FDSAUDITLINK__" hidden="1">{"fdsup://directions/FAT Viewer?action=UPDATE&amp;creator=factset&amp;DYN_ARGS=TRUE&amp;DOC_NAME=FAT:FQL_AUDITING_CLIENT_TEMPLATE.FAT&amp;display_string=Audit&amp;VAR:KEY=ZCXOHQROBO&amp;VAR:QUERY=RkZfU0hMRFJTX0VRKCdRVFInLDMzNzg1KQ==&amp;WINDOW=FIRST_POPUP&amp;HEIGHT=450&amp;WIDTH=450&amp;START_MA","XIMIZED=FALSE&amp;VAR:CALENDAR=US&amp;VAR:SYMBOL=INTC&amp;VAR:INDEX=0"}</definedName>
    <definedName name="_446__FDSAUDITLINK__" hidden="1">{"fdsup://directions/FAT Viewer?action=UPDATE&amp;creator=factset&amp;DYN_ARGS=TRUE&amp;DOC_NAME=FAT:FQL_AUDITING_CLIENT_TEMPLATE.FAT&amp;display_string=Audit&amp;VAR:KEY=ZCXOHQROBO&amp;VAR:QUERY=RkZfU0hMRFJTX0VRKCdRVFInLDMzNzg1KQ==&amp;WINDOW=FIRST_POPUP&amp;HEIGHT=450&amp;WIDTH=450&amp;START_MA","XIMIZED=FALSE&amp;VAR:CALENDAR=US&amp;VAR:SYMBOL=INTC&amp;VAR:INDEX=0"}</definedName>
    <definedName name="_447__FDSAUDITLINK__" hidden="1">{"fdsup://directions/FAT Viewer?action=UPDATE&amp;creator=factset&amp;DYN_ARGS=TRUE&amp;DOC_NAME=FAT:FQL_AUDITING_CLIENT_TEMPLATE.FAT&amp;display_string=Audit&amp;VAR:KEY=FOPSDUHELO&amp;VAR:QUERY=RkZfU0hMRFJTX0VRKCdRVFInLDMzNzUzKQ==&amp;WINDOW=FIRST_POPUP&amp;HEIGHT=450&amp;WIDTH=450&amp;START_MA","XIMIZED=FALSE&amp;VAR:CALENDAR=US&amp;VAR:SYMBOL=INTC&amp;VAR:INDEX=0"}</definedName>
    <definedName name="_448__FDSAUDITLINK__" hidden="1">{"fdsup://directions/FAT Viewer?action=UPDATE&amp;creator=factset&amp;DYN_ARGS=TRUE&amp;DOC_NAME=FAT:FQL_AUDITING_CLIENT_TEMPLATE.FAT&amp;display_string=Audit&amp;VAR:KEY=FOPSDUHELO&amp;VAR:QUERY=RkZfU0hMRFJTX0VRKCdRVFInLDMzNzUzKQ==&amp;WINDOW=FIRST_POPUP&amp;HEIGHT=450&amp;WIDTH=450&amp;START_MA","XIMIZED=FALSE&amp;VAR:CALENDAR=US&amp;VAR:SYMBOL=INTC&amp;VAR:INDEX=0"}</definedName>
    <definedName name="_449__FDSAUDITLINK__" hidden="1">{"fdsup://directions/FAT Viewer?action=UPDATE&amp;creator=factset&amp;DYN_ARGS=TRUE&amp;DOC_NAME=FAT:FQL_AUDITING_CLIENT_TEMPLATE.FAT&amp;display_string=Audit&amp;VAR:KEY=HGTCZQTUHC&amp;VAR:QUERY=RkZfU0hMRFJTX0VRKCdRVFInLDMzNzI0KQ==&amp;WINDOW=FIRST_POPUP&amp;HEIGHT=450&amp;WIDTH=450&amp;START_MA","XIMIZED=FALSE&amp;VAR:CALENDAR=US&amp;VAR:SYMBOL=INTC&amp;VAR:INDEX=0"}</definedName>
    <definedName name="_45__FDSAUDITLINK__" localSheetId="0" hidden="1">{"fdsup://directions/FAT Viewer?action=UPDATE&amp;creator=factset&amp;DYN_ARGS=TRUE&amp;DOC_NAME=FAT:FQL_AUDITING_CLIENT_TEMPLATE.FAT&amp;display_string=Audit&amp;VAR:KEY=QTYHGPSBEP&amp;VAR:QUERY=KENTRl9DT01fU0hTX09VVF9FUFNfRElMKFFUUl9SLDM5NjI5KUBXU0ZfQ09NX1NIU19PVVRfRVBTX0RJTChRV","FIsMzk2MjkpKQ==&amp;WINDOW=FIRST_POPUP&amp;HEIGHT=450&amp;WIDTH=450&amp;START_MAXIMIZED=FALSE&amp;VAR:CALENDAR=US&amp;VAR:SYMBOL=ARX&amp;VAR:INDEX=0"}</definedName>
    <definedName name="_45__FDSAUDITLINK__" hidden="1">{"fdsup://directions/FAT Viewer?action=UPDATE&amp;creator=factset&amp;DYN_ARGS=TRUE&amp;DOC_NAME=FAT:FQL_AUDITING_CLIENT_TEMPLATE.FAT&amp;display_string=Audit&amp;VAR:KEY=OTUZKHYDIH&amp;VAR:QUERY=KENTRl9JTlRBTkcoUVRSX1IsMzYwNjgpQFdTRl9JTlRBTkcoUVRSLDM2MDY4KSk=&amp;WINDOW=FIRST_POPUP&amp;H","EIGHT=450&amp;WIDTH=450&amp;START_MAXIMIZED=FALSE&amp;VAR:CALENDAR=US&amp;VAR:SYMBOL=AMD&amp;VAR:INDEX=0"}</definedName>
    <definedName name="_450__FDSAUDITLINK__" hidden="1">{"fdsup://directions/FAT Viewer?action=UPDATE&amp;creator=factset&amp;DYN_ARGS=TRUE&amp;DOC_NAME=FAT:FQL_AUDITING_CLIENT_TEMPLATE.FAT&amp;display_string=Audit&amp;VAR:KEY=HGTCZQTUHC&amp;VAR:QUERY=RkZfU0hMRFJTX0VRKCdRVFInLDMzNzI0KQ==&amp;WINDOW=FIRST_POPUP&amp;HEIGHT=450&amp;WIDTH=450&amp;START_MA","XIMIZED=FALSE&amp;VAR:CALENDAR=US&amp;VAR:SYMBOL=INTC&amp;VAR:INDEX=0"}</definedName>
    <definedName name="_451__FDSAUDITLINK__" hidden="1">{"fdsup://directions/FAT Viewer?action=UPDATE&amp;creator=factset&amp;DYN_ARGS=TRUE&amp;DOC_NAME=FAT:FQL_AUDITING_CLIENT_TEMPLATE.FAT&amp;display_string=Audit&amp;VAR:KEY=XGRQFMFSRS&amp;VAR:QUERY=RkZfU0hMRFJTX0VRKCdRVFInLDMzNjk0KQ==&amp;WINDOW=FIRST_POPUP&amp;HEIGHT=450&amp;WIDTH=450&amp;START_MA","XIMIZED=FALSE&amp;VAR:CALENDAR=US&amp;VAR:SYMBOL=INTC&amp;VAR:INDEX=0"}</definedName>
    <definedName name="_452__FDSAUDITLINK__" hidden="1">{"fdsup://directions/FAT Viewer?action=UPDATE&amp;creator=factset&amp;DYN_ARGS=TRUE&amp;DOC_NAME=FAT:FQL_AUDITING_CLIENT_TEMPLATE.FAT&amp;display_string=Audit&amp;VAR:KEY=XGRQFMFSRS&amp;VAR:QUERY=RkZfU0hMRFJTX0VRKCdRVFInLDMzNjk0KQ==&amp;WINDOW=FIRST_POPUP&amp;HEIGHT=450&amp;WIDTH=450&amp;START_MA","XIMIZED=FALSE&amp;VAR:CALENDAR=US&amp;VAR:SYMBOL=INTC&amp;VAR:INDEX=0"}</definedName>
    <definedName name="_453__FDSAUDITLINK__" hidden="1">{"fdsup://directions/FAT Viewer?action=UPDATE&amp;creator=factset&amp;DYN_ARGS=TRUE&amp;DOC_NAME=FAT:FQL_AUDITING_CLIENT_TEMPLATE.FAT&amp;display_string=Audit&amp;VAR:KEY=RUBADODKZO&amp;VAR:QUERY=RkZfU0hMRFJTX0VRKCdRVFInLDMzNjYyKQ==&amp;WINDOW=FIRST_POPUP&amp;HEIGHT=450&amp;WIDTH=450&amp;START_MA","XIMIZED=FALSE&amp;VAR:CALENDAR=US&amp;VAR:SYMBOL=INTC&amp;VAR:INDEX=0"}</definedName>
    <definedName name="_454__FDSAUDITLINK__" hidden="1">{"fdsup://directions/FAT Viewer?action=UPDATE&amp;creator=factset&amp;DYN_ARGS=TRUE&amp;DOC_NAME=FAT:FQL_AUDITING_CLIENT_TEMPLATE.FAT&amp;display_string=Audit&amp;VAR:KEY=RUBADODKZO&amp;VAR:QUERY=RkZfU0hMRFJTX0VRKCdRVFInLDMzNjYyKQ==&amp;WINDOW=FIRST_POPUP&amp;HEIGHT=450&amp;WIDTH=450&amp;START_MA","XIMIZED=FALSE&amp;VAR:CALENDAR=US&amp;VAR:SYMBOL=INTC&amp;VAR:INDEX=0"}</definedName>
    <definedName name="_455__FDSAUDITLINK__" hidden="1">{"fdsup://directions/FAT Viewer?action=UPDATE&amp;creator=factset&amp;DYN_ARGS=TRUE&amp;DOC_NAME=FAT:FQL_AUDITING_CLIENT_TEMPLATE.FAT&amp;display_string=Audit&amp;VAR:KEY=BKNUVIVEBC&amp;VAR:QUERY=RkZfU0hMRFJTX0VRKCdRVFInLDMzNjM0KQ==&amp;WINDOW=FIRST_POPUP&amp;HEIGHT=450&amp;WIDTH=450&amp;START_MA","XIMIZED=FALSE&amp;VAR:CALENDAR=US&amp;VAR:SYMBOL=INTC&amp;VAR:INDEX=0"}</definedName>
    <definedName name="_456__FDSAUDITLINK__" hidden="1">{"fdsup://directions/FAT Viewer?action=UPDATE&amp;creator=factset&amp;DYN_ARGS=TRUE&amp;DOC_NAME=FAT:FQL_AUDITING_CLIENT_TEMPLATE.FAT&amp;display_string=Audit&amp;VAR:KEY=BKNUVIVEBC&amp;VAR:QUERY=RkZfU0hMRFJTX0VRKCdRVFInLDMzNjM0KQ==&amp;WINDOW=FIRST_POPUP&amp;HEIGHT=450&amp;WIDTH=450&amp;START_MA","XIMIZED=FALSE&amp;VAR:CALENDAR=US&amp;VAR:SYMBOL=INTC&amp;VAR:INDEX=0"}</definedName>
    <definedName name="_457__FDSAUDITLINK__" hidden="1">{"fdsup://directions/FAT Viewer?action=UPDATE&amp;creator=factset&amp;DYN_ARGS=TRUE&amp;DOC_NAME=FAT:FQL_AUDITING_CLIENT_TEMPLATE.FAT&amp;display_string=Audit&amp;VAR:KEY=JYLWDODMRU&amp;VAR:QUERY=RkZfU0hMRFJTX0VRKCdRVFInLDMzNjAzKQ==&amp;WINDOW=FIRST_POPUP&amp;HEIGHT=450&amp;WIDTH=450&amp;START_MA","XIMIZED=FALSE&amp;VAR:CALENDAR=US&amp;VAR:SYMBOL=INTC&amp;VAR:INDEX=0"}</definedName>
    <definedName name="_458__FDSAUDITLINK__" hidden="1">{"fdsup://directions/FAT Viewer?action=UPDATE&amp;creator=factset&amp;DYN_ARGS=TRUE&amp;DOC_NAME=FAT:FQL_AUDITING_CLIENT_TEMPLATE.FAT&amp;display_string=Audit&amp;VAR:KEY=JYLWDODMRU&amp;VAR:QUERY=RkZfU0hMRFJTX0VRKCdRVFInLDMzNjAzKQ==&amp;WINDOW=FIRST_POPUP&amp;HEIGHT=450&amp;WIDTH=450&amp;START_MA","XIMIZED=FALSE&amp;VAR:CALENDAR=US&amp;VAR:SYMBOL=INTC&amp;VAR:INDEX=0"}</definedName>
    <definedName name="_459__FDSAUDITLINK__" hidden="1">{"fdsup://directions/FAT Viewer?action=UPDATE&amp;creator=factset&amp;DYN_ARGS=TRUE&amp;DOC_NAME=FAT:FQL_AUDITING_CLIENT_TEMPLATE.FAT&amp;display_string=Audit&amp;VAR:KEY=PQLSBKLMJC&amp;VAR:QUERY=RkZfU0hMRFJTX0VRKCdRVFInLDMzNTcxKQ==&amp;WINDOW=FIRST_POPUP&amp;HEIGHT=450&amp;WIDTH=450&amp;START_MA","XIMIZED=FALSE&amp;VAR:CALENDAR=US&amp;VAR:SYMBOL=INTC&amp;VAR:INDEX=0"}</definedName>
    <definedName name="_46__FDSAUDITLINK__" localSheetId="0" hidden="1">{"fdsup://directions/FAT Viewer?action=UPDATE&amp;creator=factset&amp;DYN_ARGS=TRUE&amp;DOC_NAME=FAT:FQL_AUDITING_CLIENT_TEMPLATE.FAT&amp;display_string=Audit&amp;VAR:KEY=KFWVYTGLUJ&amp;VAR:QUERY=KENTRl9JTlRBTkcoUVRSX1IsMzk2MjkpQFdTRl9JTlRBTkcoUVRSLDM5NjI5KSk=&amp;WINDOW=FIRST_POPUP&amp;H","EIGHT=450&amp;WIDTH=450&amp;START_MAXIMIZED=FALSE&amp;VAR:CALENDAR=US&amp;VAR:SYMBOL=ARX&amp;VAR:INDEX=0"}</definedName>
    <definedName name="_46__FDSAUDITLINK__" hidden="1">{"fdsup://directions/FAT Viewer?action=UPDATE&amp;creator=factset&amp;DYN_ARGS=TRUE&amp;DOC_NAME=FAT:FQL_AUDITING_CLIENT_TEMPLATE.FAT&amp;display_string=Audit&amp;VAR:KEY=EDQFKNCBST&amp;VAR:QUERY=KENTRl9DT01fU0hTX09VVF9FUFNfRElMKFFUUl9SLDM2MDM4KUBXU0ZfQ09NX1NIU19PVVRfRVBTX0RJTChRV","FIsMzYwMzgpKQ==&amp;WINDOW=FIRST_POPUP&amp;HEIGHT=450&amp;WIDTH=450&amp;START_MAXIMIZED=FALSE&amp;VAR:CALENDAR=US&amp;VAR:SYMBOL=AMD&amp;VAR:INDEX=0"}</definedName>
    <definedName name="_460__FDSAUDITLINK__" hidden="1">{"fdsup://directions/FAT Viewer?action=UPDATE&amp;creator=factset&amp;DYN_ARGS=TRUE&amp;DOC_NAME=FAT:FQL_AUDITING_CLIENT_TEMPLATE.FAT&amp;display_string=Audit&amp;VAR:KEY=PQLSBKLMJC&amp;VAR:QUERY=RkZfU0hMRFJTX0VRKCdRVFInLDMzNTcxKQ==&amp;WINDOW=FIRST_POPUP&amp;HEIGHT=450&amp;WIDTH=450&amp;START_MA","XIMIZED=FALSE&amp;VAR:CALENDAR=US&amp;VAR:SYMBOL=INTC&amp;VAR:INDEX=0"}</definedName>
    <definedName name="_461__FDSAUDITLINK__" hidden="1">{"fdsup://directions/FAT Viewer?action=UPDATE&amp;creator=factset&amp;DYN_ARGS=TRUE&amp;DOC_NAME=FAT:FQL_AUDITING_CLIENT_TEMPLATE.FAT&amp;display_string=Audit&amp;VAR:KEY=ZODIFQVQTQ&amp;VAR:QUERY=RkZfU0hMRFJTX0VRKCdRVFInLDMzNTQyKQ==&amp;WINDOW=FIRST_POPUP&amp;HEIGHT=450&amp;WIDTH=450&amp;START_MA","XIMIZED=FALSE&amp;VAR:CALENDAR=US&amp;VAR:SYMBOL=INTC&amp;VAR:INDEX=0"}</definedName>
    <definedName name="_462__FDSAUDITLINK__" hidden="1">{"fdsup://directions/FAT Viewer?action=UPDATE&amp;creator=factset&amp;DYN_ARGS=TRUE&amp;DOC_NAME=FAT:FQL_AUDITING_CLIENT_TEMPLATE.FAT&amp;display_string=Audit&amp;VAR:KEY=ZODIFQVQTQ&amp;VAR:QUERY=RkZfU0hMRFJTX0VRKCdRVFInLDMzNTQyKQ==&amp;WINDOW=FIRST_POPUP&amp;HEIGHT=450&amp;WIDTH=450&amp;START_MA","XIMIZED=FALSE&amp;VAR:CALENDAR=US&amp;VAR:SYMBOL=INTC&amp;VAR:INDEX=0"}</definedName>
    <definedName name="_463__FDSAUDITLINK__" hidden="1">{"fdsup://directions/FAT Viewer?action=UPDATE&amp;creator=factset&amp;DYN_ARGS=TRUE&amp;DOC_NAME=FAT:FQL_AUDITING_CLIENT_TEMPLATE.FAT&amp;display_string=Audit&amp;VAR:KEY=JIDSBURQXK&amp;VAR:QUERY=RkZfU0hMRFJTX0VRKCdRVFInLDMzNTExKQ==&amp;WINDOW=FIRST_POPUP&amp;HEIGHT=450&amp;WIDTH=450&amp;START_MA","XIMIZED=FALSE&amp;VAR:CALENDAR=US&amp;VAR:SYMBOL=INTC&amp;VAR:INDEX=0"}</definedName>
    <definedName name="_464__FDSAUDITLINK__" hidden="1">{"fdsup://directions/FAT Viewer?action=UPDATE&amp;creator=factset&amp;DYN_ARGS=TRUE&amp;DOC_NAME=FAT:FQL_AUDITING_CLIENT_TEMPLATE.FAT&amp;display_string=Audit&amp;VAR:KEY=JIDSBURQXK&amp;VAR:QUERY=RkZfU0hMRFJTX0VRKCdRVFInLDMzNTExKQ==&amp;WINDOW=FIRST_POPUP&amp;HEIGHT=450&amp;WIDTH=450&amp;START_MA","XIMIZED=FALSE&amp;VAR:CALENDAR=US&amp;VAR:SYMBOL=INTC&amp;VAR:INDEX=0"}</definedName>
    <definedName name="_465__FDSAUDITLINK__" hidden="1">{"fdsup://directions/FAT Viewer?action=UPDATE&amp;creator=factset&amp;DYN_ARGS=TRUE&amp;DOC_NAME=FAT:FQL_AUDITING_CLIENT_TEMPLATE.FAT&amp;display_string=Audit&amp;VAR:KEY=VQHGHAZYHW&amp;VAR:QUERY=RkZfU0hMRFJTX0VRKCdRVFInLDMzNDgwKQ==&amp;WINDOW=FIRST_POPUP&amp;HEIGHT=450&amp;WIDTH=450&amp;START_MA","XIMIZED=FALSE&amp;VAR:CALENDAR=US&amp;VAR:SYMBOL=INTC&amp;VAR:INDEX=0"}</definedName>
    <definedName name="_466__FDSAUDITLINK__" hidden="1">{"fdsup://directions/FAT Viewer?action=UPDATE&amp;creator=factset&amp;DYN_ARGS=TRUE&amp;DOC_NAME=FAT:FQL_AUDITING_CLIENT_TEMPLATE.FAT&amp;display_string=Audit&amp;VAR:KEY=VQHGHAZYHW&amp;VAR:QUERY=RkZfU0hMRFJTX0VRKCdRVFInLDMzNDgwKQ==&amp;WINDOW=FIRST_POPUP&amp;HEIGHT=450&amp;WIDTH=450&amp;START_MA","XIMIZED=FALSE&amp;VAR:CALENDAR=US&amp;VAR:SYMBOL=INTC&amp;VAR:INDEX=0"}</definedName>
    <definedName name="_467__FDSAUDITLINK__" hidden="1">{"fdsup://directions/FAT Viewer?action=UPDATE&amp;creator=factset&amp;DYN_ARGS=TRUE&amp;DOC_NAME=FAT:FQL_AUDITING_CLIENT_TEMPLATE.FAT&amp;display_string=Audit&amp;VAR:KEY=XQFEBGDYLE&amp;VAR:QUERY=RkZfU0hMRFJTX0VRKCdRVFInLDMzNDUwKQ==&amp;WINDOW=FIRST_POPUP&amp;HEIGHT=450&amp;WIDTH=450&amp;START_MA","XIMIZED=FALSE&amp;VAR:CALENDAR=US&amp;VAR:SYMBOL=INTC&amp;VAR:INDEX=0"}</definedName>
    <definedName name="_468__FDSAUDITLINK__" hidden="1">{"fdsup://directions/FAT Viewer?action=UPDATE&amp;creator=factset&amp;DYN_ARGS=TRUE&amp;DOC_NAME=FAT:FQL_AUDITING_CLIENT_TEMPLATE.FAT&amp;display_string=Audit&amp;VAR:KEY=XQFEBGDYLE&amp;VAR:QUERY=RkZfU0hMRFJTX0VRKCdRVFInLDMzNDUwKQ==&amp;WINDOW=FIRST_POPUP&amp;HEIGHT=450&amp;WIDTH=450&amp;START_MA","XIMIZED=FALSE&amp;VAR:CALENDAR=US&amp;VAR:SYMBOL=INTC&amp;VAR:INDEX=0"}</definedName>
    <definedName name="_469__FDSAUDITLINK__" hidden="1">{"fdsup://directions/FAT Viewer?action=UPDATE&amp;creator=factset&amp;DYN_ARGS=TRUE&amp;DOC_NAME=FAT:FQL_AUDITING_CLIENT_TEMPLATE.FAT&amp;display_string=Audit&amp;VAR:KEY=DQPCVGBWXS&amp;VAR:QUERY=RkZfU0hMRFJTX0VRKCdRVFInLDMzNDE3KQ==&amp;WINDOW=FIRST_POPUP&amp;HEIGHT=450&amp;WIDTH=450&amp;START_MA","XIMIZED=FALSE&amp;VAR:CALENDAR=US&amp;VAR:SYMBOL=INTC&amp;VAR:INDEX=0"}</definedName>
    <definedName name="_47__FDSAUDITLINK__" localSheetId="0" hidden="1">{"fdsup://directions/FAT Viewer?action=UPDATE&amp;creator=factset&amp;DYN_ARGS=TRUE&amp;DOC_NAME=FAT:FQL_AUDITING_CLIENT_TEMPLATE.FAT&amp;display_string=Audit&amp;VAR:KEY=WNOJCNMRIN&amp;VAR:QUERY=KENTRl9TSExEUlNfRVEoUVRSX1IsMzk2MjkpQFdTRl9TSExEUlNfRVEoUVRSLDM5NjI5KSk=&amp;WINDOW=FIRST","_POPUP&amp;HEIGHT=450&amp;WIDTH=450&amp;START_MAXIMIZED=FALSE&amp;VAR:CALENDAR=US&amp;VAR:SYMBOL=ARX&amp;VAR:INDEX=0"}</definedName>
    <definedName name="_47__FDSAUDITLINK__" hidden="1">{"fdsup://directions/FAT Viewer?action=UPDATE&amp;creator=factset&amp;DYN_ARGS=TRUE&amp;DOC_NAME=FAT:FQL_AUDITING_CLIENT_TEMPLATE.FAT&amp;display_string=Audit&amp;VAR:KEY=GHOZODERIN&amp;VAR:QUERY=KENTRl9JTlRBTkcoUVRSX1IsMzYwMzgpQFdTRl9JTlRBTkcoUVRSLDM2MDM4KSk=&amp;WINDOW=FIRST_POPUP&amp;H","EIGHT=450&amp;WIDTH=450&amp;START_MAXIMIZED=FALSE&amp;VAR:CALENDAR=US&amp;VAR:SYMBOL=AMD&amp;VAR:INDEX=0"}</definedName>
    <definedName name="_470__FDSAUDITLINK__" hidden="1">{"fdsup://directions/FAT Viewer?action=UPDATE&amp;creator=factset&amp;DYN_ARGS=TRUE&amp;DOC_NAME=FAT:FQL_AUDITING_CLIENT_TEMPLATE.FAT&amp;display_string=Audit&amp;VAR:KEY=DQPCVGBWXS&amp;VAR:QUERY=RkZfU0hMRFJTX0VRKCdRVFInLDMzNDE3KQ==&amp;WINDOW=FIRST_POPUP&amp;HEIGHT=450&amp;WIDTH=450&amp;START_MA","XIMIZED=FALSE&amp;VAR:CALENDAR=US&amp;VAR:SYMBOL=INTC&amp;VAR:INDEX=0"}</definedName>
    <definedName name="_471__FDSAUDITLINK__" hidden="1">{"fdsup://directions/FAT Viewer?action=UPDATE&amp;creator=factset&amp;DYN_ARGS=TRUE&amp;DOC_NAME=FAT:FQL_AUDITING_CLIENT_TEMPLATE.FAT&amp;display_string=Audit&amp;VAR:KEY=BUTWTMLQFY&amp;VAR:QUERY=RkZfU0hMRFJTX0VRKCdRVFInLDMzMzg5KQ==&amp;WINDOW=FIRST_POPUP&amp;HEIGHT=450&amp;WIDTH=450&amp;START_MA","XIMIZED=FALSE&amp;VAR:CALENDAR=US&amp;VAR:SYMBOL=INTC&amp;VAR:INDEX=0"}</definedName>
    <definedName name="_472__FDSAUDITLINK__" hidden="1">{"fdsup://directions/FAT Viewer?action=UPDATE&amp;creator=factset&amp;DYN_ARGS=TRUE&amp;DOC_NAME=FAT:FQL_AUDITING_CLIENT_TEMPLATE.FAT&amp;display_string=Audit&amp;VAR:KEY=BUTWTMLQFY&amp;VAR:QUERY=RkZfU0hMRFJTX0VRKCdRVFInLDMzMzg5KQ==&amp;WINDOW=FIRST_POPUP&amp;HEIGHT=450&amp;WIDTH=450&amp;START_MA","XIMIZED=FALSE&amp;VAR:CALENDAR=US&amp;VAR:SYMBOL=INTC&amp;VAR:INDEX=0"}</definedName>
    <definedName name="_473__FDSAUDITLINK__" hidden="1">{"fdsup://directions/FAT Viewer?action=UPDATE&amp;creator=factset&amp;DYN_ARGS=TRUE&amp;DOC_NAME=FAT:FQL_AUDITING_CLIENT_TEMPLATE.FAT&amp;display_string=Audit&amp;VAR:KEY=DITYVKZAFE&amp;VAR:QUERY=RkZfU0hMRFJTX0VRKCdRVFInLDMzMzU4KQ==&amp;WINDOW=FIRST_POPUP&amp;HEIGHT=450&amp;WIDTH=450&amp;START_MA","XIMIZED=FALSE&amp;VAR:CALENDAR=US&amp;VAR:SYMBOL=INTC&amp;VAR:INDEX=0"}</definedName>
    <definedName name="_474__FDSAUDITLINK__" hidden="1">{"fdsup://directions/FAT Viewer?action=UPDATE&amp;creator=factset&amp;DYN_ARGS=TRUE&amp;DOC_NAME=FAT:FQL_AUDITING_CLIENT_TEMPLATE.FAT&amp;display_string=Audit&amp;VAR:KEY=DITYVKZAFE&amp;VAR:QUERY=RkZfU0hMRFJTX0VRKCdRVFInLDMzMzU4KQ==&amp;WINDOW=FIRST_POPUP&amp;HEIGHT=450&amp;WIDTH=450&amp;START_MA","XIMIZED=FALSE&amp;VAR:CALENDAR=US&amp;VAR:SYMBOL=INTC&amp;VAR:INDEX=0"}</definedName>
    <definedName name="_475__FDSAUDITLINK__" hidden="1">{"fdsup://directions/FAT Viewer?action=UPDATE&amp;creator=factset&amp;DYN_ARGS=TRUE&amp;DOC_NAME=FAT:FQL_AUDITING_CLIENT_TEMPLATE.FAT&amp;display_string=Audit&amp;VAR:KEY=PMPGTETYBO&amp;VAR:QUERY=RkZfU0hMRFJTX0VRKCdRVFInLDMzMzI1KQ==&amp;WINDOW=FIRST_POPUP&amp;HEIGHT=450&amp;WIDTH=450&amp;START_MA","XIMIZED=FALSE&amp;VAR:CALENDAR=US&amp;VAR:SYMBOL=INTC&amp;VAR:INDEX=0"}</definedName>
    <definedName name="_476__FDSAUDITLINK__" hidden="1">{"fdsup://directions/FAT Viewer?action=UPDATE&amp;creator=factset&amp;DYN_ARGS=TRUE&amp;DOC_NAME=FAT:FQL_AUDITING_CLIENT_TEMPLATE.FAT&amp;display_string=Audit&amp;VAR:KEY=PMPGTETYBO&amp;VAR:QUERY=RkZfU0hMRFJTX0VRKCdRVFInLDMzMzI1KQ==&amp;WINDOW=FIRST_POPUP&amp;HEIGHT=450&amp;WIDTH=450&amp;START_MA","XIMIZED=FALSE&amp;VAR:CALENDAR=US&amp;VAR:SYMBOL=INTC&amp;VAR:INDEX=0"}</definedName>
    <definedName name="_477__FDSAUDITLINK__" hidden="1">{"fdsup://directions/FAT Viewer?action=UPDATE&amp;creator=factset&amp;DYN_ARGS=TRUE&amp;DOC_NAME=FAT:FQL_AUDITING_CLIENT_TEMPLATE.FAT&amp;display_string=Audit&amp;VAR:KEY=VMVOJSDUPC&amp;VAR:QUERY=RkZfU0hMRFJTX0VRKCdRVFInLDMzMjk3KQ==&amp;WINDOW=FIRST_POPUP&amp;HEIGHT=450&amp;WIDTH=450&amp;START_MA","XIMIZED=FALSE&amp;VAR:CALENDAR=US&amp;VAR:SYMBOL=INTC&amp;VAR:INDEX=0"}</definedName>
    <definedName name="_478__FDSAUDITLINK__" hidden="1">{"fdsup://directions/FAT Viewer?action=UPDATE&amp;creator=factset&amp;DYN_ARGS=TRUE&amp;DOC_NAME=FAT:FQL_AUDITING_CLIENT_TEMPLATE.FAT&amp;display_string=Audit&amp;VAR:KEY=VMVOJSDUPC&amp;VAR:QUERY=RkZfU0hMRFJTX0VRKCdRVFInLDMzMjk3KQ==&amp;WINDOW=FIRST_POPUP&amp;HEIGHT=450&amp;WIDTH=450&amp;START_MA","XIMIZED=FALSE&amp;VAR:CALENDAR=US&amp;VAR:SYMBOL=INTC&amp;VAR:INDEX=0"}</definedName>
    <definedName name="_479__FDSAUDITLINK__" hidden="1">{"fdsup://directions/FAT Viewer?action=UPDATE&amp;creator=factset&amp;DYN_ARGS=TRUE&amp;DOC_NAME=FAT:FQL_AUDITING_CLIENT_TEMPLATE.FAT&amp;display_string=Audit&amp;VAR:KEY=ZIJGHYRKLY&amp;VAR:QUERY=RkZfU0hMRFJTX0VRKCdRVFInLDMzMjY5KQ==&amp;WINDOW=FIRST_POPUP&amp;HEIGHT=450&amp;WIDTH=450&amp;START_MA","XIMIZED=FALSE&amp;VAR:CALENDAR=US&amp;VAR:SYMBOL=INTC&amp;VAR:INDEX=0"}</definedName>
    <definedName name="_48__FDSAUDITLINK__" localSheetId="0" hidden="1">{"fdsup://directions/FAT Viewer?action=UPDATE&amp;creator=factset&amp;DYN_ARGS=TRUE&amp;DOC_NAME=FAT:FQL_AUDITING_CLIENT_TEMPLATE.FAT&amp;display_string=Audit&amp;VAR:KEY=OPGTQJOJQR&amp;VAR:QUERY=KENTRl9DT01fU0hTX09VVF9FUFNfRElMKFFUUl9SLDM5NTk4KUBXU0ZfQ09NX1NIU19PVVRfRVBTX0RJTChRV","FIsMzk1OTgpKQ==&amp;WINDOW=FIRST_POPUP&amp;HEIGHT=450&amp;WIDTH=450&amp;START_MAXIMIZED=FALSE&amp;VAR:CALENDAR=US&amp;VAR:SYMBOL=ARX&amp;VAR:INDEX=0"}</definedName>
    <definedName name="_48__FDSAUDITLINK__" hidden="1">{"fdsup://directions/FAT Viewer?action=UPDATE&amp;creator=factset&amp;DYN_ARGS=TRUE&amp;DOC_NAME=FAT:FQL_AUDITING_CLIENT_TEMPLATE.FAT&amp;display_string=Audit&amp;VAR:KEY=CNERIDSTYT&amp;VAR:QUERY=KENTRl9DT01fU0hTX09VVF9FUFNfRElMKFFUUl9SLDM2MDA3KUBXU0ZfQ09NX1NIU19PVVRfRVBTX0RJTChRV","FIsMzYwMDcpKQ==&amp;WINDOW=FIRST_POPUP&amp;HEIGHT=450&amp;WIDTH=450&amp;START_MAXIMIZED=FALSE&amp;VAR:CALENDAR=US&amp;VAR:SYMBOL=AMD&amp;VAR:INDEX=0"}</definedName>
    <definedName name="_480__FDSAUDITLINK__" hidden="1">{"fdsup://directions/FAT Viewer?action=UPDATE&amp;creator=factset&amp;DYN_ARGS=TRUE&amp;DOC_NAME=FAT:FQL_AUDITING_CLIENT_TEMPLATE.FAT&amp;display_string=Audit&amp;VAR:KEY=ZIJGHYRKLY&amp;VAR:QUERY=RkZfU0hMRFJTX0VRKCdRVFInLDMzMjY5KQ==&amp;WINDOW=FIRST_POPUP&amp;HEIGHT=450&amp;WIDTH=450&amp;START_MA","XIMIZED=FALSE&amp;VAR:CALENDAR=US&amp;VAR:SYMBOL=INTC&amp;VAR:INDEX=0"}</definedName>
    <definedName name="_481__FDSAUDITLINK__" hidden="1">{"fdsup://directions/FAT Viewer?action=UPDATE&amp;creator=factset&amp;DYN_ARGS=TRUE&amp;DOC_NAME=FAT:FQL_AUDITING_CLIENT_TEMPLATE.FAT&amp;display_string=Audit&amp;VAR:KEY=JEXQTOHCDI&amp;VAR:QUERY=RkZfU0hMRFJTX0VRKCdRVFInLDMzMjM4KQ==&amp;WINDOW=FIRST_POPUP&amp;HEIGHT=450&amp;WIDTH=450&amp;START_MA","XIMIZED=FALSE&amp;VAR:CALENDAR=US&amp;VAR:SYMBOL=INTC&amp;VAR:INDEX=0"}</definedName>
    <definedName name="_482__FDSAUDITLINK__" hidden="1">{"fdsup://directions/FAT Viewer?action=UPDATE&amp;creator=factset&amp;DYN_ARGS=TRUE&amp;DOC_NAME=FAT:FQL_AUDITING_CLIENT_TEMPLATE.FAT&amp;display_string=Audit&amp;VAR:KEY=JEXQTOHCDI&amp;VAR:QUERY=RkZfU0hMRFJTX0VRKCdRVFInLDMzMjM4KQ==&amp;WINDOW=FIRST_POPUP&amp;HEIGHT=450&amp;WIDTH=450&amp;START_MA","XIMIZED=FALSE&amp;VAR:CALENDAR=US&amp;VAR:SYMBOL=INTC&amp;VAR:INDEX=0"}</definedName>
    <definedName name="_483__FDSAUDITLINK__" hidden="1">{"fdsup://directions/FAT Viewer?action=UPDATE&amp;creator=factset&amp;DYN_ARGS=TRUE&amp;DOC_NAME=FAT:FQL_AUDITING_CLIENT_TEMPLATE.FAT&amp;display_string=Audit&amp;VAR:KEY=TURSXMBMXC&amp;VAR:QUERY=RkZfU0hMRFJTX0VRKCdRVFInLDMzMjA3KQ==&amp;WINDOW=FIRST_POPUP&amp;HEIGHT=450&amp;WIDTH=450&amp;START_MA","XIMIZED=FALSE&amp;VAR:CALENDAR=US&amp;VAR:SYMBOL=INTC&amp;VAR:INDEX=0"}</definedName>
    <definedName name="_484__FDSAUDITLINK__" hidden="1">{"fdsup://directions/FAT Viewer?action=UPDATE&amp;creator=factset&amp;DYN_ARGS=TRUE&amp;DOC_NAME=FAT:FQL_AUDITING_CLIENT_TEMPLATE.FAT&amp;display_string=Audit&amp;VAR:KEY=TURSXMBMXC&amp;VAR:QUERY=RkZfU0hMRFJTX0VRKCdRVFInLDMzMjA3KQ==&amp;WINDOW=FIRST_POPUP&amp;HEIGHT=450&amp;WIDTH=450&amp;START_MA","XIMIZED=FALSE&amp;VAR:CALENDAR=US&amp;VAR:SYMBOL=INTC&amp;VAR:INDEX=0"}</definedName>
    <definedName name="_485__FDSAUDITLINK__" hidden="1">{"fdsup://directions/FAT Viewer?action=UPDATE&amp;creator=factset&amp;DYN_ARGS=TRUE&amp;DOC_NAME=FAT:FQL_AUDITING_CLIENT_TEMPLATE.FAT&amp;display_string=Audit&amp;VAR:KEY=RGLELQNMHG&amp;VAR:QUERY=RkZfU0hMRFJTX0VRKCdRVFInLDMzMTc3KQ==&amp;WINDOW=FIRST_POPUP&amp;HEIGHT=450&amp;WIDTH=450&amp;START_MA","XIMIZED=FALSE&amp;VAR:CALENDAR=US&amp;VAR:SYMBOL=INTC&amp;VAR:INDEX=0"}</definedName>
    <definedName name="_486__FDSAUDITLINK__" hidden="1">{"fdsup://directions/FAT Viewer?action=UPDATE&amp;creator=factset&amp;DYN_ARGS=TRUE&amp;DOC_NAME=FAT:FQL_AUDITING_CLIENT_TEMPLATE.FAT&amp;display_string=Audit&amp;VAR:KEY=RGLELQNMHG&amp;VAR:QUERY=RkZfU0hMRFJTX0VRKCdRVFInLDMzMTc3KQ==&amp;WINDOW=FIRST_POPUP&amp;HEIGHT=450&amp;WIDTH=450&amp;START_MA","XIMIZED=FALSE&amp;VAR:CALENDAR=US&amp;VAR:SYMBOL=INTC&amp;VAR:INDEX=0"}</definedName>
    <definedName name="_487__FDSAUDITLINK__" hidden="1">{"fdsup://directions/FAT Viewer?action=UPDATE&amp;creator=factset&amp;DYN_ARGS=TRUE&amp;DOC_NAME=FAT:FQL_AUDITING_CLIENT_TEMPLATE.FAT&amp;display_string=Audit&amp;VAR:KEY=RABYLKXEHQ&amp;VAR:QUERY=RkZfU0hMRFJTX0VRKCdRVFInLDMzMTQ0KQ==&amp;WINDOW=FIRST_POPUP&amp;HEIGHT=450&amp;WIDTH=450&amp;START_MA","XIMIZED=FALSE&amp;VAR:CALENDAR=US&amp;VAR:SYMBOL=INTC&amp;VAR:INDEX=0"}</definedName>
    <definedName name="_488__FDSAUDITLINK__" hidden="1">{"fdsup://directions/FAT Viewer?action=UPDATE&amp;creator=factset&amp;DYN_ARGS=TRUE&amp;DOC_NAME=FAT:FQL_AUDITING_CLIENT_TEMPLATE.FAT&amp;display_string=Audit&amp;VAR:KEY=RABYLKXEHQ&amp;VAR:QUERY=RkZfU0hMRFJTX0VRKCdRVFInLDMzMTQ0KQ==&amp;WINDOW=FIRST_POPUP&amp;HEIGHT=450&amp;WIDTH=450&amp;START_MA","XIMIZED=FALSE&amp;VAR:CALENDAR=US&amp;VAR:SYMBOL=INTC&amp;VAR:INDEX=0"}</definedName>
    <definedName name="_489__FDSAUDITLINK__" hidden="1">{"fdsup://directions/FAT Viewer?action=UPDATE&amp;creator=factset&amp;DYN_ARGS=TRUE&amp;DOC_NAME=FAT:FQL_AUDITING_CLIENT_TEMPLATE.FAT&amp;display_string=Audit&amp;VAR:KEY=BWTOXUBQDG&amp;VAR:QUERY=RkZfU0hMRFJTX0VRKCdRVFInLDMzMTE2KQ==&amp;WINDOW=FIRST_POPUP&amp;HEIGHT=450&amp;WIDTH=450&amp;START_MA","XIMIZED=FALSE&amp;VAR:CALENDAR=US&amp;VAR:SYMBOL=INTC&amp;VAR:INDEX=0"}</definedName>
    <definedName name="_49__FDSAUDITLINK__" localSheetId="0" hidden="1">{"fdsup://directions/FAT Viewer?action=UPDATE&amp;creator=factset&amp;DYN_ARGS=TRUE&amp;DOC_NAME=FAT:FQL_AUDITING_CLIENT_TEMPLATE.FAT&amp;display_string=Audit&amp;VAR:KEY=YNKBSHGPIT&amp;VAR:QUERY=KENTRl9JTlRBTkcoUVRSX1IsMzk1OTgpQFdTRl9JTlRBTkcoUVRSLDM5NTk4KSk=&amp;WINDOW=FIRST_POPUP&amp;H","EIGHT=450&amp;WIDTH=450&amp;START_MAXIMIZED=FALSE&amp;VAR:CALENDAR=US&amp;VAR:SYMBOL=ARX&amp;VAR:INDEX=0"}</definedName>
    <definedName name="_49__FDSAUDITLINK__" hidden="1">{"fdsup://directions/FAT Viewer?action=UPDATE&amp;creator=factset&amp;DYN_ARGS=TRUE&amp;DOC_NAME=FAT:FQL_AUDITING_CLIENT_TEMPLATE.FAT&amp;display_string=Audit&amp;VAR:KEY=IDSDCXKBEH&amp;VAR:QUERY=KENTRl9JTlRBTkcoUVRSX1IsMzYwMDcpQFdTRl9JTlRBTkcoUVRSLDM2MDA3KSk=&amp;WINDOW=FIRST_POPUP&amp;H","EIGHT=450&amp;WIDTH=450&amp;START_MAXIMIZED=FALSE&amp;VAR:CALENDAR=US&amp;VAR:SYMBOL=AMD&amp;VAR:INDEX=0"}</definedName>
    <definedName name="_490__FDSAUDITLINK__" hidden="1">{"fdsup://directions/FAT Viewer?action=UPDATE&amp;creator=factset&amp;DYN_ARGS=TRUE&amp;DOC_NAME=FAT:FQL_AUDITING_CLIENT_TEMPLATE.FAT&amp;display_string=Audit&amp;VAR:KEY=BWTOXUBQDG&amp;VAR:QUERY=RkZfU0hMRFJTX0VRKCdRVFInLDMzMTE2KQ==&amp;WINDOW=FIRST_POPUP&amp;HEIGHT=450&amp;WIDTH=450&amp;START_MA","XIMIZED=FALSE&amp;VAR:CALENDAR=US&amp;VAR:SYMBOL=INTC&amp;VAR:INDEX=0"}</definedName>
    <definedName name="_491__FDSAUDITLINK__" hidden="1">{"fdsup://directions/FAT Viewer?action=UPDATE&amp;creator=factset&amp;DYN_ARGS=TRUE&amp;DOC_NAME=FAT:FQL_AUDITING_CLIENT_TEMPLATE.FAT&amp;display_string=Audit&amp;VAR:KEY=NSNQVYVSLG&amp;VAR:QUERY=RkZfU0hMRFJTX0VRKCdRVFInLDMzMDg1KQ==&amp;WINDOW=FIRST_POPUP&amp;HEIGHT=450&amp;WIDTH=450&amp;START_MA","XIMIZED=FALSE&amp;VAR:CALENDAR=US&amp;VAR:SYMBOL=INTC&amp;VAR:INDEX=0"}</definedName>
    <definedName name="_492__FDSAUDITLINK__" hidden="1">{"fdsup://directions/FAT Viewer?action=UPDATE&amp;creator=factset&amp;DYN_ARGS=TRUE&amp;DOC_NAME=FAT:FQL_AUDITING_CLIENT_TEMPLATE.FAT&amp;display_string=Audit&amp;VAR:KEY=NSNQVYVSLG&amp;VAR:QUERY=RkZfU0hMRFJTX0VRKCdRVFInLDMzMDg1KQ==&amp;WINDOW=FIRST_POPUP&amp;HEIGHT=450&amp;WIDTH=450&amp;START_MA","XIMIZED=FALSE&amp;VAR:CALENDAR=US&amp;VAR:SYMBOL=INTC&amp;VAR:INDEX=0"}</definedName>
    <definedName name="_493__FDSAUDITLINK__" hidden="1">{"fdsup://directions/FAT Viewer?action=UPDATE&amp;creator=factset&amp;DYN_ARGS=TRUE&amp;DOC_NAME=FAT:FQL_AUDITING_CLIENT_TEMPLATE.FAT&amp;display_string=Audit&amp;VAR:KEY=TAVWBCPARC&amp;VAR:QUERY=RkZfU0hMRFJTX0VRKCdRVFInLDMzMDUzKQ==&amp;WINDOW=FIRST_POPUP&amp;HEIGHT=450&amp;WIDTH=450&amp;START_MA","XIMIZED=FALSE&amp;VAR:CALENDAR=US&amp;VAR:SYMBOL=INTC&amp;VAR:INDEX=0"}</definedName>
    <definedName name="_494__FDSAUDITLINK__" hidden="1">{"fdsup://directions/FAT Viewer?action=UPDATE&amp;creator=factset&amp;DYN_ARGS=TRUE&amp;DOC_NAME=FAT:FQL_AUDITING_CLIENT_TEMPLATE.FAT&amp;display_string=Audit&amp;VAR:KEY=TAVWBCPARC&amp;VAR:QUERY=RkZfU0hMRFJTX0VRKCdRVFInLDMzMDUzKQ==&amp;WINDOW=FIRST_POPUP&amp;HEIGHT=450&amp;WIDTH=450&amp;START_MA","XIMIZED=FALSE&amp;VAR:CALENDAR=US&amp;VAR:SYMBOL=INTC&amp;VAR:INDEX=0"}</definedName>
    <definedName name="_495__FDSAUDITLINK__" hidden="1">{"fdsup://directions/FAT Viewer?action=UPDATE&amp;creator=factset&amp;DYN_ARGS=TRUE&amp;DOC_NAME=FAT:FQL_AUDITING_CLIENT_TEMPLATE.FAT&amp;display_string=Audit&amp;VAR:KEY=XEDWJQHUTA&amp;VAR:QUERY=RkZfU0hMRFJTX0VRKCdRVFInLDMzMDI0KQ==&amp;WINDOW=FIRST_POPUP&amp;HEIGHT=450&amp;WIDTH=450&amp;START_MA","XIMIZED=FALSE&amp;VAR:CALENDAR=US&amp;VAR:SYMBOL=INTC&amp;VAR:INDEX=0"}</definedName>
    <definedName name="_496__FDSAUDITLINK__" hidden="1">{"fdsup://directions/FAT Viewer?action=UPDATE&amp;creator=factset&amp;DYN_ARGS=TRUE&amp;DOC_NAME=FAT:FQL_AUDITING_CLIENT_TEMPLATE.FAT&amp;display_string=Audit&amp;VAR:KEY=XEDWJQHUTA&amp;VAR:QUERY=RkZfU0hMRFJTX0VRKCdRVFInLDMzMDI0KQ==&amp;WINDOW=FIRST_POPUP&amp;HEIGHT=450&amp;WIDTH=450&amp;START_MA","XIMIZED=FALSE&amp;VAR:CALENDAR=US&amp;VAR:SYMBOL=INTC&amp;VAR:INDEX=0"}</definedName>
    <definedName name="_497__FDSAUDITLINK__" hidden="1">{"fdsup://directions/FAT Viewer?action=UPDATE&amp;creator=factset&amp;DYN_ARGS=TRUE&amp;DOC_NAME=FAT:FQL_AUDITING_CLIENT_TEMPLATE.FAT&amp;display_string=Audit&amp;VAR:KEY=XCNYTIDSVY&amp;VAR:QUERY=RkZfU0hMRFJTX0VRKCdRVFInLDMyOTkzKQ==&amp;WINDOW=FIRST_POPUP&amp;HEIGHT=450&amp;WIDTH=450&amp;START_MA","XIMIZED=FALSE&amp;VAR:CALENDAR=US&amp;VAR:SYMBOL=INTC&amp;VAR:INDEX=0"}</definedName>
    <definedName name="_498__FDSAUDITLINK__" hidden="1">{"fdsup://directions/FAT Viewer?action=UPDATE&amp;creator=factset&amp;DYN_ARGS=TRUE&amp;DOC_NAME=FAT:FQL_AUDITING_CLIENT_TEMPLATE.FAT&amp;display_string=Audit&amp;VAR:KEY=XCNYTIDSVY&amp;VAR:QUERY=RkZfU0hMRFJTX0VRKCdRVFInLDMyOTkzKQ==&amp;WINDOW=FIRST_POPUP&amp;HEIGHT=450&amp;WIDTH=450&amp;START_MA","XIMIZED=FALSE&amp;VAR:CALENDAR=US&amp;VAR:SYMBOL=INTC&amp;VAR:INDEX=0"}</definedName>
    <definedName name="_499__FDSAUDITLINK__" hidden="1">{"fdsup://directions/FAT Viewer?action=UPDATE&amp;creator=factset&amp;DYN_ARGS=TRUE&amp;DOC_NAME=FAT:FQL_AUDITING_CLIENT_TEMPLATE.FAT&amp;display_string=Audit&amp;VAR:KEY=ZCPSXWFEFW&amp;VAR:QUERY=RkZfU0hMRFJTX0VRKCdRVFInLDMyOTYyKQ==&amp;WINDOW=FIRST_POPUP&amp;HEIGHT=450&amp;WIDTH=450&amp;START_MA","XIMIZED=FALSE&amp;VAR:CALENDAR=US&amp;VAR:SYMBOL=INTC&amp;VAR:INDEX=0"}</definedName>
    <definedName name="_4Q94">#REF!</definedName>
    <definedName name="_4Q95">#REF!</definedName>
    <definedName name="_5__FDSAUDITLINK__" localSheetId="0" hidden="1">{"fdsup://directions/FAT Viewer?action=UPDATE&amp;creator=factset&amp;DYN_ARGS=TRUE&amp;DOC_NAME=FAT:FQL_AUDITING_CLIENT_TEMPLATE.FAT&amp;display_string=Audit&amp;VAR:KEY=AREZKFKTCF&amp;VAR:QUERY=KENTRl9JTlRBTkcoUVRSX1IsNDAyOTgpQFdTRl9JTlRBTkcoUVRSLDQwMjk4KSk=&amp;WINDOW=FIRST_POPUP&amp;H","EIGHT=450&amp;WIDTH=450&amp;START_MAXIMIZED=FALSE&amp;VAR:CALENDAR=US&amp;VAR:SYMBOL=ARX&amp;VAR:INDEX=0"}</definedName>
    <definedName name="_5__FDSAUDITLINK__" hidden="1">{"fdsup://directions/FAT Viewer?action=UPDATE&amp;creator=factset&amp;DYN_ARGS=TRUE&amp;DOC_NAME=FAT:FQL_AUDITING_CLIENT_TEMPLATE.FAT&amp;display_string=Audit&amp;VAR:KEY=KNQHUXSXOJ&amp;VAR:QUERY=KENTRl9JTlRBTkcoUVRSX1IsMzcxOTUpQFdTRl9JTlRBTkcoUVRSLDM3MTk1KSk=&amp;WINDOW=FIRST_POPUP&amp;H","EIGHT=450&amp;WIDTH=450&amp;START_MAXIMIZED=FALSE&amp;VAR:CALENDAR=US&amp;VAR:SYMBOL=AMD&amp;VAR:INDEX=0"}</definedName>
    <definedName name="_50__FDSAUDITLINK__" localSheetId="0" hidden="1">{"fdsup://directions/FAT Viewer?action=UPDATE&amp;creator=factset&amp;DYN_ARGS=TRUE&amp;DOC_NAME=FAT:FQL_AUDITING_CLIENT_TEMPLATE.FAT&amp;display_string=Audit&amp;VAR:KEY=INEFSNCFIB&amp;VAR:QUERY=KENTRl9TSExEUlNfRVEoUVRSX1IsMzk1OTgpQFdTRl9TSExEUlNfRVEoUVRSLDM5NTk4KSk=&amp;WINDOW=FIRST","_POPUP&amp;HEIGHT=450&amp;WIDTH=450&amp;START_MAXIMIZED=FALSE&amp;VAR:CALENDAR=US&amp;VAR:SYMBOL=ARX&amp;VAR:INDEX=0"}</definedName>
    <definedName name="_50__FDSAUDITLINK__" hidden="1">{"fdsup://directions/FAT Viewer?action=UPDATE&amp;creator=factset&amp;DYN_ARGS=TRUE&amp;DOC_NAME=FAT:FQL_AUDITING_CLIENT_TEMPLATE.FAT&amp;display_string=Audit&amp;VAR:KEY=WLOFSPIDKT&amp;VAR:QUERY=KENTRl9DT01fU0hTX09VVF9FUFNfRElMKFFUUl9SLDM1OTc2KUBXU0ZfQ09NX1NIU19PVVRfRVBTX0RJTChRV","FIsMzU5NzYpKQ==&amp;WINDOW=FIRST_POPUP&amp;HEIGHT=450&amp;WIDTH=450&amp;START_MAXIMIZED=FALSE&amp;VAR:CALENDAR=US&amp;VAR:SYMBOL=AMD&amp;VAR:INDEX=0"}</definedName>
    <definedName name="_500__FDSAUDITLINK__" hidden="1">{"fdsup://directions/FAT Viewer?action=UPDATE&amp;creator=factset&amp;DYN_ARGS=TRUE&amp;DOC_NAME=FAT:FQL_AUDITING_CLIENT_TEMPLATE.FAT&amp;display_string=Audit&amp;VAR:KEY=ZCPSXWFEFW&amp;VAR:QUERY=RkZfU0hMRFJTX0VRKCdRVFInLDMyOTYyKQ==&amp;WINDOW=FIRST_POPUP&amp;HEIGHT=450&amp;WIDTH=450&amp;START_MA","XIMIZED=FALSE&amp;VAR:CALENDAR=US&amp;VAR:SYMBOL=INTC&amp;VAR:INDEX=0"}</definedName>
    <definedName name="_501__FDSAUDITLINK__" hidden="1">{"fdsup://directions/FAT Viewer?action=UPDATE&amp;creator=factset&amp;DYN_ARGS=TRUE&amp;DOC_NAME=FAT:FQL_AUDITING_CLIENT_TEMPLATE.FAT&amp;display_string=Audit&amp;VAR:KEY=ZWPUTOJWNY&amp;VAR:QUERY=RkZfU0hMRFJTX0VRKCdRVFInLDMyOTMyKQ==&amp;WINDOW=FIRST_POPUP&amp;HEIGHT=450&amp;WIDTH=450&amp;START_MA","XIMIZED=FALSE&amp;VAR:CALENDAR=US&amp;VAR:SYMBOL=INTC&amp;VAR:INDEX=0"}</definedName>
    <definedName name="_502__FDSAUDITLINK__" hidden="1">{"fdsup://directions/FAT Viewer?action=UPDATE&amp;creator=factset&amp;DYN_ARGS=TRUE&amp;DOC_NAME=FAT:FQL_AUDITING_CLIENT_TEMPLATE.FAT&amp;display_string=Audit&amp;VAR:KEY=ZWPUTOJWNY&amp;VAR:QUERY=RkZfU0hMRFJTX0VRKCdRVFInLDMyOTMyKQ==&amp;WINDOW=FIRST_POPUP&amp;HEIGHT=450&amp;WIDTH=450&amp;START_MA","XIMIZED=FALSE&amp;VAR:CALENDAR=US&amp;VAR:SYMBOL=INTC&amp;VAR:INDEX=0"}</definedName>
    <definedName name="_503__FDSAUDITLINK__" hidden="1">{"fdsup://directions/FAT Viewer?action=UPDATE&amp;creator=factset&amp;DYN_ARGS=TRUE&amp;DOC_NAME=FAT:FQL_AUDITING_CLIENT_TEMPLATE.FAT&amp;display_string=Audit&amp;VAR:KEY=JWVGDSFAZS&amp;VAR:QUERY=RkZfU0hMRFJTX0VRKCdRVFInLDMyOTA0KQ==&amp;WINDOW=FIRST_POPUP&amp;HEIGHT=450&amp;WIDTH=450&amp;START_MA","XIMIZED=FALSE&amp;VAR:CALENDAR=US&amp;VAR:SYMBOL=INTC&amp;VAR:INDEX=0"}</definedName>
    <definedName name="_504__FDSAUDITLINK__" hidden="1">{"fdsup://directions/FAT Viewer?action=UPDATE&amp;creator=factset&amp;DYN_ARGS=TRUE&amp;DOC_NAME=FAT:FQL_AUDITING_CLIENT_TEMPLATE.FAT&amp;display_string=Audit&amp;VAR:KEY=JWVGDSFAZS&amp;VAR:QUERY=RkZfU0hMRFJTX0VRKCdRVFInLDMyOTA0KQ==&amp;WINDOW=FIRST_POPUP&amp;HEIGHT=450&amp;WIDTH=450&amp;START_MA","XIMIZED=FALSE&amp;VAR:CALENDAR=US&amp;VAR:SYMBOL=INTC&amp;VAR:INDEX=0"}</definedName>
    <definedName name="_505__FDSAUDITLINK__" hidden="1">{"fdsup://directions/FAT Viewer?action=UPDATE&amp;creator=factset&amp;DYN_ARGS=TRUE&amp;DOC_NAME=FAT:FQL_AUDITING_CLIENT_TEMPLATE.FAT&amp;display_string=Audit&amp;VAR:KEY=BUHOHWNMFQ&amp;VAR:QUERY=RkZfU0hMRFJTX0VRKCdRVFInLDMyODcxKQ==&amp;WINDOW=FIRST_POPUP&amp;HEIGHT=450&amp;WIDTH=450&amp;START_MA","XIMIZED=FALSE&amp;VAR:CALENDAR=US&amp;VAR:SYMBOL=INTC&amp;VAR:INDEX=0"}</definedName>
    <definedName name="_506__FDSAUDITLINK__" hidden="1">{"fdsup://directions/FAT Viewer?action=UPDATE&amp;creator=factset&amp;DYN_ARGS=TRUE&amp;DOC_NAME=FAT:FQL_AUDITING_CLIENT_TEMPLATE.FAT&amp;display_string=Audit&amp;VAR:KEY=BUHOHWNMFQ&amp;VAR:QUERY=RkZfU0hMRFJTX0VRKCdRVFInLDMyODcxKQ==&amp;WINDOW=FIRST_POPUP&amp;HEIGHT=450&amp;WIDTH=450&amp;START_MA","XIMIZED=FALSE&amp;VAR:CALENDAR=US&amp;VAR:SYMBOL=INTC&amp;VAR:INDEX=0"}</definedName>
    <definedName name="_507__FDSAUDITLINK__" hidden="1">{"fdsup://directions/FAT Viewer?action=UPDATE&amp;creator=factset&amp;DYN_ARGS=TRUE&amp;DOC_NAME=FAT:FQL_AUDITING_CLIENT_TEMPLATE.FAT&amp;display_string=Audit&amp;VAR:KEY=MZWLQDCNML&amp;VAR:QUERY=KENTRl9DT01fU0hTX09VVF9FUFNfRElMKFFUUl9SLDQxMDI5KUBXU0ZfQ09NX1NIU19PVVRfRVBTX0RJTChRV","FIsNDEwMjkpKQ==&amp;WINDOW=FIRST_POPUP&amp;HEIGHT=450&amp;WIDTH=450&amp;START_MAXIMIZED=FALSE&amp;VAR:CALENDAR=US&amp;VAR:SYMBOL=INTC&amp;VAR:INDEX=0"}</definedName>
    <definedName name="_508__FDSAUDITLINK__" hidden="1">{"fdsup://directions/FAT Viewer?action=UPDATE&amp;creator=factset&amp;DYN_ARGS=TRUE&amp;DOC_NAME=FAT:FQL_AUDITING_CLIENT_TEMPLATE.FAT&amp;display_string=Audit&amp;VAR:KEY=IJKJSNUDKZ&amp;VAR:QUERY=KENTRl9JTlRBTkcoUVRSX1IsNDEwMjkpQFdTRl9JTlRBTkcoUVRSLDQxMDI5KSk=&amp;WINDOW=FIRST_POPUP&amp;H","EIGHT=450&amp;WIDTH=450&amp;START_MAXIMIZED=FALSE&amp;VAR:CALENDAR=US&amp;VAR:SYMBOL=INTC&amp;VAR:INDEX=0"}</definedName>
    <definedName name="_509__FDSAUDITLINK__" hidden="1">{"fdsup://directions/FAT Viewer?action=UPDATE&amp;creator=factset&amp;DYN_ARGS=TRUE&amp;DOC_NAME=FAT:FQL_AUDITING_CLIENT_TEMPLATE.FAT&amp;display_string=Audit&amp;VAR:KEY=GBQFEFKZQL&amp;VAR:QUERY=KENTRl9TSExEUlNfRVEoUVRSX1IsNDEwMjkpQFdTRl9TSExEUlNfRVEoUVRSLDQxMDI5KSk=&amp;WINDOW=FIRST","_POPUP&amp;HEIGHT=450&amp;WIDTH=450&amp;START_MAXIMIZED=FALSE&amp;VAR:CALENDAR=US&amp;VAR:SYMBOL=INTC&amp;VAR:INDEX=0"}</definedName>
    <definedName name="_51__FDSAUDITLINK__" localSheetId="0" hidden="1">{"fdsup://directions/FAT Viewer?action=UPDATE&amp;creator=factset&amp;DYN_ARGS=TRUE&amp;DOC_NAME=FAT:FQL_AUDITING_CLIENT_TEMPLATE.FAT&amp;display_string=Audit&amp;VAR:KEY=IHSZWVCJSD&amp;VAR:QUERY=KENTRl9DT01fU0hTX09VVF9FUFNfRElMKFFUUl9SLDM5NTY4KUBXU0ZfQ09NX1NIU19PVVRfRVBTX0RJTChRV","FIsMzk1NjgpKQ==&amp;WINDOW=FIRST_POPUP&amp;HEIGHT=450&amp;WIDTH=450&amp;START_MAXIMIZED=FALSE&amp;VAR:CALENDAR=US&amp;VAR:SYMBOL=ARX&amp;VAR:INDEX=0"}</definedName>
    <definedName name="_51__FDSAUDITLINK__" hidden="1">{"fdsup://directions/FAT Viewer?action=UPDATE&amp;creator=factset&amp;DYN_ARGS=TRUE&amp;DOC_NAME=FAT:FQL_AUDITING_CLIENT_TEMPLATE.FAT&amp;display_string=Audit&amp;VAR:KEY=YRULSLWLSP&amp;VAR:QUERY=KENTRl9JTlRBTkcoUVRSX1IsMzU5NzYpQFdTRl9JTlRBTkcoUVRSLDM1OTc2KSk=&amp;WINDOW=FIRST_POPUP&amp;H","EIGHT=450&amp;WIDTH=450&amp;START_MAXIMIZED=FALSE&amp;VAR:CALENDAR=US&amp;VAR:SYMBOL=AMD&amp;VAR:INDEX=0"}</definedName>
    <definedName name="_510__FDSAUDITLINK__" hidden="1">{"fdsup://directions/FAT Viewer?action=UPDATE&amp;creator=factset&amp;DYN_ARGS=TRUE&amp;DOC_NAME=FAT:FQL_AUDITING_CLIENT_TEMPLATE.FAT&amp;display_string=Audit&amp;VAR:KEY=YZEJQZMVOJ&amp;VAR:QUERY=KENTRl9DT01fU0hTX09VVF9FUFNfRElMKFFUUl9SLDQwODE2KUBXU0ZfQ09NX1NIU19PVVRfRVBTX0RJTChRV","FIsNDA4MTYpKQ==&amp;WINDOW=FIRST_POPUP&amp;HEIGHT=450&amp;WIDTH=450&amp;START_MAXIMIZED=FALSE&amp;VAR:CALENDAR=US&amp;VAR:SYMBOL=INTC&amp;VAR:INDEX=0"}</definedName>
    <definedName name="_511__FDSAUDITLINK__" hidden="1">{"fdsup://directions/FAT Viewer?action=UPDATE&amp;creator=factset&amp;DYN_ARGS=TRUE&amp;DOC_NAME=FAT:FQL_AUDITING_CLIENT_TEMPLATE.FAT&amp;display_string=Audit&amp;VAR:KEY=QBSZOPQVET&amp;VAR:QUERY=KENTRl9JTlRBTkcoUVRSX1IsNDA4MTYpQFdTRl9JTlRBTkcoUVRSLDQwODE2KSk=&amp;WINDOW=FIRST_POPUP&amp;H","EIGHT=450&amp;WIDTH=450&amp;START_MAXIMIZED=FALSE&amp;VAR:CALENDAR=US&amp;VAR:SYMBOL=INTC&amp;VAR:INDEX=0"}</definedName>
    <definedName name="_512__FDSAUDITLINK__" hidden="1">{"fdsup://directions/FAT Viewer?action=UPDATE&amp;creator=factset&amp;DYN_ARGS=TRUE&amp;DOC_NAME=FAT:FQL_AUDITING_CLIENT_TEMPLATE.FAT&amp;display_string=Audit&amp;VAR:KEY=IXADWDUJMR&amp;VAR:QUERY=KENTRl9TSExEUlNfRVEoUVRSX1IsNDA4MTYpQFdTRl9TSExEUlNfRVEoUVRSLDQwODE2KSk=&amp;WINDOW=FIRST","_POPUP&amp;HEIGHT=450&amp;WIDTH=450&amp;START_MAXIMIZED=FALSE&amp;VAR:CALENDAR=US&amp;VAR:SYMBOL=INTC&amp;VAR:INDEX=0"}</definedName>
    <definedName name="_513__FDSAUDITLINK__" hidden="1">{"fdsup://directions/FAT Viewer?action=UPDATE&amp;creator=factset&amp;DYN_ARGS=TRUE&amp;DOC_NAME=FAT:FQL_AUDITING_CLIENT_TEMPLATE.FAT&amp;display_string=Audit&amp;VAR:KEY=WVIBCVCZYB&amp;VAR:QUERY=KENTRl9DT01fU0hTX09VVF9FUFNfRElMKFFUUl9SLDQwOTk5KUBXU0ZfQ09NX1NIU19PVVRfRVBTX0RJTChRV","FIsNDA5OTkpKQ==&amp;WINDOW=FIRST_POPUP&amp;HEIGHT=450&amp;WIDTH=450&amp;START_MAXIMIZED=FALSE&amp;VAR:CALENDAR=US&amp;VAR:SYMBOL=INTC&amp;VAR:INDEX=0"}</definedName>
    <definedName name="_514__FDSAUDITLINK__" hidden="1">{"fdsup://directions/FAT Viewer?action=UPDATE&amp;creator=factset&amp;DYN_ARGS=TRUE&amp;DOC_NAME=FAT:FQL_AUDITING_CLIENT_TEMPLATE.FAT&amp;display_string=Audit&amp;VAR:KEY=QBQHQRGDSH&amp;VAR:QUERY=KENTRl9JTlRBTkcoUVRSX1IsNDA5OTkpQFdTRl9JTlRBTkcoUVRSLDQwOTk5KSk=&amp;WINDOW=FIRST_POPUP&amp;H","EIGHT=450&amp;WIDTH=450&amp;START_MAXIMIZED=FALSE&amp;VAR:CALENDAR=US&amp;VAR:SYMBOL=INTC&amp;VAR:INDEX=0"}</definedName>
    <definedName name="_515__FDSAUDITLINK__" hidden="1">{"fdsup://directions/FAT Viewer?action=UPDATE&amp;creator=factset&amp;DYN_ARGS=TRUE&amp;DOC_NAME=FAT:FQL_AUDITING_CLIENT_TEMPLATE.FAT&amp;display_string=Audit&amp;VAR:KEY=GBSVMNWTKB&amp;VAR:QUERY=KENTRl9TSExEUlNfRVEoUVRSX1IsNDA5OTkpQFdTRl9TSExEUlNfRVEoUVRSLDQwOTk5KSk=&amp;WINDOW=FIRST","_POPUP&amp;HEIGHT=450&amp;WIDTH=450&amp;START_MAXIMIZED=FALSE&amp;VAR:CALENDAR=US&amp;VAR:SYMBOL=INTC&amp;VAR:INDEX=0"}</definedName>
    <definedName name="_516__FDSAUDITLINK__" hidden="1">{"fdsup://directions/FAT Viewer?action=UPDATE&amp;creator=factset&amp;DYN_ARGS=TRUE&amp;DOC_NAME=FAT:FQL_AUDITING_CLIENT_TEMPLATE.FAT&amp;display_string=Audit&amp;VAR:KEY=MZWLQDCNML&amp;VAR:QUERY=KENTRl9DT01fU0hTX09VVF9FUFNfRElMKFFUUl9SLDQxMDI5KUBXU0ZfQ09NX1NIU19PVVRfRVBTX0RJTChRV","FIsNDEwMjkpKQ==&amp;WINDOW=FIRST_POPUP&amp;HEIGHT=450&amp;WIDTH=450&amp;START_MAXIMIZED=FALSE&amp;VAR:CALENDAR=US&amp;VAR:SYMBOL=INTC&amp;VAR:INDEX=0"}</definedName>
    <definedName name="_517__FDSAUDITLINK__" hidden="1">{"fdsup://directions/FAT Viewer?action=UPDATE&amp;creator=factset&amp;DYN_ARGS=TRUE&amp;DOC_NAME=FAT:FQL_AUDITING_CLIENT_TEMPLATE.FAT&amp;display_string=Audit&amp;VAR:KEY=IJKJSNUDKZ&amp;VAR:QUERY=KENTRl9JTlRBTkcoUVRSX1IsNDEwMjkpQFdTRl9JTlRBTkcoUVRSLDQxMDI5KSk=&amp;WINDOW=FIRST_POPUP&amp;H","EIGHT=450&amp;WIDTH=450&amp;START_MAXIMIZED=FALSE&amp;VAR:CALENDAR=US&amp;VAR:SYMBOL=INTC&amp;VAR:INDEX=0"}</definedName>
    <definedName name="_518__FDSAUDITLINK__" hidden="1">{"fdsup://directions/FAT Viewer?action=UPDATE&amp;creator=factset&amp;DYN_ARGS=TRUE&amp;DOC_NAME=FAT:FQL_AUDITING_CLIENT_TEMPLATE.FAT&amp;display_string=Audit&amp;VAR:KEY=GBQFEFKZQL&amp;VAR:QUERY=KENTRl9TSExEUlNfRVEoUVRSX1IsNDEwMjkpQFdTRl9TSExEUlNfRVEoUVRSLDQxMDI5KSk=&amp;WINDOW=FIRST","_POPUP&amp;HEIGHT=450&amp;WIDTH=450&amp;START_MAXIMIZED=FALSE&amp;VAR:CALENDAR=US&amp;VAR:SYMBOL=INTC&amp;VAR:INDEX=0"}</definedName>
    <definedName name="_52__FDSAUDITLINK__" localSheetId="0" hidden="1">{"fdsup://directions/FAT Viewer?action=UPDATE&amp;creator=factset&amp;DYN_ARGS=TRUE&amp;DOC_NAME=FAT:FQL_AUDITING_CLIENT_TEMPLATE.FAT&amp;display_string=Audit&amp;VAR:KEY=YFWTSTIHGL&amp;VAR:QUERY=KENTRl9JTlRBTkcoUVRSX1IsMzk1NjgpQFdTRl9JTlRBTkcoUVRSLDM5NTY4KSk=&amp;WINDOW=FIRST_POPUP&amp;H","EIGHT=450&amp;WIDTH=450&amp;START_MAXIMIZED=FALSE&amp;VAR:CALENDAR=US&amp;VAR:SYMBOL=ARX&amp;VAR:INDEX=0"}</definedName>
    <definedName name="_52__FDSAUDITLINK__" hidden="1">{"fdsup://directions/FAT Viewer?action=UPDATE&amp;creator=factset&amp;DYN_ARGS=TRUE&amp;DOC_NAME=FAT:FQL_AUDITING_CLIENT_TEMPLATE.FAT&amp;display_string=Audit&amp;VAR:KEY=EBEVWZUTSV&amp;VAR:QUERY=KENTRl9DT01fU0hTX09VVF9FUFNfRElMKFFUUl9SLDM1OTQ0KUBXU0ZfQ09NX1NIU19PVVRfRVBTX0RJTChRV","FIsMzU5NDQpKQ==&amp;WINDOW=FIRST_POPUP&amp;HEIGHT=450&amp;WIDTH=450&amp;START_MAXIMIZED=FALSE&amp;VAR:CALENDAR=US&amp;VAR:SYMBOL=AMD&amp;VAR:INDEX=0"}</definedName>
    <definedName name="_522__FDSAUDITLINK__" hidden="1">{"fdsup://directions/FAT Viewer?action=UPDATE&amp;creator=factset&amp;DYN_ARGS=TRUE&amp;DOC_NAME=FAT:FQL_AUDITING_CLIENT_TEMPLATE.FAT&amp;display_string=Audit&amp;VAR:KEY=AZYZAZOHSN&amp;VAR:QUERY=KENTRl9TSExEUlNfRVEoUVRSX1IsNDEwOTApQFdTRl9TSExEUlNfRVEoUVRSLDQxMDkwKSk=&amp;WINDOW=FIRST","_POPUP&amp;HEIGHT=450&amp;WIDTH=450&amp;START_MAXIMIZED=FALSE&amp;VAR:CALENDAR=US&amp;VAR:SYMBOL=INTC&amp;VAR:INDEX=0"}</definedName>
    <definedName name="_523__FDSAUDITLINK__" hidden="1">{"fdsup://directions/FAT Viewer?action=UPDATE&amp;creator=factset&amp;DYN_ARGS=TRUE&amp;DOC_NAME=FAT:FQL_AUDITING_CLIENT_TEMPLATE.FAT&amp;display_string=Audit&amp;VAR:KEY=KDCPCRGJOX&amp;VAR:QUERY=KENTRl9JTlRBTkcoUVRSX1IsNDEwOTApQFdTRl9JTlRBTkcoUVRSLDQxMDkwKSk=&amp;WINDOW=FIRST_POPUP&amp;H","EIGHT=450&amp;WIDTH=450&amp;START_MAXIMIZED=FALSE&amp;VAR:CALENDAR=US&amp;VAR:SYMBOL=INTC&amp;VAR:INDEX=0"}</definedName>
    <definedName name="_524__FDSAUDITLINK__" hidden="1">{"fdsup://directions/FAT Viewer?action=UPDATE&amp;creator=factset&amp;DYN_ARGS=TRUE&amp;DOC_NAME=FAT:FQL_AUDITING_CLIENT_TEMPLATE.FAT&amp;display_string=Audit&amp;VAR:KEY=WNEPKPEBAB&amp;VAR:QUERY=KENTRl9DT01fU0hTX09VVF9FUFNfRElMKFFUUl9SLDQxMDkwKUBXU0ZfQ09NX1NIU19PVVRfRVBTX0RJTChRV","FIsNDEwOTApKQ==&amp;WINDOW=FIRST_POPUP&amp;HEIGHT=450&amp;WIDTH=450&amp;START_MAXIMIZED=FALSE&amp;VAR:CALENDAR=US&amp;VAR:SYMBOL=INTC&amp;VAR:INDEX=0"}</definedName>
    <definedName name="_53__FDSAUDITLINK__" localSheetId="0" hidden="1">{"fdsup://directions/FAT Viewer?action=UPDATE&amp;creator=factset&amp;DYN_ARGS=TRUE&amp;DOC_NAME=FAT:FQL_AUDITING_CLIENT_TEMPLATE.FAT&amp;display_string=Audit&amp;VAR:KEY=WJGBWXOZCB&amp;VAR:QUERY=KENTRl9TSExEUlNfRVEoUVRSX1IsMzk1NjgpQFdTRl9TSExEUlNfRVEoUVRSLDM5NTY4KSk=&amp;WINDOW=FIRST","_POPUP&amp;HEIGHT=450&amp;WIDTH=450&amp;START_MAXIMIZED=FALSE&amp;VAR:CALENDAR=US&amp;VAR:SYMBOL=ARX&amp;VAR:INDEX=0"}</definedName>
    <definedName name="_53__FDSAUDITLINK__" hidden="1">{"fdsup://directions/FAT Viewer?action=UPDATE&amp;creator=factset&amp;DYN_ARGS=TRUE&amp;DOC_NAME=FAT:FQL_AUDITING_CLIENT_TEMPLATE.FAT&amp;display_string=Audit&amp;VAR:KEY=ADUJIFGTCH&amp;VAR:QUERY=KENTRl9JTlRBTkcoUVRSX1IsMzU5NDQpQFdTRl9JTlRBTkcoUVRSLDM1OTQ0KSk=&amp;WINDOW=FIRST_POPUP&amp;H","EIGHT=450&amp;WIDTH=450&amp;START_MAXIMIZED=FALSE&amp;VAR:CALENDAR=US&amp;VAR:SYMBOL=AMD&amp;VAR:INDEX=0"}</definedName>
    <definedName name="_54__FDSAUDITLINK__" localSheetId="0" hidden="1">{"fdsup://directions/FAT Viewer?action=UPDATE&amp;creator=factset&amp;DYN_ARGS=TRUE&amp;DOC_NAME=FAT:FQL_AUDITING_CLIENT_TEMPLATE.FAT&amp;display_string=Audit&amp;VAR:KEY=EFEVGRQJAF&amp;VAR:QUERY=KENTRl9DT01fU0hTX09VVF9FUFNfRElMKFFUUl9SLDM5NTM4KUBXU0ZfQ09NX1NIU19PVVRfRVBTX0RJTChRV","FIsMzk1MzgpKQ==&amp;WINDOW=FIRST_POPUP&amp;HEIGHT=450&amp;WIDTH=450&amp;START_MAXIMIZED=FALSE&amp;VAR:CALENDAR=US&amp;VAR:SYMBOL=ARX&amp;VAR:INDEX=0"}</definedName>
    <definedName name="_54__FDSAUDITLINK__" hidden="1">{"fdsup://directions/FAT Viewer?action=UPDATE&amp;creator=factset&amp;DYN_ARGS=TRUE&amp;DOC_NAME=FAT:FQL_AUDITING_CLIENT_TEMPLATE.FAT&amp;display_string=Audit&amp;VAR:KEY=CPQLWXQJWZ&amp;VAR:QUERY=KENTRl9DT01fU0hTX09VVF9FUFNfRElMKFFUUl9SLDM1OTE1KUBXU0ZfQ09NX1NIU19PVVRfRVBTX0RJTChRV","FIsMzU5MTUpKQ==&amp;WINDOW=FIRST_POPUP&amp;HEIGHT=450&amp;WIDTH=450&amp;START_MAXIMIZED=FALSE&amp;VAR:CALENDAR=US&amp;VAR:SYMBOL=AMD&amp;VAR:INDEX=0"}</definedName>
    <definedName name="_55__FDSAUDITLINK__" localSheetId="0" hidden="1">{"fdsup://directions/FAT Viewer?action=UPDATE&amp;creator=factset&amp;DYN_ARGS=TRUE&amp;DOC_NAME=FAT:FQL_AUDITING_CLIENT_TEMPLATE.FAT&amp;display_string=Audit&amp;VAR:KEY=OVEBGPIZOH&amp;VAR:QUERY=KENTRl9JTlRBTkcoUVRSX1IsMzk1MzgpQFdTRl9JTlRBTkcoUVRSLDM5NTM4KSk=&amp;WINDOW=FIRST_POPUP&amp;H","EIGHT=450&amp;WIDTH=450&amp;START_MAXIMIZED=FALSE&amp;VAR:CALENDAR=US&amp;VAR:SYMBOL=ARX&amp;VAR:INDEX=0"}</definedName>
    <definedName name="_55__FDSAUDITLINK__" hidden="1">{"fdsup://directions/FAT Viewer?action=UPDATE&amp;creator=factset&amp;DYN_ARGS=TRUE&amp;DOC_NAME=FAT:FQL_AUDITING_CLIENT_TEMPLATE.FAT&amp;display_string=Audit&amp;VAR:KEY=SJMFWTEDQT&amp;VAR:QUERY=KENTRl9JTlRBTkcoUVRSX1IsMzU5MTUpQFdTRl9JTlRBTkcoUVRSLDM1OTE1KSk=&amp;WINDOW=FIRST_POPUP&amp;H","EIGHT=450&amp;WIDTH=450&amp;START_MAXIMIZED=FALSE&amp;VAR:CALENDAR=US&amp;VAR:SYMBOL=AMD&amp;VAR:INDEX=0"}</definedName>
    <definedName name="_56__FDSAUDITLINK__" localSheetId="0" hidden="1">{"fdsup://directions/FAT Viewer?action=UPDATE&amp;creator=factset&amp;DYN_ARGS=TRUE&amp;DOC_NAME=FAT:FQL_AUDITING_CLIENT_TEMPLATE.FAT&amp;display_string=Audit&amp;VAR:KEY=WDWFEJMVWJ&amp;VAR:QUERY=KENTRl9TSExEUlNfRVEoUVRSX1IsMzk1MzgpQFdTRl9TSExEUlNfRVEoUVRSLDM5NTM4KSk=&amp;WINDOW=FIRST","_POPUP&amp;HEIGHT=450&amp;WIDTH=450&amp;START_MAXIMIZED=FALSE&amp;VAR:CALENDAR=US&amp;VAR:SYMBOL=ARX&amp;VAR:INDEX=0"}</definedName>
    <definedName name="_56__FDSAUDITLINK__" hidden="1">{"fdsup://directions/FAT Viewer?action=UPDATE&amp;creator=factset&amp;DYN_ARGS=TRUE&amp;DOC_NAME=FAT:FQL_AUDITING_CLIENT_TEMPLATE.FAT&amp;display_string=Audit&amp;VAR:KEY=UTCXKBMJSL&amp;VAR:QUERY=KENTRl9DT01fU0hTX09VVF9FUFNfRElMKFFUUl9SLDM1ODg1KUBXU0ZfQ09NX1NIU19PVVRfRVBTX0RJTChRV","FIsMzU4ODUpKQ==&amp;WINDOW=FIRST_POPUP&amp;HEIGHT=450&amp;WIDTH=450&amp;START_MAXIMIZED=FALSE&amp;VAR:CALENDAR=US&amp;VAR:SYMBOL=AMD&amp;VAR:INDEX=0"}</definedName>
    <definedName name="_57__FDSAUDITLINK__" localSheetId="0" hidden="1">{"fdsup://directions/FAT Viewer?action=UPDATE&amp;creator=factset&amp;DYN_ARGS=TRUE&amp;DOC_NAME=FAT:FQL_AUDITING_CLIENT_TEMPLATE.FAT&amp;display_string=Audit&amp;VAR:KEY=EDQNSNCBAX&amp;VAR:QUERY=KENTRl9DT01fU0hTX09VVF9FUFNfRElMKFFUUl9SLDM5NTA3KUBXU0ZfQ09NX1NIU19PVVRfRVBTX0RJTChRV","FIsMzk1MDcpKQ==&amp;WINDOW=FIRST_POPUP&amp;HEIGHT=450&amp;WIDTH=450&amp;START_MAXIMIZED=FALSE&amp;VAR:CALENDAR=US&amp;VAR:SYMBOL=ARX&amp;VAR:INDEX=0"}</definedName>
    <definedName name="_57__FDSAUDITLINK__" hidden="1">{"fdsup://directions/FAT Viewer?action=UPDATE&amp;creator=factset&amp;DYN_ARGS=TRUE&amp;DOC_NAME=FAT:FQL_AUDITING_CLIENT_TEMPLATE.FAT&amp;display_string=Audit&amp;VAR:KEY=YHAFMROTUR&amp;VAR:QUERY=KENTRl9JTlRBTkcoUVRSX1IsMzU4ODUpQFdTRl9JTlRBTkcoUVRSLDM1ODg1KSk=&amp;WINDOW=FIRST_POPUP&amp;H","EIGHT=450&amp;WIDTH=450&amp;START_MAXIMIZED=FALSE&amp;VAR:CALENDAR=US&amp;VAR:SYMBOL=AMD&amp;VAR:INDEX=0"}</definedName>
    <definedName name="_58__FDSAUDITLINK__" localSheetId="0" hidden="1">{"fdsup://directions/FAT Viewer?action=UPDATE&amp;creator=factset&amp;DYN_ARGS=TRUE&amp;DOC_NAME=FAT:FQL_AUDITING_CLIENT_TEMPLATE.FAT&amp;display_string=Audit&amp;VAR:KEY=GZADYBUTQV&amp;VAR:QUERY=KENTRl9JTlRBTkcoUVRSX1IsMzk1MDcpQFdTRl9JTlRBTkcoUVRSLDM5NTA3KSk=&amp;WINDOW=FIRST_POPUP&amp;H","EIGHT=450&amp;WIDTH=450&amp;START_MAXIMIZED=FALSE&amp;VAR:CALENDAR=US&amp;VAR:SYMBOL=ARX&amp;VAR:INDEX=0"}</definedName>
    <definedName name="_58__FDSAUDITLINK__" hidden="1">{"fdsup://directions/FAT Viewer?action=UPDATE&amp;creator=factset&amp;DYN_ARGS=TRUE&amp;DOC_NAME=FAT:FQL_AUDITING_CLIENT_TEMPLATE.FAT&amp;display_string=Audit&amp;VAR:KEY=WRKHKBULMF&amp;VAR:QUERY=KENTRl9DT01fU0hTX09VVF9FUFNfRElMKFFUUl9SLDM1ODUzKUBXU0ZfQ09NX1NIU19PVVRfRVBTX0RJTChRV","FIsMzU4NTMpKQ==&amp;WINDOW=FIRST_POPUP&amp;HEIGHT=450&amp;WIDTH=450&amp;START_MAXIMIZED=FALSE&amp;VAR:CALENDAR=US&amp;VAR:SYMBOL=AMD&amp;VAR:INDEX=0"}</definedName>
    <definedName name="_59__FDSAUDITLINK__" localSheetId="0" hidden="1">{"fdsup://directions/FAT Viewer?action=UPDATE&amp;creator=factset&amp;DYN_ARGS=TRUE&amp;DOC_NAME=FAT:FQL_AUDITING_CLIENT_TEMPLATE.FAT&amp;display_string=Audit&amp;VAR:KEY=SNKXIFYBWV&amp;VAR:QUERY=KENTRl9TSExEUlNfRVEoUVRSX1IsMzk1MDcpQFdTRl9TSExEUlNfRVEoUVRSLDM5NTA3KSk=&amp;WINDOW=FIRST","_POPUP&amp;HEIGHT=450&amp;WIDTH=450&amp;START_MAXIMIZED=FALSE&amp;VAR:CALENDAR=US&amp;VAR:SYMBOL=ARX&amp;VAR:INDEX=0"}</definedName>
    <definedName name="_59__FDSAUDITLINK__" hidden="1">{"fdsup://directions/FAT Viewer?action=UPDATE&amp;creator=factset&amp;DYN_ARGS=TRUE&amp;DOC_NAME=FAT:FQL_AUDITING_CLIENT_TEMPLATE.FAT&amp;display_string=Audit&amp;VAR:KEY=YPSXIVMLQF&amp;VAR:QUERY=KENTRl9JTlRBTkcoUVRSX1IsMzU4NTMpQFdTRl9JTlRBTkcoUVRSLDM1ODUzKSk=&amp;WINDOW=FIRST_POPUP&amp;H","EIGHT=450&amp;WIDTH=450&amp;START_MAXIMIZED=FALSE&amp;VAR:CALENDAR=US&amp;VAR:SYMBOL=AMD&amp;VAR:INDEX=0"}</definedName>
    <definedName name="_6__123Graph_CCHART_1" hidden="1">#REF!</definedName>
    <definedName name="_6__FDSAUDITLINK__" localSheetId="0" hidden="1">{"fdsup://directions/FAT Viewer?action=UPDATE&amp;creator=factset&amp;DYN_ARGS=TRUE&amp;DOC_NAME=FAT:FQL_AUDITING_CLIENT_TEMPLATE.FAT&amp;display_string=Audit&amp;VAR:KEY=EZIDYPEPAV&amp;VAR:QUERY=KENTRl9TSExEUlNfRVEoUVRSX1IsNDAyOTgpQFdTRl9TSExEUlNfRVEoUVRSLDQwMjk4KSk=&amp;WINDOW=FIRST","_POPUP&amp;HEIGHT=450&amp;WIDTH=450&amp;START_MAXIMIZED=FALSE&amp;VAR:CALENDAR=US&amp;VAR:SYMBOL=ARX&amp;VAR:INDEX=0"}</definedName>
    <definedName name="_6__FDSAUDITLINK__" hidden="1">{"fdsup://directions/FAT Viewer?action=UPDATE&amp;creator=factset&amp;DYN_ARGS=TRUE&amp;DOC_NAME=FAT:FQL_AUDITING_CLIENT_TEMPLATE.FAT&amp;display_string=Audit&amp;VAR:KEY=ETKFAHIZCJ&amp;VAR:QUERY=KENTRl9JTlRBTkcoUVRSX1IsMzcxNjIpQFdTRl9JTlRBTkcoUVRSLDM3MTYyKSk=&amp;WINDOW=FIRST_POPUP&amp;H","EIGHT=450&amp;WIDTH=450&amp;START_MAXIMIZED=FALSE&amp;VAR:CALENDAR=US&amp;VAR:SYMBOL=AMD&amp;VAR:INDEX=0"}</definedName>
    <definedName name="_60__FDSAUDITLINK__" localSheetId="0" hidden="1">{"fdsup://directions/FAT Viewer?action=UPDATE&amp;creator=factset&amp;DYN_ARGS=TRUE&amp;DOC_NAME=FAT:FQL_AUDITING_CLIENT_TEMPLATE.FAT&amp;display_string=Audit&amp;VAR:KEY=MVQNYVULID&amp;VAR:QUERY=KENTRl9DT01fU0hTX09VVF9FUFNfRElMKFFUUl9SLDM5NDc4KUBXU0ZfQ09NX1NIU19PVVRfRVBTX0RJTChRV","FIsMzk0NzgpKQ==&amp;WINDOW=FIRST_POPUP&amp;HEIGHT=450&amp;WIDTH=450&amp;START_MAXIMIZED=FALSE&amp;VAR:CALENDAR=US&amp;VAR:SYMBOL=ARX&amp;VAR:INDEX=0"}</definedName>
    <definedName name="_60__FDSAUDITLINK__" hidden="1">{"fdsup://directions/FAT Viewer?action=UPDATE&amp;creator=factset&amp;DYN_ARGS=TRUE&amp;DOC_NAME=FAT:FQL_AUDITING_CLIENT_TEMPLATE.FAT&amp;display_string=Audit&amp;VAR:KEY=IJGHIFGLAL&amp;VAR:QUERY=KENTRl9DT01fU0hTX09VVF9FUFNfRElMKFFUUl9SLDM1ODI1KUBXU0ZfQ09NX1NIU19PVVRfRVBTX0RJTChRV","FIsMzU4MjUpKQ==&amp;WINDOW=FIRST_POPUP&amp;HEIGHT=450&amp;WIDTH=450&amp;START_MAXIMIZED=FALSE&amp;VAR:CALENDAR=US&amp;VAR:SYMBOL=AMD&amp;VAR:INDEX=0"}</definedName>
    <definedName name="_61__FDSAUDITLINK__" localSheetId="0" hidden="1">{"fdsup://directions/FAT Viewer?action=UPDATE&amp;creator=factset&amp;DYN_ARGS=TRUE&amp;DOC_NAME=FAT:FQL_AUDITING_CLIENT_TEMPLATE.FAT&amp;display_string=Audit&amp;VAR:KEY=MHEDSBGZSL&amp;VAR:QUERY=KENTRl9JTlRBTkcoUVRSX1IsMzk0NzgpQFdTRl9JTlRBTkcoUVRSLDM5NDc4KSk=&amp;WINDOW=FIRST_POPUP&amp;H","EIGHT=450&amp;WIDTH=450&amp;START_MAXIMIZED=FALSE&amp;VAR:CALENDAR=US&amp;VAR:SYMBOL=ARX&amp;VAR:INDEX=0"}</definedName>
    <definedName name="_61__FDSAUDITLINK__" hidden="1">{"fdsup://directions/FAT Viewer?action=UPDATE&amp;creator=factset&amp;DYN_ARGS=TRUE&amp;DOC_NAME=FAT:FQL_AUDITING_CLIENT_TEMPLATE.FAT&amp;display_string=Audit&amp;VAR:KEY=WJALMDCVGZ&amp;VAR:QUERY=KENTRl9JTlRBTkcoUVRSX1IsMzU4MjUpQFdTRl9JTlRBTkcoUVRSLDM1ODI1KSk=&amp;WINDOW=FIRST_POPUP&amp;H","EIGHT=450&amp;WIDTH=450&amp;START_MAXIMIZED=FALSE&amp;VAR:CALENDAR=US&amp;VAR:SYMBOL=AMD&amp;VAR:INDEX=0"}</definedName>
    <definedName name="_62__FDSAUDITLINK__" localSheetId="0" hidden="1">{"fdsup://directions/FAT Viewer?action=UPDATE&amp;creator=factset&amp;DYN_ARGS=TRUE&amp;DOC_NAME=FAT:FQL_AUDITING_CLIENT_TEMPLATE.FAT&amp;display_string=Audit&amp;VAR:KEY=MDUXYVKJYB&amp;VAR:QUERY=KENTRl9TSExEUlNfRVEoUVRSX1IsMzk0NzgpQFdTRl9TSExEUlNfRVEoUVRSLDM5NDc4KSk=&amp;WINDOW=FIRST","_POPUP&amp;HEIGHT=450&amp;WIDTH=450&amp;START_MAXIMIZED=FALSE&amp;VAR:CALENDAR=US&amp;VAR:SYMBOL=ARX&amp;VAR:INDEX=0"}</definedName>
    <definedName name="_62__FDSAUDITLINK__" hidden="1">{"fdsup://directions/FAT Viewer?action=UPDATE&amp;creator=factset&amp;DYN_ARGS=TRUE&amp;DOC_NAME=FAT:FQL_AUDITING_CLIENT_TEMPLATE.FAT&amp;display_string=Audit&amp;VAR:KEY=UXWPCHWDOV&amp;VAR:QUERY=KENTRl9DT01fU0hTX09VVF9FUFNfRElMKFFUUl9SLDM1Nzk1KUBXU0ZfQ09NX1NIU19PVVRfRVBTX0RJTChRV","FIsMzU3OTUpKQ==&amp;WINDOW=FIRST_POPUP&amp;HEIGHT=450&amp;WIDTH=450&amp;START_MAXIMIZED=FALSE&amp;VAR:CALENDAR=US&amp;VAR:SYMBOL=AMD&amp;VAR:INDEX=0"}</definedName>
    <definedName name="_63__FDSAUDITLINK__" localSheetId="0" hidden="1">{"fdsup://directions/FAT Viewer?action=UPDATE&amp;creator=factset&amp;DYN_ARGS=TRUE&amp;DOC_NAME=FAT:FQL_AUDITING_CLIENT_TEMPLATE.FAT&amp;display_string=Audit&amp;VAR:KEY=IDATEZWVCB&amp;VAR:QUERY=KENTRl9DT01fU0hTX09VVF9FUFNfRElMKFFUUl9SLDM5NDQ3KUBXU0ZfQ09NX1NIU19PVVRfRVBTX0RJTChRV","FIsMzk0NDcpKQ==&amp;WINDOW=FIRST_POPUP&amp;HEIGHT=450&amp;WIDTH=450&amp;START_MAXIMIZED=FALSE&amp;VAR:CALENDAR=US&amp;VAR:SYMBOL=ARX&amp;VAR:INDEX=0"}</definedName>
    <definedName name="_63__FDSAUDITLINK__" hidden="1">{"fdsup://directions/FAT Viewer?action=UPDATE&amp;creator=factset&amp;DYN_ARGS=TRUE&amp;DOC_NAME=FAT:FQL_AUDITING_CLIENT_TEMPLATE.FAT&amp;display_string=Audit&amp;VAR:KEY=UTYTONUTUT&amp;VAR:QUERY=KENTRl9JTlRBTkcoUVRSX1IsMzU3OTUpQFdTRl9JTlRBTkcoUVRSLDM1Nzk1KSk=&amp;WINDOW=FIRST_POPUP&amp;H","EIGHT=450&amp;WIDTH=450&amp;START_MAXIMIZED=FALSE&amp;VAR:CALENDAR=US&amp;VAR:SYMBOL=AMD&amp;VAR:INDEX=0"}</definedName>
    <definedName name="_64__FDSAUDITLINK__" localSheetId="0" hidden="1">{"fdsup://directions/FAT Viewer?action=UPDATE&amp;creator=factset&amp;DYN_ARGS=TRUE&amp;DOC_NAME=FAT:FQL_AUDITING_CLIENT_TEMPLATE.FAT&amp;display_string=Audit&amp;VAR:KEY=ABIHQFMJOF&amp;VAR:QUERY=KENTRl9JTlRBTkcoUVRSX1IsMzk0NDcpQFdTRl9JTlRBTkcoUVRSLDM5NDQ3KSk=&amp;WINDOW=FIRST_POPUP&amp;H","EIGHT=450&amp;WIDTH=450&amp;START_MAXIMIZED=FALSE&amp;VAR:CALENDAR=US&amp;VAR:SYMBOL=ARX&amp;VAR:INDEX=0"}</definedName>
    <definedName name="_64__FDSAUDITLINK__" hidden="1">{"fdsup://directions/FAT Viewer?action=UPDATE&amp;creator=factset&amp;DYN_ARGS=TRUE&amp;DOC_NAME=FAT:FQL_AUDITING_CLIENT_TEMPLATE.FAT&amp;display_string=Audit&amp;VAR:KEY=ELAPKZILEN&amp;VAR:QUERY=KENTRl9DT01fU0hTX09VVF9FUFNfRElMKFFUUl9SLDM1NzYyKUBXU0ZfQ09NX1NIU19PVVRfRVBTX0RJTChRV","FIsMzU3NjIpKQ==&amp;WINDOW=FIRST_POPUP&amp;HEIGHT=450&amp;WIDTH=450&amp;START_MAXIMIZED=FALSE&amp;VAR:CALENDAR=US&amp;VAR:SYMBOL=AMD&amp;VAR:INDEX=0"}</definedName>
    <definedName name="_65__FDSAUDITLINK__" localSheetId="0" hidden="1">{"fdsup://directions/FAT Viewer?action=UPDATE&amp;creator=factset&amp;DYN_ARGS=TRUE&amp;DOC_NAME=FAT:FQL_AUDITING_CLIENT_TEMPLATE.FAT&amp;display_string=Audit&amp;VAR:KEY=YXMHYFUNSP&amp;VAR:QUERY=KENTRl9TSExEUlNfRVEoUVRSX1IsMzk0NDcpQFdTRl9TSExEUlNfRVEoUVRSLDM5NDQ3KSk=&amp;WINDOW=FIRST","_POPUP&amp;HEIGHT=450&amp;WIDTH=450&amp;START_MAXIMIZED=FALSE&amp;VAR:CALENDAR=US&amp;VAR:SYMBOL=ARX&amp;VAR:INDEX=0"}</definedName>
    <definedName name="_65__FDSAUDITLINK__" hidden="1">{"fdsup://directions/FAT Viewer?action=UPDATE&amp;creator=factset&amp;DYN_ARGS=TRUE&amp;DOC_NAME=FAT:FQL_AUDITING_CLIENT_TEMPLATE.FAT&amp;display_string=Audit&amp;VAR:KEY=MFCDCRELIN&amp;VAR:QUERY=KENTRl9JTlRBTkcoUVRSX1IsMzU3NjIpQFdTRl9JTlRBTkcoUVRSLDM1NzYyKSk=&amp;WINDOW=FIRST_POPUP&amp;H","EIGHT=450&amp;WIDTH=450&amp;START_MAXIMIZED=FALSE&amp;VAR:CALENDAR=US&amp;VAR:SYMBOL=AMD&amp;VAR:INDEX=0"}</definedName>
    <definedName name="_66__FDSAUDITLINK__" localSheetId="0" hidden="1">{"fdsup://directions/FAT Viewer?action=UPDATE&amp;creator=factset&amp;DYN_ARGS=TRUE&amp;DOC_NAME=FAT:FQL_AUDITING_CLIENT_TEMPLATE.FAT&amp;display_string=Audit&amp;VAR:KEY=YFCLQXKFGJ&amp;VAR:QUERY=KENTRl9DT01fU0hTX09VVF9FUFNfRElMKFFUUl9SLDM5NDE2KUBXU0ZfQ09NX1NIU19PVVRfRVBTX0RJTChRV","FIsMzk0MTYpKQ==&amp;WINDOW=FIRST_POPUP&amp;HEIGHT=450&amp;WIDTH=450&amp;START_MAXIMIZED=FALSE&amp;VAR:CALENDAR=US&amp;VAR:SYMBOL=ARX&amp;VAR:INDEX=0"}</definedName>
    <definedName name="_66__FDSAUDITLINK__" hidden="1">{"fdsup://directions/FAT Viewer?action=UPDATE&amp;creator=factset&amp;DYN_ARGS=TRUE&amp;DOC_NAME=FAT:FQL_AUDITING_CLIENT_TEMPLATE.FAT&amp;display_string=Audit&amp;VAR:KEY=UVQPSPEXKP&amp;VAR:QUERY=KENTRl9DT01fU0hTX09VVF9FUFNfRElMKFFUUl9SLDM1NzM0KUBXU0ZfQ09NX1NIU19PVVRfRVBTX0RJTChRV","FIsMzU3MzQpKQ==&amp;WINDOW=FIRST_POPUP&amp;HEIGHT=450&amp;WIDTH=450&amp;START_MAXIMIZED=FALSE&amp;VAR:CALENDAR=US&amp;VAR:SYMBOL=AMD&amp;VAR:INDEX=0"}</definedName>
    <definedName name="_67__FDSAUDITLINK__" localSheetId="0" hidden="1">{"fdsup://directions/FAT Viewer?action=UPDATE&amp;creator=factset&amp;DYN_ARGS=TRUE&amp;DOC_NAME=FAT:FQL_AUDITING_CLIENT_TEMPLATE.FAT&amp;display_string=Audit&amp;VAR:KEY=SPIZAVKVWD&amp;VAR:QUERY=KENTRl9JTlRBTkcoUVRSX1IsMzk0MTYpQFdTRl9JTlRBTkcoUVRSLDM5NDE2KSk=&amp;WINDOW=FIRST_POPUP&amp;H","EIGHT=450&amp;WIDTH=450&amp;START_MAXIMIZED=FALSE&amp;VAR:CALENDAR=US&amp;VAR:SYMBOL=ARX&amp;VAR:INDEX=0"}</definedName>
    <definedName name="_67__FDSAUDITLINK__" hidden="1">{"fdsup://directions/FAT Viewer?action=UPDATE&amp;creator=factset&amp;DYN_ARGS=TRUE&amp;DOC_NAME=FAT:FQL_AUDITING_CLIENT_TEMPLATE.FAT&amp;display_string=Audit&amp;VAR:KEY=MZMFUVILAH&amp;VAR:QUERY=KENTRl9JTlRBTkcoUVRSX1IsMzU3MzQpQFdTRl9JTlRBTkcoUVRSLDM1NzM0KSk=&amp;WINDOW=FIRST_POPUP&amp;H","EIGHT=450&amp;WIDTH=450&amp;START_MAXIMIZED=FALSE&amp;VAR:CALENDAR=US&amp;VAR:SYMBOL=AMD&amp;VAR:INDEX=0"}</definedName>
    <definedName name="_68__FDSAUDITLINK__" localSheetId="0" hidden="1">{"fdsup://directions/FAT Viewer?action=UPDATE&amp;creator=factset&amp;DYN_ARGS=TRUE&amp;DOC_NAME=FAT:FQL_AUDITING_CLIENT_TEMPLATE.FAT&amp;display_string=Audit&amp;VAR:KEY=ERKTEZKDSR&amp;VAR:QUERY=KENTRl9TSExEUlNfRVEoUVRSX1IsMzk0MTYpQFdTRl9TSExEUlNfRVEoUVRSLDM5NDE2KSk=&amp;WINDOW=FIRST","_POPUP&amp;HEIGHT=450&amp;WIDTH=450&amp;START_MAXIMIZED=FALSE&amp;VAR:CALENDAR=US&amp;VAR:SYMBOL=ARX&amp;VAR:INDEX=0"}</definedName>
    <definedName name="_68__FDSAUDITLINK__" hidden="1">{"fdsup://directions/FAT Viewer?action=UPDATE&amp;creator=factset&amp;DYN_ARGS=TRUE&amp;DOC_NAME=FAT:FQL_AUDITING_CLIENT_TEMPLATE.FAT&amp;display_string=Audit&amp;VAR:KEY=WXWFMPKBQH&amp;VAR:QUERY=KENTRl9DT01fU0hTX09VVF9FUFNfRElMKFFUUl9SLDM1NzAzKUBXU0ZfQ09NX1NIU19PVVRfRVBTX0RJTChRV","FIsMzU3MDMpKQ==&amp;WINDOW=FIRST_POPUP&amp;HEIGHT=450&amp;WIDTH=450&amp;START_MAXIMIZED=FALSE&amp;VAR:CALENDAR=US&amp;VAR:SYMBOL=AMD&amp;VAR:INDEX=0"}</definedName>
    <definedName name="_69__FDSAUDITLINK__" localSheetId="0" hidden="1">{"fdsup://directions/FAT Viewer?action=UPDATE&amp;creator=factset&amp;DYN_ARGS=TRUE&amp;DOC_NAME=FAT:FQL_AUDITING_CLIENT_TEMPLATE.FAT&amp;display_string=Audit&amp;VAR:KEY=IRMDKZELAT&amp;VAR:QUERY=KENTRl9DT01fU0hTX09VVF9FUFNfRElMKFFUUl9SLDM5Mzg2KUBXU0ZfQ09NX1NIU19PVVRfRVBTX0RJTChRV","FIsMzkzODYpKQ==&amp;WINDOW=FIRST_POPUP&amp;HEIGHT=450&amp;WIDTH=450&amp;START_MAXIMIZED=FALSE&amp;VAR:CALENDAR=US&amp;VAR:SYMBOL=ARX&amp;VAR:INDEX=0"}</definedName>
    <definedName name="_69__FDSAUDITLINK__" hidden="1">{"fdsup://directions/FAT Viewer?action=UPDATE&amp;creator=factset&amp;DYN_ARGS=TRUE&amp;DOC_NAME=FAT:FQL_AUDITING_CLIENT_TEMPLATE.FAT&amp;display_string=Audit&amp;VAR:KEY=WHORIJCLQR&amp;VAR:QUERY=KENTRl9JTlRBTkcoUVRSX1IsMzU3MDMpQFdTRl9JTlRBTkcoUVRSLDM1NzAzKSk=&amp;WINDOW=FIRST_POPUP&amp;H","EIGHT=450&amp;WIDTH=450&amp;START_MAXIMIZED=FALSE&amp;VAR:CALENDAR=US&amp;VAR:SYMBOL=AMD&amp;VAR:INDEX=0"}</definedName>
    <definedName name="_7__FDSAUDITLINK__" localSheetId="0" hidden="1">{"fdsup://directions/FAT Viewer?action=UPDATE&amp;creator=factset&amp;DYN_ARGS=TRUE&amp;DOC_NAME=FAT:FQL_AUDITING_CLIENT_TEMPLATE.FAT&amp;display_string=Audit&amp;VAR:KEY=EBYDCPEPMN&amp;VAR:QUERY=KENTRl9JTlRBTkcoUVRSX1IsNDAyNjgpQFdTRl9JTlRBTkcoUVRSLDQwMjY4KSk=&amp;WINDOW=FIRST_POPUP&amp;H","EIGHT=450&amp;WIDTH=450&amp;START_MAXIMIZED=FALSE&amp;VAR:CALENDAR=US&amp;VAR:SYMBOL=ARX&amp;VAR:INDEX=0"}</definedName>
    <definedName name="_7__FDSAUDITLINK__" hidden="1">{"fdsup://directions/FAT Viewer?action=UPDATE&amp;creator=factset&amp;DYN_ARGS=TRUE&amp;DOC_NAME=FAT:FQL_AUDITING_CLIENT_TEMPLATE.FAT&amp;display_string=Audit&amp;VAR:KEY=EZYLEXSBON&amp;VAR:QUERY=KENTRl9JTlRBTkcoUVRSX1IsMzcxMzQpQFdTRl9JTlRBTkcoUVRSLDM3MTM0KSk=&amp;WINDOW=FIRST_POPUP&amp;H","EIGHT=450&amp;WIDTH=450&amp;START_MAXIMIZED=FALSE&amp;VAR:CALENDAR=US&amp;VAR:SYMBOL=AMD&amp;VAR:INDEX=0"}</definedName>
    <definedName name="_70__FDSAUDITLINK__" localSheetId="0" hidden="1">{"fdsup://directions/FAT Viewer?action=UPDATE&amp;creator=factset&amp;DYN_ARGS=TRUE&amp;DOC_NAME=FAT:FQL_AUDITING_CLIENT_TEMPLATE.FAT&amp;display_string=Audit&amp;VAR:KEY=WPCFAJAZKN&amp;VAR:QUERY=KENTRl9JTlRBTkcoUVRSX1IsMzkzODYpQFdTRl9JTlRBTkcoUVRSLDM5Mzg2KSk=&amp;WINDOW=FIRST_POPUP&amp;H","EIGHT=450&amp;WIDTH=450&amp;START_MAXIMIZED=FALSE&amp;VAR:CALENDAR=US&amp;VAR:SYMBOL=ARX&amp;VAR:INDEX=0"}</definedName>
    <definedName name="_70__FDSAUDITLINK__" hidden="1">{"fdsup://directions/FAT Viewer?action=UPDATE&amp;creator=factset&amp;DYN_ARGS=TRUE&amp;DOC_NAME=FAT:FQL_AUDITING_CLIENT_TEMPLATE.FAT&amp;display_string=Audit&amp;VAR:KEY=MFOJMXQBSH&amp;VAR:QUERY=KENTRl9DT01fU0hTX09VVF9FUFNfRElMKFFUUl9SLDM1NjcxKUBXU0ZfQ09NX1NIU19PVVRfRVBTX0RJTChRV","FIsMzU2NzEpKQ==&amp;WINDOW=FIRST_POPUP&amp;HEIGHT=450&amp;WIDTH=450&amp;START_MAXIMIZED=FALSE&amp;VAR:CALENDAR=US&amp;VAR:SYMBOL=AMD&amp;VAR:INDEX=0"}</definedName>
    <definedName name="_71__FDSAUDITLINK__" localSheetId="0" hidden="1">{"fdsup://directions/FAT Viewer?action=UPDATE&amp;creator=factset&amp;DYN_ARGS=TRUE&amp;DOC_NAME=FAT:FQL_AUDITING_CLIENT_TEMPLATE.FAT&amp;display_string=Audit&amp;VAR:KEY=YHKTIFYPMF&amp;VAR:QUERY=KENTRl9TSExEUlNfRVEoUVRSX1IsMzkzODYpQFdTRl9TSExEUlNfRVEoUVRSLDM5Mzg2KSk=&amp;WINDOW=FIRST","_POPUP&amp;HEIGHT=450&amp;WIDTH=450&amp;START_MAXIMIZED=FALSE&amp;VAR:CALENDAR=US&amp;VAR:SYMBOL=ARX&amp;VAR:INDEX=0"}</definedName>
    <definedName name="_71__FDSAUDITLINK__" hidden="1">{"fdsup://directions/FAT Viewer?action=UPDATE&amp;creator=factset&amp;DYN_ARGS=TRUE&amp;DOC_NAME=FAT:FQL_AUDITING_CLIENT_TEMPLATE.FAT&amp;display_string=Audit&amp;VAR:KEY=UZKNORULAP&amp;VAR:QUERY=KENTRl9JTlRBTkcoUVRSX1IsMzU2NzEpQFdTRl9JTlRBTkcoUVRSLDM1NjcxKSk=&amp;WINDOW=FIRST_POPUP&amp;H","EIGHT=450&amp;WIDTH=450&amp;START_MAXIMIZED=FALSE&amp;VAR:CALENDAR=US&amp;VAR:SYMBOL=AMD&amp;VAR:INDEX=0"}</definedName>
    <definedName name="_72__FDSAUDITLINK__" localSheetId="0" hidden="1">{"fdsup://directions/FAT Viewer?action=UPDATE&amp;creator=factset&amp;DYN_ARGS=TRUE&amp;DOC_NAME=FAT:FQL_AUDITING_CLIENT_TEMPLATE.FAT&amp;display_string=Audit&amp;VAR:KEY=SNOBSBEBKV&amp;VAR:QUERY=KENTRl9DT01fU0hTX09VVF9FUFNfRElMKFFUUl9SLDM5MzUzKUBXU0ZfQ09NX1NIU19PVVRfRVBTX0RJTChRV","FIsMzkzNTMpKQ==&amp;WINDOW=FIRST_POPUP&amp;HEIGHT=450&amp;WIDTH=450&amp;START_MAXIMIZED=FALSE&amp;VAR:CALENDAR=US&amp;VAR:SYMBOL=ARX&amp;VAR:INDEX=0"}</definedName>
    <definedName name="_72__FDSAUDITLINK__" hidden="1">{"fdsup://directions/FAT Viewer?action=UPDATE&amp;creator=factset&amp;DYN_ARGS=TRUE&amp;DOC_NAME=FAT:FQL_AUDITING_CLIENT_TEMPLATE.FAT&amp;display_string=Audit&amp;VAR:KEY=GRSJMBEBKN&amp;VAR:QUERY=KENTRl9DT01fU0hTX09VVF9FUFNfRElMKFFUUl9SLDM1NjQyKUBXU0ZfQ09NX1NIU19PVVRfRVBTX0RJTChRV","FIsMzU2NDIpKQ==&amp;WINDOW=FIRST_POPUP&amp;HEIGHT=450&amp;WIDTH=450&amp;START_MAXIMIZED=FALSE&amp;VAR:CALENDAR=US&amp;VAR:SYMBOL=AMD&amp;VAR:INDEX=0"}</definedName>
    <definedName name="_73__FDSAUDITLINK__" localSheetId="0" hidden="1">{"fdsup://directions/FAT Viewer?action=UPDATE&amp;creator=factset&amp;DYN_ARGS=TRUE&amp;DOC_NAME=FAT:FQL_AUDITING_CLIENT_TEMPLATE.FAT&amp;display_string=Audit&amp;VAR:KEY=ETSPWVYPUP&amp;VAR:QUERY=KENTRl9JTlRBTkcoUVRSX1IsMzkzNTMpQFdTRl9JTlRBTkcoUVRSLDM5MzUzKSk=&amp;WINDOW=FIRST_POPUP&amp;H","EIGHT=450&amp;WIDTH=450&amp;START_MAXIMIZED=FALSE&amp;VAR:CALENDAR=US&amp;VAR:SYMBOL=ARX&amp;VAR:INDEX=0"}</definedName>
    <definedName name="_73__FDSAUDITLINK__" hidden="1">{"fdsup://directions/FAT Viewer?action=UPDATE&amp;creator=factset&amp;DYN_ARGS=TRUE&amp;DOC_NAME=FAT:FQL_AUDITING_CLIENT_TEMPLATE.FAT&amp;display_string=Audit&amp;VAR:KEY=QZOFENSXWF&amp;VAR:QUERY=KENTRl9JTlRBTkcoUVRSX1IsMzU2NDIpQFdTRl9JTlRBTkcoUVRSLDM1NjQyKSk=&amp;WINDOW=FIRST_POPUP&amp;H","EIGHT=450&amp;WIDTH=450&amp;START_MAXIMIZED=FALSE&amp;VAR:CALENDAR=US&amp;VAR:SYMBOL=AMD&amp;VAR:INDEX=0"}</definedName>
    <definedName name="_74__FDSAUDITLINK__" localSheetId="0" hidden="1">{"fdsup://directions/FAT Viewer?action=UPDATE&amp;creator=factset&amp;DYN_ARGS=TRUE&amp;DOC_NAME=FAT:FQL_AUDITING_CLIENT_TEMPLATE.FAT&amp;display_string=Audit&amp;VAR:KEY=SBSJADWRIJ&amp;VAR:QUERY=KENTRl9TSExEUlNfRVEoUVRSX1IsMzkzNTMpQFdTRl9TSExEUlNfRVEoUVRSLDM5MzUzKSk=&amp;WINDOW=FIRST","_POPUP&amp;HEIGHT=450&amp;WIDTH=450&amp;START_MAXIMIZED=FALSE&amp;VAR:CALENDAR=US&amp;VAR:SYMBOL=ARX&amp;VAR:INDEX=0"}</definedName>
    <definedName name="_74__FDSAUDITLINK__" hidden="1">{"fdsup://directions/FAT Viewer?action=UPDATE&amp;creator=factset&amp;DYN_ARGS=TRUE&amp;DOC_NAME=FAT:FQL_AUDITING_CLIENT_TEMPLATE.FAT&amp;display_string=Audit&amp;VAR:KEY=EVIPSVMXYV&amp;VAR:QUERY=KENTRl9DT01fU0hTX09VVF9FUFNfRElMKFFUUl9SLDM1NjExKUBXU0ZfQ09NX1NIU19PVVRfRVBTX0RJTChRV","FIsMzU2MTEpKQ==&amp;WINDOW=FIRST_POPUP&amp;HEIGHT=450&amp;WIDTH=450&amp;START_MAXIMIZED=FALSE&amp;VAR:CALENDAR=US&amp;VAR:SYMBOL=AMD&amp;VAR:INDEX=0"}</definedName>
    <definedName name="_75__FDSAUDITLINK__" localSheetId="0" hidden="1">{"fdsup://directions/FAT Viewer?action=UPDATE&amp;creator=factset&amp;DYN_ARGS=TRUE&amp;DOC_NAME=FAT:FQL_AUDITING_CLIENT_TEMPLATE.FAT&amp;display_string=Audit&amp;VAR:KEY=EXYXALUXML&amp;VAR:QUERY=KENTRl9DT01fU0hTX09VVF9FUFNfRElMKFFUUl9SLDM5MzI1KUBXU0ZfQ09NX1NIU19PVVRfRVBTX0RJTChRV","FIsMzkzMjUpKQ==&amp;WINDOW=FIRST_POPUP&amp;HEIGHT=450&amp;WIDTH=450&amp;START_MAXIMIZED=FALSE&amp;VAR:CALENDAR=US&amp;VAR:SYMBOL=ARX&amp;VAR:INDEX=0"}</definedName>
    <definedName name="_75__FDSAUDITLINK__" hidden="1">{"fdsup://directions/FAT Viewer?action=UPDATE&amp;creator=factset&amp;DYN_ARGS=TRUE&amp;DOC_NAME=FAT:FQL_AUDITING_CLIENT_TEMPLATE.FAT&amp;display_string=Audit&amp;VAR:KEY=WPMHKVAZOP&amp;VAR:QUERY=KENTRl9JTlRBTkcoUVRSX1IsMzU2MTEpQFdTRl9JTlRBTkcoUVRSLDM1NjExKSk=&amp;WINDOW=FIRST_POPUP&amp;H","EIGHT=450&amp;WIDTH=450&amp;START_MAXIMIZED=FALSE&amp;VAR:CALENDAR=US&amp;VAR:SYMBOL=AMD&amp;VAR:INDEX=0"}</definedName>
    <definedName name="_76__FDSAUDITLINK__" localSheetId="0" hidden="1">{"fdsup://directions/FAT Viewer?action=UPDATE&amp;creator=factset&amp;DYN_ARGS=TRUE&amp;DOC_NAME=FAT:FQL_AUDITING_CLIENT_TEMPLATE.FAT&amp;display_string=Audit&amp;VAR:KEY=IXWJKTCJAZ&amp;VAR:QUERY=KENTRl9JTlRBTkcoUVRSX1IsMzkzMjUpQFdTRl9JTlRBTkcoUVRSLDM5MzI1KSk=&amp;WINDOW=FIRST_POPUP&amp;H","EIGHT=450&amp;WIDTH=450&amp;START_MAXIMIZED=FALSE&amp;VAR:CALENDAR=US&amp;VAR:SYMBOL=ARX&amp;VAR:INDEX=0"}</definedName>
    <definedName name="_76__FDSAUDITLINK__" hidden="1">{"fdsup://directions/FAT Viewer?action=UPDATE&amp;creator=factset&amp;DYN_ARGS=TRUE&amp;DOC_NAME=FAT:FQL_AUDITING_CLIENT_TEMPLATE.FAT&amp;display_string=Audit&amp;VAR:KEY=SHKVGPWDET&amp;VAR:QUERY=KENTRl9DT01fU0hTX09VVF9FUFNfRElMKFFUUl9SLDM1NTgwKUBXU0ZfQ09NX1NIU19PVVRfRVBTX0RJTChRV","FIsMzU1ODApKQ==&amp;WINDOW=FIRST_POPUP&amp;HEIGHT=450&amp;WIDTH=450&amp;START_MAXIMIZED=FALSE&amp;VAR:CALENDAR=US&amp;VAR:SYMBOL=AMD&amp;VAR:INDEX=0"}</definedName>
    <definedName name="_77__FDSAUDITLINK__" localSheetId="0" hidden="1">{"fdsup://directions/FAT Viewer?action=UPDATE&amp;creator=factset&amp;DYN_ARGS=TRUE&amp;DOC_NAME=FAT:FQL_AUDITING_CLIENT_TEMPLATE.FAT&amp;display_string=Audit&amp;VAR:KEY=ABQFIPOXUJ&amp;VAR:QUERY=KENTRl9TSExEUlNfRVEoUVRSX1IsMzkzMjUpQFdTRl9TSExEUlNfRVEoUVRSLDM5MzI1KSk=&amp;WINDOW=FIRST","_POPUP&amp;HEIGHT=450&amp;WIDTH=450&amp;START_MAXIMIZED=FALSE&amp;VAR:CALENDAR=US&amp;VAR:SYMBOL=ARX&amp;VAR:INDEX=0"}</definedName>
    <definedName name="_77__FDSAUDITLINK__" hidden="1">{"fdsup://directions/FAT Viewer?action=UPDATE&amp;creator=factset&amp;DYN_ARGS=TRUE&amp;DOC_NAME=FAT:FQL_AUDITING_CLIENT_TEMPLATE.FAT&amp;display_string=Audit&amp;VAR:KEY=SRCDYLMVGF&amp;VAR:QUERY=KENTRl9JTlRBTkcoUVRSX1IsMzU1ODApQFdTRl9JTlRBTkcoUVRSLDM1NTgwKSk=&amp;WINDOW=FIRST_POPUP&amp;H","EIGHT=450&amp;WIDTH=450&amp;START_MAXIMIZED=FALSE&amp;VAR:CALENDAR=US&amp;VAR:SYMBOL=AMD&amp;VAR:INDEX=0"}</definedName>
    <definedName name="_78__FDSAUDITLINK__" localSheetId="0" hidden="1">{"fdsup://directions/FAT Viewer?action=UPDATE&amp;creator=factset&amp;DYN_ARGS=TRUE&amp;DOC_NAME=FAT:FQL_AUDITING_CLIENT_TEMPLATE.FAT&amp;display_string=Audit&amp;VAR:KEY=KZSDIRAJOP&amp;VAR:QUERY=KENTRl9DT01fU0hTX09VVF9FUFNfRElMKFFUUl9SLDM5Mjk0KUBXU0ZfQ09NX1NIU19PVVRfRVBTX0RJTChRV","FIsMzkyOTQpKQ==&amp;WINDOW=FIRST_POPUP&amp;HEIGHT=450&amp;WIDTH=450&amp;START_MAXIMIZED=FALSE&amp;VAR:CALENDAR=US&amp;VAR:SYMBOL=ARX&amp;VAR:INDEX=0"}</definedName>
    <definedName name="_78__FDSAUDITLINK__" hidden="1">{"fdsup://directions/FAT Viewer?action=UPDATE&amp;creator=factset&amp;DYN_ARGS=TRUE&amp;DOC_NAME=FAT:FQL_AUDITING_CLIENT_TEMPLATE.FAT&amp;display_string=Audit&amp;VAR:KEY=YXUXYFSFKL&amp;VAR:QUERY=KENTRl9DT01fU0hTX09VVF9FUFNfRElMKFFUUl9SLDM1NTUwKUBXU0ZfQ09NX1NIU19PVVRfRVBTX0RJTChRV","FIsMzU1NTApKQ==&amp;WINDOW=FIRST_POPUP&amp;HEIGHT=450&amp;WIDTH=450&amp;START_MAXIMIZED=FALSE&amp;VAR:CALENDAR=US&amp;VAR:SYMBOL=AMD&amp;VAR:INDEX=0"}</definedName>
    <definedName name="_79__FDSAUDITLINK__" localSheetId="0" hidden="1">{"fdsup://directions/FAT Viewer?action=UPDATE&amp;creator=factset&amp;DYN_ARGS=TRUE&amp;DOC_NAME=FAT:FQL_AUDITING_CLIENT_TEMPLATE.FAT&amp;display_string=Audit&amp;VAR:KEY=SPMBITGVCR&amp;VAR:QUERY=KENTRl9JTlRBTkcoUVRSX1IsMzkyOTQpQFdTRl9JTlRBTkcoUVRSLDM5Mjk0KSk=&amp;WINDOW=FIRST_POPUP&amp;H","EIGHT=450&amp;WIDTH=450&amp;START_MAXIMIZED=FALSE&amp;VAR:CALENDAR=US&amp;VAR:SYMBOL=ARX&amp;VAR:INDEX=0"}</definedName>
    <definedName name="_79__FDSAUDITLINK__" hidden="1">{"fdsup://directions/FAT Viewer?action=UPDATE&amp;creator=factset&amp;DYN_ARGS=TRUE&amp;DOC_NAME=FAT:FQL_AUDITING_CLIENT_TEMPLATE.FAT&amp;display_string=Audit&amp;VAR:KEY=IHCZEJALUT&amp;VAR:QUERY=KENTRl9JTlRBTkcoUVRSX1IsMzU1NTApQFdTRl9JTlRBTkcoUVRSLDM1NTUwKSk=&amp;WINDOW=FIRST_POPUP&amp;H","EIGHT=450&amp;WIDTH=450&amp;START_MAXIMIZED=FALSE&amp;VAR:CALENDAR=US&amp;VAR:SYMBOL=AMD&amp;VAR:INDEX=0"}</definedName>
    <definedName name="_8__FDSAUDITLINK__" localSheetId="0" hidden="1">{"fdsup://directions/FAT Viewer?action=UPDATE&amp;creator=factset&amp;DYN_ARGS=TRUE&amp;DOC_NAME=FAT:FQL_AUDITING_CLIENT_TEMPLATE.FAT&amp;display_string=Audit&amp;VAR:KEY=QRKHSVGBIR&amp;VAR:QUERY=KENTRl9TSExEUlNfRVEoUVRSX1IsNDAyNjgpQFdTRl9TSExEUlNfRVEoUVRSLDQwMjY4KSk=&amp;WINDOW=FIRST","_POPUP&amp;HEIGHT=450&amp;WIDTH=450&amp;START_MAXIMIZED=FALSE&amp;VAR:CALENDAR=US&amp;VAR:SYMBOL=ARX&amp;VAR:INDEX=0"}</definedName>
    <definedName name="_8__FDSAUDITLINK__" hidden="1">{"fdsup://directions/FAT Viewer?action=UPDATE&amp;creator=factset&amp;DYN_ARGS=TRUE&amp;DOC_NAME=FAT:FQL_AUDITING_CLIENT_TEMPLATE.FAT&amp;display_string=Audit&amp;VAR:KEY=YBCFILUNWN&amp;VAR:QUERY=KENTRl9JTlRBTkcoUVRSX1IsMzcxMDMpQFdTRl9JTlRBTkcoUVRSLDM3MTAzKSk=&amp;WINDOW=FIRST_POPUP&amp;H","EIGHT=450&amp;WIDTH=450&amp;START_MAXIMIZED=FALSE&amp;VAR:CALENDAR=US&amp;VAR:SYMBOL=AMD&amp;VAR:INDEX=0"}</definedName>
    <definedName name="_80__FDSAUDITLINK__" localSheetId="0" hidden="1">{"fdsup://directions/FAT Viewer?action=UPDATE&amp;creator=factset&amp;DYN_ARGS=TRUE&amp;DOC_NAME=FAT:FQL_AUDITING_CLIENT_TEMPLATE.FAT&amp;display_string=Audit&amp;VAR:KEY=ALWVUDEVMJ&amp;VAR:QUERY=KENTRl9TSExEUlNfRVEoUVRSX1IsMzkyOTQpQFdTRl9TSExEUlNfRVEoUVRSLDM5Mjk0KSk=&amp;WINDOW=FIRST","_POPUP&amp;HEIGHT=450&amp;WIDTH=450&amp;START_MAXIMIZED=FALSE&amp;VAR:CALENDAR=US&amp;VAR:SYMBOL=ARX&amp;VAR:INDEX=0"}</definedName>
    <definedName name="_80__FDSAUDITLINK__" hidden="1">{"fdsup://directions/FAT Viewer?action=UPDATE&amp;creator=factset&amp;DYN_ARGS=TRUE&amp;DOC_NAME=FAT:FQL_AUDITING_CLIENT_TEMPLATE.FAT&amp;display_string=Audit&amp;VAR:KEY=IHKPSJOXQD&amp;VAR:QUERY=KENTRl9DT01fU0hTX09VVF9FUFNfRElMKFFUUl9SLDM1NTIwKUBXU0ZfQ09NX1NIU19PVVRfRVBTX0RJTChRV","FIsMzU1MjApKQ==&amp;WINDOW=FIRST_POPUP&amp;HEIGHT=450&amp;WIDTH=450&amp;START_MAXIMIZED=FALSE&amp;VAR:CALENDAR=US&amp;VAR:SYMBOL=AMD&amp;VAR:INDEX=0"}</definedName>
    <definedName name="_81__FDSAUDITLINK__" localSheetId="0" hidden="1">{"fdsup://directions/FAT Viewer?action=UPDATE&amp;creator=factset&amp;DYN_ARGS=TRUE&amp;DOC_NAME=FAT:FQL_AUDITING_CLIENT_TEMPLATE.FAT&amp;display_string=Audit&amp;VAR:KEY=KHGXQBKLMN&amp;VAR:QUERY=KENTRl9DT01fU0hTX09VVF9FUFNfRElMKFFUUl9SLDM5MjYyKUBXU0ZfQ09NX1NIU19PVVRfRVBTX0RJTChRV","FIsMzkyNjIpKQ==&amp;WINDOW=FIRST_POPUP&amp;HEIGHT=450&amp;WIDTH=450&amp;START_MAXIMIZED=FALSE&amp;VAR:CALENDAR=US&amp;VAR:SYMBOL=ARX&amp;VAR:INDEX=0"}</definedName>
    <definedName name="_81__FDSAUDITLINK__" hidden="1">{"fdsup://directions/FAT Viewer?action=UPDATE&amp;creator=factset&amp;DYN_ARGS=TRUE&amp;DOC_NAME=FAT:FQL_AUDITING_CLIENT_TEMPLATE.FAT&amp;display_string=Audit&amp;VAR:KEY=MDORUPWHUH&amp;VAR:QUERY=KENTRl9JTlRBTkcoUVRSX1IsMzU1MjApQFdTRl9JTlRBTkcoUVRSLDM1NTIwKSk=&amp;WINDOW=FIRST_POPUP&amp;H","EIGHT=450&amp;WIDTH=450&amp;START_MAXIMIZED=FALSE&amp;VAR:CALENDAR=US&amp;VAR:SYMBOL=AMD&amp;VAR:INDEX=0"}</definedName>
    <definedName name="_82__FDSAUDITLINK__" localSheetId="0" hidden="1">{"fdsup://directions/FAT Viewer?action=UPDATE&amp;creator=factset&amp;DYN_ARGS=TRUE&amp;DOC_NAME=FAT:FQL_AUDITING_CLIENT_TEMPLATE.FAT&amp;display_string=Audit&amp;VAR:KEY=GRMRUJGDSN&amp;VAR:QUERY=KENTRl9JTlRBTkcoUVRSX1IsMzkyNjIpQFdTRl9JTlRBTkcoUVRSLDM5MjYyKSk=&amp;WINDOW=FIRST_POPUP&amp;H","EIGHT=450&amp;WIDTH=450&amp;START_MAXIMIZED=FALSE&amp;VAR:CALENDAR=US&amp;VAR:SYMBOL=ARX&amp;VAR:INDEX=0"}</definedName>
    <definedName name="_82__FDSAUDITLINK__" hidden="1">{"fdsup://directions/FAT Viewer?action=UPDATE&amp;creator=factset&amp;DYN_ARGS=TRUE&amp;DOC_NAME=FAT:FQL_AUDITING_CLIENT_TEMPLATE.FAT&amp;display_string=Audit&amp;VAR:KEY=ULODCBGXQH&amp;VAR:QUERY=KENTRl9DT01fU0hTX09VVF9FUFNfRElMKFFUUl9SLDM1NDg5KUBXU0ZfQ09NX1NIU19PVVRfRVBTX0RJTChRV","FIsMzU0ODkpKQ==&amp;WINDOW=FIRST_POPUP&amp;HEIGHT=450&amp;WIDTH=450&amp;START_MAXIMIZED=FALSE&amp;VAR:CALENDAR=US&amp;VAR:SYMBOL=AMD&amp;VAR:INDEX=0"}</definedName>
    <definedName name="_83__FDSAUDITLINK__" localSheetId="0" hidden="1">{"fdsup://directions/FAT Viewer?action=UPDATE&amp;creator=factset&amp;DYN_ARGS=TRUE&amp;DOC_NAME=FAT:FQL_AUDITING_CLIENT_TEMPLATE.FAT&amp;display_string=Audit&amp;VAR:KEY=QZIPQZOBCN&amp;VAR:QUERY=KENTRl9TSExEUlNfRVEoUVRSX1IsMzkyNjIpQFdTRl9TSExEUlNfRVEoUVRSLDM5MjYyKSk=&amp;WINDOW=FIRST","_POPUP&amp;HEIGHT=450&amp;WIDTH=450&amp;START_MAXIMIZED=FALSE&amp;VAR:CALENDAR=US&amp;VAR:SYMBOL=ARX&amp;VAR:INDEX=0"}</definedName>
    <definedName name="_83__FDSAUDITLINK__" hidden="1">{"fdsup://directions/FAT Viewer?action=UPDATE&amp;creator=factset&amp;DYN_ARGS=TRUE&amp;DOC_NAME=FAT:FQL_AUDITING_CLIENT_TEMPLATE.FAT&amp;display_string=Audit&amp;VAR:KEY=WDUVIBAHQF&amp;VAR:QUERY=KENTRl9JTlRBTkcoUVRSX1IsMzU0ODkpQFdTRl9JTlRBTkcoUVRSLDM1NDg5KSk=&amp;WINDOW=FIRST_POPUP&amp;H","EIGHT=450&amp;WIDTH=450&amp;START_MAXIMIZED=FALSE&amp;VAR:CALENDAR=US&amp;VAR:SYMBOL=AMD&amp;VAR:INDEX=0"}</definedName>
    <definedName name="_84__FDSAUDITLINK__" localSheetId="0" hidden="1">{"fdsup://directions/FAT Viewer?action=UPDATE&amp;creator=factset&amp;DYN_ARGS=TRUE&amp;DOC_NAME=FAT:FQL_AUDITING_CLIENT_TEMPLATE.FAT&amp;display_string=Audit&amp;VAR:KEY=YBEPEDOLED&amp;VAR:QUERY=KENTRl9DT01fU0hTX09VVF9FUFNfRElMKFFUUl9SLDM5MjMzKUBXU0ZfQ09NX1NIU19PVVRfRVBTX0RJTChRV","FIsMzkyMzMpKQ==&amp;WINDOW=FIRST_POPUP&amp;HEIGHT=450&amp;WIDTH=450&amp;START_MAXIMIZED=FALSE&amp;VAR:CALENDAR=US&amp;VAR:SYMBOL=ARX&amp;VAR:INDEX=0"}</definedName>
    <definedName name="_84__FDSAUDITLINK__" hidden="1">{"fdsup://directions/FAT Viewer?action=UPDATE&amp;creator=factset&amp;DYN_ARGS=TRUE&amp;DOC_NAME=FAT:FQL_AUDITING_CLIENT_TEMPLATE.FAT&amp;display_string=Audit&amp;VAR:KEY=CJYHSVKLIH&amp;VAR:QUERY=KENTRl9DT01fU0hTX09VVF9FUFNfRElMKFFUUl9SLDM1NDYxKUBXU0ZfQ09NX1NIU19PVVRfRVBTX0RJTChRV","FIsMzU0NjEpKQ==&amp;WINDOW=FIRST_POPUP&amp;HEIGHT=450&amp;WIDTH=450&amp;START_MAXIMIZED=FALSE&amp;VAR:CALENDAR=US&amp;VAR:SYMBOL=AMD&amp;VAR:INDEX=0"}</definedName>
    <definedName name="_85__FDSAUDITLINK__" localSheetId="0" hidden="1">{"fdsup://directions/FAT Viewer?action=UPDATE&amp;creator=factset&amp;DYN_ARGS=TRUE&amp;DOC_NAME=FAT:FQL_AUDITING_CLIENT_TEMPLATE.FAT&amp;display_string=Audit&amp;VAR:KEY=GRMLGLUFOR&amp;VAR:QUERY=KENTRl9JTlRBTkcoUVRSX1IsMzkyMzMpQFdTRl9JTlRBTkcoUVRSLDM5MjMzKSk=&amp;WINDOW=FIRST_POPUP&amp;H","EIGHT=450&amp;WIDTH=450&amp;START_MAXIMIZED=FALSE&amp;VAR:CALENDAR=US&amp;VAR:SYMBOL=ARX&amp;VAR:INDEX=0"}</definedName>
    <definedName name="_85__FDSAUDITLINK__" hidden="1">{"fdsup://directions/FAT Viewer?action=UPDATE&amp;creator=factset&amp;DYN_ARGS=TRUE&amp;DOC_NAME=FAT:FQL_AUDITING_CLIENT_TEMPLATE.FAT&amp;display_string=Audit&amp;VAR:KEY=IDQFUTKTQB&amp;VAR:QUERY=KENTRl9JTlRBTkcoUVRSX1IsMzU0NjEpQFdTRl9JTlRBTkcoUVRSLDM1NDYxKSk=&amp;WINDOW=FIRST_POPUP&amp;H","EIGHT=450&amp;WIDTH=450&amp;START_MAXIMIZED=FALSE&amp;VAR:CALENDAR=US&amp;VAR:SYMBOL=AMD&amp;VAR:INDEX=0"}</definedName>
    <definedName name="_86__FDSAUDITLINK__" localSheetId="0" hidden="1">{"fdsup://directions/FAT Viewer?action=UPDATE&amp;creator=factset&amp;DYN_ARGS=TRUE&amp;DOC_NAME=FAT:FQL_AUDITING_CLIENT_TEMPLATE.FAT&amp;display_string=Audit&amp;VAR:KEY=CPSTOXSXSF&amp;VAR:QUERY=KENTRl9TSExEUlNfRVEoUVRSX1IsMzkyMzMpQFdTRl9TSExEUlNfRVEoUVRSLDM5MjMzKSk=&amp;WINDOW=FIRST","_POPUP&amp;HEIGHT=450&amp;WIDTH=450&amp;START_MAXIMIZED=FALSE&amp;VAR:CALENDAR=US&amp;VAR:SYMBOL=ARX&amp;VAR:INDEX=0"}</definedName>
    <definedName name="_86__FDSAUDITLINK__" hidden="1">{"fdsup://directions/FAT Viewer?action=UPDATE&amp;creator=factset&amp;DYN_ARGS=TRUE&amp;DOC_NAME=FAT:FQL_AUDITING_CLIENT_TEMPLATE.FAT&amp;display_string=Audit&amp;VAR:KEY=WRCLSVCXCX&amp;VAR:QUERY=KENTRl9DT01fU0hTX09VVF9FUFNfRElMKFFUUl9SLDM1NDMwKUBXU0ZfQ09NX1NIU19PVVRfRVBTX0RJTChRV","FIsMzU0MzApKQ==&amp;WINDOW=FIRST_POPUP&amp;HEIGHT=450&amp;WIDTH=450&amp;START_MAXIMIZED=FALSE&amp;VAR:CALENDAR=US&amp;VAR:SYMBOL=AMD&amp;VAR:INDEX=0"}</definedName>
    <definedName name="_87__FDSAUDITLINK__" localSheetId="0" hidden="1">{"fdsup://directions/FAT Viewer?action=UPDATE&amp;creator=factset&amp;DYN_ARGS=TRUE&amp;DOC_NAME=FAT:FQL_AUDITING_CLIENT_TEMPLATE.FAT&amp;display_string=Audit&amp;VAR:KEY=QLMNENSVON&amp;VAR:QUERY=KENTRl9DT01fU0hTX09VVF9FUFNfRElMKFFUUl9SLDM5MjAyKUBXU0ZfQ09NX1NIU19PVVRfRVBTX0RJTChRV","FIsMzkyMDIpKQ==&amp;WINDOW=FIRST_POPUP&amp;HEIGHT=450&amp;WIDTH=450&amp;START_MAXIMIZED=FALSE&amp;VAR:CALENDAR=US&amp;VAR:SYMBOL=ARX&amp;VAR:INDEX=0"}</definedName>
    <definedName name="_87__FDSAUDITLINK__" hidden="1">{"fdsup://directions/FAT Viewer?action=UPDATE&amp;creator=factset&amp;DYN_ARGS=TRUE&amp;DOC_NAME=FAT:FQL_AUDITING_CLIENT_TEMPLATE.FAT&amp;display_string=Audit&amp;VAR:KEY=OHYPEZAZUT&amp;VAR:QUERY=KENTRl9JTlRBTkcoUVRSX1IsMzU0MzApQFdTRl9JTlRBTkcoUVRSLDM1NDMwKSk=&amp;WINDOW=FIRST_POPUP&amp;H","EIGHT=450&amp;WIDTH=450&amp;START_MAXIMIZED=FALSE&amp;VAR:CALENDAR=US&amp;VAR:SYMBOL=AMD&amp;VAR:INDEX=0"}</definedName>
    <definedName name="_88__FDSAUDITLINK__" localSheetId="0" hidden="1">{"fdsup://directions/FAT Viewer?action=UPDATE&amp;creator=factset&amp;DYN_ARGS=TRUE&amp;DOC_NAME=FAT:FQL_AUDITING_CLIENT_TEMPLATE.FAT&amp;display_string=Audit&amp;VAR:KEY=EXELYTSLSX&amp;VAR:QUERY=KENTRl9JTlRBTkcoUVRSX1IsMzkyMDIpQFdTRl9JTlRBTkcoUVRSLDM5MjAyKSk=&amp;WINDOW=FIRST_POPUP&amp;H","EIGHT=450&amp;WIDTH=450&amp;START_MAXIMIZED=FALSE&amp;VAR:CALENDAR=US&amp;VAR:SYMBOL=ARX&amp;VAR:INDEX=0"}</definedName>
    <definedName name="_88__FDSAUDITLINK__" hidden="1">{"fdsup://directions/FAT Viewer?action=UPDATE&amp;creator=factset&amp;DYN_ARGS=TRUE&amp;DOC_NAME=FAT:FQL_AUDITING_CLIENT_TEMPLATE.FAT&amp;display_string=Audit&amp;VAR:KEY=ENCNMDQVWL&amp;VAR:QUERY=KENTRl9DT01fU0hTX09VVF9FUFNfRElMKFFUUl9SLDM1Mzk4KUBXU0ZfQ09NX1NIU19PVVRfRVBTX0RJTChRV","FIsMzUzOTgpKQ==&amp;WINDOW=FIRST_POPUP&amp;HEIGHT=450&amp;WIDTH=450&amp;START_MAXIMIZED=FALSE&amp;VAR:CALENDAR=US&amp;VAR:SYMBOL=AMD&amp;VAR:INDEX=0"}</definedName>
    <definedName name="_89__FDSAUDITLINK__" localSheetId="0" hidden="1">{"fdsup://directions/FAT Viewer?action=UPDATE&amp;creator=factset&amp;DYN_ARGS=TRUE&amp;DOC_NAME=FAT:FQL_AUDITING_CLIENT_TEMPLATE.FAT&amp;display_string=Audit&amp;VAR:KEY=CXSDSDQPOZ&amp;VAR:QUERY=KENTRl9TSExEUlNfRVEoUVRSX1IsMzkyMDIpQFdTRl9TSExEUlNfRVEoUVRSLDM5MjAyKSk=&amp;WINDOW=FIRST","_POPUP&amp;HEIGHT=450&amp;WIDTH=450&amp;START_MAXIMIZED=FALSE&amp;VAR:CALENDAR=US&amp;VAR:SYMBOL=ARX&amp;VAR:INDEX=0"}</definedName>
    <definedName name="_89__FDSAUDITLINK__" hidden="1">{"fdsup://directions/FAT Viewer?action=UPDATE&amp;creator=factset&amp;DYN_ARGS=TRUE&amp;DOC_NAME=FAT:FQL_AUDITING_CLIENT_TEMPLATE.FAT&amp;display_string=Audit&amp;VAR:KEY=QTOBYXIPWP&amp;VAR:QUERY=KENTRl9JTlRBTkcoUVRSX1IsMzUzOTgpQFdTRl9JTlRBTkcoUVRSLDM1Mzk4KSk=&amp;WINDOW=FIRST_POPUP&amp;H","EIGHT=450&amp;WIDTH=450&amp;START_MAXIMIZED=FALSE&amp;VAR:CALENDAR=US&amp;VAR:SYMBOL=AMD&amp;VAR:INDEX=0"}</definedName>
    <definedName name="_9__FDSAUDITLINK__" localSheetId="0" hidden="1">{"fdsup://directions/FAT Viewer?action=UPDATE&amp;creator=factset&amp;DYN_ARGS=TRUE&amp;DOC_NAME=FAT:FQL_AUDITING_CLIENT_TEMPLATE.FAT&amp;display_string=Audit&amp;VAR:KEY=MBQTKTWHMD&amp;VAR:QUERY=KENTRl9JTlRBTkcoUVRSX1IsNDAyMzcpQFdTRl9JTlRBTkcoUVRSLDQwMjM3KSk=&amp;WINDOW=FIRST_POPUP&amp;H","EIGHT=450&amp;WIDTH=450&amp;START_MAXIMIZED=FALSE&amp;VAR:CALENDAR=US&amp;VAR:SYMBOL=ARX&amp;VAR:INDEX=0"}</definedName>
    <definedName name="_9__FDSAUDITLINK__" hidden="1">{"fdsup://directions/FAT Viewer?action=UPDATE&amp;creator=factset&amp;DYN_ARGS=TRUE&amp;DOC_NAME=FAT:FQL_AUDITING_CLIENT_TEMPLATE.FAT&amp;display_string=Audit&amp;VAR:KEY=SFUXURANYB&amp;VAR:QUERY=KENTRl9JTlRBTkcoUVRSX1IsMzcwNzEpQFdTRl9JTlRBTkcoUVRSLDM3MDcxKSk=&amp;WINDOW=FIRST_POPUP&amp;H","EIGHT=450&amp;WIDTH=450&amp;START_MAXIMIZED=FALSE&amp;VAR:CALENDAR=US&amp;VAR:SYMBOL=AMD&amp;VAR:INDEX=0"}</definedName>
    <definedName name="_90__FDSAUDITLINK__" localSheetId="0" hidden="1">{"fdsup://directions/FAT Viewer?action=UPDATE&amp;creator=factset&amp;DYN_ARGS=TRUE&amp;DOC_NAME=FAT:FQL_AUDITING_CLIENT_TEMPLATE.FAT&amp;display_string=Audit&amp;VAR:KEY=MFGBSDMVAD&amp;VAR:QUERY=KENTRl9DT01fU0hTX09VVF9FUFNfRElMKFFUUl9SLDM5MTcxKUBXU0ZfQ09NX1NIU19PVVRfRVBTX0RJTChRV","FIsMzkxNzEpKQ==&amp;WINDOW=FIRST_POPUP&amp;HEIGHT=450&amp;WIDTH=450&amp;START_MAXIMIZED=FALSE&amp;VAR:CALENDAR=US&amp;VAR:SYMBOL=ARX&amp;VAR:INDEX=0"}</definedName>
    <definedName name="_90__FDSAUDITLINK__" hidden="1">{"fdsup://directions/FAT Viewer?action=UPDATE&amp;creator=factset&amp;DYN_ARGS=TRUE&amp;DOC_NAME=FAT:FQL_AUDITING_CLIENT_TEMPLATE.FAT&amp;display_string=Audit&amp;VAR:KEY=QFSNWJODKD&amp;VAR:QUERY=KENTRl9DT01fU0hTX09VVF9FUFNfRElMKFFUUl9SLDM1MzY5KUBXU0ZfQ09NX1NIU19PVVRfRVBTX0RJTChRV","FIsMzUzNjkpKQ==&amp;WINDOW=FIRST_POPUP&amp;HEIGHT=450&amp;WIDTH=450&amp;START_MAXIMIZED=FALSE&amp;VAR:CALENDAR=US&amp;VAR:SYMBOL=AMD&amp;VAR:INDEX=0"}</definedName>
    <definedName name="_91__FDSAUDITLINK__" localSheetId="0" hidden="1">{"fdsup://directions/FAT Viewer?action=UPDATE&amp;creator=factset&amp;DYN_ARGS=TRUE&amp;DOC_NAME=FAT:FQL_AUDITING_CLIENT_TEMPLATE.FAT&amp;display_string=Audit&amp;VAR:KEY=WFAVKVYTIB&amp;VAR:QUERY=KENTRl9JTlRBTkcoUVRSX1IsMzkxNzEpQFdTRl9JTlRBTkcoUVRSLDM5MTcxKSk=&amp;WINDOW=FIRST_POPUP&amp;H","EIGHT=450&amp;WIDTH=450&amp;START_MAXIMIZED=FALSE&amp;VAR:CALENDAR=US&amp;VAR:SYMBOL=ARX&amp;VAR:INDEX=0"}</definedName>
    <definedName name="_91__FDSAUDITLINK__" hidden="1">{"fdsup://directions/FAT Viewer?action=UPDATE&amp;creator=factset&amp;DYN_ARGS=TRUE&amp;DOC_NAME=FAT:FQL_AUDITING_CLIENT_TEMPLATE.FAT&amp;display_string=Audit&amp;VAR:KEY=OVETQNUPQT&amp;VAR:QUERY=KENTRl9JTlRBTkcoUVRSX1IsMzUzNjkpQFdTRl9JTlRBTkcoUVRSLDM1MzY5KSk=&amp;WINDOW=FIRST_POPUP&amp;H","EIGHT=450&amp;WIDTH=450&amp;START_MAXIMIZED=FALSE&amp;VAR:CALENDAR=US&amp;VAR:SYMBOL=AMD&amp;VAR:INDEX=0"}</definedName>
    <definedName name="_92__FDSAUDITLINK__" localSheetId="0" hidden="1">{"fdsup://directions/FAT Viewer?action=UPDATE&amp;creator=factset&amp;DYN_ARGS=TRUE&amp;DOC_NAME=FAT:FQL_AUDITING_CLIENT_TEMPLATE.FAT&amp;display_string=Audit&amp;VAR:KEY=ORYLWLCFKD&amp;VAR:QUERY=KENTRl9TSExEUlNfRVEoUVRSX1IsMzkxNzEpQFdTRl9TSExEUlNfRVEoUVRSLDM5MTcxKSk=&amp;WINDOW=FIRST","_POPUP&amp;HEIGHT=450&amp;WIDTH=450&amp;START_MAXIMIZED=FALSE&amp;VAR:CALENDAR=US&amp;VAR:SYMBOL=ARX&amp;VAR:INDEX=0"}</definedName>
    <definedName name="_92__FDSAUDITLINK__" hidden="1">{"fdsup://directions/FAT Viewer?action=UPDATE&amp;creator=factset&amp;DYN_ARGS=TRUE&amp;DOC_NAME=FAT:FQL_AUDITING_CLIENT_TEMPLATE.FAT&amp;display_string=Audit&amp;VAR:KEY=UDYZADSRMH&amp;VAR:QUERY=KENTRl9DT01fU0hTX09VVF9FUFNfRElMKFFUUl9SLDM1MzM4KUBXU0ZfQ09NX1NIU19PVVRfRVBTX0RJTChRV","FIsMzUzMzgpKQ==&amp;WINDOW=FIRST_POPUP&amp;HEIGHT=450&amp;WIDTH=450&amp;START_MAXIMIZED=FALSE&amp;VAR:CALENDAR=US&amp;VAR:SYMBOL=AMD&amp;VAR:INDEX=0"}</definedName>
    <definedName name="_93__FDSAUDITLINK__" localSheetId="0" hidden="1">{"fdsup://directions/FAT Viewer?action=UPDATE&amp;creator=factset&amp;DYN_ARGS=TRUE&amp;DOC_NAME=FAT:FQL_AUDITING_CLIENT_TEMPLATE.FAT&amp;display_string=Audit&amp;VAR:KEY=ERIBOTUFID&amp;VAR:QUERY=KENTRl9DT01fU0hTX09VVF9FUFNfRElMKFFUUl9SLDM5MTQxKUBXU0ZfQ09NX1NIU19PVVRfRVBTX0RJTChRV","FIsMzkxNDEpKQ==&amp;WINDOW=FIRST_POPUP&amp;HEIGHT=450&amp;WIDTH=450&amp;START_MAXIMIZED=FALSE&amp;VAR:CALENDAR=US&amp;VAR:SYMBOL=ARX&amp;VAR:INDEX=0"}</definedName>
    <definedName name="_93__FDSAUDITLINK__" hidden="1">{"fdsup://directions/FAT Viewer?action=UPDATE&amp;creator=factset&amp;DYN_ARGS=TRUE&amp;DOC_NAME=FAT:FQL_AUDITING_CLIENT_TEMPLATE.FAT&amp;display_string=Audit&amp;VAR:KEY=YVQVMNCTKZ&amp;VAR:QUERY=KENTRl9JTlRBTkcoUVRSX1IsMzUzMzgpQFdTRl9JTlRBTkcoUVRSLDM1MzM4KSk=&amp;WINDOW=FIRST_POPUP&amp;H","EIGHT=450&amp;WIDTH=450&amp;START_MAXIMIZED=FALSE&amp;VAR:CALENDAR=US&amp;VAR:SYMBOL=AMD&amp;VAR:INDEX=0"}</definedName>
    <definedName name="_94__FDSAUDITLINK__" localSheetId="0" hidden="1">{"fdsup://directions/FAT Viewer?action=UPDATE&amp;creator=factset&amp;DYN_ARGS=TRUE&amp;DOC_NAME=FAT:FQL_AUDITING_CLIENT_TEMPLATE.FAT&amp;display_string=Audit&amp;VAR:KEY=IPENWLQHIF&amp;VAR:QUERY=KENTRl9JTlRBTkcoUVRSX1IsMzkxNDEpQFdTRl9JTlRBTkcoUVRSLDM5MTQxKSk=&amp;WINDOW=FIRST_POPUP&amp;H","EIGHT=450&amp;WIDTH=450&amp;START_MAXIMIZED=FALSE&amp;VAR:CALENDAR=US&amp;VAR:SYMBOL=ARX&amp;VAR:INDEX=0"}</definedName>
    <definedName name="_94__FDSAUDITLINK__" hidden="1">{"fdsup://directions/FAT Viewer?action=UPDATE&amp;creator=factset&amp;DYN_ARGS=TRUE&amp;DOC_NAME=FAT:FQL_AUDITING_CLIENT_TEMPLATE.FAT&amp;display_string=Audit&amp;VAR:KEY=MXOJOBSRWN&amp;VAR:QUERY=KENTRl9DT01fU0hTX09VVF9FUFNfRElMKFFUUl9SLDM1MzA3KUBXU0ZfQ09NX1NIU19PVVRfRVBTX0RJTChRV","FIsMzUzMDcpKQ==&amp;WINDOW=FIRST_POPUP&amp;HEIGHT=450&amp;WIDTH=450&amp;START_MAXIMIZED=FALSE&amp;VAR:CALENDAR=US&amp;VAR:SYMBOL=AMD&amp;VAR:INDEX=0"}</definedName>
    <definedName name="_95__FDSAUDITLINK__" localSheetId="0" hidden="1">{"fdsup://directions/FAT Viewer?action=UPDATE&amp;creator=factset&amp;DYN_ARGS=TRUE&amp;DOC_NAME=FAT:FQL_AUDITING_CLIENT_TEMPLATE.FAT&amp;display_string=Audit&amp;VAR:KEY=ARGLWZMLAR&amp;VAR:QUERY=KENTRl9TSExEUlNfRVEoUVRSX1IsMzkxNDEpQFdTRl9TSExEUlNfRVEoUVRSLDM5MTQxKSk=&amp;WINDOW=FIRST","_POPUP&amp;HEIGHT=450&amp;WIDTH=450&amp;START_MAXIMIZED=FALSE&amp;VAR:CALENDAR=US&amp;VAR:SYMBOL=ARX&amp;VAR:INDEX=0"}</definedName>
    <definedName name="_95__FDSAUDITLINK__" hidden="1">{"fdsup://directions/FAT Viewer?action=UPDATE&amp;creator=factset&amp;DYN_ARGS=TRUE&amp;DOC_NAME=FAT:FQL_AUDITING_CLIENT_TEMPLATE.FAT&amp;display_string=Audit&amp;VAR:KEY=OXMJMNKLCB&amp;VAR:QUERY=KENTRl9JTlRBTkcoUVRSX1IsMzUzMDcpQFdTRl9JTlRBTkcoUVRSLDM1MzA3KSk=&amp;WINDOW=FIRST_POPUP&amp;H","EIGHT=450&amp;WIDTH=450&amp;START_MAXIMIZED=FALSE&amp;VAR:CALENDAR=US&amp;VAR:SYMBOL=AMD&amp;VAR:INDEX=0"}</definedName>
    <definedName name="_96__FDSAUDITLINK__" localSheetId="0" hidden="1">{"fdsup://directions/FAT Viewer?action=UPDATE&amp;creator=factset&amp;DYN_ARGS=TRUE&amp;DOC_NAME=FAT:FQL_AUDITING_CLIENT_TEMPLATE.FAT&amp;display_string=Audit&amp;VAR:KEY=KRWRWFOZOV&amp;VAR:QUERY=KENTRl9DT01fU0hTX09VVF9FUFNfRElMKFFUUl9SLDM5MTEzKUBXU0ZfQ09NX1NIU19PVVRfRVBTX0RJTChRV","FIsMzkxMTMpKQ==&amp;WINDOW=FIRST_POPUP&amp;HEIGHT=450&amp;WIDTH=450&amp;START_MAXIMIZED=FALSE&amp;VAR:CALENDAR=US&amp;VAR:SYMBOL=ARX&amp;VAR:INDEX=0"}</definedName>
    <definedName name="_96__FDSAUDITLINK__" hidden="1">{"fdsup://directions/FAT Viewer?action=UPDATE&amp;creator=factset&amp;DYN_ARGS=TRUE&amp;DOC_NAME=FAT:FQL_AUDITING_CLIENT_TEMPLATE.FAT&amp;display_string=Audit&amp;VAR:KEY=WBIXEVWHYL&amp;VAR:QUERY=KENTRl9DT01fU0hTX09VVF9FUFNfRElMKFFUUl9SLDM1Mjc3KUBXU0ZfQ09NX1NIU19PVVRfRVBTX0RJTChRV","FIsMzUyNzcpKQ==&amp;WINDOW=FIRST_POPUP&amp;HEIGHT=450&amp;WIDTH=450&amp;START_MAXIMIZED=FALSE&amp;VAR:CALENDAR=US&amp;VAR:SYMBOL=AMD&amp;VAR:INDEX=0"}</definedName>
    <definedName name="_97__FDSAUDITLINK__" localSheetId="0" hidden="1">{"fdsup://directions/FAT Viewer?action=UPDATE&amp;creator=factset&amp;DYN_ARGS=TRUE&amp;DOC_NAME=FAT:FQL_AUDITING_CLIENT_TEMPLATE.FAT&amp;display_string=Audit&amp;VAR:KEY=GDOHEPYZIB&amp;VAR:QUERY=KENTRl9JTlRBTkcoUVRSX1IsMzkxMTMpQFdTRl9JTlRBTkcoUVRSLDM5MTEzKSk=&amp;WINDOW=FIRST_POPUP&amp;H","EIGHT=450&amp;WIDTH=450&amp;START_MAXIMIZED=FALSE&amp;VAR:CALENDAR=US&amp;VAR:SYMBOL=ARX&amp;VAR:INDEX=0"}</definedName>
    <definedName name="_97__FDSAUDITLINK__" hidden="1">{"fdsup://directions/FAT Viewer?action=UPDATE&amp;creator=factset&amp;DYN_ARGS=TRUE&amp;DOC_NAME=FAT:FQL_AUDITING_CLIENT_TEMPLATE.FAT&amp;display_string=Audit&amp;VAR:KEY=OJKRGZATWX&amp;VAR:QUERY=KENTRl9JTlRBTkcoUVRSX1IsMzUyNzcpQFdTRl9JTlRBTkcoUVRSLDM1Mjc3KSk=&amp;WINDOW=FIRST_POPUP&amp;H","EIGHT=450&amp;WIDTH=450&amp;START_MAXIMIZED=FALSE&amp;VAR:CALENDAR=US&amp;VAR:SYMBOL=AMD&amp;VAR:INDEX=0"}</definedName>
    <definedName name="_98__FDSAUDITLINK__" localSheetId="0" hidden="1">{"fdsup://directions/FAT Viewer?action=UPDATE&amp;creator=factset&amp;DYN_ARGS=TRUE&amp;DOC_NAME=FAT:FQL_AUDITING_CLIENT_TEMPLATE.FAT&amp;display_string=Audit&amp;VAR:KEY=GTWLMJERAH&amp;VAR:QUERY=KENTRl9TSExEUlNfRVEoUVRSX1IsMzkxMTMpQFdTRl9TSExEUlNfRVEoUVRSLDM5MTEzKSk=&amp;WINDOW=FIRST","_POPUP&amp;HEIGHT=450&amp;WIDTH=450&amp;START_MAXIMIZED=FALSE&amp;VAR:CALENDAR=US&amp;VAR:SYMBOL=ARX&amp;VAR:INDEX=0"}</definedName>
    <definedName name="_98__FDSAUDITLINK__" hidden="1">{"fdsup://directions/FAT Viewer?action=UPDATE&amp;creator=factset&amp;DYN_ARGS=TRUE&amp;DOC_NAME=FAT:FQL_AUDITING_CLIENT_TEMPLATE.FAT&amp;display_string=Audit&amp;VAR:KEY=OVWBEHWVYT&amp;VAR:QUERY=KENTRl9DT01fU0hTX09VVF9FUFNfRElMKFFUUl9SLDM1MjQ0KUBXU0ZfQ09NX1NIU19PVVRfRVBTX0RJTChRV","FIsMzUyNDQpKQ==&amp;WINDOW=FIRST_POPUP&amp;HEIGHT=450&amp;WIDTH=450&amp;START_MAXIMIZED=FALSE&amp;VAR:CALENDAR=US&amp;VAR:SYMBOL=AMD&amp;VAR:INDEX=0"}</definedName>
    <definedName name="_99__FDSAUDITLINK__" localSheetId="0" hidden="1">{"fdsup://directions/FAT Viewer?action=UPDATE&amp;creator=factset&amp;DYN_ARGS=TRUE&amp;DOC_NAME=FAT:FQL_AUDITING_CLIENT_TEMPLATE.FAT&amp;display_string=Audit&amp;VAR:KEY=AROHYFWLAX&amp;VAR:QUERY=KENTRl9DT01fU0hTX09VVF9FUFNfRElMKFFUUl9SLDM5MDgwKUBXU0ZfQ09NX1NIU19PVVRfRVBTX0RJTChRV","FIsMzkwODApKQ==&amp;WINDOW=FIRST_POPUP&amp;HEIGHT=450&amp;WIDTH=450&amp;START_MAXIMIZED=FALSE&amp;VAR:CALENDAR=US&amp;VAR:SYMBOL=ARX&amp;VAR:INDEX=0"}</definedName>
    <definedName name="_99__FDSAUDITLINK__" hidden="1">{"fdsup://directions/FAT Viewer?action=UPDATE&amp;creator=factset&amp;DYN_ARGS=TRUE&amp;DOC_NAME=FAT:FQL_AUDITING_CLIENT_TEMPLATE.FAT&amp;display_string=Audit&amp;VAR:KEY=EFSRULINKP&amp;VAR:QUERY=KENTRl9JTlRBTkcoUVRSX1IsMzUyNDQpQFdTRl9JTlRBTkcoUVRSLDM1MjQ0KSk=&amp;WINDOW=FIRST_POPUP&amp;H","EIGHT=450&amp;WIDTH=450&amp;START_MAXIMIZED=FALSE&amp;VAR:CALENDAR=US&amp;VAR:SYMBOL=AMD&amp;VAR:INDEX=0"}</definedName>
    <definedName name="_avg96">#REF!</definedName>
    <definedName name="_avg97">#REF!</definedName>
    <definedName name="_avg98">#REF!</definedName>
    <definedName name="_axe99">#REF!</definedName>
    <definedName name="_bdm.0446c32ea0ff4682aa0106f5ec2426f9.edm" hidden="1">#REF!</definedName>
    <definedName name="_bdm.0f75ce151a2f4334b862e6c3832c3245.edm" hidden="1">#REF!</definedName>
    <definedName name="_bdm.13E7FC9FA9C44DA2ABBEE5E982009FF8.edm" hidden="1">#REF!</definedName>
    <definedName name="_bdm.1a54bc8e37d04fe19e67011311a035ab.edm" localSheetId="1" hidden="1">Worksheet!#REF!</definedName>
    <definedName name="_bdm.234037d38f054c65972d22b81843b085.edm" hidden="1">#REF!</definedName>
    <definedName name="_bdm.2631af3130cc4f6b954a68c6487259e4.edm" hidden="1">#REF!</definedName>
    <definedName name="_bdm.28c94b8d8d574ddbb7714c0c9d9392d9.edm" hidden="1">#REF!</definedName>
    <definedName name="_bdm.3805246567204471A1B783B7CD5D5075.edm" hidden="1">#REF!</definedName>
    <definedName name="_bdm.77ace600287b4d4cbf65c97ce059637e.edm" hidden="1">Worksheet!$1:$1048576</definedName>
    <definedName name="_bdm.78596DE8CD6C4D89A0C471175B14231C.edm" hidden="1">#REF!</definedName>
    <definedName name="_bdm.79e73b5501484b878c9628042ad14a14.edm" hidden="1">#REF!</definedName>
    <definedName name="_bdm.cba450d086f341eda30b9b769561965d.edm" hidden="1">#REF!</definedName>
    <definedName name="_bdm.DBAC0C7662F946CAAE55253DCC99D982.edm" hidden="1">#REF!</definedName>
    <definedName name="_bdm.ec8bce0512324ad3b474a265d2aa2c4d.edm" hidden="1">#REF!</definedName>
    <definedName name="_bdm.F805F1478AF24352BA852220AE44BBC0.edm" hidden="1">#REF!</definedName>
    <definedName name="_bdm.FastTrackBookmark.11_7_2023_3_14_40_PM.edm" hidden="1">#REF!</definedName>
    <definedName name="_bdm.FastTrackBookmark.2_23_2018_6_20_03_PM.edm" hidden="1">#REF!</definedName>
    <definedName name="_bdm.FastTrackBookmark.3_23_2018_12_04_00_PM.edm" hidden="1">#REF!</definedName>
    <definedName name="_bdm.FastTrackBookmark.3_24_2020_9_48_11_PM.edm" hidden="1">#REF!</definedName>
    <definedName name="_bdm.FastTrackBookmark.3_30_2020_11_22_41_AM.edm" hidden="1">#REF!</definedName>
    <definedName name="_bdm.FastTrackBookmark.3_4_2018_2_50_37_PM.edm" hidden="1">#REF!</definedName>
    <definedName name="_bdm.FastTrackBookmark.5_2_2019_5_10_21_PM.edm" hidden="1">#REF!</definedName>
    <definedName name="_bdm.FastTrackBookmark.5_3_2022_12_37_53_PM.edm" hidden="1">AMD!$HS$17:$HS$19</definedName>
    <definedName name="_bei98">#REF!</definedName>
    <definedName name="_bei99">#REF!</definedName>
    <definedName name="_bwc98">#REF!</definedName>
    <definedName name="_bwc99">#REF!</definedName>
    <definedName name="_CAT1">#REF!</definedName>
    <definedName name="_CAT2">#REF!</definedName>
    <definedName name="_CAT3">#REF!</definedName>
    <definedName name="_cdt98">#REF!</definedName>
    <definedName name="_cdt99">#REF!</definedName>
    <definedName name="_CSC2">#REF!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CF2">#REF!</definedName>
    <definedName name="_DIV1998">#REF!</definedName>
    <definedName name="_DIV1999">#REF!</definedName>
    <definedName name="_DLX1.USE">#REF!</definedName>
    <definedName name="_DLX2.USE">#REF!</definedName>
    <definedName name="_DLX3.USE">#REF!</definedName>
    <definedName name="_DLX4.USE">#REF!</definedName>
    <definedName name="_dps01">#REF!</definedName>
    <definedName name="_DPS02">#REF!</definedName>
    <definedName name="_DPS97">#REF!</definedName>
    <definedName name="_DPS98">#REF!</definedName>
    <definedName name="_DPS99">#REF!</definedName>
    <definedName name="_EPS01">#REF!</definedName>
    <definedName name="_EPS02">#REF!</definedName>
    <definedName name="_EPS1997">#REF!</definedName>
    <definedName name="_EPS1998">#REF!</definedName>
    <definedName name="_EPS1999">#REF!</definedName>
    <definedName name="_eps2000">#REF!</definedName>
    <definedName name="_eps2001">#REF!</definedName>
    <definedName name="_eps2002">#REF!</definedName>
    <definedName name="_EPS2003">#REF!</definedName>
    <definedName name="_eps2004">#REF!</definedName>
    <definedName name="_EPS94">#REF!</definedName>
    <definedName name="_EPS95">#REF!</definedName>
    <definedName name="_EPS96">#REF!</definedName>
    <definedName name="_eps97">#REF!</definedName>
    <definedName name="_eps98">#REF!</definedName>
    <definedName name="_eps99">#REF!</definedName>
    <definedName name="_FCF1999">#REF!</definedName>
    <definedName name="_FCF2000">#REF!</definedName>
    <definedName name="_FCF2001">#REF!</definedName>
    <definedName name="_FCF2002">#REF!</definedName>
    <definedName name="_FCF2003">#REF!</definedName>
    <definedName name="_FCF2004">#REF!</definedName>
    <definedName name="_Fill" hidden="1">#REF!</definedName>
    <definedName name="_FYE2004">#REF!</definedName>
    <definedName name="_FYE2005">#REF!</definedName>
    <definedName name="_gdp01">#REF!</definedName>
    <definedName name="_gdp02">#REF!</definedName>
    <definedName name="_gdp03">#REF!</definedName>
    <definedName name="_gdp04">#REF!</definedName>
    <definedName name="_gdp05">#REF!</definedName>
    <definedName name="_gdp96">#REF!</definedName>
    <definedName name="_gdp97">#REF!</definedName>
    <definedName name="_gdp98">#REF!</definedName>
    <definedName name="_gdp99">#REF!</definedName>
    <definedName name="_grm98">#REF!</definedName>
    <definedName name="_grm99">#REF!</definedName>
    <definedName name="_Key1" hidden="1">#REF!</definedName>
    <definedName name="_LD2">#REF!</definedName>
    <definedName name="_ND01">#REF!</definedName>
    <definedName name="_ND02">#REF!</definedName>
    <definedName name="_ND98">#REF!</definedName>
    <definedName name="_ND99">#REF!</definedName>
    <definedName name="_Net01">#REF!</definedName>
    <definedName name="_Net02">#REF!</definedName>
    <definedName name="_net2000">#REF!</definedName>
    <definedName name="_net2001">#REF!</definedName>
    <definedName name="_net2002">#REF!</definedName>
    <definedName name="_net2003">#REF!</definedName>
    <definedName name="_net2004">#REF!</definedName>
    <definedName name="_net96">#REF!</definedName>
    <definedName name="_Net97">#REF!</definedName>
    <definedName name="_Net98">#REF!</definedName>
    <definedName name="_Net99">#REF!</definedName>
    <definedName name="_NIA92">#REF!</definedName>
    <definedName name="_NIA93">#REF!</definedName>
    <definedName name="_NIA94">#REF!</definedName>
    <definedName name="_opm98">#REF!</definedName>
    <definedName name="_opm99">#REF!</definedName>
    <definedName name="_Order1" hidden="1">0</definedName>
    <definedName name="_Order2" hidden="1">255</definedName>
    <definedName name="_Q1" hidden="1">{"'Standalone List Price Trends'!$A$1:$X$56"}</definedName>
    <definedName name="_Q2" hidden="1">{"'Standalone List Price Trends'!$A$1:$X$56"}</definedName>
    <definedName name="_Q3" hidden="1">{"'Standalone List Price Trends'!$A$1:$X$56"}</definedName>
    <definedName name="_Q4" hidden="1">{"'Standalone List Price Trends'!$A$1:$X$56"}</definedName>
    <definedName name="_Q5" hidden="1">{"'Standalone List Price Trends'!$A$1:$X$56"}</definedName>
    <definedName name="_Q9" hidden="1">{"'Standalone List Price Trends'!$A$1:$X$56"}</definedName>
    <definedName name="_QT10">#REF!</definedName>
    <definedName name="_rev1997">#REF!</definedName>
    <definedName name="_rev1998">#REF!</definedName>
    <definedName name="_rev1999">#REF!</definedName>
    <definedName name="_rev2000">#REF!</definedName>
    <definedName name="_rev2001">#REF!</definedName>
    <definedName name="_rev2002">#REF!</definedName>
    <definedName name="_rev2003">#REF!</definedName>
    <definedName name="_REV89">#REF!</definedName>
    <definedName name="_REV90">#REF!</definedName>
    <definedName name="_REV91">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ev99">#REF!</definedName>
    <definedName name="_rw1" hidden="1">{"'Standalone List Price Trends'!$A$1:$X$56"}</definedName>
    <definedName name="_rw2" hidden="1">{"'Standalone List Price Trends'!$A$1:$X$56"}</definedName>
    <definedName name="_rw3" hidden="1">{"'Standalone List Price Trends'!$A$1:$X$56"}</definedName>
    <definedName name="_rw4" hidden="1">{"'Standalone List Price Trends'!$A$1:$X$56"}</definedName>
    <definedName name="_Scenario_new_change" hidden="1">#REF!</definedName>
    <definedName name="_scenchg_count" hidden="1">1</definedName>
    <definedName name="_scenchg1" hidden="1">#REF!</definedName>
    <definedName name="_Sort" hidden="1">#REF!</definedName>
    <definedName name="_t5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x96">#REF!</definedName>
    <definedName name="_Tax97">#REF!</definedName>
    <definedName name="_Tax98">#REF!</definedName>
    <definedName name="_Tax99">#REF!</definedName>
    <definedName name="_TOP10">#REF!</definedName>
    <definedName name="_X2">#REF!</definedName>
    <definedName name="_X3">#REF!</definedName>
    <definedName name="_X6">#REF!</definedName>
    <definedName name="_X7">#REF!</definedName>
    <definedName name="a">#REF!</definedName>
    <definedName name="A_ALL_ADI_">#REF!</definedName>
    <definedName name="A_ALL_ALTR">#REF!</definedName>
    <definedName name="A_ALL_AMAT">#REF!</definedName>
    <definedName name="A_ALL_AMAT_">#REF!</definedName>
    <definedName name="A_ALL_AMD">#REF!</definedName>
    <definedName name="A_ALL_AMD_">#REF!</definedName>
    <definedName name="A_ALL_AMT">#REF!</definedName>
    <definedName name="A_ALL_APXT">#REF!</definedName>
    <definedName name="A_ALL_ARM">#REF!</definedName>
    <definedName name="A_ALL_ARW">#REF!</definedName>
    <definedName name="A_ALL_ARW_">#REF!</definedName>
    <definedName name="A_ALL_ARX">#REF!</definedName>
    <definedName name="A_ALL_AVGO">#REF!</definedName>
    <definedName name="A_ALL_AVGO_">#REF!</definedName>
    <definedName name="A_ALL_BRCM">#REF!</definedName>
    <definedName name="A_ALL_BRCM_">#REF!</definedName>
    <definedName name="A_ALL_BSY">#REF!</definedName>
    <definedName name="A_ALL_CCI">#REF!</definedName>
    <definedName name="A_ALL_CDNS">#REF!</definedName>
    <definedName name="A_ALL_CFG">#REF!</definedName>
    <definedName name="A_ALL_CHTR">#REF!</definedName>
    <definedName name="A_ALL_CMCSA">#REF!</definedName>
    <definedName name="A_ALL_CRWD">#REF!</definedName>
    <definedName name="A_ALL_CSAL">#REF!</definedName>
    <definedName name="A_ALL_CTL">#REF!</definedName>
    <definedName name="A_ALL_CTL_">#REF!</definedName>
    <definedName name="A_ALL_CTSH">#REF!</definedName>
    <definedName name="A_ALL_DBX">#REF!</definedName>
    <definedName name="A_ALL_DIS">#REF!</definedName>
    <definedName name="A_ALL_DTV">#REF!</definedName>
    <definedName name="A_ALL_EQIX">#REF!</definedName>
    <definedName name="A_ALL_FTNT">#REF!</definedName>
    <definedName name="A_ALL_FTRCQ">#REF!</definedName>
    <definedName name="A_ALL_FYBR">#REF!</definedName>
    <definedName name="A_ALL_INTC_">#REF!</definedName>
    <definedName name="A_ALL_INTU">#REF!</definedName>
    <definedName name="A_ALL_INTU_">#REF!</definedName>
    <definedName name="A_ALL_KEYWORDS_TYPE_Breakdown_EQTY_200001646">#REF!</definedName>
    <definedName name="A_ALL_KEYWORDS_TYPE_Breakdown_EQTY_200002831">#REF!</definedName>
    <definedName name="A_ALL_KEYWORDS_TYPE_Breakdown_EQTY_200004419">#REF!</definedName>
    <definedName name="A_ALL_KEYWORDS_TYPE_ScalarContributed_EQTY_200000304">#REF!,#REF!,#REF!,#REF!</definedName>
    <definedName name="A_ALL_KEYWORDS_TYPE_ScalarContributed_EQTY_200000813">#REF!,#REF!,#REF!,#REF!,#REF!</definedName>
    <definedName name="A_ALL_KEYWORDS_TYPE_ScalarContributed_EQTY_200001265">#REF!,#REF!,#REF!,#REF!</definedName>
    <definedName name="A_ALL_KEYWORDS_TYPE_ScalarContributed_EQTY_200001320">#REF!,#REF!,#REF!,#REF!</definedName>
    <definedName name="A_ALL_KEYWORDS_TYPE_ScalarContributed_EQTY_200001330">#REF!,#REF!,#REF!,#REF!</definedName>
    <definedName name="A_ALL_KEYWORDS_TYPE_ScalarContributed_EQTY_200001353">#REF!,#REF!</definedName>
    <definedName name="A_ALL_KEYWORDS_TYPE_ScalarContributed_EQTY_200001371">#REF!,#REF!</definedName>
    <definedName name="A_ALL_KEYWORDS_TYPE_ScalarContributed_EQTY_200001381">#REF!,#REF!,#REF!,#REF!,#REF!</definedName>
    <definedName name="A_ALL_KEYWORDS_TYPE_ScalarContributed_EQTY_200001646">#REF!,#REF!,#REF!,#REF!</definedName>
    <definedName name="A_ALL_KEYWORDS_TYPE_ScalarContributed_EQTY_200002282">#REF!,#REF!,#REF!,#REF!,#REF!</definedName>
    <definedName name="A_ALL_KEYWORDS_TYPE_ScalarContributed_EQTY_200002283">#REF!,#REF!,#REF!,#REF!,#REF!</definedName>
    <definedName name="A_ALL_KEYWORDS_TYPE_ScalarContributed_EQTY_200002309">#REF!,#REF!,#REF!,#REF!,#REF!</definedName>
    <definedName name="A_ALL_KEYWORDS_TYPE_ScalarContributed_EQTY_200002831">#REF!,#REF!,#REF!,#REF!,#REF!</definedName>
    <definedName name="A_ALL_KEYWORDS_TYPE_ScalarContributed_EQTY_200002833">#REF!,#REF!,#REF!,#REF!</definedName>
    <definedName name="A_ALL_KEYWORDS_TYPE_ScalarContributed_EQTY_200003036">#REF!,#REF!,#REF!,#REF!,#REF!</definedName>
    <definedName name="A_ALL_KEYWORDS_TYPE_ScalarContributed_EQTY_200003037">#REF!,#REF!,#REF!,#REF!</definedName>
    <definedName name="A_ALL_KEYWORDS_TYPE_ScalarContributed_EQTY_200003892">#REF!,#REF!,#REF!,#REF!</definedName>
    <definedName name="A_ALL_KEYWORDS_TYPE_ScalarContributed_EQTY_200004230">#REF!,#REF!,#REF!,#REF!,#REF!</definedName>
    <definedName name="A_ALL_KEYWORDS_TYPE_ScalarContributed_EQTY_200004419">#REF!,#REF!,#REF!,#REF!</definedName>
    <definedName name="A_ALL_KEYWORDS_TYPE_ScalarContributed_EQTY_200004906">#REF!,#REF!,#REF!,#REF!,#REF!</definedName>
    <definedName name="A_ALL_KEYWORDS_TYPE_ScalarContributed_EQTY_200005326">#REF!,#REF!,#REF!,#REF!</definedName>
    <definedName name="A_ALL_KEYWORDS_TYPE_ScalarContributed_EQTY_200005490">#REF!,#REF!,#REF!,#REF!,#REF!</definedName>
    <definedName name="A_ALL_KEYWORDS_TYPE_ScalarContributed_EQTY_200005674">#REF!,#REF!,#REF!,#REF!,#REF!</definedName>
    <definedName name="A_ALL_KEYWORDS_TYPE_ScalarContributed_EQTY_200005722">#REF!,#REF!,#REF!,#REF!,#REF!</definedName>
    <definedName name="A_ALL_KEYWORDS_TYPE_ScalarContributed_EQTY_200006232">#REF!,#REF!,#REF!,#REF!</definedName>
    <definedName name="A_ALL_KEYWORDS_TYPE_ScalarContributed_EQTY_200006333">#REF!,#REF!,#REF!,#REF!</definedName>
    <definedName name="A_ALL_KEYWORDS_TYPE_ScalarContributed_EQTY_200006384">#REF!,#REF!,#REF!,#REF!,#REF!</definedName>
    <definedName name="A_ALL_KEYWORDS_TYPE_ScalarContributed_EQTY_200007794">#REF!,#REF!,#REF!,#REF!,#REF!</definedName>
    <definedName name="A_ALL_KEYWORDS_TYPE_ScalarContributed_EQTY_200009556">#REF!,#REF!,#REF!,#REF!</definedName>
    <definedName name="A_ALL_KEYWORDS_TYPE_ScalarContributed_EQTY_200009677">#REF!,#REF!,#REF!,#REF!,#REF!</definedName>
    <definedName name="A_ALL_KEYWORDS_TYPE_ScalarContributed_EQTY_200010313">#REF!,#REF!,#REF!,#REF!</definedName>
    <definedName name="A_ALL_KEYWORDS_TYPE_ScalarContributed_EQTY_200011598">#REF!,#REF!,#REF!,#REF!,#REF!</definedName>
    <definedName name="A_ALL_KEYWORDS_TYPE_ScalarContributed_EQTY_200012393">#REF!,#REF!,#REF!,#REF!,#REF!</definedName>
    <definedName name="A_ALL_KEYWORDS_TYPE_ScalarContributed_EQTY_200012762">#REF!,#REF!,#REF!,#REF!</definedName>
    <definedName name="A_ALL_KEYWORDS_TYPE_ScalarContributed_EQTY_200014300">#REF!,#REF!,#REF!,#REF!</definedName>
    <definedName name="A_ALL_KEYWORDS_TYPE_ScalarContributed_EQTY_200014367">#REF!,#REF!,#REF!,#REF!,#REF!</definedName>
    <definedName name="A_ALL_KEYWORDS_TYPE_ScalarContributed_EQTY_200014493">#REF!,#REF!,#REF!,#REF!</definedName>
    <definedName name="A_ALL_KEYWORDS_TYPE_ScalarContributed_EQTY_200014750">#REF!,#REF!,#REF!,#REF!,#REF!</definedName>
    <definedName name="A_ALL_KEYWORDS_TYPE_ScalarContributed_EQTY_200015107">#REF!,#REF!,#REF!,#REF!</definedName>
    <definedName name="A_ALL_KEYWORDS_TYPE_ScalarContributed_EQTY_200015716">#REF!,#REF!,#REF!,#REF!</definedName>
    <definedName name="A_ALL_KEYWORDS_TYPE_ScalarContributed_EQTY_200015757">#REF!,#REF!,#REF!,#REF!</definedName>
    <definedName name="A_ALL_KEYWORDS_TYPE_ScalarContributed_EQTY_200016026">#REF!,#REF!,#REF!,#REF!</definedName>
    <definedName name="A_ALL_KEYWORDS_TYPE_ScalarContributed_EQTY_200017745">#REF!,#REF!,#REF!,#REF!,#REF!</definedName>
    <definedName name="A_ALL_KEYWORDS_TYPE_ScalarContributed_EQTY_200019587">#REF!,#REF!,#REF!,#REF!</definedName>
    <definedName name="A_ALL_KEYWORDS_TYPE_ScalarContributed_EQTY_200019588">#REF!,#REF!,#REF!,#REF!</definedName>
    <definedName name="A_ALL_KEYWORDS_TYPE_ScalarContributed_EQTY_200021484">#REF!,#REF!,#REF!,#REF!,#REF!</definedName>
    <definedName name="A_ALL_KEYWORDS_TYPE_ScalarContributed_ISSR_208000027">#REF!,#REF!</definedName>
    <definedName name="A_ALL_KEYWORDS_TYPE_ScalarContributed_ISSR_208000156">#REF!,#REF!</definedName>
    <definedName name="A_ALL_KEYWORDS_TYPE_ScalarContributed_ISSR_208000430">#REF!,#REF!,#REF!,#REF!,#REF!,#REF!,#REF!,#REF!,#REF!,#REF!,#REF!</definedName>
    <definedName name="A_ALL_KEYWORDS_TYPE_ScalarContributed_ISSR_208000435">#REF!,#REF!</definedName>
    <definedName name="A_ALL_KEYWORDS_TYPE_ScalarContributed_ISSR_208000468">#REF!,#REF!</definedName>
    <definedName name="A_ALL_KEYWORDS_TYPE_ScalarContributed_ISSR_208000603">#REF!</definedName>
    <definedName name="A_ALL_KEYWORDS_TYPE_ScalarContributed_ISSR_208000826">#REF!,#REF!,#REF!,#REF!</definedName>
    <definedName name="A_ALL_KEYWORDS_TYPE_ScalarContributed_ISSR_208000827">#REF!,#REF!,#REF!</definedName>
    <definedName name="A_ALL_KEYWORDS_TYPE_ScalarContributed_ISSR_208000836">#REF!,#REF!,#REF!</definedName>
    <definedName name="A_ALL_KEYWORDS_TYPE_ScalarContributed_ISSR_208000976">#REF!,#REF!</definedName>
    <definedName name="A_ALL_KEYWORDS_TYPE_ScalarContributed_ISSR_208000977">#REF!,#REF!</definedName>
    <definedName name="A_ALL_KEYWORDS_TYPE_ScalarContributed_ISSR_208001048">#REF!,#REF!</definedName>
    <definedName name="A_ALL_KEYWORDS_TYPE_ScalarContributed_ISSR_208001204">#REF!,#REF!,#REF!</definedName>
    <definedName name="A_ALL_KEYWORDS_TYPE_ScalarContributed_ISSR_208001258">#REF!</definedName>
    <definedName name="A_ALL_KEYWORDS_TYPE_ScalarContributed_ISSR_208001370">#REF!,#REF!</definedName>
    <definedName name="A_ALL_KEYWORDS_TYPE_ScalarContributed_ISSR_208001515">#REF!,#REF!</definedName>
    <definedName name="A_ALL_KEYWORDS_TYPE_ScalarContributed_ISSR_208001562">#REF!,#REF!,#REF!</definedName>
    <definedName name="A_ALL_KEYWORDS_TYPE_ScalarContributed_ISSR_208001627">#REF!,#REF!,#REF!</definedName>
    <definedName name="A_ALL_KEYWORDS_TYPE_ScalarContributed_ISSR_208001640">#REF!,#REF!</definedName>
    <definedName name="A_ALL_KEYWORDS_TYPE_ScalarContributed_ISSR_208001765">#REF!,#REF!,#REF!</definedName>
    <definedName name="A_ALL_KEYWORDS_TYPE_ScalarContributed_ISSR_208001785">#REF!,#REF!</definedName>
    <definedName name="A_ALL_KEYWORDS_TYPE_ScalarContributed_ISSR_208002651">#REF!,#REF!</definedName>
    <definedName name="A_ALL_KEYWORDS_TYPE_ScalarContributed_ISSR_208005795">#REF!,#REF!</definedName>
    <definedName name="A_ALL_KEYWORDS_TYPE_ScalarContributed_ISSR_208007986">#REF!,#REF!,#REF!</definedName>
    <definedName name="A_ALL_KEYWORDS_TYPE_ScalarContributed_ISSR_208008030">#REF!,#REF!,#REF!</definedName>
    <definedName name="A_ALL_KEYWORDS_TYPE_ScalarContributed_ISSR_208008836">#REF!,#REF!</definedName>
    <definedName name="A_ALL_KEYWORDS_TYPE_ScalarContributed_ISSR_208009377">#REF!,#REF!</definedName>
    <definedName name="A_ALL_KEYWORDS_TYPE_ScalarContributed_ISSR_208009722">#REF!</definedName>
    <definedName name="A_ALL_KEYWORDS_TYPE_ScalarContributed_ISSR_208011028">#REF!,#REF!,#REF!</definedName>
    <definedName name="A_ALL_KEYWORDS_TYPE_ScalarContributed_ISSR_208011556">#REF!,#REF!</definedName>
    <definedName name="A_ALL_KEYWORDS_TYPE_ScalarContributed_ISSR_208011888">#REF!,#REF!,#REF!,#REF!,#REF!,#REF!,#REF!,#REF!,#REF!,#REF!,#REF!</definedName>
    <definedName name="A_ALL_KEYWORDS_TYPE_ScalarContributed_ISSR_208012959">#REF!,#REF!,#REF!</definedName>
    <definedName name="A_ALL_KEYWORDS_TYPE_ScalarContributed_ISSR_208015351">#REF!,#REF!</definedName>
    <definedName name="A_ALL_KEYWORDS_TYPE_ScalarContributed_ISSR_208018132">#REF!,#REF!,#REF!</definedName>
    <definedName name="A_ALL_KEYWORDS_TYPE_ScalarContributed_ISSR_208018133">#REF!,#REF!,#REF!,#REF!,#REF!,#REF!,#REF!,#REF!,#REF!,#REF!,#REF!,#REF!</definedName>
    <definedName name="A_ALL_KEYWORDS_TYPE_ScalarContributed_ISSR_208018253">#REF!,#REF!,#REF!</definedName>
    <definedName name="A_ALL_KEYWORDS_TYPE_ScalarContributed_ISSR_208020566">#REF!,#REF!,#REF!</definedName>
    <definedName name="A_ALL_KEYWORDS_TYPE_ScalarContributed_ISSR_208020919">#REF!,#REF!,#REF!</definedName>
    <definedName name="A_ALL_KEYWORDS_TYPE_ScalarReference_EQTY_200001646">#REF!</definedName>
    <definedName name="A_ALL_KEYWORDS_TYPE_ScalarReference_EQTY_200002831">#REF!</definedName>
    <definedName name="A_ALL_KEYWORDS_TYPE_ScalarReference_EQTY_200004419">#REF!</definedName>
    <definedName name="A_ALL_KEYWORDS_TYPE_ScalarReference_EQTY_200012762">#REF!</definedName>
    <definedName name="A_ALL_KEYWORDS_TYPE_ScalarReference_EQTY_200014750">#REF!</definedName>
    <definedName name="A_ALL_KEYWORDS_TYPE_ScalarReference_ISSR_208000603">#REF!</definedName>
    <definedName name="A_ALL_KEYWORDS_TYPE_ScalarReference_ISSR_208000976">#REF!</definedName>
    <definedName name="A_ALL_KEYWORDS_TYPE_ScalarReference_ISSR_208001258">#REF!</definedName>
    <definedName name="A_ALL_KEYWORDS_TYPE_ScalarReference_ISSR_208009722">#REF!</definedName>
    <definedName name="A_ALL_KEYWORDS_TYPE_ScalarReference_ISSR_208011556">#REF!</definedName>
    <definedName name="A_ALL_KEYWORDS_TYPE_Vector_EQTY_200000304">#REF!,#REF!,#REF!,#REF!,#REF!,#REF!,#REF!</definedName>
    <definedName name="A_ALL_KEYWORDS_TYPE_Vector_EQTY_200000813">#REF!,#REF!,#REF!,#REF!,#REF!,#REF!,#REF!</definedName>
    <definedName name="A_ALL_KEYWORDS_TYPE_Vector_EQTY_200001265">#REF!,#REF!,#REF!,#REF!,#REF!,#REF!,#REF!</definedName>
    <definedName name="A_ALL_KEYWORDS_TYPE_Vector_EQTY_200001320">#REF!,#REF!,#REF!,#REF!,#REF!,#REF!,#REF!</definedName>
    <definedName name="A_ALL_KEYWORDS_TYPE_Vector_EQTY_200001330">#REF!,#REF!,#REF!,#REF!,#REF!,#REF!,#REF!</definedName>
    <definedName name="A_ALL_KEYWORDS_TYPE_Vector_EQTY_200001353">#REF!,#REF!,#REF!,#REF!,#REF!</definedName>
    <definedName name="A_ALL_KEYWORDS_TYPE_Vector_EQTY_200001371">#REF!,#REF!,#REF!,#REF!,#REF!</definedName>
    <definedName name="A_ALL_KEYWORDS_TYPE_Vector_EQTY_200001381">#REF!,#REF!,#REF!,#REF!,#REF!,#REF!,#REF!</definedName>
    <definedName name="A_ALL_KEYWORDS_TYPE_Vector_EQTY_200001646">#REF!,#REF!,#REF!,#REF!,#REF!,#REF!,#REF!,#REF!</definedName>
    <definedName name="A_ALL_KEYWORDS_TYPE_Vector_EQTY_200002282">#REF!,#REF!,#REF!,#REF!,#REF!,#REF!,#REF!,#REF!</definedName>
    <definedName name="A_ALL_KEYWORDS_TYPE_Vector_EQTY_200002283">#REF!,#REF!,#REF!,#REF!,#REF!,#REF!,#REF!,#REF!</definedName>
    <definedName name="A_ALL_KEYWORDS_TYPE_Vector_EQTY_200002309">#REF!,#REF!,#REF!,#REF!,#REF!,#REF!,#REF!,#REF!</definedName>
    <definedName name="A_ALL_KEYWORDS_TYPE_Vector_EQTY_200002831">#REF!,#REF!,#REF!,#REF!,#REF!,#REF!,#REF!</definedName>
    <definedName name="A_ALL_KEYWORDS_TYPE_Vector_EQTY_200002833">#REF!,#REF!,#REF!,#REF!,#REF!,#REF!,#REF!</definedName>
    <definedName name="A_ALL_KEYWORDS_TYPE_Vector_EQTY_200003036">#REF!,#REF!,#REF!,#REF!,#REF!,#REF!,#REF!</definedName>
    <definedName name="A_ALL_KEYWORDS_TYPE_Vector_EQTY_200003037">#REF!,#REF!,#REF!,#REF!,#REF!,#REF!,#REF!</definedName>
    <definedName name="A_ALL_KEYWORDS_TYPE_Vector_EQTY_200003892">#REF!,#REF!,#REF!,#REF!,#REF!,#REF!,#REF!</definedName>
    <definedName name="A_ALL_KEYWORDS_TYPE_Vector_EQTY_200004230">#REF!,#REF!,#REF!,#REF!,#REF!,#REF!,#REF!,#REF!</definedName>
    <definedName name="A_ALL_KEYWORDS_TYPE_Vector_EQTY_200004419">#REF!,#REF!,#REF!,#REF!,#REF!,#REF!,#REF!</definedName>
    <definedName name="A_ALL_KEYWORDS_TYPE_Vector_EQTY_200004906">#REF!,#REF!,#REF!,#REF!,#REF!,#REF!,#REF!</definedName>
    <definedName name="A_ALL_KEYWORDS_TYPE_Vector_EQTY_200005184">#REF!,#REF!,#REF!,#REF!,#REF!,#REF!,#REF!</definedName>
    <definedName name="A_ALL_KEYWORDS_TYPE_Vector_EQTY_200005326">#REF!,#REF!,#REF!,#REF!,#REF!,#REF!,#REF!</definedName>
    <definedName name="A_ALL_KEYWORDS_TYPE_Vector_EQTY_200005490">#REF!,#REF!,#REF!,#REF!,#REF!,#REF!,#REF!,#REF!</definedName>
    <definedName name="A_ALL_KEYWORDS_TYPE_Vector_EQTY_200005722">#REF!,#REF!,#REF!,#REF!,#REF!,#REF!,#REF!</definedName>
    <definedName name="A_ALL_KEYWORDS_TYPE_Vector_EQTY_200006232">#REF!,#REF!,#REF!,#REF!,#REF!,#REF!,#REF!</definedName>
    <definedName name="A_ALL_KEYWORDS_TYPE_Vector_EQTY_200006333">#REF!,#REF!,#REF!,#REF!,#REF!,#REF!,#REF!,#REF!,#REF!</definedName>
    <definedName name="A_ALL_KEYWORDS_TYPE_Vector_EQTY_200006384">#REF!,#REF!,#REF!,#REF!,#REF!,#REF!,#REF!</definedName>
    <definedName name="A_ALL_KEYWORDS_TYPE_Vector_EQTY_200009556">#REF!,#REF!,#REF!,#REF!,#REF!,#REF!,#REF!</definedName>
    <definedName name="A_ALL_KEYWORDS_TYPE_Vector_EQTY_200010313">#REF!,#REF!,#REF!,#REF!,#REF!,#REF!,#REF!,#REF!</definedName>
    <definedName name="A_ALL_KEYWORDS_TYPE_Vector_EQTY_200011598">#REF!,#REF!,#REF!,#REF!,#REF!,#REF!,#REF!</definedName>
    <definedName name="A_ALL_KEYWORDS_TYPE_Vector_EQTY_200012393">#REF!,#REF!,#REF!,#REF!,#REF!,#REF!,#REF!</definedName>
    <definedName name="A_ALL_KEYWORDS_TYPE_Vector_EQTY_200012762">#REF!,#REF!,#REF!,#REF!,#REF!,#REF!,#REF!</definedName>
    <definedName name="A_ALL_KEYWORDS_TYPE_Vector_EQTY_200014300">#REF!,#REF!,#REF!,#REF!,#REF!,#REF!,#REF!</definedName>
    <definedName name="A_ALL_KEYWORDS_TYPE_Vector_EQTY_200014493">#REF!,#REF!,#REF!,#REF!,#REF!,#REF!,#REF!</definedName>
    <definedName name="A_ALL_KEYWORDS_TYPE_Vector_EQTY_200014750">#REF!,#REF!,#REF!,#REF!,#REF!,#REF!,#REF!</definedName>
    <definedName name="A_ALL_KEYWORDS_TYPE_Vector_EQTY_200015107">#REF!,#REF!,#REF!,#REF!,#REF!,#REF!,#REF!</definedName>
    <definedName name="A_ALL_KEYWORDS_TYPE_Vector_EQTY_200015716">#REF!,#REF!,#REF!,#REF!,#REF!,#REF!,#REF!</definedName>
    <definedName name="A_ALL_KEYWORDS_TYPE_Vector_EQTY_200015757">#REF!,#REF!,#REF!,#REF!,#REF!,#REF!,#REF!,#REF!</definedName>
    <definedName name="A_ALL_KEYWORDS_TYPE_Vector_EQTY_200016026">#REF!,#REF!,#REF!,#REF!,#REF!,#REF!,#REF!,#REF!</definedName>
    <definedName name="A_ALL_KEYWORDS_TYPE_Vector_EQTY_200017745">#REF!,#REF!,#REF!,#REF!,#REF!,#REF!,#REF!</definedName>
    <definedName name="A_ALL_KEYWORDS_TYPE_Vector_EQTY_200019588">#REF!,#REF!,#REF!,#REF!,#REF!,#REF!,#REF!</definedName>
    <definedName name="A_ALL_KEYWORDS_TYPE_Vector_EQTY_200021484">#REF!,#REF!,#REF!,#REF!,#REF!,#REF!,#REF!</definedName>
    <definedName name="A_ALL_KEYWORDS_TYPE_Vector_ISSR_208000027">#REF!,#REF!,#REF!,#REF!,#REF!,#REF!,#REF!,#REF!,#REF!,#REF!</definedName>
    <definedName name="A_ALL_KEYWORDS_TYPE_Vector_ISSR_208000156">#REF!,#REF!,#REF!,#REF!,#REF!,#REF!,#REF!,#REF!,#REF!,#REF!,#REF!,#REF!,#REF!</definedName>
    <definedName name="A_ALL_KEYWORDS_TYPE_Vector_ISSR_208000430">#REF!,#REF!,#REF!,#REF!,#REF!,#REF!,#REF!,#REF!,#REF!,#REF!,#REF!,#REF!,#REF!,#REF!</definedName>
    <definedName name="A_ALL_KEYWORDS_TYPE_Vector_ISSR_208000435">#REF!,#REF!,#REF!,#REF!,#REF!,#REF!,#REF!,#REF!,#REF!,#REF!</definedName>
    <definedName name="A_ALL_KEYWORDS_TYPE_Vector_ISSR_208000451">#REF!,#REF!,#REF!,#REF!,#REF!,#REF!,#REF!,#REF!,#REF!,#REF!,#REF!,#REF!,#REF!,#REF!,#REF!,#REF!,#REF!,#REF!,#REF!,#REF!,#REF!,#REF!,#REF!,#REF!,#REF!,#REF!</definedName>
    <definedName name="A_ALL_KEYWORDS_TYPE_Vector_ISSR_208000468">#REF!,#REF!,#REF!,#REF!,#REF!,#REF!,#REF!,#REF!,#REF!,#REF!,#REF!,#REF!,#REF!,#REF!</definedName>
    <definedName name="A_ALL_KEYWORDS_TYPE_Vector_ISSR_208000603">#REF!,#REF!,#REF!,#REF!,#REF!,#REF!,#REF!,#REF!,#REF!,#REF!</definedName>
    <definedName name="A_ALL_KEYWORDS_TYPE_Vector_ISSR_208000826">#REF!,#REF!,#REF!,#REF!,#REF!,#REF!,#REF!,#REF!,#REF!,#REF!,#REF!,#REF!,#REF!,#REF!,#REF!,#REF!</definedName>
    <definedName name="A_ALL_KEYWORDS_TYPE_Vector_ISSR_208000827">#REF!,#REF!,#REF!,#REF!,#REF!,#REF!,#REF!,#REF!,#REF!,#REF!,#REF!,#REF!,#REF!,#REF!,#REF!,#REF!</definedName>
    <definedName name="A_ALL_KEYWORDS_TYPE_Vector_ISSR_208000836">#REF!,#REF!,#REF!,#REF!,#REF!,#REF!,#REF!,#REF!,#REF!,#REF!,#REF!,#REF!,#REF!</definedName>
    <definedName name="A_ALL_KEYWORDS_TYPE_Vector_ISSR_208000976">#REF!,#REF!,#REF!,#REF!,#REF!,#REF!,#REF!,#REF!,#REF!,#REF!,#REF!,#REF!,#REF!</definedName>
    <definedName name="A_ALL_KEYWORDS_TYPE_Vector_ISSR_208000977">#REF!,#REF!,#REF!,#REF!,#REF!,#REF!,#REF!,#REF!,#REF!,#REF!,#REF!,#REF!,#REF!,#REF!,#REF!</definedName>
    <definedName name="A_ALL_KEYWORDS_TYPE_Vector_ISSR_208001018">#REF!,#REF!,#REF!,#REF!,#REF!,#REF!,#REF!,#REF!,#REF!,#REF!</definedName>
    <definedName name="A_ALL_KEYWORDS_TYPE_Vector_ISSR_208001048">#REF!,#REF!,#REF!,#REF!,#REF!,#REF!,#REF!,#REF!,#REF!,#REF!,#REF!,#REF!,#REF!,#REF!</definedName>
    <definedName name="A_ALL_KEYWORDS_TYPE_Vector_ISSR_208001049">#REF!,#REF!,#REF!,#REF!,#REF!,#REF!,#REF!,#REF!,#REF!,#REF!,#REF!,#REF!,#REF!,#REF!,#REF!</definedName>
    <definedName name="A_ALL_KEYWORDS_TYPE_Vector_ISSR_208001137">#REF!,#REF!,#REF!,#REF!,#REF!,#REF!,#REF!,#REF!,#REF!,#REF!,#REF!,#REF!,#REF!,#REF!,#REF!</definedName>
    <definedName name="A_ALL_KEYWORDS_TYPE_Vector_ISSR_208001204">#REF!,#REF!,#REF!,#REF!,#REF!,#REF!,#REF!,#REF!,#REF!,#REF!,#REF!,#REF!,#REF!,#REF!</definedName>
    <definedName name="A_ALL_KEYWORDS_TYPE_Vector_ISSR_208001217">#REF!,#REF!,#REF!,#REF!,#REF!,#REF!,#REF!,#REF!,#REF!,#REF!,#REF!,#REF!,#REF!,#REF!,#REF!</definedName>
    <definedName name="A_ALL_KEYWORDS_TYPE_Vector_ISSR_208001258">#REF!,#REF!,#REF!,#REF!,#REF!,#REF!,#REF!,#REF!,#REF!,#REF!,#REF!,#REF!,#REF!,#REF!,#REF!</definedName>
    <definedName name="A_ALL_KEYWORDS_TYPE_Vector_ISSR_208001370">#REF!,#REF!,#REF!,#REF!,#REF!,#REF!,#REF!,#REF!,#REF!,#REF!,#REF!,#REF!</definedName>
    <definedName name="A_ALL_KEYWORDS_TYPE_Vector_ISSR_208001515">#REF!,#REF!,#REF!,#REF!,#REF!,#REF!,#REF!,#REF!,#REF!</definedName>
    <definedName name="A_ALL_KEYWORDS_TYPE_Vector_ISSR_208001562">#REF!,#REF!,#REF!,#REF!,#REF!,#REF!,#REF!,#REF!,#REF!,#REF!,#REF!,#REF!,#REF!</definedName>
    <definedName name="A_ALL_KEYWORDS_TYPE_Vector_ISSR_208001627">#REF!,#REF!,#REF!,#REF!,#REF!,#REF!,#REF!,#REF!,#REF!,#REF!,#REF!,#REF!,#REF!</definedName>
    <definedName name="A_ALL_KEYWORDS_TYPE_Vector_ISSR_208001640">#REF!,#REF!,#REF!,#REF!,#REF!,#REF!,#REF!,#REF!,#REF!,#REF!,#REF!,#REF!,#REF!,#REF!</definedName>
    <definedName name="A_ALL_KEYWORDS_TYPE_Vector_ISSR_208001765">#REF!,#REF!,#REF!,#REF!,#REF!,#REF!,#REF!,#REF!,#REF!,#REF!,#REF!,#REF!,#REF!,#REF!,#REF!</definedName>
    <definedName name="A_ALL_KEYWORDS_TYPE_Vector_ISSR_208001785">#REF!,#REF!,#REF!,#REF!,#REF!,#REF!,#REF!,#REF!,#REF!,#REF!,#REF!,#REF!,#REF!</definedName>
    <definedName name="A_ALL_KEYWORDS_TYPE_Vector_ISSR_208002651">#REF!,#REF!,#REF!,#REF!,#REF!,#REF!,#REF!,#REF!,#REF!,#REF!,#REF!,#REF!,#REF!</definedName>
    <definedName name="A_ALL_KEYWORDS_TYPE_Vector_ISSR_208005795">#REF!,#REF!,#REF!,#REF!,#REF!,#REF!,#REF!,#REF!,#REF!,#REF!</definedName>
    <definedName name="A_ALL_KEYWORDS_TYPE_Vector_ISSR_208007359">#REF!,#REF!,#REF!,#REF!,#REF!,#REF!,#REF!,#REF!,#REF!</definedName>
    <definedName name="A_ALL_KEYWORDS_TYPE_Vector_ISSR_208007452">#REF!,#REF!,#REF!,#REF!,#REF!,#REF!,#REF!,#REF!,#REF!,#REF!,#REF!,#REF!,#REF!,#REF!,#REF!,#REF!,#REF!,#REF!,#REF!,#REF!,#REF!,#REF!,#REF!,#REF!,#REF!</definedName>
    <definedName name="A_ALL_KEYWORDS_TYPE_Vector_ISSR_208007986">#REF!,#REF!,#REF!,#REF!,#REF!,#REF!,#REF!,#REF!,#REF!,#REF!,#REF!,#REF!,#REF!,#REF!,#REF!</definedName>
    <definedName name="A_ALL_KEYWORDS_TYPE_Vector_ISSR_208008030">#REF!,#REF!,#REF!,#REF!,#REF!,#REF!,#REF!,#REF!,#REF!,#REF!,#REF!,#REF!,#REF!,#REF!,#REF!,#REF!,#REF!,#REF!,#REF!,#REF!</definedName>
    <definedName name="A_ALL_KEYWORDS_TYPE_Vector_ISSR_208008836">#REF!,#REF!,#REF!,#REF!,#REF!,#REF!,#REF!,#REF!,#REF!,#REF!</definedName>
    <definedName name="A_ALL_KEYWORDS_TYPE_Vector_ISSR_208009377">#REF!,#REF!,#REF!,#REF!,#REF!,#REF!,#REF!,#REF!,#REF!,#REF!,#REF!,#REF!,#REF!</definedName>
    <definedName name="A_ALL_KEYWORDS_TYPE_Vector_ISSR_208009722">#REF!,#REF!,#REF!,#REF!,#REF!,#REF!,#REF!,#REF!,#REF!</definedName>
    <definedName name="A_ALL_KEYWORDS_TYPE_Vector_ISSR_208010209">#REF!,#REF!,#REF!,#REF!,#REF!,#REF!,#REF!,#REF!,#REF!,#REF!,#REF!,#REF!,#REF!,#REF!,#REF!</definedName>
    <definedName name="A_ALL_KEYWORDS_TYPE_Vector_ISSR_208011028">#REF!,#REF!,#REF!,#REF!,#REF!,#REF!,#REF!,#REF!,#REF!,#REF!,#REF!,#REF!,#REF!</definedName>
    <definedName name="A_ALL_KEYWORDS_TYPE_Vector_ISSR_208011072">#REF!,#REF!,#REF!,#REF!,#REF!,#REF!,#REF!,#REF!,#REF!,#REF!,#REF!,#REF!,#REF!,#REF!</definedName>
    <definedName name="A_ALL_KEYWORDS_TYPE_Vector_ISSR_208011212">#REF!,#REF!,#REF!,#REF!,#REF!,#REF!,#REF!,#REF!,#REF!,#REF!,#REF!,#REF!,#REF!,#REF!</definedName>
    <definedName name="A_ALL_KEYWORDS_TYPE_Vector_ISSR_208011556">#REF!,#REF!,#REF!,#REF!,#REF!,#REF!,#REF!,#REF!,#REF!,#REF!</definedName>
    <definedName name="A_ALL_KEYWORDS_TYPE_Vector_ISSR_208011888">#REF!,#REF!,#REF!,#REF!,#REF!,#REF!,#REF!,#REF!,#REF!,#REF!,#REF!,#REF!,#REF!,#REF!,#REF!,#REF!,#REF!,#REF!,#REF!</definedName>
    <definedName name="A_ALL_KEYWORDS_TYPE_Vector_ISSR_208012959">#REF!,#REF!,#REF!,#REF!,#REF!,#REF!,#REF!,#REF!,#REF!,#REF!,#REF!,#REF!,#REF!,#REF!,#REF!,#REF!</definedName>
    <definedName name="A_ALL_KEYWORDS_TYPE_Vector_ISSR_208013278">#REF!,#REF!,#REF!,#REF!,#REF!,#REF!,#REF!,#REF!,#REF!,#REF!,#REF!,#REF!</definedName>
    <definedName name="A_ALL_KEYWORDS_TYPE_Vector_ISSR_208015351">#REF!,#REF!,#REF!,#REF!,#REF!,#REF!,#REF!,#REF!,#REF!,#REF!,#REF!,#REF!</definedName>
    <definedName name="A_ALL_KEYWORDS_TYPE_Vector_ISSR_208017249">#REF!,#REF!,#REF!,#REF!,#REF!,#REF!,#REF!,#REF!,#REF!,#REF!,#REF!,#REF!</definedName>
    <definedName name="A_ALL_KEYWORDS_TYPE_Vector_ISSR_208018132">#REF!,#REF!,#REF!,#REF!,#REF!,#REF!,#REF!,#REF!,#REF!,#REF!,#REF!,#REF!,#REF!</definedName>
    <definedName name="A_ALL_KEYWORDS_TYPE_Vector_ISSR_208018133">#REF!,#REF!,#REF!,#REF!,#REF!,#REF!,#REF!,#REF!,#REF!,#REF!,#REF!,#REF!,#REF!,#REF!,#REF!,#REF!,#REF!,#REF!,#REF!,#REF!,#REF!,#REF!,#REF!</definedName>
    <definedName name="A_ALL_KEYWORDS_TYPE_Vector_ISSR_208018253">#REF!,#REF!,#REF!,#REF!,#REF!,#REF!,#REF!,#REF!,#REF!,#REF!,#REF!,#REF!,#REF!</definedName>
    <definedName name="A_ALL_KEYWORDS_TYPE_Vector_ISSR_208020566">#REF!,#REF!,#REF!,#REF!,#REF!,#REF!,#REF!,#REF!,#REF!,#REF!,#REF!,#REF!,#REF!</definedName>
    <definedName name="A_ALL_KEYWORDS_TYPE_Vector_ISSR_208020919">#REF!,#REF!,#REF!,#REF!,#REF!,#REF!,#REF!,#REF!,#REF!,#REF!,#REF!,#REF!,#REF!</definedName>
    <definedName name="A_ALL_KEYWORDS_TYPE_Vector_ISSR_208021926">#REF!,#REF!,#REF!,#REF!,#REF!,#REF!,#REF!,#REF!,#REF!,#REF!,#REF!,#REF!,#REF!</definedName>
    <definedName name="A_ALL_KNBE">#REF!</definedName>
    <definedName name="A_ALL_LUMN">#REF!</definedName>
    <definedName name="A_ALL_MCFE">#REF!</definedName>
    <definedName name="A_ALL_MCHP_">#REF!</definedName>
    <definedName name="A_ALL_MDB">#REF!</definedName>
    <definedName name="A_ALL_MRVL">#REF!</definedName>
    <definedName name="A_ALL_MRVL_">#REF!</definedName>
    <definedName name="A_ALL_NVDA_">#REF!</definedName>
    <definedName name="A_ALL_NXPI_">#REF!</definedName>
    <definedName name="A_ALL_PERIODS_ARX">#REF!</definedName>
    <definedName name="A_ALL_PERIODS_T">#REF!</definedName>
    <definedName name="A_ALL_RCI">#REF!</definedName>
    <definedName name="A_ALL_RPD">#REF!</definedName>
    <definedName name="A_ALL_S">#REF!</definedName>
    <definedName name="A_ALL_SECTION_KEYWORDS_EQTY_200001646_1314">#REF!</definedName>
    <definedName name="A_ALL_SECTION_KEYWORDS_EQTY_200001646_1319">#REF!</definedName>
    <definedName name="A_ALL_SECTION_KEYWORDS_EQTY_200001646_131E">#REF!</definedName>
    <definedName name="A_ALL_SECTION_KEYWORDS_EQTY_200001646_131O">#REF!</definedName>
    <definedName name="A_ALL_SECTION_KEYWORDS_EQTY_200001646_131P">#REF!</definedName>
    <definedName name="A_ALL_SECTION_KEYWORDS_EQTY_200001646_13A">#REF!</definedName>
    <definedName name="A_ALL_SECTION_KEYWORDS_EQTY_200001646_13K">#REF!</definedName>
    <definedName name="A_ALL_SECTION_KEYWORDS_EQTY_200001646_13U">#REF!</definedName>
    <definedName name="A_ALL_SECTION_KEYWORDS_EQTY_200001646_13V">#REF!</definedName>
    <definedName name="A_ALL_SECTION_KEYWORDS_EQTY_200001646_13W">#REF!</definedName>
    <definedName name="A_ALL_SECTION_KEYWORDS_EQTY_200001646_Reference_Data">#REF!</definedName>
    <definedName name="A_ALL_SECTION_KEYWORDS_EQTY_200002831_1314">#REF!</definedName>
    <definedName name="A_ALL_SECTION_KEYWORDS_EQTY_200002831_1319">#REF!</definedName>
    <definedName name="A_ALL_SECTION_KEYWORDS_EQTY_200002831_131E">#REF!</definedName>
    <definedName name="A_ALL_SECTION_KEYWORDS_EQTY_200002831_131O">#REF!</definedName>
    <definedName name="A_ALL_SECTION_KEYWORDS_EQTY_200002831_13A">#REF!</definedName>
    <definedName name="A_ALL_SECTION_KEYWORDS_EQTY_200002831_13K">#REF!</definedName>
    <definedName name="A_ALL_SECTION_KEYWORDS_EQTY_200002831_13U">#REF!</definedName>
    <definedName name="A_ALL_SECTION_KEYWORDS_EQTY_200002831_13V">#REF!</definedName>
    <definedName name="A_ALL_SECTION_KEYWORDS_EQTY_200002831_13W">#REF!</definedName>
    <definedName name="A_ALL_SECTION_KEYWORDS_EQTY_200002831_Reference_Data">#REF!</definedName>
    <definedName name="A_ALL_SECTION_KEYWORDS_EQTY_200003036_13A">#REF!</definedName>
    <definedName name="A_ALL_SECTION_KEYWORDS_EQTY_200003036_13K">#REF!</definedName>
    <definedName name="A_ALL_SECTION_KEYWORDS_EQTY_200004230_13A">#REF!</definedName>
    <definedName name="A_ALL_SECTION_KEYWORDS_EQTY_200004230_13K">#REF!</definedName>
    <definedName name="A_ALL_SECTION_KEYWORDS_EQTY_200004419_1314">#REF!</definedName>
    <definedName name="A_ALL_SECTION_KEYWORDS_EQTY_200004419_1319">#REF!</definedName>
    <definedName name="A_ALL_SECTION_KEYWORDS_EQTY_200004419_131E">#REF!</definedName>
    <definedName name="A_ALL_SECTION_KEYWORDS_EQTY_200004419_131O">#REF!</definedName>
    <definedName name="A_ALL_SECTION_KEYWORDS_EQTY_200004419_13A">#REF!</definedName>
    <definedName name="A_ALL_SECTION_KEYWORDS_EQTY_200004419_13K">#REF!</definedName>
    <definedName name="A_ALL_SECTION_KEYWORDS_EQTY_200004419_13U">#REF!</definedName>
    <definedName name="A_ALL_SECTION_KEYWORDS_EQTY_200004419_13V">#REF!</definedName>
    <definedName name="A_ALL_SECTION_KEYWORDS_EQTY_200004419_13W">#REF!</definedName>
    <definedName name="A_ALL_SECTION_KEYWORDS_EQTY_200004419_Reference_Data">#REF!</definedName>
    <definedName name="A_ALL_SECTION_KEYWORDS_EQTY_200004906_13A">#REF!</definedName>
    <definedName name="A_ALL_SECTION_KEYWORDS_EQTY_200004906_13K">#REF!</definedName>
    <definedName name="A_ALL_SECTION_KEYWORDS_EQTY_200005326_13A">#REF!</definedName>
    <definedName name="A_ALL_SECTION_KEYWORDS_EQTY_200005326_13K">#REF!</definedName>
    <definedName name="A_ALL_SECTION_KEYWORDS_EQTY_200006333_13A">#REF!</definedName>
    <definedName name="A_ALL_SECTION_KEYWORDS_EQTY_200006333_13K">#REF!</definedName>
    <definedName name="A_ALL_SECTION_KEYWORDS_EQTY_200012762_1314">#REF!</definedName>
    <definedName name="A_ALL_SECTION_KEYWORDS_EQTY_200012762_1319">#REF!</definedName>
    <definedName name="A_ALL_SECTION_KEYWORDS_EQTY_200012762_131E">#REF!</definedName>
    <definedName name="A_ALL_SECTION_KEYWORDS_EQTY_200012762_131O">#REF!</definedName>
    <definedName name="A_ALL_SECTION_KEYWORDS_EQTY_200012762_13A">#REF!</definedName>
    <definedName name="A_ALL_SECTION_KEYWORDS_EQTY_200012762_13K">#REF!</definedName>
    <definedName name="A_ALL_SECTION_KEYWORDS_EQTY_200012762_13U">#REF!</definedName>
    <definedName name="A_ALL_SECTION_KEYWORDS_EQTY_200012762_13V">#REF!</definedName>
    <definedName name="A_ALL_SECTION_KEYWORDS_EQTY_200012762_13W">#REF!</definedName>
    <definedName name="A_ALL_SECTION_KEYWORDS_EQTY_200012762_Reference_Data">#REF!</definedName>
    <definedName name="A_ALL_SECTION_KEYWORDS_EQTY_200014750_1314">#REF!</definedName>
    <definedName name="A_ALL_SECTION_KEYWORDS_EQTY_200014750_1319">#REF!</definedName>
    <definedName name="A_ALL_SECTION_KEYWORDS_EQTY_200014750_131E">#REF!</definedName>
    <definedName name="A_ALL_SECTION_KEYWORDS_EQTY_200014750_131O">#REF!</definedName>
    <definedName name="A_ALL_SECTION_KEYWORDS_EQTY_200014750_13A">#REF!</definedName>
    <definedName name="A_ALL_SECTION_KEYWORDS_EQTY_200014750_13K">#REF!</definedName>
    <definedName name="A_ALL_SECTION_KEYWORDS_EQTY_200014750_13U">#REF!</definedName>
    <definedName name="A_ALL_SECTION_KEYWORDS_EQTY_200014750_13V">#REF!</definedName>
    <definedName name="A_ALL_SECTION_KEYWORDS_EQTY_200014750_13W">#REF!</definedName>
    <definedName name="A_ALL_SECTION_KEYWORDS_EQTY_200014750_Reference_Data">#REF!</definedName>
    <definedName name="A_ALL_SECTION_KEYWORDS_EQTY_200019587_13A">#REF!</definedName>
    <definedName name="A_ALL_SECTION_KEYWORDS_EQTY_200019588_13A">#REF!</definedName>
    <definedName name="A_ALL_SECTION_KEYWORDS_EQTY_200019588_13K">#REF!</definedName>
    <definedName name="A_ALL_SECTION_KEYWORDS_EQTY_200021484_13A">#REF!</definedName>
    <definedName name="A_ALL_SECTION_KEYWORDS_EQTY_200021484_13K">#REF!</definedName>
    <definedName name="A_ALL_SECTION_KEYWORDS_ISSR_208000027_136E">#REF!,#REF!</definedName>
    <definedName name="A_ALL_SECTION_KEYWORDS_ISSR_208000402_136J">#REF!,#REF!</definedName>
    <definedName name="A_ALL_SECTION_KEYWORDS_ISSR_208000430_136E">#REF!,#REF!</definedName>
    <definedName name="A_ALL_SECTION_KEYWORDS_ISSR_208000435_136E">#REF!,#REF!</definedName>
    <definedName name="A_ALL_SECTION_KEYWORDS_ISSR_208000435_136J">#REF!,#REF!</definedName>
    <definedName name="A_ALL_SECTION_KEYWORDS_ISSR_208000468_13V">#REF!,#REF!</definedName>
    <definedName name="A_ALL_SECTION_KEYWORDS_ISSR_208000603_1314">#REF!</definedName>
    <definedName name="A_ALL_SECTION_KEYWORDS_ISSR_208000603_13168">#REF!</definedName>
    <definedName name="A_ALL_SECTION_KEYWORDS_ISSR_208000603_1319">#REF!</definedName>
    <definedName name="A_ALL_SECTION_KEYWORDS_ISSR_208000603_131E">#REF!</definedName>
    <definedName name="A_ALL_SECTION_KEYWORDS_ISSR_208000603_131J">#REF!</definedName>
    <definedName name="A_ALL_SECTION_KEYWORDS_ISSR_208000603_131O">#REF!</definedName>
    <definedName name="A_ALL_SECTION_KEYWORDS_ISSR_208000603_131P">#REF!</definedName>
    <definedName name="A_ALL_SECTION_KEYWORDS_ISSR_208000603_13A">#REF!</definedName>
    <definedName name="A_ALL_SECTION_KEYWORDS_ISSR_208000603_13U">#REF!</definedName>
    <definedName name="A_ALL_SECTION_KEYWORDS_ISSR_208000603_13V">#REF!</definedName>
    <definedName name="A_ALL_SECTION_KEYWORDS_ISSR_208000603_Reference_Data">#REF!</definedName>
    <definedName name="A_ALL_SECTION_KEYWORDS_ISSR_208000826_136J">#REF!,#REF!</definedName>
    <definedName name="A_ALL_SECTION_KEYWORDS_ISSR_208000827_136J">#REF!,#REF!</definedName>
    <definedName name="A_ALL_SECTION_KEYWORDS_ISSR_208000836_131O">#REF!,#REF!</definedName>
    <definedName name="A_ALL_SECTION_KEYWORDS_ISSR_208000976_1314">#REF!</definedName>
    <definedName name="A_ALL_SECTION_KEYWORDS_ISSR_208000976_13168">#REF!</definedName>
    <definedName name="A_ALL_SECTION_KEYWORDS_ISSR_208000976_1316T">#REF!</definedName>
    <definedName name="A_ALL_SECTION_KEYWORDS_ISSR_208000976_1316U">#REF!</definedName>
    <definedName name="A_ALL_SECTION_KEYWORDS_ISSR_208000976_1319">#REF!</definedName>
    <definedName name="A_ALL_SECTION_KEYWORDS_ISSR_208000976_131E">#REF!</definedName>
    <definedName name="A_ALL_SECTION_KEYWORDS_ISSR_208000976_131J">#REF!</definedName>
    <definedName name="A_ALL_SECTION_KEYWORDS_ISSR_208000976_131O">#REF!</definedName>
    <definedName name="A_ALL_SECTION_KEYWORDS_ISSR_208000976_136E">#REF!,#REF!</definedName>
    <definedName name="A_ALL_SECTION_KEYWORDS_ISSR_208000976_13A">#REF!</definedName>
    <definedName name="A_ALL_SECTION_KEYWORDS_ISSR_208000976_13U">#REF!</definedName>
    <definedName name="A_ALL_SECTION_KEYWORDS_ISSR_208000976_13V">#REF!,#REF!</definedName>
    <definedName name="A_ALL_SECTION_KEYWORDS_ISSR_208000976_Reference_Data">#REF!</definedName>
    <definedName name="A_ALL_SECTION_KEYWORDS_ISSR_208000977_136E">#REF!,#REF!</definedName>
    <definedName name="A_ALL_SECTION_KEYWORDS_ISSR_208001018_13168">#REF!</definedName>
    <definedName name="A_ALL_SECTION_KEYWORDS_ISSR_208001018_136E">#REF!,#REF!</definedName>
    <definedName name="A_ALL_SECTION_KEYWORDS_ISSR_208001018_13V">#REF!</definedName>
    <definedName name="A_ALL_SECTION_KEYWORDS_ISSR_208001048_1314">#REF!</definedName>
    <definedName name="A_ALL_SECTION_KEYWORDS_ISSR_208001048_1319">#REF!</definedName>
    <definedName name="A_ALL_SECTION_KEYWORDS_ISSR_208001048_131E">#REF!</definedName>
    <definedName name="A_ALL_SECTION_KEYWORDS_ISSR_208001048_13V">#REF!</definedName>
    <definedName name="A_ALL_SECTION_KEYWORDS_ISSR_208001204_136J">#REF!,#REF!</definedName>
    <definedName name="A_ALL_SECTION_KEYWORDS_ISSR_208001217_13168">#REF!,#REF!</definedName>
    <definedName name="A_ALL_SECTION_KEYWORDS_ISSR_208001217_136E">#REF!,#REF!</definedName>
    <definedName name="A_ALL_SECTION_KEYWORDS_ISSR_208001258_1314">#REF!</definedName>
    <definedName name="A_ALL_SECTION_KEYWORDS_ISSR_208001258_13168">#REF!</definedName>
    <definedName name="A_ALL_SECTION_KEYWORDS_ISSR_208001258_1316T">#REF!</definedName>
    <definedName name="A_ALL_SECTION_KEYWORDS_ISSR_208001258_1316U">#REF!</definedName>
    <definedName name="A_ALL_SECTION_KEYWORDS_ISSR_208001258_1319">#REF!</definedName>
    <definedName name="A_ALL_SECTION_KEYWORDS_ISSR_208001258_131E">#REF!</definedName>
    <definedName name="A_ALL_SECTION_KEYWORDS_ISSR_208001258_131J">#REF!</definedName>
    <definedName name="A_ALL_SECTION_KEYWORDS_ISSR_208001258_131O">#REF!</definedName>
    <definedName name="A_ALL_SECTION_KEYWORDS_ISSR_208001258_13A">#REF!</definedName>
    <definedName name="A_ALL_SECTION_KEYWORDS_ISSR_208001258_13U">#REF!</definedName>
    <definedName name="A_ALL_SECTION_KEYWORDS_ISSR_208001258_13V">#REF!</definedName>
    <definedName name="A_ALL_SECTION_KEYWORDS_ISSR_208001258_Reference_Data">#REF!</definedName>
    <definedName name="A_ALL_SECTION_KEYWORDS_ISSR_208001370_1314">#REF!</definedName>
    <definedName name="A_ALL_SECTION_KEYWORDS_ISSR_208001370_1319">#REF!</definedName>
    <definedName name="A_ALL_SECTION_KEYWORDS_ISSR_208001370_131E">#REF!</definedName>
    <definedName name="A_ALL_SECTION_KEYWORDS_ISSR_208001370_13V">#REF!</definedName>
    <definedName name="A_ALL_SECTION_KEYWORDS_ISSR_208001515_1314">#REF!</definedName>
    <definedName name="A_ALL_SECTION_KEYWORDS_ISSR_208001515_1319">#REF!</definedName>
    <definedName name="A_ALL_SECTION_KEYWORDS_ISSR_208001515_131E">#REF!</definedName>
    <definedName name="A_ALL_SECTION_KEYWORDS_ISSR_208001515_13V">#REF!</definedName>
    <definedName name="A_ALL_SECTION_KEYWORDS_ISSR_208001562_131O">#REF!,#REF!</definedName>
    <definedName name="A_ALL_SECTION_KEYWORDS_ISSR_208001627_131O">#REF!,#REF!</definedName>
    <definedName name="A_ALL_SECTION_KEYWORDS_ISSR_208001627_136J">#REF!</definedName>
    <definedName name="A_ALL_SECTION_KEYWORDS_ISSR_208001640_13V">#REF!,#REF!</definedName>
    <definedName name="A_ALL_SECTION_KEYWORDS_ISSR_208001765_1314">#REF!</definedName>
    <definedName name="A_ALL_SECTION_KEYWORDS_ISSR_208001765_13168">#REF!,#REF!</definedName>
    <definedName name="A_ALL_SECTION_KEYWORDS_ISSR_208001765_1316T">#REF!</definedName>
    <definedName name="A_ALL_SECTION_KEYWORDS_ISSR_208001765_1319">#REF!</definedName>
    <definedName name="A_ALL_SECTION_KEYWORDS_ISSR_208001765_131E">#REF!</definedName>
    <definedName name="A_ALL_SECTION_KEYWORDS_ISSR_208001765_136E">#REF!,#REF!</definedName>
    <definedName name="A_ALL_SECTION_KEYWORDS_ISSR_208001765_13V">#REF!,#REF!</definedName>
    <definedName name="A_ALL_SECTION_KEYWORDS_ISSR_208001785_13V">#REF!,#REF!</definedName>
    <definedName name="A_ALL_SECTION_KEYWORDS_ISSR_208002651_13V">#REF!,#REF!</definedName>
    <definedName name="A_ALL_SECTION_KEYWORDS_ISSR_208005795_136E">#REF!,#REF!</definedName>
    <definedName name="A_ALL_SECTION_KEYWORDS_ISSR_208006029_13V">#REF!,#REF!</definedName>
    <definedName name="A_ALL_SECTION_KEYWORDS_ISSR_208007452_136J">#REF!,#REF!</definedName>
    <definedName name="A_ALL_SECTION_KEYWORDS_ISSR_208007452_13V">#REF!,#REF!</definedName>
    <definedName name="A_ALL_SECTION_KEYWORDS_ISSR_208007986_13168">#REF!,#REF!</definedName>
    <definedName name="A_ALL_SECTION_KEYWORDS_ISSR_208007986_136E">#REF!,#REF!</definedName>
    <definedName name="A_ALL_SECTION_KEYWORDS_ISSR_208007986_13V">#REF!,#REF!</definedName>
    <definedName name="A_ALL_SECTION_KEYWORDS_ISSR_208008030_1316P">#REF!,#REF!</definedName>
    <definedName name="A_ALL_SECTION_KEYWORDS_ISSR_208008030_131Y">#REF!,#REF!</definedName>
    <definedName name="A_ALL_SECTION_KEYWORDS_ISSR_208008030_134L">#REF!,#REF!</definedName>
    <definedName name="A_ALL_SECTION_KEYWORDS_ISSR_208008836_136E">#REF!,#REF!</definedName>
    <definedName name="A_ALL_SECTION_KEYWORDS_ISSR_208009722_1314">#REF!</definedName>
    <definedName name="A_ALL_SECTION_KEYWORDS_ISSR_208009722_13168">#REF!</definedName>
    <definedName name="A_ALL_SECTION_KEYWORDS_ISSR_208009722_1319">#REF!</definedName>
    <definedName name="A_ALL_SECTION_KEYWORDS_ISSR_208009722_131E">#REF!</definedName>
    <definedName name="A_ALL_SECTION_KEYWORDS_ISSR_208009722_131J">#REF!</definedName>
    <definedName name="A_ALL_SECTION_KEYWORDS_ISSR_208009722_131O">#REF!</definedName>
    <definedName name="A_ALL_SECTION_KEYWORDS_ISSR_208009722_13A">#REF!</definedName>
    <definedName name="A_ALL_SECTION_KEYWORDS_ISSR_208009722_13U">#REF!</definedName>
    <definedName name="A_ALL_SECTION_KEYWORDS_ISSR_208009722_13V">#REF!</definedName>
    <definedName name="A_ALL_SECTION_KEYWORDS_ISSR_208009722_Reference_Data">#REF!</definedName>
    <definedName name="A_ALL_SECTION_KEYWORDS_ISSR_208011028_131O">#REF!,#REF!</definedName>
    <definedName name="A_ALL_SECTION_KEYWORDS_ISSR_208011556_1314">#REF!</definedName>
    <definedName name="A_ALL_SECTION_KEYWORDS_ISSR_208011556_13168">#REF!</definedName>
    <definedName name="A_ALL_SECTION_KEYWORDS_ISSR_208011556_1316T">#REF!</definedName>
    <definedName name="A_ALL_SECTION_KEYWORDS_ISSR_208011556_1316U">#REF!</definedName>
    <definedName name="A_ALL_SECTION_KEYWORDS_ISSR_208011556_1319">#REF!</definedName>
    <definedName name="A_ALL_SECTION_KEYWORDS_ISSR_208011556_131E">#REF!</definedName>
    <definedName name="A_ALL_SECTION_KEYWORDS_ISSR_208011556_131J">#REF!</definedName>
    <definedName name="A_ALL_SECTION_KEYWORDS_ISSR_208011556_131O">#REF!</definedName>
    <definedName name="A_ALL_SECTION_KEYWORDS_ISSR_208011556_136E">#REF!,#REF!</definedName>
    <definedName name="A_ALL_SECTION_KEYWORDS_ISSR_208011556_13A">#REF!</definedName>
    <definedName name="A_ALL_SECTION_KEYWORDS_ISSR_208011556_13U">#REF!</definedName>
    <definedName name="A_ALL_SECTION_KEYWORDS_ISSR_208011556_13V">#REF!</definedName>
    <definedName name="A_ALL_SECTION_KEYWORDS_ISSR_208011556_Reference_Data">#REF!</definedName>
    <definedName name="A_ALL_SECTION_KEYWORDS_ISSR_208011888_136E">#REF!,#REF!</definedName>
    <definedName name="A_ALL_SECTION_KEYWORDS_ISSR_208012959_13V">#REF!,#REF!</definedName>
    <definedName name="A_ALL_SECTION_KEYWORDS_ISSR_208013278_136E">#REF!,#REF!</definedName>
    <definedName name="A_ALL_SECTION_KEYWORDS_ISSR_208015351_13168">#REF!,#REF!</definedName>
    <definedName name="A_ALL_SECTION_KEYWORDS_ISSR_208015351_136E">#REF!,#REF!</definedName>
    <definedName name="A_ALL_SECTION_KEYWORDS_ISSR_208017249_13168">#REF!</definedName>
    <definedName name="A_ALL_SECTION_KEYWORDS_ISSR_208017249_1319">#REF!</definedName>
    <definedName name="A_ALL_SECTION_KEYWORDS_ISSR_208018132_131O">#REF!,#REF!</definedName>
    <definedName name="A_ALL_SECTION_KEYWORDS_ISSR_208018133_1314">#REF!</definedName>
    <definedName name="A_ALL_SECTION_KEYWORDS_ISSR_208018133_1319">#REF!</definedName>
    <definedName name="A_ALL_SECTION_KEYWORDS_ISSR_208018133_131E">#REF!</definedName>
    <definedName name="A_ALL_SECTION_KEYWORDS_ISSR_208018133_13V">#REF!,#REF!</definedName>
    <definedName name="A_ALL_SECTION_KEYWORDS_ISSR_208018253_131O">#REF!,#REF!</definedName>
    <definedName name="A_ALL_SECTION_KEYWORDS_ISSR_208020566_131O">#REF!,#REF!</definedName>
    <definedName name="A_ALL_SECTION_KEYWORDS_ISSR_208020919_131O">#REF!,#REF!</definedName>
    <definedName name="A_ALL_SECTION_KEYWORDS_ISSR_208020919_136J">#REF!,#REF!</definedName>
    <definedName name="A_ALL_SECTIONS_EQTY_200000304">#REF!,#REF!,#REF!,#REF!,#REF!,#REF!,#REF!,#REF!,#REF!,#REF!</definedName>
    <definedName name="A_ALL_SECTIONS_EQTY_200001265">#REF!,#REF!,#REF!,#REF!,#REF!,#REF!,#REF!,#REF!,#REF!,#REF!</definedName>
    <definedName name="A_ALL_SECTIONS_EQTY_200001320">#REF!,#REF!,#REF!,#REF!,#REF!,#REF!,#REF!,#REF!,#REF!,#REF!</definedName>
    <definedName name="A_ALL_SECTIONS_EQTY_200001330">#REF!,#REF!,#REF!,#REF!,#REF!,#REF!,#REF!,#REF!,#REF!,#REF!</definedName>
    <definedName name="A_ALL_SECTIONS_EQTY_200001353">#REF!,#REF!,#REF!,#REF!,#REF!,#REF!,#REF!,#REF!</definedName>
    <definedName name="A_ALL_SECTIONS_EQTY_200001371">#REF!,#REF!,#REF!,#REF!,#REF!,#REF!,#REF!,#REF!</definedName>
    <definedName name="A_ALL_SECTIONS_EQTY_200001381">#REF!,#REF!,#REF!,#REF!,#REF!,#REF!,#REF!,#REF!,#REF!,#REF!</definedName>
    <definedName name="A_ALL_SECTIONS_EQTY_200001646">#REF!,#REF!,#REF!,#REF!,#REF!,#REF!,#REF!,#REF!,#REF!,#REF!,#REF!</definedName>
    <definedName name="A_ALL_SECTIONS_EQTY_200002831">#REF!,#REF!,#REF!,#REF!,#REF!,#REF!,#REF!,#REF!,#REF!,#REF!</definedName>
    <definedName name="A_ALL_SECTIONS_EQTY_200002833">#REF!,#REF!,#REF!,#REF!,#REF!,#REF!,#REF!,#REF!,#REF!,#REF!</definedName>
    <definedName name="A_ALL_SECTIONS_EQTY_200003037">#REF!,#REF!,#REF!,#REF!,#REF!,#REF!,#REF!,#REF!,#REF!,#REF!</definedName>
    <definedName name="A_ALL_SECTIONS_EQTY_200003892">#REF!,#REF!,#REF!,#REF!,#REF!,#REF!,#REF!,#REF!,#REF!,#REF!</definedName>
    <definedName name="A_ALL_SECTIONS_EQTY_200004419">#REF!,#REF!,#REF!,#REF!,#REF!,#REF!,#REF!,#REF!,#REF!,#REF!</definedName>
    <definedName name="A_ALL_SECTIONS_EQTY_200005326">#REF!,#REF!,#REF!,#REF!,#REF!,#REF!,#REF!,#REF!,#REF!,#REF!</definedName>
    <definedName name="A_ALL_SECTIONS_EQTY_200006232">#REF!,#REF!,#REF!,#REF!,#REF!,#REF!,#REF!,#REF!,#REF!,#REF!</definedName>
    <definedName name="A_ALL_SECTIONS_EQTY_200009556">#REF!,#REF!,#REF!,#REF!,#REF!,#REF!,#REF!,#REF!,#REF!,#REF!</definedName>
    <definedName name="A_ALL_SECTIONS_EQTY_200011598">#REF!,#REF!,#REF!,#REF!,#REF!,#REF!,#REF!,#REF!,#REF!,#REF!</definedName>
    <definedName name="A_ALL_SECTIONS_EQTY_200012762">#REF!,#REF!,#REF!,#REF!,#REF!,#REF!,#REF!,#REF!,#REF!,#REF!</definedName>
    <definedName name="A_ALL_SECTIONS_EQTY_200014300">#REF!,#REF!,#REF!,#REF!,#REF!,#REF!,#REF!,#REF!,#REF!,#REF!</definedName>
    <definedName name="A_ALL_SECTIONS_EQTY_200014493">#REF!,#REF!,#REF!,#REF!,#REF!,#REF!,#REF!,#REF!,#REF!,#REF!</definedName>
    <definedName name="A_ALL_SECTIONS_EQTY_200014750">#REF!,#REF!,#REF!,#REF!,#REF!,#REF!,#REF!,#REF!,#REF!,#REF!</definedName>
    <definedName name="A_ALL_SECTIONS_EQTY_200015107">#REF!,#REF!,#REF!,#REF!,#REF!,#REF!,#REF!,#REF!,#REF!,#REF!</definedName>
    <definedName name="A_ALL_SECTIONS_EQTY_200015716">#REF!,#REF!,#REF!,#REF!,#REF!,#REF!,#REF!,#REF!,#REF!,#REF!</definedName>
    <definedName name="A_ALL_SECTIONS_EQTY_200015757">#REF!,#REF!,#REF!,#REF!,#REF!,#REF!,#REF!,#REF!,#REF!,#REF!,#REF!</definedName>
    <definedName name="A_ALL_SECTIONS_EQTY_200016026">#REF!,#REF!,#REF!,#REF!,#REF!,#REF!,#REF!,#REF!,#REF!,#REF!,#REF!</definedName>
    <definedName name="A_ALL_SECTIONS_EQTY_200017745">#REF!,#REF!,#REF!,#REF!,#REF!,#REF!,#REF!,#REF!,#REF!,#REF!</definedName>
    <definedName name="A_ALL_SECTIONS_ISSR_208000430">#REF!,#REF!,#REF!,#REF!,#REF!,#REF!,#REF!,#REF!,#REF!,#REF!,#REF!</definedName>
    <definedName name="A_ALL_SECTIONS_ISSR_208000451">#REF!,#REF!,#REF!,#REF!,#REF!,#REF!,#REF!,#REF!,#REF!,#REF!</definedName>
    <definedName name="A_ALL_SECTIONS_ISSR_208000603">#REF!,#REF!,#REF!,#REF!,#REF!,#REF!,#REF!,#REF!,#REF!,#REF!,#REF!</definedName>
    <definedName name="A_ALL_SECTIONS_ISSR_208000977">#REF!,#REF!,#REF!,#REF!,#REF!,#REF!,#REF!,#REF!,#REF!,#REF!,#REF!</definedName>
    <definedName name="A_ALL_SECTIONS_ISSR_208001049">#REF!,#REF!,#REF!,#REF!,#REF!,#REF!,#REF!,#REF!,#REF!,#REF!,#REF!</definedName>
    <definedName name="A_ALL_SECTIONS_ISSR_208001137">#REF!,#REF!,#REF!,#REF!,#REF!,#REF!,#REF!,#REF!,#REF!,#REF!,#REF!</definedName>
    <definedName name="A_ALL_SECTIONS_ISSR_208001258">#REF!,#REF!,#REF!,#REF!,#REF!,#REF!,#REF!,#REF!,#REF!,#REF!,#REF!</definedName>
    <definedName name="A_ALL_SECTIONS_ISSR_208001515">#REF!,#REF!,#REF!,#REF!,#REF!,#REF!,#REF!,#REF!,#REF!,#REF!</definedName>
    <definedName name="A_ALL_SECTIONS_ISSR_208005795">#REF!,#REF!,#REF!,#REF!,#REF!,#REF!,#REF!,#REF!,#REF!,#REF!,#REF!</definedName>
    <definedName name="A_ALL_SECTIONS_ISSR_208007359">#REF!,#REF!,#REF!,#REF!,#REF!,#REF!,#REF!,#REF!,#REF!,#REF!</definedName>
    <definedName name="A_ALL_SECTIONS_ISSR_208009722">#REF!,#REF!,#REF!,#REF!,#REF!,#REF!,#REF!,#REF!,#REF!,#REF!</definedName>
    <definedName name="A_ALL_SECTIONS_ISSR_208010209">#REF!,#REF!,#REF!,#REF!,#REF!,#REF!,#REF!,#REF!,#REF!,#REF!,#REF!</definedName>
    <definedName name="A_ALL_SECTIONS_ISSR_208011072">#REF!,#REF!,#REF!,#REF!,#REF!,#REF!,#REF!,#REF!,#REF!,#REF!,#REF!</definedName>
    <definedName name="A_ALL_SECTIONS_ISSR_208011212">#REF!,#REF!,#REF!,#REF!,#REF!,#REF!,#REF!,#REF!,#REF!,#REF!,#REF!</definedName>
    <definedName name="A_ALL_SECTIONS_ISSR_208012959">#REF!,#REF!,#REF!,#REF!,#REF!,#REF!,#REF!,#REF!,#REF!,#REF!,#REF!,#REF!,#REF!</definedName>
    <definedName name="A_ALL_SECTIONS_ISSR_208015351">#REF!,#REF!,#REF!,#REF!,#REF!,#REF!,#REF!,#REF!,#REF!,#REF!,#REF!</definedName>
    <definedName name="A_ALL_SEMI">#REF!</definedName>
    <definedName name="A_ALL_T">#REF!</definedName>
    <definedName name="A_ALL_TEL">#REF!</definedName>
    <definedName name="A_ALL_TMUS">#REF!</definedName>
    <definedName name="A_ALL_TWKS">#REF!</definedName>
    <definedName name="A_ALL_VMW_">#REF!</definedName>
    <definedName name="A_ALL_VSM">#REF!</definedName>
    <definedName name="A_ALL_VZ">#REF!</definedName>
    <definedName name="A_ALL_WIN_">#REF!</definedName>
    <definedName name="A_ALL_ZAYO">#REF!</definedName>
    <definedName name="A_ALL_ZS">#REF!</definedName>
    <definedName name="A_ALL_ZS_OLD">#REF!</definedName>
    <definedName name="A_CONSTANT">#REF!,#REF!,#REF!,#REF!,#REF!</definedName>
    <definedName name="A_CURRENCY_EQTY_200001646_PRI">#REF!</definedName>
    <definedName name="A_CURRENCY_EQTY_200001646_PUB">#REF!</definedName>
    <definedName name="A_CURRENCY_EQTY_200001646_REP">#REF!</definedName>
    <definedName name="A_CURRENCY_EQTY_200002831_PRI">#REF!</definedName>
    <definedName name="A_CURRENCY_EQTY_200002831_PUB">#REF!</definedName>
    <definedName name="A_CURRENCY_EQTY_200002831_REP">#REF!</definedName>
    <definedName name="A_CURRENCY_EQTY_200004419_PRI">#REF!</definedName>
    <definedName name="A_CURRENCY_EQTY_200004419_PUB">#REF!</definedName>
    <definedName name="A_CURRENCY_EQTY_200004419_REP">#REF!</definedName>
    <definedName name="A_CURRENCY_EQTY_200012762_PRI">#REF!</definedName>
    <definedName name="A_CURRENCY_EQTY_200012762_PUB">#REF!</definedName>
    <definedName name="A_CURRENCY_EQTY_200012762_REP">#REF!</definedName>
    <definedName name="A_CURRENCY_EQTY_200014750_PRI">#REF!</definedName>
    <definedName name="A_CURRENCY_EQTY_200014750_PUB">#REF!</definedName>
    <definedName name="A_CURRENCY_EQTY_200014750_REP">#REF!</definedName>
    <definedName name="A_CURRENCY_ISSR_208000603_REP">#REF!</definedName>
    <definedName name="A_CURRENCY_ISSR_208000976_REP">#REF!</definedName>
    <definedName name="A_CURRENCY_ISSR_208001258_REP">#REF!</definedName>
    <definedName name="A_CURRENCY_ISSR_208009722_REP">#REF!</definedName>
    <definedName name="A_CURRENCY_ISSR_208011556_REP">#REF!</definedName>
    <definedName name="A_detail">#REF!,#REF!,#REF!,#REF!,#REF!,#REF!,#REF!</definedName>
    <definedName name="A_ENTITY_DATA_EQTY_200001646">#REF!</definedName>
    <definedName name="A_ENTITY_DATA_EQTY_200012762">#REF!</definedName>
    <definedName name="A_ENTITY_DATA_ISSR_208000603">#REF!</definedName>
    <definedName name="A_ENTITY_DATA_ISSR_208009722">#REF!</definedName>
    <definedName name="a_is">#REF!</definedName>
    <definedName name="A_KEYWORD_EQTY_200001646_ACT1">#REF!</definedName>
    <definedName name="A_KEYWORD_EQTY_200001646_AMER_CONVICTION">#REF!</definedName>
    <definedName name="A_KEYWORD_EQTY_200001646_AMER_LIST">#REF!</definedName>
    <definedName name="A_KEYWORD_EQTY_200001646_BETA_ANALYST">#REF!</definedName>
    <definedName name="A_KEYWORD_EQTY_200001646_BVPS">#REF!</definedName>
    <definedName name="A_KEYWORD_EQTY_200001646_BVPS_PUB">#REF!</definedName>
    <definedName name="A_KEYWORD_EQTY_200001646_CF_NI_PRE_PREF">#REF!</definedName>
    <definedName name="A_KEYWORD_EQTY_200001646_COMMON_DIV_PAID">#REF!</definedName>
    <definedName name="A_KEYWORD_EQTY_200001646_CURRENCY_ISO">#REF!</definedName>
    <definedName name="A_KEYWORD_EQTY_200001646_DILUTE_SHARES">#REF!</definedName>
    <definedName name="A_KEYWORD_EQTY_200001646_DPS">#REF!</definedName>
    <definedName name="A_KEYWORD_EQTY_200001646_DPS_PUB">#REF!</definedName>
    <definedName name="A_KEYWORD_EQTY_200001646_EBIT_PUB">#REF!</definedName>
    <definedName name="A_KEYWORD_EQTY_200001646_EBITDA_PUB">#REF!</definedName>
    <definedName name="A_KEYWORD_EQTY_200001646_EPS">#REF!</definedName>
    <definedName name="A_KEYWORD_EQTY_200001646_EPS_EX_ESO_B">#REF!</definedName>
    <definedName name="A_KEYWORD_EQTY_200001646_EPS_EX_ESO_D">#REF!</definedName>
    <definedName name="A_KEYWORD_EQTY_200001646_EPS_FUL_DIL">#REF!</definedName>
    <definedName name="A_KEYWORD_EQTY_200001646_EPS_POST_BASIC">#REF!</definedName>
    <definedName name="A_KEYWORD_EQTY_200001646_EPS_PUB">#REF!</definedName>
    <definedName name="A_KEYWORD_EQTY_200001646_EPS_PUB_EX_ESO">#REF!</definedName>
    <definedName name="A_KEYWORD_EQTY_200001646_EQ_PUB">#REF!</definedName>
    <definedName name="A_KEYWORD_EQTY_200001646_ESO_POST_TAX">#REF!</definedName>
    <definedName name="A_KEYWORD_EQTY_200001646_ESO_YEAR">#REF!</definedName>
    <definedName name="A_KEYWORD_EQTY_200001646_EV_ADJ_PUB">#REF!</definedName>
    <definedName name="A_KEYWORD_EQTY_200001646_FREE_FLOAT">#REF!</definedName>
    <definedName name="A_KEYWORD_EQTY_200001646_FULLY_DIL_EPS">#REF!</definedName>
    <definedName name="A_KEYWORD_EQTY_200001646_FV_GRANT">#REF!</definedName>
    <definedName name="A_KEYWORD_EQTY_200001646_GT_BETA">#REF!</definedName>
    <definedName name="A_KEYWORD_EQTY_200001646_INC_MINORITY">#REF!</definedName>
    <definedName name="A_KEYWORD_EQTY_200001646_Interim_Type">#REF!</definedName>
    <definedName name="A_KEYWORD_EQTY_200001646_LEGAL_RATING">#REF!</definedName>
    <definedName name="A_KEYWORD_EQTY_200001646_MARGIN_TAX_RATE">#REF!</definedName>
    <definedName name="A_KEYWORD_EQTY_200001646_MKT_EQ_RISK_PREM">#REF!</definedName>
    <definedName name="A_KEYWORD_EQTY_200001646_NET_DEBT_PUB">#REF!</definedName>
    <definedName name="A_KEYWORD_EQTY_200001646_NET_EARNING">#REF!</definedName>
    <definedName name="A_KEYWORD_EQTY_200001646_NET_INC">#REF!</definedName>
    <definedName name="A_KEYWORD_EQTY_200001646_NI_PRE_PREF">#REF!</definedName>
    <definedName name="A_KEYWORD_EQTY_200001646_NI_PUB">#REF!</definedName>
    <definedName name="A_KEYWORD_EQTY_200001646_NON_OP_ADD">#REF!</definedName>
    <definedName name="A_KEYWORD_EQTY_200001646_NUM_SH">#REF!</definedName>
    <definedName name="A_KEYWORD_EQTY_200001646_PREF_DIV">#REF!</definedName>
    <definedName name="A_KEYWORD_EQTY_200001646_PRICE_CURRENCY_ISO">#REF!</definedName>
    <definedName name="A_KEYWORD_EQTY_200001646_PROV_INC_TAX">#REF!</definedName>
    <definedName name="A_KEYWORD_EQTY_200001646_PTP_PUB">#REF!</definedName>
    <definedName name="A_KEYWORD_EQTY_200001646_PUB_CURRENCY_ISO">#REF!</definedName>
    <definedName name="A_KEYWORD_EQTY_200001646_REPUR_ACTUAL">#REF!</definedName>
    <definedName name="A_KEYWORD_EQTY_200001646_REPUR_REMAINING">#REF!</definedName>
    <definedName name="A_KEYWORD_EQTY_200001646_REPUR_SUSPENDED">#REF!</definedName>
    <definedName name="A_KEYWORD_EQTY_200001646_REPUR_TOT_AUTH">#REF!</definedName>
    <definedName name="A_KEYWORD_EQTY_200001646_REVS_PUB">#REF!</definedName>
    <definedName name="A_KEYWORD_EQTY_200001646_RISK_FR_RATE">#REF!</definedName>
    <definedName name="A_KEYWORD_EQTY_200001646_Security_Name">#REF!</definedName>
    <definedName name="A_KEYWORD_EQTY_200001646_SH">#REF!</definedName>
    <definedName name="A_KEYWORD_EQTY_200001646_TARGET_PRICE">#REF!</definedName>
    <definedName name="A_KEYWORD_EQTY_200001646_TAX_EXC">#REF!</definedName>
    <definedName name="A_KEYWORD_EQTY_200001646_Ticker">#REF!</definedName>
    <definedName name="A_KEYWORD_EQTY_200001646_TP_PERIOD">#REF!</definedName>
    <definedName name="A_KEYWORD_EQTY_200002831_ACT1">#REF!</definedName>
    <definedName name="A_KEYWORD_EQTY_200002831_ACT2">#REF!</definedName>
    <definedName name="A_KEYWORD_EQTY_200002831_ACT3">#REF!</definedName>
    <definedName name="A_KEYWORD_EQTY_200002831_ACT4">#REF!</definedName>
    <definedName name="A_KEYWORD_EQTY_200002831_ACT5">#REF!</definedName>
    <definedName name="A_KEYWORD_EQTY_200002831_ACT6">#REF!</definedName>
    <definedName name="A_KEYWORD_EQTY_200002831_ACT7">#REF!</definedName>
    <definedName name="A_KEYWORD_EQTY_200002831_ACT8">#REF!</definedName>
    <definedName name="A_KEYWORD_EQTY_200002831_ACT9">#REF!</definedName>
    <definedName name="A_KEYWORD_EQTY_200002831_AMER_CONVICTION">#REF!</definedName>
    <definedName name="A_KEYWORD_EQTY_200002831_AMER_LIST">#REF!</definedName>
    <definedName name="A_KEYWORD_EQTY_200002831_BETA_ANALYST">#REF!</definedName>
    <definedName name="A_KEYWORD_EQTY_200002831_BVPS">#REF!</definedName>
    <definedName name="A_KEYWORD_EQTY_200002831_BVPS_PUB">#REF!</definedName>
    <definedName name="A_KEYWORD_EQTY_200002831_CF_NI_PRE_PREF">#REF!</definedName>
    <definedName name="A_KEYWORD_EQTY_200002831_COMMON_DIV_PAID">#REF!</definedName>
    <definedName name="A_KEYWORD_EQTY_200002831_CURRENCY_ISO">#REF!</definedName>
    <definedName name="A_KEYWORD_EQTY_200002831_DILUTE_SHARES">#REF!</definedName>
    <definedName name="A_KEYWORD_EQTY_200002831_DPS">#REF!</definedName>
    <definedName name="A_KEYWORD_EQTY_200002831_DPS_PUB">#REF!</definedName>
    <definedName name="A_KEYWORD_EQTY_200002831_EBIT_PUB">#REF!</definedName>
    <definedName name="A_KEYWORD_EQTY_200002831_EBITDA_PUB">#REF!</definedName>
    <definedName name="A_KEYWORD_EQTY_200002831_EPS">#REF!</definedName>
    <definedName name="A_KEYWORD_EQTY_200002831_EPS_EX_ESO_B">#REF!</definedName>
    <definedName name="A_KEYWORD_EQTY_200002831_EPS_EX_ESO_D">#REF!</definedName>
    <definedName name="A_KEYWORD_EQTY_200002831_EPS_FUL_DIL">#REF!</definedName>
    <definedName name="A_KEYWORD_EQTY_200002831_EPS_POST_BASIC">#REF!</definedName>
    <definedName name="A_KEYWORD_EQTY_200002831_EPS_PUB">#REF!</definedName>
    <definedName name="A_KEYWORD_EQTY_200002831_EPS_PUB_EX_ESO">#REF!</definedName>
    <definedName name="A_KEYWORD_EQTY_200002831_EQ_PUB">#REF!</definedName>
    <definedName name="A_KEYWORD_EQTY_200002831_ESO_POST_TAX">#REF!</definedName>
    <definedName name="A_KEYWORD_EQTY_200002831_ESO_YEAR">#REF!</definedName>
    <definedName name="A_KEYWORD_EQTY_200002831_EV_ADJ_PUB">#REF!</definedName>
    <definedName name="A_KEYWORD_EQTY_200002831_FREE_FLOAT">#REF!</definedName>
    <definedName name="A_KEYWORD_EQTY_200002831_FULLY_DIL_EPS">#REF!</definedName>
    <definedName name="A_KEYWORD_EQTY_200002831_FV_GRANT">#REF!</definedName>
    <definedName name="A_KEYWORD_EQTY_200002831_INC_MINORITY">#REF!</definedName>
    <definedName name="A_KEYWORD_EQTY_200002831_Interim_Type">#REF!</definedName>
    <definedName name="A_KEYWORD_EQTY_200002831_LEGAL_RATING">#REF!</definedName>
    <definedName name="A_KEYWORD_EQTY_200002831_MARGIN_TAX_RATE">#REF!</definedName>
    <definedName name="A_KEYWORD_EQTY_200002831_MKT_EQ_RISK_PREM">#REF!</definedName>
    <definedName name="A_KEYWORD_EQTY_200002831_NET_DEBT_PUB">#REF!</definedName>
    <definedName name="A_KEYWORD_EQTY_200002831_NET_EARNING">#REF!</definedName>
    <definedName name="A_KEYWORD_EQTY_200002831_NET_INC">#REF!</definedName>
    <definedName name="A_KEYWORD_EQTY_200002831_NI_PRE_PREF">#REF!</definedName>
    <definedName name="A_KEYWORD_EQTY_200002831_NI_PUB">#REF!</definedName>
    <definedName name="A_KEYWORD_EQTY_200002831_NON_OP_ADD">#REF!</definedName>
    <definedName name="A_KEYWORD_EQTY_200002831_NUM_SH">#REF!</definedName>
    <definedName name="A_KEYWORD_EQTY_200002831_PREF_DIV">#REF!</definedName>
    <definedName name="A_KEYWORD_EQTY_200002831_PRICE_CURRENCY_ISO">#REF!</definedName>
    <definedName name="A_KEYWORD_EQTY_200002831_PROV_INC_TAX">#REF!</definedName>
    <definedName name="A_KEYWORD_EQTY_200002831_PTP_PUB">#REF!</definedName>
    <definedName name="A_KEYWORD_EQTY_200002831_PUB_CURRENCY_ISO">#REF!</definedName>
    <definedName name="A_KEYWORD_EQTY_200002831_REPUR_ACTUAL">#REF!</definedName>
    <definedName name="A_KEYWORD_EQTY_200002831_REPUR_REMAINING">#REF!</definedName>
    <definedName name="A_KEYWORD_EQTY_200002831_REPUR_SUSPENDED">#REF!</definedName>
    <definedName name="A_KEYWORD_EQTY_200002831_REPUR_TOT_AUTH">#REF!</definedName>
    <definedName name="A_KEYWORD_EQTY_200002831_REVS_PUB">#REF!</definedName>
    <definedName name="A_KEYWORD_EQTY_200002831_RISK_FR_RATE">#REF!</definedName>
    <definedName name="A_KEYWORD_EQTY_200002831_Security_Name">#REF!</definedName>
    <definedName name="A_KEYWORD_EQTY_200002831_SH">#REF!</definedName>
    <definedName name="A_KEYWORD_EQTY_200002831_TARGET_PRICE">#REF!</definedName>
    <definedName name="A_KEYWORD_EQTY_200002831_TAX_EXC">#REF!</definedName>
    <definedName name="A_KEYWORD_EQTY_200002831_Ticker">#REF!</definedName>
    <definedName name="A_KEYWORD_EQTY_200002831_TP_PERIOD">#REF!</definedName>
    <definedName name="A_KEYWORD_EQTY_200004419_ACT1">#REF!</definedName>
    <definedName name="A_KEYWORD_EQTY_200004419_ACT2">#REF!</definedName>
    <definedName name="A_KEYWORD_EQTY_200004419_ACT3">#REF!</definedName>
    <definedName name="A_KEYWORD_EQTY_200004419_ACT4">#REF!</definedName>
    <definedName name="A_KEYWORD_EQTY_200004419_ACT5">#REF!</definedName>
    <definedName name="A_KEYWORD_EQTY_200004419_ACT6">#REF!</definedName>
    <definedName name="A_KEYWORD_EQTY_200004419_ACT7">#REF!</definedName>
    <definedName name="A_KEYWORD_EQTY_200004419_ACT8">#REF!</definedName>
    <definedName name="A_KEYWORD_EQTY_200004419_ACT9">#REF!</definedName>
    <definedName name="A_KEYWORD_EQTY_200004419_AMER_CONVICTION">#REF!</definedName>
    <definedName name="A_KEYWORD_EQTY_200004419_AMER_LIST">#REF!</definedName>
    <definedName name="A_KEYWORD_EQTY_200004419_BETA_ANALYST">#REF!</definedName>
    <definedName name="A_KEYWORD_EQTY_200004419_BVPS">#REF!</definedName>
    <definedName name="A_KEYWORD_EQTY_200004419_BVPS_PUB">#REF!</definedName>
    <definedName name="A_KEYWORD_EQTY_200004419_CEEE_EPS">#REF!</definedName>
    <definedName name="A_KEYWORD_EQTY_200004419_CF_NI_PRE_PREF">#REF!</definedName>
    <definedName name="A_KEYWORD_EQTY_200004419_COMMON_DIV_PAID">#REF!</definedName>
    <definedName name="A_KEYWORD_EQTY_200004419_CURRENCY_ISO">#REF!</definedName>
    <definedName name="A_KEYWORD_EQTY_200004419_DILUTE_SHARES">#REF!</definedName>
    <definedName name="A_KEYWORD_EQTY_200004419_DPS">#REF!</definedName>
    <definedName name="A_KEYWORD_EQTY_200004419_DPS_PUB">#REF!</definedName>
    <definedName name="A_KEYWORD_EQTY_200004419_EBIT_PUB">#REF!</definedName>
    <definedName name="A_KEYWORD_EQTY_200004419_EBITDA_PUB">#REF!</definedName>
    <definedName name="A_KEYWORD_EQTY_200004419_EPS">#REF!</definedName>
    <definedName name="A_KEYWORD_EQTY_200004419_EPS_EX_ESO_B">#REF!</definedName>
    <definedName name="A_KEYWORD_EQTY_200004419_EPS_EX_ESO_D">#REF!</definedName>
    <definedName name="A_KEYWORD_EQTY_200004419_EPS_FUL_DIL">#REF!</definedName>
    <definedName name="A_KEYWORD_EQTY_200004419_EPS_POST_BASIC">#REF!</definedName>
    <definedName name="A_KEYWORD_EQTY_200004419_EPS_PUB">#REF!</definedName>
    <definedName name="A_KEYWORD_EQTY_200004419_EPS_PUB_EX_ESO">#REF!</definedName>
    <definedName name="A_KEYWORD_EQTY_200004419_EQ_PUB">#REF!</definedName>
    <definedName name="A_KEYWORD_EQTY_200004419_ESO_POST_TAX">#REF!</definedName>
    <definedName name="A_KEYWORD_EQTY_200004419_ESO_YEAR">#REF!</definedName>
    <definedName name="A_KEYWORD_EQTY_200004419_EV_ADJ_PUB">#REF!</definedName>
    <definedName name="A_KEYWORD_EQTY_200004419_FREE_FLOAT">#REF!</definedName>
    <definedName name="A_KEYWORD_EQTY_200004419_FULLY_DIL_EPS">#REF!</definedName>
    <definedName name="A_KEYWORD_EQTY_200004419_FV_GRANT">#REF!</definedName>
    <definedName name="A_KEYWORD_EQTY_200004419_INC_MINORITY">#REF!</definedName>
    <definedName name="A_KEYWORD_EQTY_200004419_Interim_Type">#REF!</definedName>
    <definedName name="A_KEYWORD_EQTY_200004419_LEGAL_RATING">#REF!</definedName>
    <definedName name="A_KEYWORD_EQTY_200004419_MARGIN_TAX_RATE">#REF!</definedName>
    <definedName name="A_KEYWORD_EQTY_200004419_MKT_EQ_RISK_PREM">#REF!</definedName>
    <definedName name="A_KEYWORD_EQTY_200004419_NET_DEBT_PUB">#REF!</definedName>
    <definedName name="A_KEYWORD_EQTY_200004419_NET_EARNING">#REF!</definedName>
    <definedName name="A_KEYWORD_EQTY_200004419_NET_INC">#REF!</definedName>
    <definedName name="A_KEYWORD_EQTY_200004419_NI_PRE_PREF">#REF!</definedName>
    <definedName name="A_KEYWORD_EQTY_200004419_NI_PUB">#REF!</definedName>
    <definedName name="A_KEYWORD_EQTY_200004419_NON_OP_ADD">#REF!</definedName>
    <definedName name="A_KEYWORD_EQTY_200004419_NUM_SH">#REF!</definedName>
    <definedName name="A_KEYWORD_EQTY_200004419_PREF_DIV">#REF!</definedName>
    <definedName name="A_KEYWORD_EQTY_200004419_PRICE_CURRENCY_ISO">#REF!</definedName>
    <definedName name="A_KEYWORD_EQTY_200004419_PROV_INC_TAX">#REF!</definedName>
    <definedName name="A_KEYWORD_EQTY_200004419_PTP_PUB">#REF!</definedName>
    <definedName name="A_KEYWORD_EQTY_200004419_PUB_CURRENCY_ISO">#REF!</definedName>
    <definedName name="A_KEYWORD_EQTY_200004419_REPUR_ACTUAL">#REF!</definedName>
    <definedName name="A_KEYWORD_EQTY_200004419_REPUR_REMAINING">#REF!</definedName>
    <definedName name="A_KEYWORD_EQTY_200004419_REPUR_SUSPENDED">#REF!</definedName>
    <definedName name="A_KEYWORD_EQTY_200004419_REPUR_TOT_AUTH">#REF!</definedName>
    <definedName name="A_KEYWORD_EQTY_200004419_REVS_PUB">#REF!</definedName>
    <definedName name="A_KEYWORD_EQTY_200004419_RISK_FR_RATE">#REF!</definedName>
    <definedName name="A_KEYWORD_EQTY_200004419_Security_Name">#REF!</definedName>
    <definedName name="A_KEYWORD_EQTY_200004419_SH">#REF!</definedName>
    <definedName name="A_KEYWORD_EQTY_200004419_TARGET_PRICE">#REF!</definedName>
    <definedName name="A_KEYWORD_EQTY_200004419_TAX_EXC">#REF!</definedName>
    <definedName name="A_KEYWORD_EQTY_200004419_Ticker">#REF!</definedName>
    <definedName name="A_KEYWORD_EQTY_200004419_TP_PERIOD">#REF!</definedName>
    <definedName name="A_KEYWORD_EQTY_200012762_AMER_CONVICTION">#REF!</definedName>
    <definedName name="A_KEYWORD_EQTY_200012762_AMER_LIST">#REF!</definedName>
    <definedName name="A_KEYWORD_EQTY_200012762_BETA_ANALYST">#REF!</definedName>
    <definedName name="A_KEYWORD_EQTY_200012762_BVPS">#REF!</definedName>
    <definedName name="A_KEYWORD_EQTY_200012762_BVPS_PUB">#REF!</definedName>
    <definedName name="A_KEYWORD_EQTY_200012762_CEEE_EPS">#REF!</definedName>
    <definedName name="A_KEYWORD_EQTY_200012762_CF_NI_PRE_PREF">#REF!</definedName>
    <definedName name="A_KEYWORD_EQTY_200012762_COMMON_DIV_PAID">#REF!</definedName>
    <definedName name="A_KEYWORD_EQTY_200012762_CURRENCY_ISO">#REF!</definedName>
    <definedName name="A_KEYWORD_EQTY_200012762_DILUTE_SHARES">#REF!</definedName>
    <definedName name="A_KEYWORD_EQTY_200012762_DPS">#REF!</definedName>
    <definedName name="A_KEYWORD_EQTY_200012762_DPS_PUB">#REF!</definedName>
    <definedName name="A_KEYWORD_EQTY_200012762_EBIT_PUB">#REF!</definedName>
    <definedName name="A_KEYWORD_EQTY_200012762_EBITDA_PUB">#REF!</definedName>
    <definedName name="A_KEYWORD_EQTY_200012762_EPS">#REF!</definedName>
    <definedName name="A_KEYWORD_EQTY_200012762_EPS_EX_ESO_B">#REF!</definedName>
    <definedName name="A_KEYWORD_EQTY_200012762_EPS_EX_ESO_D">#REF!</definedName>
    <definedName name="A_KEYWORD_EQTY_200012762_EPS_FUL_DIL">#REF!</definedName>
    <definedName name="A_KEYWORD_EQTY_200012762_EPS_POST_BASIC">#REF!</definedName>
    <definedName name="A_KEYWORD_EQTY_200012762_EPS_PUB">#REF!</definedName>
    <definedName name="A_KEYWORD_EQTY_200012762_EPS_PUB_EX_ESO">#REF!</definedName>
    <definedName name="A_KEYWORD_EQTY_200012762_EQ_PUB">#REF!</definedName>
    <definedName name="A_KEYWORD_EQTY_200012762_ESO_POST_TAX">#REF!</definedName>
    <definedName name="A_KEYWORD_EQTY_200012762_ESO_YEAR">#REF!</definedName>
    <definedName name="A_KEYWORD_EQTY_200012762_EV_ADJ_PUB">#REF!</definedName>
    <definedName name="A_KEYWORD_EQTY_200012762_FREE_FLOAT">#REF!</definedName>
    <definedName name="A_KEYWORD_EQTY_200012762_FULLY_DIL_EPS">#REF!</definedName>
    <definedName name="A_KEYWORD_EQTY_200012762_FV_GRANT">#REF!</definedName>
    <definedName name="A_KEYWORD_EQTY_200012762_INC_MINORITY">#REF!</definedName>
    <definedName name="A_KEYWORD_EQTY_200012762_Interim_Type">#REF!</definedName>
    <definedName name="A_KEYWORD_EQTY_200012762_LEGAL_RATING">#REF!</definedName>
    <definedName name="A_KEYWORD_EQTY_200012762_MARGIN_TAX_RATE">#REF!</definedName>
    <definedName name="A_KEYWORD_EQTY_200012762_MKT_EQ_RISK_PREM">#REF!</definedName>
    <definedName name="A_KEYWORD_EQTY_200012762_NET_DEBT_PUB">#REF!</definedName>
    <definedName name="A_KEYWORD_EQTY_200012762_NET_EARNING">#REF!</definedName>
    <definedName name="A_KEYWORD_EQTY_200012762_NET_INC">#REF!</definedName>
    <definedName name="A_KEYWORD_EQTY_200012762_NI_PRE_PREF">#REF!</definedName>
    <definedName name="A_KEYWORD_EQTY_200012762_NI_PUB">#REF!</definedName>
    <definedName name="A_KEYWORD_EQTY_200012762_NON_OP_ADD">#REF!</definedName>
    <definedName name="A_KEYWORD_EQTY_200012762_NUM_SH">#REF!</definedName>
    <definedName name="A_KEYWORD_EQTY_200012762_PREF_DIV">#REF!</definedName>
    <definedName name="A_KEYWORD_EQTY_200012762_PRICE_CURRENCY_ISO">#REF!</definedName>
    <definedName name="A_KEYWORD_EQTY_200012762_PROV_INC_TAX">#REF!</definedName>
    <definedName name="A_KEYWORD_EQTY_200012762_PTP_PUB">#REF!</definedName>
    <definedName name="A_KEYWORD_EQTY_200012762_PUB_CURRENCY_ISO">#REF!</definedName>
    <definedName name="A_KEYWORD_EQTY_200012762_REPUR_ACTUAL">#REF!</definedName>
    <definedName name="A_KEYWORD_EQTY_200012762_REPUR_REMAINING">#REF!</definedName>
    <definedName name="A_KEYWORD_EQTY_200012762_REPUR_SUSPENDED">#REF!</definedName>
    <definedName name="A_KEYWORD_EQTY_200012762_REPUR_TOT_AUTH">#REF!</definedName>
    <definedName name="A_KEYWORD_EQTY_200012762_REVS_PUB">#REF!</definedName>
    <definedName name="A_KEYWORD_EQTY_200012762_RISK_FR_RATE">#REF!</definedName>
    <definedName name="A_KEYWORD_EQTY_200012762_Security_Name">#REF!</definedName>
    <definedName name="A_KEYWORD_EQTY_200012762_SH">#REF!</definedName>
    <definedName name="A_KEYWORD_EQTY_200012762_TARGET_PRICE">#REF!</definedName>
    <definedName name="A_KEYWORD_EQTY_200012762_TAX_EXC">#REF!</definedName>
    <definedName name="A_KEYWORD_EQTY_200012762_Ticker">#REF!</definedName>
    <definedName name="A_KEYWORD_EQTY_200012762_TP_PERIOD">#REF!</definedName>
    <definedName name="A_KEYWORD_EQTY_200014750_AMER_CONVICTION">#REF!</definedName>
    <definedName name="A_KEYWORD_EQTY_200014750_AMER_LIST">#REF!</definedName>
    <definedName name="A_KEYWORD_EQTY_200014750_BETA_ANALYST">#REF!</definedName>
    <definedName name="A_KEYWORD_EQTY_200014750_BVPS">#REF!</definedName>
    <definedName name="A_KEYWORD_EQTY_200014750_BVPS_PUB">#REF!</definedName>
    <definedName name="A_KEYWORD_EQTY_200014750_CEEE_EPS">#REF!</definedName>
    <definedName name="A_KEYWORD_EQTY_200014750_CF_NI_PRE_PREF">#REF!</definedName>
    <definedName name="A_KEYWORD_EQTY_200014750_COMMON_DIV_PAID">#REF!</definedName>
    <definedName name="A_KEYWORD_EQTY_200014750_CURRENCY_ISO">#REF!</definedName>
    <definedName name="A_KEYWORD_EQTY_200014750_DILUTE_SHARES">#REF!</definedName>
    <definedName name="A_KEYWORD_EQTY_200014750_DPS">#REF!</definedName>
    <definedName name="A_KEYWORD_EQTY_200014750_DPS_PUB">#REF!</definedName>
    <definedName name="A_KEYWORD_EQTY_200014750_EBIT_PUB">#REF!</definedName>
    <definedName name="A_KEYWORD_EQTY_200014750_EBITDA_PUB">#REF!</definedName>
    <definedName name="A_KEYWORD_EQTY_200014750_EPS">#REF!</definedName>
    <definedName name="A_KEYWORD_EQTY_200014750_EPS_CONS_PUB">#REF!</definedName>
    <definedName name="A_KEYWORD_EQTY_200014750_EPS_EX_ESO_B">#REF!</definedName>
    <definedName name="A_KEYWORD_EQTY_200014750_EPS_EX_ESO_D">#REF!</definedName>
    <definedName name="A_KEYWORD_EQTY_200014750_EPS_FUL_DIL">#REF!</definedName>
    <definedName name="A_KEYWORD_EQTY_200014750_EPS_POST_BASIC">#REF!</definedName>
    <definedName name="A_KEYWORD_EQTY_200014750_EPS_PUB">#REF!</definedName>
    <definedName name="A_KEYWORD_EQTY_200014750_EPS_PUB_EX_ESO">#REF!</definedName>
    <definedName name="A_KEYWORD_EQTY_200014750_EQ_PUB">#REF!</definedName>
    <definedName name="A_KEYWORD_EQTY_200014750_ESO_POST_TAX">#REF!</definedName>
    <definedName name="A_KEYWORD_EQTY_200014750_ESO_YEAR">#REF!</definedName>
    <definedName name="A_KEYWORD_EQTY_200014750_EV_ADJ_PUB">#REF!</definedName>
    <definedName name="A_KEYWORD_EQTY_200014750_FOREIGN_HOLDNG">#REF!</definedName>
    <definedName name="A_KEYWORD_EQTY_200014750_FREE_FLOAT">#REF!</definedName>
    <definedName name="A_KEYWORD_EQTY_200014750_FULLY_DIL_EPS">#REF!</definedName>
    <definedName name="A_KEYWORD_EQTY_200014750_FV_GRANT">#REF!</definedName>
    <definedName name="A_KEYWORD_EQTY_200014750_INC_MINORITY">#REF!</definedName>
    <definedName name="A_KEYWORD_EQTY_200014750_Interim_Type">#REF!</definedName>
    <definedName name="A_KEYWORD_EQTY_200014750_LEGAL_RATING">#REF!</definedName>
    <definedName name="A_KEYWORD_EQTY_200014750_MARGIN_TAX_RATE">#REF!</definedName>
    <definedName name="A_KEYWORD_EQTY_200014750_MKT_EQ_RISK_PREM">#REF!</definedName>
    <definedName name="A_KEYWORD_EQTY_200014750_NET_DEBT_PUB">#REF!</definedName>
    <definedName name="A_KEYWORD_EQTY_200014750_NET_EARNING">#REF!</definedName>
    <definedName name="A_KEYWORD_EQTY_200014750_NET_INC">#REF!</definedName>
    <definedName name="A_KEYWORD_EQTY_200014750_NI_CONS">#REF!</definedName>
    <definedName name="A_KEYWORD_EQTY_200014750_NI_PRE_PREF">#REF!</definedName>
    <definedName name="A_KEYWORD_EQTY_200014750_NI_PUB">#REF!</definedName>
    <definedName name="A_KEYWORD_EQTY_200014750_NON_OP_ADD">#REF!</definedName>
    <definedName name="A_KEYWORD_EQTY_200014750_NUM_SH">#REF!</definedName>
    <definedName name="A_KEYWORD_EQTY_200014750_PREF_DIV">#REF!</definedName>
    <definedName name="A_KEYWORD_EQTY_200014750_PRI_TARG_METH">#REF!</definedName>
    <definedName name="A_KEYWORD_EQTY_200014750_PRI_TARG_MULT">#REF!</definedName>
    <definedName name="A_KEYWORD_EQTY_200014750_PRICE_CURRENCY_ISO">#REF!</definedName>
    <definedName name="A_KEYWORD_EQTY_200014750_PROV_INC_TAX">#REF!</definedName>
    <definedName name="A_KEYWORD_EQTY_200014750_PTP_PUB">#REF!</definedName>
    <definedName name="A_KEYWORD_EQTY_200014750_PUB_CURRENCY_ISO">#REF!</definedName>
    <definedName name="A_KEYWORD_EQTY_200014750_REPUR_ACTUAL">#REF!</definedName>
    <definedName name="A_KEYWORD_EQTY_200014750_REPUR_REMAINING">#REF!</definedName>
    <definedName name="A_KEYWORD_EQTY_200014750_REPUR_SUSPENDED">#REF!</definedName>
    <definedName name="A_KEYWORD_EQTY_200014750_REPUR_TOT_AUTH">#REF!</definedName>
    <definedName name="A_KEYWORD_EQTY_200014750_REVS_PUB">#REF!</definedName>
    <definedName name="A_KEYWORD_EQTY_200014750_RISK_FR_RATE">#REF!</definedName>
    <definedName name="A_KEYWORD_EQTY_200014750_Security_Name">#REF!</definedName>
    <definedName name="A_KEYWORD_EQTY_200014750_SH">#REF!</definedName>
    <definedName name="A_KEYWORD_EQTY_200014750_TARGET_PRICE">#REF!</definedName>
    <definedName name="A_KEYWORD_EQTY_200014750_TAX_EXC">#REF!</definedName>
    <definedName name="A_KEYWORD_EQTY_200014750_Ticker">#REF!</definedName>
    <definedName name="A_KEYWORD_EQTY_200014750_TP_PERIOD">#REF!</definedName>
    <definedName name="A_KEYWORD_ISSR_208000603_ACC_AMORT">#REF!</definedName>
    <definedName name="A_KEYWORD_ISSR_208000603_ACC_DDA">#REF!</definedName>
    <definedName name="A_KEYWORD_ISSR_208000603_ACC_END_DATE">#REF!</definedName>
    <definedName name="A_KEYWORD_ISSR_208000603_ACC_GW_AM">#REF!</definedName>
    <definedName name="A_KEYWORD_ISSR_208000603_ACC_PAY_GQ">#REF!</definedName>
    <definedName name="A_KEYWORD_ISSR_208000603_ACCUM_AMORT">#REF!</definedName>
    <definedName name="A_KEYWORD_ISSR_208000603_ACQ">#REF!</definedName>
    <definedName name="A_KEYWORD_ISSR_208000603_ADJ_UNF_PENS_GOOD">#REF!</definedName>
    <definedName name="A_KEYWORD_ISSR_208000603_ASSOC_JV_ADDBK">#REF!</definedName>
    <definedName name="A_KEYWORD_ISSR_208000603_ASSOCIATE">#REF!</definedName>
    <definedName name="A_KEYWORD_ISSR_208000603_ASSOCIATE_OP">#REF!</definedName>
    <definedName name="A_KEYWORD_ISSR_208000603_BAL_MINO_INT">#REF!</definedName>
    <definedName name="A_KEYWORD_ISSR_208000603_CAP_LEASES">#REF!</definedName>
    <definedName name="A_KEYWORD_ISSR_208000603_CAPEX">#REF!</definedName>
    <definedName name="A_KEYWORD_ISSR_208000603_CAPEX_EXPANSION">#REF!</definedName>
    <definedName name="A_KEYWORD_ISSR_208000603_CAPEX_MAINTENANCE">#REF!</definedName>
    <definedName name="A_KEYWORD_ISSR_208000603_CASH_EQ">#REF!</definedName>
    <definedName name="A_KEYWORD_ISSR_208000603_CASH_INT_EXP">#REF!</definedName>
    <definedName name="A_KEYWORD_ISSR_208000603_CASH_TAX_EXP">#REF!</definedName>
    <definedName name="A_KEYWORD_ISSR_208000603_CF_FIN">#REF!</definedName>
    <definedName name="A_KEYWORD_ISSR_208000603_CF_INC_MINORITY">#REF!</definedName>
    <definedName name="A_KEYWORD_ISSR_208000603_CF_INV">#REF!</definedName>
    <definedName name="A_KEYWORD_ISSR_208000603_CF_OPS">#REF!</definedName>
    <definedName name="A_KEYWORD_ISSR_208000603_CHG_LT_DEBT">#REF!</definedName>
    <definedName name="A_KEYWORD_ISSR_208000603_CO_BOR_MARGIN">#REF!</definedName>
    <definedName name="A_KEYWORD_ISSR_208000603_COST_GD_SD">#REF!</definedName>
    <definedName name="A_KEYWORD_ISSR_208000603_CUR_ASS">#REF!</definedName>
    <definedName name="A_KEYWORD_ISSR_208000603_CURRENCY_ISO">#REF!</definedName>
    <definedName name="A_KEYWORD_ISSR_208000603_DEBTORS">#REF!</definedName>
    <definedName name="A_KEYWORD_ISSR_208000603_DEF_INC_TAX">#REF!</definedName>
    <definedName name="A_KEYWORD_ISSR_208000603_DEPR_AMORT">#REF!</definedName>
    <definedName name="A_KEYWORD_ISSR_208000603_DEPREC">#REF!</definedName>
    <definedName name="A_KEYWORD_ISSR_208000603_DIV_PAID">#REF!</definedName>
    <definedName name="A_KEYWORD_ISSR_208000603_DIVDS_ASSOC_JV">#REF!</definedName>
    <definedName name="A_KEYWORD_ISSR_208000603_DIVDS_PD_MINORITIES">#REF!</definedName>
    <definedName name="A_KEYWORD_ISSR_208000603_DIVEST">#REF!</definedName>
    <definedName name="A_KEYWORD_ISSR_208000603_EBIT">#REF!</definedName>
    <definedName name="A_KEYWORD_ISSR_208000603_EBIT_FIN_SEGMENT">#REF!</definedName>
    <definedName name="A_KEYWORD_ISSR_208000603_EBITDA_CALC">#REF!</definedName>
    <definedName name="A_KEYWORD_ISSR_208000603_EMPLOYEES">#REF!</definedName>
    <definedName name="A_KEYWORD_ISSR_208000603_EQ">#REF!</definedName>
    <definedName name="A_KEYWORD_ISSR_208000603_ESO_PRE_TAX">#REF!</definedName>
    <definedName name="A_KEYWORD_ISSR_208000603_FIX_ASS_INV">#REF!</definedName>
    <definedName name="A_KEYWORD_ISSR_208000603_GCI_INFL">#REF!</definedName>
    <definedName name="A_KEYWORD_ISSR_208000603_GOODWILL_AMORT">#REF!</definedName>
    <definedName name="A_KEYWORD_ISSR_208000603_GR_FIX_ASS">#REF!</definedName>
    <definedName name="A_KEYWORD_ISSR_208000603_GR_INTANG">#REF!</definedName>
    <definedName name="A_KEYWORD_ISSR_208000603_GROSS_GW">#REF!</definedName>
    <definedName name="A_KEYWORD_ISSR_208000603_GROSS_OTH_INTANG">#REF!</definedName>
    <definedName name="A_KEYWORD_ISSR_208000603_GT_BLEND_ARPU_PC">#REF!</definedName>
    <definedName name="A_KEYWORD_ISSR_208000603_GT_BLEND_MOU">#REF!</definedName>
    <definedName name="A_KEYWORD_ISSR_208000603_GT_CAPEX_MOU">#REF!</definedName>
    <definedName name="A_KEYWORD_ISSR_208000603_GT_DSL_SUB">#REF!</definedName>
    <definedName name="A_KEYWORD_ISSR_208000603_GT_FIX_DATA_REV">#REF!</definedName>
    <definedName name="A_KEYWORD_ISSR_208000603_GT_FIX_VOICE_REV">#REF!</definedName>
    <definedName name="A_KEYWORD_ISSR_208000603_GT_LD_SUB">#REF!</definedName>
    <definedName name="A_KEYWORD_ISSR_208000603_GT_MOB_DATA_REV">#REF!</definedName>
    <definedName name="A_KEYWORD_ISSR_208000603_GT_MOB_VOICE_REV">#REF!</definedName>
    <definedName name="A_KEYWORD_ISSR_208000603_GT_OTH_CAPEX">#REF!</definedName>
    <definedName name="A_KEYWORD_ISSR_208000603_GT_OTH_REV">#REF!</definedName>
    <definedName name="A_KEYWORD_ISSR_208000603_GT_OTHER_REV">#REF!</definedName>
    <definedName name="A_KEYWORD_ISSR_208000603_GT_PAY_TV_REV">#REF!</definedName>
    <definedName name="A_KEYWORD_ISSR_208000603_GT_SERVC_REV">#REF!</definedName>
    <definedName name="A_KEYWORD_ISSR_208000603_GT_TOT_ACC_LINE">#REF!</definedName>
    <definedName name="A_KEYWORD_ISSR_208000603_GT_TOT_BUS_LINE">#REF!</definedName>
    <definedName name="A_KEYWORD_ISSR_208000603_GT_TOT_MINS">#REF!</definedName>
    <definedName name="A_KEYWORD_ISSR_208000603_GT_TOT_PPD_SUB_PC">#REF!</definedName>
    <definedName name="A_KEYWORD_ISSR_208000603_GT_TOT_RES_LINE">#REF!</definedName>
    <definedName name="A_KEYWORD_ISSR_208000603_GT_TOT_RET_LINE">#REF!</definedName>
    <definedName name="A_KEYWORD_ISSR_208000603_GT_WRLN_CAPEX">#REF!</definedName>
    <definedName name="A_KEYWORD_ISSR_208000603_GT_WRLN_REV">#REF!</definedName>
    <definedName name="A_KEYWORD_ISSR_208000603_GT_WRLS_ARPU">#REF!</definedName>
    <definedName name="A_KEYWORD_ISSR_208000603_GT_WRLS_CAPEX">#REF!</definedName>
    <definedName name="A_KEYWORD_ISSR_208000603_GT_WRLS_CHURN">#REF!</definedName>
    <definedName name="A_KEYWORD_ISSR_208000603_GT_WRLS_REV">#REF!</definedName>
    <definedName name="A_KEYWORD_ISSR_208000603_GT_WRLS_SUB">#REF!</definedName>
    <definedName name="A_KEYWORD_ISSR_208000603_INT_EXP_IND">#REF!</definedName>
    <definedName name="A_KEYWORD_ISSR_208000603_INT_INC_IND">#REF!</definedName>
    <definedName name="A_KEYWORD_ISSR_208000603_INT_PAID_CF">#REF!</definedName>
    <definedName name="A_KEYWORD_ISSR_208000603_INTANG_CAPEX">#REF!</definedName>
    <definedName name="A_KEYWORD_ISSR_208000603_INV_SECUR">#REF!</definedName>
    <definedName name="A_KEYWORD_ISSR_208000603_Issuer_Name">#REF!</definedName>
    <definedName name="A_KEYWORD_ISSR_208000603_LEASE_DEEM_DEPR">#REF!</definedName>
    <definedName name="A_KEYWORD_ISSR_208000603_LEASE_DEEM_INT">#REF!</definedName>
    <definedName name="A_KEYWORD_ISSR_208000603_LEASE_PAY">#REF!</definedName>
    <definedName name="A_KEYWORD_ISSR_208000603_LT_DEBT">#REF!</definedName>
    <definedName name="A_KEYWORD_ISSR_208000603_MA_PROB">#REF!</definedName>
    <definedName name="A_KEYWORD_ISSR_208000603_MINORITIES">#REF!</definedName>
    <definedName name="A_KEYWORD_ISSR_208000603_MV_ASSOCIATES">#REF!</definedName>
    <definedName name="A_KEYWORD_ISSR_208000603_NET_DEBT">#REF!</definedName>
    <definedName name="A_KEYWORD_ISSR_208000603_NET_DEBT_ADJ">#REF!</definedName>
    <definedName name="A_KEYWORD_ISSR_208000603_NET_FIX_ASS">#REF!</definedName>
    <definedName name="A_KEYWORD_ISSR_208000603_NET_GW">#REF!</definedName>
    <definedName name="A_KEYWORD_ISSR_208000603_NET_INT_CH">#REF!</definedName>
    <definedName name="A_KEYWORD_ISSR_208000603_NET_INT_EXP">#REF!</definedName>
    <definedName name="A_KEYWORD_ISSR_208000603_NET_INTANG">#REF!</definedName>
    <definedName name="A_KEYWORD_ISSR_208000603_NET_OTH_INTANG">#REF!</definedName>
    <definedName name="A_KEYWORD_ISSR_208000603_NONPPE_CAPEX">#REF!</definedName>
    <definedName name="A_KEYWORD_ISSR_208000603_OP_AUSTRA">#REF!</definedName>
    <definedName name="A_KEYWORD_ISSR_208000603_OP_AUSTRIA">#REF!</definedName>
    <definedName name="A_KEYWORD_ISSR_208000603_OP_BEL">#REF!</definedName>
    <definedName name="A_KEYWORD_ISSR_208000603_OP_BRAZIL">#REF!</definedName>
    <definedName name="A_KEYWORD_ISSR_208000603_OP_CANADA">#REF!</definedName>
    <definedName name="A_KEYWORD_ISSR_208000603_OP_CEE">#REF!</definedName>
    <definedName name="A_KEYWORD_ISSR_208000603_OP_CHINA">#REF!</definedName>
    <definedName name="A_KEYWORD_ISSR_208000603_OP_CONS">#REF!</definedName>
    <definedName name="A_KEYWORD_ISSR_208000603_OP_COST">#REF!</definedName>
    <definedName name="A_KEYWORD_ISSR_208000603_OP_DEN">#REF!</definedName>
    <definedName name="A_KEYWORD_ISSR_208000603_OP_EU_EX_UK">#REF!</definedName>
    <definedName name="A_KEYWORD_ISSR_208000603_OP_FIN">#REF!</definedName>
    <definedName name="A_KEYWORD_ISSR_208000603_OP_FRA">#REF!</definedName>
    <definedName name="A_KEYWORD_ISSR_208000603_OP_GER">#REF!</definedName>
    <definedName name="A_KEYWORD_ISSR_208000603_OP_GOV">#REF!</definedName>
    <definedName name="A_KEYWORD_ISSR_208000603_OP_GRE">#REF!</definedName>
    <definedName name="A_KEYWORD_ISSR_208000603_OP_ICE">#REF!</definedName>
    <definedName name="A_KEYWORD_ISSR_208000603_OP_IND">#REF!</definedName>
    <definedName name="A_KEYWORD_ISSR_208000603_OP_INDIA">#REF!</definedName>
    <definedName name="A_KEYWORD_ISSR_208000603_OP_IRE">#REF!</definedName>
    <definedName name="A_KEYWORD_ISSR_208000603_OP_ITA">#REF!</definedName>
    <definedName name="A_KEYWORD_ISSR_208000603_OP_JAPAN">#REF!</definedName>
    <definedName name="A_KEYWORD_ISSR_208000603_OP_ME">#REF!</definedName>
    <definedName name="A_KEYWORD_ISSR_208000603_OP_NETH">#REF!</definedName>
    <definedName name="A_KEYWORD_ISSR_208000603_OP_NOR">#REF!</definedName>
    <definedName name="A_KEYWORD_ISSR_208000603_OP_NZ">#REF!</definedName>
    <definedName name="A_KEYWORD_ISSR_208000603_OP_OTH_AEJ">#REF!</definedName>
    <definedName name="A_KEYWORD_ISSR_208000603_OP_OTH_AM">#REF!</definedName>
    <definedName name="A_KEYWORD_ISSR_208000603_OP_OTH_EMEA">#REF!</definedName>
    <definedName name="A_KEYWORD_ISSR_208000603_OP_OTHER">#REF!</definedName>
    <definedName name="A_KEYWORD_ISSR_208000603_OP_POR">#REF!</definedName>
    <definedName name="A_KEYWORD_ISSR_208000603_OP_RUSSIA">#REF!</definedName>
    <definedName name="A_KEYWORD_ISSR_208000603_OP_SK">#REF!</definedName>
    <definedName name="A_KEYWORD_ISSR_208000603_OP_SPA">#REF!</definedName>
    <definedName name="A_KEYWORD_ISSR_208000603_OP_SWE">#REF!</definedName>
    <definedName name="A_KEYWORD_ISSR_208000603_OP_SWIT">#REF!</definedName>
    <definedName name="A_KEYWORD_ISSR_208000603_OP_TOT_AM">#REF!</definedName>
    <definedName name="A_KEYWORD_ISSR_208000603_OP_TOT_ASIA">#REF!</definedName>
    <definedName name="A_KEYWORD_ISSR_208000603_OP_TOT_EMEA">#REF!</definedName>
    <definedName name="A_KEYWORD_ISSR_208000603_OP_UK">#REF!</definedName>
    <definedName name="A_KEYWORD_ISSR_208000603_OP_US">#REF!</definedName>
    <definedName name="A_KEYWORD_ISSR_208000603_ORD_SH_FUND">#REF!</definedName>
    <definedName name="A_KEYWORD_ISSR_208000603_OTH_COST_INC">#REF!</definedName>
    <definedName name="A_KEYWORD_ISSR_208000603_OTH_CUR_ASS">#REF!</definedName>
    <definedName name="A_KEYWORD_ISSR_208000603_OTH_CUR_LIABS">#REF!</definedName>
    <definedName name="A_KEYWORD_ISSR_208000603_OTH_DACF_ADJ">#REF!</definedName>
    <definedName name="A_KEYWORD_ISSR_208000603_OTH_FIN_CF">#REF!</definedName>
    <definedName name="A_KEYWORD_ISSR_208000603_OTH_GCI_ADJ">#REF!</definedName>
    <definedName name="A_KEYWORD_ISSR_208000603_OTH_INV_CF">#REF!</definedName>
    <definedName name="A_KEYWORD_ISSR_208000603_OTH_LT_ASS">#REF!</definedName>
    <definedName name="A_KEYWORD_ISSR_208000603_OTH_LT_CRED_GQ">#REF!</definedName>
    <definedName name="A_KEYWORD_ISSR_208000603_OTH_NONCASH_ADJ">#REF!</definedName>
    <definedName name="A_KEYWORD_ISSR_208000603_OTH_OP_CF">#REF!</definedName>
    <definedName name="A_KEYWORD_ISSR_208000603_OTH_OP_INC_EXP">#REF!</definedName>
    <definedName name="A_KEYWORD_ISSR_208000603_PERIOD_MILESTONE">#REF!</definedName>
    <definedName name="A_KEYWORD_ISSR_208000603_PL_SALE_ASSETS">#REF!</definedName>
    <definedName name="A_KEYWORD_ISSR_208000603_PPNT_FCF">#REF!</definedName>
    <definedName name="A_KEYWORD_ISSR_208000603_PREF_SH">#REF!</definedName>
    <definedName name="A_KEYWORD_ISSR_208000603_PROFIT_ON_DISP">#REF!</definedName>
    <definedName name="A_KEYWORD_ISSR_208000603_PT_PROF">#REF!</definedName>
    <definedName name="A_KEYWORD_ISSR_208000603_RD_EXP">#REF!</definedName>
    <definedName name="A_KEYWORD_ISSR_208000603_REV_FIN_SEGMENT">#REF!</definedName>
    <definedName name="A_KEYWORD_ISSR_208000603_SALES">#REF!</definedName>
    <definedName name="A_KEYWORD_ISSR_208000603_SALES_AUSTRA">#REF!</definedName>
    <definedName name="A_KEYWORD_ISSR_208000603_SALES_AUSTRIA">#REF!</definedName>
    <definedName name="A_KEYWORD_ISSR_208000603_SALES_BEL">#REF!</definedName>
    <definedName name="A_KEYWORD_ISSR_208000603_SALES_BRAZIL">#REF!</definedName>
    <definedName name="A_KEYWORD_ISSR_208000603_SALES_CANADA">#REF!</definedName>
    <definedName name="A_KEYWORD_ISSR_208000603_SALES_CEE">#REF!</definedName>
    <definedName name="A_KEYWORD_ISSR_208000603_SALES_CHINA">#REF!</definedName>
    <definedName name="A_KEYWORD_ISSR_208000603_SALES_CONS">#REF!</definedName>
    <definedName name="A_KEYWORD_ISSR_208000603_SALES_DEN">#REF!</definedName>
    <definedName name="A_KEYWORD_ISSR_208000603_SALES_EU_EX_UK">#REF!</definedName>
    <definedName name="A_KEYWORD_ISSR_208000603_SALES_FIN">#REF!</definedName>
    <definedName name="A_KEYWORD_ISSR_208000603_SALES_FINAN">#REF!</definedName>
    <definedName name="A_KEYWORD_ISSR_208000603_SALES_FRA">#REF!</definedName>
    <definedName name="A_KEYWORD_ISSR_208000603_SALES_GER">#REF!</definedName>
    <definedName name="A_KEYWORD_ISSR_208000603_SALES_GOV">#REF!</definedName>
    <definedName name="A_KEYWORD_ISSR_208000603_SALES_GRE">#REF!</definedName>
    <definedName name="A_KEYWORD_ISSR_208000603_SALES_ICE">#REF!</definedName>
    <definedName name="A_KEYWORD_ISSR_208000603_SALES_IND">#REF!</definedName>
    <definedName name="A_KEYWORD_ISSR_208000603_SALES_INDIA">#REF!</definedName>
    <definedName name="A_KEYWORD_ISSR_208000603_SALES_IRE">#REF!</definedName>
    <definedName name="A_KEYWORD_ISSR_208000603_SALES_ITA">#REF!</definedName>
    <definedName name="A_KEYWORD_ISSR_208000603_SALES_JAPAN">#REF!</definedName>
    <definedName name="A_KEYWORD_ISSR_208000603_SALES_ME">#REF!</definedName>
    <definedName name="A_KEYWORD_ISSR_208000603_SALES_NETH">#REF!</definedName>
    <definedName name="A_KEYWORD_ISSR_208000603_SALES_NOR">#REF!</definedName>
    <definedName name="A_KEYWORD_ISSR_208000603_SALES_NZ">#REF!</definedName>
    <definedName name="A_KEYWORD_ISSR_208000603_SALES_OTH_AEJ">#REF!</definedName>
    <definedName name="A_KEYWORD_ISSR_208000603_SALES_OTH_AM">#REF!</definedName>
    <definedName name="A_KEYWORD_ISSR_208000603_SALES_OTH_EMEA">#REF!</definedName>
    <definedName name="A_KEYWORD_ISSR_208000603_SALES_OTHER">#REF!</definedName>
    <definedName name="A_KEYWORD_ISSR_208000603_SALES_POR">#REF!</definedName>
    <definedName name="A_KEYWORD_ISSR_208000603_SALES_RUSSIA">#REF!</definedName>
    <definedName name="A_KEYWORD_ISSR_208000603_SALES_SK">#REF!</definedName>
    <definedName name="A_KEYWORD_ISSR_208000603_SALES_SMB">#REF!</definedName>
    <definedName name="A_KEYWORD_ISSR_208000603_SALES_SPA">#REF!</definedName>
    <definedName name="A_KEYWORD_ISSR_208000603_SALES_SWE">#REF!</definedName>
    <definedName name="A_KEYWORD_ISSR_208000603_SALES_SWIT">#REF!</definedName>
    <definedName name="A_KEYWORD_ISSR_208000603_SALES_TOT_AM">#REF!</definedName>
    <definedName name="A_KEYWORD_ISSR_208000603_SALES_TOT_ASIA">#REF!</definedName>
    <definedName name="A_KEYWORD_ISSR_208000603_SALES_TOT_EMEA">#REF!</definedName>
    <definedName name="A_KEYWORD_ISSR_208000603_SALES_UK">#REF!</definedName>
    <definedName name="A_KEYWORD_ISSR_208000603_SALES_US">#REF!</definedName>
    <definedName name="A_KEYWORD_ISSR_208000603_SEL_GL_AD">#REF!</definedName>
    <definedName name="A_KEYWORD_ISSR_208000603_SH_REPUR">#REF!</definedName>
    <definedName name="A_KEYWORD_ISSR_208000603_SHORT_T_DEBT">#REF!</definedName>
    <definedName name="A_KEYWORD_ISSR_208000603_SHORT_TERM_LIABS">#REF!</definedName>
    <definedName name="A_KEYWORD_ISSR_208000603_STOCKS">#REF!</definedName>
    <definedName name="A_KEYWORD_ISSR_208000603_TANG_CAPEX">#REF!</definedName>
    <definedName name="A_KEYWORD_ISSR_208000603_TAX_PAID_CF">#REF!</definedName>
    <definedName name="A_KEYWORD_ISSR_208000603_TOT_ASSET">#REF!</definedName>
    <definedName name="A_KEYWORD_ISSR_208000603_TOT_CF">#REF!</definedName>
    <definedName name="A_KEYWORD_ISSR_208000603_TOT_LIAB">#REF!</definedName>
    <definedName name="A_KEYWORD_ISSR_208000603_TOT_LIAB_EQ">#REF!</definedName>
    <definedName name="A_KEYWORD_ISSR_208000603_TOT_LT_LIAB">#REF!</definedName>
    <definedName name="A_KEYWORD_ISSR_208000603_TOT_OPS_EXP">#REF!</definedName>
    <definedName name="A_KEYWORD_ISSR_208000603_TOT_OPS_EXP_DDA">#REF!</definedName>
    <definedName name="A_KEYWORD_ISSR_208000603_UNF_PENS">#REF!</definedName>
    <definedName name="A_KEYWORD_ISSR_208000603_UNF_PENS_LIAB_OTH">#REF!</definedName>
    <definedName name="A_KEYWORD_ISSR_208000603_UNF_PENS_OFF">#REF!</definedName>
    <definedName name="A_KEYWORD_ISSR_208000603_WORK_CAP">#REF!</definedName>
    <definedName name="A_KEYWORD_ISSR_208000976_ACC_AMORT">#REF!</definedName>
    <definedName name="A_KEYWORD_ISSR_208000976_ACC_DDA">#REF!</definedName>
    <definedName name="A_KEYWORD_ISSR_208000976_ACC_END_DATE">#REF!</definedName>
    <definedName name="A_KEYWORD_ISSR_208000976_ACC_PAY_GQ">#REF!</definedName>
    <definedName name="A_KEYWORD_ISSR_208000976_ACQ">#REF!</definedName>
    <definedName name="A_KEYWORD_ISSR_208000976_ADJ_UNF_PENS_GOOD">#REF!</definedName>
    <definedName name="A_KEYWORD_ISSR_208000976_ASSOC_JV_ADDBK">#REF!</definedName>
    <definedName name="A_KEYWORD_ISSR_208000976_ASSOCIATE">#REF!</definedName>
    <definedName name="A_KEYWORD_ISSR_208000976_ASSOCIATE_OP">#REF!</definedName>
    <definedName name="A_KEYWORD_ISSR_208000976_BAL_MINO_INT">#REF!</definedName>
    <definedName name="A_KEYWORD_ISSR_208000976_CAP_LEASES">#REF!</definedName>
    <definedName name="A_KEYWORD_ISSR_208000976_CAPEX">#REF!</definedName>
    <definedName name="A_KEYWORD_ISSR_208000976_CAPEX_EXPANSION">#REF!</definedName>
    <definedName name="A_KEYWORD_ISSR_208000976_CAPEX_MAINTENANCE">#REF!</definedName>
    <definedName name="A_KEYWORD_ISSR_208000976_CASH_EQ">#REF!</definedName>
    <definedName name="A_KEYWORD_ISSR_208000976_CASH_INT_EXP">#REF!</definedName>
    <definedName name="A_KEYWORD_ISSR_208000976_CASH_PCT_OS_US">#REF!</definedName>
    <definedName name="A_KEYWORD_ISSR_208000976_CASH_TAX_EXP">#REF!</definedName>
    <definedName name="A_KEYWORD_ISSR_208000976_CF_FIN">#REF!</definedName>
    <definedName name="A_KEYWORD_ISSR_208000976_CF_INC_MINORITY">#REF!</definedName>
    <definedName name="A_KEYWORD_ISSR_208000976_CF_INV">#REF!</definedName>
    <definedName name="A_KEYWORD_ISSR_208000976_CF_OPS">#REF!</definedName>
    <definedName name="A_KEYWORD_ISSR_208000976_CHG_LT_DEBT">#REF!</definedName>
    <definedName name="A_KEYWORD_ISSR_208000976_CO_BOR_MARGIN">#REF!</definedName>
    <definedName name="A_KEYWORD_ISSR_208000976_COST_GD_SD">#REF!</definedName>
    <definedName name="A_KEYWORD_ISSR_208000976_CUR_ASS">#REF!</definedName>
    <definedName name="A_KEYWORD_ISSR_208000976_CURRENCY_ISO">#REF!</definedName>
    <definedName name="A_KEYWORD_ISSR_208000976_DEBTORS">#REF!</definedName>
    <definedName name="A_KEYWORD_ISSR_208000976_DEF_INC_TAX">#REF!</definedName>
    <definedName name="A_KEYWORD_ISSR_208000976_DEPR_AMORT">#REF!</definedName>
    <definedName name="A_KEYWORD_ISSR_208000976_DEPREC">#REF!</definedName>
    <definedName name="A_KEYWORD_ISSR_208000976_DIV_PAID">#REF!</definedName>
    <definedName name="A_KEYWORD_ISSR_208000976_DIVDS_ASSOC_JV">#REF!</definedName>
    <definedName name="A_KEYWORD_ISSR_208000976_DIVDS_PD_MINORITIES">#REF!</definedName>
    <definedName name="A_KEYWORD_ISSR_208000976_DIVEST">#REF!</definedName>
    <definedName name="A_KEYWORD_ISSR_208000976_EBIT">#REF!</definedName>
    <definedName name="A_KEYWORD_ISSR_208000976_EBIT_FIN_SEGMENT">#REF!</definedName>
    <definedName name="A_KEYWORD_ISSR_208000976_EBITDA_CALC">#REF!</definedName>
    <definedName name="A_KEYWORD_ISSR_208000976_EMPLOYEES">#REF!</definedName>
    <definedName name="A_KEYWORD_ISSR_208000976_EQ">#REF!</definedName>
    <definedName name="A_KEYWORD_ISSR_208000976_ESO_PRE_TAX">#REF!</definedName>
    <definedName name="A_KEYWORD_ISSR_208000976_EXP_ALUMINIUM">#REF!</definedName>
    <definedName name="A_KEYWORD_ISSR_208000976_EXP_COPPER">#REF!</definedName>
    <definedName name="A_KEYWORD_ISSR_208000976_EXP_GLASS">#REF!</definedName>
    <definedName name="A_KEYWORD_ISSR_208000976_EXP_GOLD">#REF!</definedName>
    <definedName name="A_KEYWORD_ISSR_208000976_EXP_NICKEL">#REF!</definedName>
    <definedName name="A_KEYWORD_ISSR_208000976_EXP_OIL_DERIV_NGLS_PLASTICS">#REF!</definedName>
    <definedName name="A_KEYWORD_ISSR_208000976_EXP_OIL_PETRO_FUEL">#REF!</definedName>
    <definedName name="A_KEYWORD_ISSR_208000976_EXP_OTH_COMMODITY">#REF!</definedName>
    <definedName name="A_KEYWORD_ISSR_208000976_EXP_OTH_COST">#REF!</definedName>
    <definedName name="A_KEYWORD_ISSR_208000976_EXP_PALLADIUM">#REF!</definedName>
    <definedName name="A_KEYWORD_ISSR_208000976_EXP_PAPER_PULP">#REF!</definedName>
    <definedName name="A_KEYWORD_ISSR_208000976_EXP_PLATINUM">#REF!</definedName>
    <definedName name="A_KEYWORD_ISSR_208000976_EXP_SILVER">#REF!</definedName>
    <definedName name="A_KEYWORD_ISSR_208000976_EXP_WATER">#REF!</definedName>
    <definedName name="A_KEYWORD_ISSR_208000976_EXP_ZINC">#REF!</definedName>
    <definedName name="A_KEYWORD_ISSR_208000976_FIX_ASS_INV">#REF!</definedName>
    <definedName name="A_KEYWORD_ISSR_208000976_GCI_INFL">#REF!</definedName>
    <definedName name="A_KEYWORD_ISSR_208000976_GOODWILL_AMORT">#REF!</definedName>
    <definedName name="A_KEYWORD_ISSR_208000976_GR_FIX_ASS">#REF!</definedName>
    <definedName name="A_KEYWORD_ISSR_208000976_GR_INTANG">#REF!</definedName>
    <definedName name="A_KEYWORD_ISSR_208000976_INT_EXP_IND">#REF!</definedName>
    <definedName name="A_KEYWORD_ISSR_208000976_INT_INC_IND">#REF!</definedName>
    <definedName name="A_KEYWORD_ISSR_208000976_INV_SECUR">#REF!</definedName>
    <definedName name="A_KEYWORD_ISSR_208000976_Issuer_Name">#REF!</definedName>
    <definedName name="A_KEYWORD_ISSR_208000976_LEASE_DEEM_DEPR">#REF!</definedName>
    <definedName name="A_KEYWORD_ISSR_208000976_LEASE_DEEM_INT">#REF!</definedName>
    <definedName name="A_KEYWORD_ISSR_208000976_LEASE_PAY">#REF!</definedName>
    <definedName name="A_KEYWORD_ISSR_208000976_LT_DEBT">#REF!</definedName>
    <definedName name="A_KEYWORD_ISSR_208000976_MA_PROB">#REF!</definedName>
    <definedName name="A_KEYWORD_ISSR_208000976_MINORITIES">#REF!</definedName>
    <definedName name="A_KEYWORD_ISSR_208000976_MV_ASSOCIATES">#REF!</definedName>
    <definedName name="A_KEYWORD_ISSR_208000976_NET_DEBT">#REF!</definedName>
    <definedName name="A_KEYWORD_ISSR_208000976_NET_DEBT_ADJ">#REF!</definedName>
    <definedName name="A_KEYWORD_ISSR_208000976_NET_FIX_ASS">#REF!</definedName>
    <definedName name="A_KEYWORD_ISSR_208000976_NET_INT_CH">#REF!</definedName>
    <definedName name="A_KEYWORD_ISSR_208000976_NET_INT_EXP">#REF!</definedName>
    <definedName name="A_KEYWORD_ISSR_208000976_NET_INTANG">#REF!</definedName>
    <definedName name="A_KEYWORD_ISSR_208000976_NONPPE_CAPEX">#REF!</definedName>
    <definedName name="A_KEYWORD_ISSR_208000976_OP_COST">#REF!</definedName>
    <definedName name="A_KEYWORD_ISSR_208000976_ORD_SH_FUND">#REF!</definedName>
    <definedName name="A_KEYWORD_ISSR_208000976_ORG_REV_GRTH">#REF!</definedName>
    <definedName name="A_KEYWORD_ISSR_208000976_OTH_COST_INC">#REF!</definedName>
    <definedName name="A_KEYWORD_ISSR_208000976_OTH_CUR_ASS">#REF!</definedName>
    <definedName name="A_KEYWORD_ISSR_208000976_OTH_CUR_LIABS">#REF!</definedName>
    <definedName name="A_KEYWORD_ISSR_208000976_OTH_DACF_ADJ">#REF!</definedName>
    <definedName name="A_KEYWORD_ISSR_208000976_OTH_FIN_CF">#REF!</definedName>
    <definedName name="A_KEYWORD_ISSR_208000976_OTH_GCI_ADJ">#REF!</definedName>
    <definedName name="A_KEYWORD_ISSR_208000976_OTH_INV_CF">#REF!</definedName>
    <definedName name="A_KEYWORD_ISSR_208000976_OTH_LT_ASS">#REF!</definedName>
    <definedName name="A_KEYWORD_ISSR_208000976_OTH_LT_CRED_GQ">#REF!</definedName>
    <definedName name="A_KEYWORD_ISSR_208000976_OTH_NONCASH_ADJ">#REF!</definedName>
    <definedName name="A_KEYWORD_ISSR_208000976_OTH_OP_CF">#REF!</definedName>
    <definedName name="A_KEYWORD_ISSR_208000976_OTH_OP_INC_EXP">#REF!</definedName>
    <definedName name="A_KEYWORD_ISSR_208000976_PERIOD_MILESTONE">#REF!</definedName>
    <definedName name="A_KEYWORD_ISSR_208000976_PL_SALE_ASSETS">#REF!</definedName>
    <definedName name="A_KEYWORD_ISSR_208000976_PREF_SH">#REF!</definedName>
    <definedName name="A_KEYWORD_ISSR_208000976_PROFIT_ON_DISP">#REF!</definedName>
    <definedName name="A_KEYWORD_ISSR_208000976_PT_PROF">#REF!</definedName>
    <definedName name="A_KEYWORD_ISSR_208000976_RD_EXP">#REF!</definedName>
    <definedName name="A_KEYWORD_ISSR_208000976_REV_FIN_SEGMENT">#REF!</definedName>
    <definedName name="A_KEYWORD_ISSR_208000976_SALES">#REF!</definedName>
    <definedName name="A_KEYWORD_ISSR_208000976_SALES_ARGENTINA">#REF!</definedName>
    <definedName name="A_KEYWORD_ISSR_208000976_SALES_BRAZIL">#REF!</definedName>
    <definedName name="A_KEYWORD_ISSR_208000976_SALES_CANADA">#REF!</definedName>
    <definedName name="A_KEYWORD_ISSR_208000976_SALES_CEE">#REF!</definedName>
    <definedName name="A_KEYWORD_ISSR_208000976_SALES_CHILE">#REF!</definedName>
    <definedName name="A_KEYWORD_ISSR_208000976_SALES_CHINA">#REF!</definedName>
    <definedName name="A_KEYWORD_ISSR_208000976_SALES_COLOMBIA">#REF!</definedName>
    <definedName name="A_KEYWORD_ISSR_208000976_SALES_CONS">#REF!</definedName>
    <definedName name="A_KEYWORD_ISSR_208000976_SALES_EU_EX_UK">#REF!</definedName>
    <definedName name="A_KEYWORD_ISSR_208000976_SALES_FINAN">#REF!</definedName>
    <definedName name="A_KEYWORD_ISSR_208000976_SALES_FX_ARS">#REF!</definedName>
    <definedName name="A_KEYWORD_ISSR_208000976_SALES_FX_BRL">#REF!</definedName>
    <definedName name="A_KEYWORD_ISSR_208000976_SALES_FX_CAD">#REF!</definedName>
    <definedName name="A_KEYWORD_ISSR_208000976_SALES_FX_CLP">#REF!</definedName>
    <definedName name="A_KEYWORD_ISSR_208000976_SALES_FX_CNY">#REF!</definedName>
    <definedName name="A_KEYWORD_ISSR_208000976_SALES_FX_COP">#REF!</definedName>
    <definedName name="A_KEYWORD_ISSR_208000976_SALES_FX_EUR">#REF!</definedName>
    <definedName name="A_KEYWORD_ISSR_208000976_SALES_FX_GPB">#REF!</definedName>
    <definedName name="A_KEYWORD_ISSR_208000976_SALES_FX_INR">#REF!</definedName>
    <definedName name="A_KEYWORD_ISSR_208000976_SALES_FX_MXN">#REF!</definedName>
    <definedName name="A_KEYWORD_ISSR_208000976_SALES_FX_OTH">#REF!</definedName>
    <definedName name="A_KEYWORD_ISSR_208000976_SALES_FX_RUB">#REF!</definedName>
    <definedName name="A_KEYWORD_ISSR_208000976_SALES_FX_USD">#REF!</definedName>
    <definedName name="A_KEYWORD_ISSR_208000976_SALES_FX_VEF">#REF!</definedName>
    <definedName name="A_KEYWORD_ISSR_208000976_SALES_FX_YEN">#REF!</definedName>
    <definedName name="A_KEYWORD_ISSR_208000976_SALES_GOV">#REF!</definedName>
    <definedName name="A_KEYWORD_ISSR_208000976_SALES_IND">#REF!</definedName>
    <definedName name="A_KEYWORD_ISSR_208000976_SALES_INDIA">#REF!</definedName>
    <definedName name="A_KEYWORD_ISSR_208000976_SALES_JAPAN">#REF!</definedName>
    <definedName name="A_KEYWORD_ISSR_208000976_SALES_ME">#REF!</definedName>
    <definedName name="A_KEYWORD_ISSR_208000976_SALES_MEXICO">#REF!</definedName>
    <definedName name="A_KEYWORD_ISSR_208000976_SALES_OTH_AEJ">#REF!</definedName>
    <definedName name="A_KEYWORD_ISSR_208000976_SALES_OTH_AM">#REF!</definedName>
    <definedName name="A_KEYWORD_ISSR_208000976_SALES_OTH_EMEA">#REF!</definedName>
    <definedName name="A_KEYWORD_ISSR_208000976_SALES_OTHER">#REF!</definedName>
    <definedName name="A_KEYWORD_ISSR_208000976_SALES_RUSSIA">#REF!</definedName>
    <definedName name="A_KEYWORD_ISSR_208000976_SALES_SMB">#REF!</definedName>
    <definedName name="A_KEYWORD_ISSR_208000976_SALES_TOT_AFRICA">#REF!</definedName>
    <definedName name="A_KEYWORD_ISSR_208000976_SALES_TOT_AM">#REF!</definedName>
    <definedName name="A_KEYWORD_ISSR_208000976_SALES_TOT_ASIA">#REF!</definedName>
    <definedName name="A_KEYWORD_ISSR_208000976_SALES_TOT_EMEA">#REF!</definedName>
    <definedName name="A_KEYWORD_ISSR_208000976_SALES_UK">#REF!</definedName>
    <definedName name="A_KEYWORD_ISSR_208000976_SALES_US">#REF!</definedName>
    <definedName name="A_KEYWORD_ISSR_208000976_SALES_VENEZUELA">#REF!</definedName>
    <definedName name="A_KEYWORD_ISSR_208000976_SEL_GL_AD">#REF!</definedName>
    <definedName name="A_KEYWORD_ISSR_208000976_SH_REPUR">#REF!</definedName>
    <definedName name="A_KEYWORD_ISSR_208000976_SHORT_T_DEBT">#REF!</definedName>
    <definedName name="A_KEYWORD_ISSR_208000976_SHORT_TERM_LIABS">#REF!</definedName>
    <definedName name="A_KEYWORD_ISSR_208000976_STOCKS">#REF!</definedName>
    <definedName name="A_KEYWORD_ISSR_208000976_TOT_ASSET">#REF!</definedName>
    <definedName name="A_KEYWORD_ISSR_208000976_TOT_CF">#REF!</definedName>
    <definedName name="A_KEYWORD_ISSR_208000976_TOT_LIAB">#REF!</definedName>
    <definedName name="A_KEYWORD_ISSR_208000976_TOT_LIAB_EQ">#REF!</definedName>
    <definedName name="A_KEYWORD_ISSR_208000976_TOT_LT_LIAB">#REF!</definedName>
    <definedName name="A_KEYWORD_ISSR_208000976_TOT_OPS_EXP">#REF!</definedName>
    <definedName name="A_KEYWORD_ISSR_208000976_TOT_OPS_EXP_DDA">#REF!</definedName>
    <definedName name="A_KEYWORD_ISSR_208000976_UNF_PENS">#REF!</definedName>
    <definedName name="A_KEYWORD_ISSR_208000976_UNF_PENS_LIAB_OTH">#REF!</definedName>
    <definedName name="A_KEYWORD_ISSR_208000976_UNF_PENS_OFF">#REF!</definedName>
    <definedName name="A_KEYWORD_ISSR_208000976_WORK_CAP">#REF!</definedName>
    <definedName name="A_KEYWORD_ISSR_208001048_ORG_REV_GRTH">#REF!</definedName>
    <definedName name="A_KEYWORD_ISSR_208001258_ACC_AMORT">#REF!</definedName>
    <definedName name="A_KEYWORD_ISSR_208001258_ACC_DDA">#REF!</definedName>
    <definedName name="A_KEYWORD_ISSR_208001258_ACC_END_DATE">#REF!</definedName>
    <definedName name="A_KEYWORD_ISSR_208001258_ACC_PAY_GQ">#REF!</definedName>
    <definedName name="A_KEYWORD_ISSR_208001258_ACQ">#REF!</definedName>
    <definedName name="A_KEYWORD_ISSR_208001258_ADJ_UNF_PENS_GOOD">#REF!</definedName>
    <definedName name="A_KEYWORD_ISSR_208001258_ASSOC_JV_ADDBK">#REF!</definedName>
    <definedName name="A_KEYWORD_ISSR_208001258_ASSOCIATE">#REF!</definedName>
    <definedName name="A_KEYWORD_ISSR_208001258_ASSOCIATE_OP">#REF!</definedName>
    <definedName name="A_KEYWORD_ISSR_208001258_BAL_MINO_INT">#REF!</definedName>
    <definedName name="A_KEYWORD_ISSR_208001258_CAP_LEASES">#REF!</definedName>
    <definedName name="A_KEYWORD_ISSR_208001258_CAPEX">#REF!</definedName>
    <definedName name="A_KEYWORD_ISSR_208001258_CAPEX_EXPANSION">#REF!</definedName>
    <definedName name="A_KEYWORD_ISSR_208001258_CAPEX_MAINTENANCE">#REF!</definedName>
    <definedName name="A_KEYWORD_ISSR_208001258_CASH_EQ">#REF!</definedName>
    <definedName name="A_KEYWORD_ISSR_208001258_CASH_INT_EXP">#REF!</definedName>
    <definedName name="A_KEYWORD_ISSR_208001258_CASH_PCT_OS_US">#REF!</definedName>
    <definedName name="A_KEYWORD_ISSR_208001258_CASH_TAX_EXP">#REF!</definedName>
    <definedName name="A_KEYWORD_ISSR_208001258_CF_FIN">#REF!</definedName>
    <definedName name="A_KEYWORD_ISSR_208001258_CF_INC_MINORITY">#REF!</definedName>
    <definedName name="A_KEYWORD_ISSR_208001258_CF_INV">#REF!</definedName>
    <definedName name="A_KEYWORD_ISSR_208001258_CF_OPS">#REF!</definedName>
    <definedName name="A_KEYWORD_ISSR_208001258_CHG_LT_DEBT">#REF!</definedName>
    <definedName name="A_KEYWORD_ISSR_208001258_CO_BOR_MARGIN">#REF!</definedName>
    <definedName name="A_KEYWORD_ISSR_208001258_COST_GD_SD">#REF!</definedName>
    <definedName name="A_KEYWORD_ISSR_208001258_CUR_ASS">#REF!</definedName>
    <definedName name="A_KEYWORD_ISSR_208001258_CURRENCY_ISO">#REF!</definedName>
    <definedName name="A_KEYWORD_ISSR_208001258_DEBTORS">#REF!</definedName>
    <definedName name="A_KEYWORD_ISSR_208001258_DEF_INC_TAX">#REF!</definedName>
    <definedName name="A_KEYWORD_ISSR_208001258_DEPR_AMORT">#REF!</definedName>
    <definedName name="A_KEYWORD_ISSR_208001258_DEPREC">#REF!</definedName>
    <definedName name="A_KEYWORD_ISSR_208001258_DIV_PAID">#REF!</definedName>
    <definedName name="A_KEYWORD_ISSR_208001258_DIVDS_ASSOC_JV">#REF!</definedName>
    <definedName name="A_KEYWORD_ISSR_208001258_DIVDS_PD_MINORITIES">#REF!</definedName>
    <definedName name="A_KEYWORD_ISSR_208001258_DIVEST">#REF!</definedName>
    <definedName name="A_KEYWORD_ISSR_208001258_EBIT">#REF!</definedName>
    <definedName name="A_KEYWORD_ISSR_208001258_EBIT_FIN_SEGMENT">#REF!</definedName>
    <definedName name="A_KEYWORD_ISSR_208001258_EBITDA_CALC">#REF!</definedName>
    <definedName name="A_KEYWORD_ISSR_208001258_EMPLOYEES">#REF!</definedName>
    <definedName name="A_KEYWORD_ISSR_208001258_EQ">#REF!</definedName>
    <definedName name="A_KEYWORD_ISSR_208001258_ESO_PRE_TAX">#REF!</definedName>
    <definedName name="A_KEYWORD_ISSR_208001258_EXP_ALUMINIUM">#REF!</definedName>
    <definedName name="A_KEYWORD_ISSR_208001258_EXP_COPPER">#REF!</definedName>
    <definedName name="A_KEYWORD_ISSR_208001258_EXP_GLASS">#REF!</definedName>
    <definedName name="A_KEYWORD_ISSR_208001258_EXP_GOLD">#REF!</definedName>
    <definedName name="A_KEYWORD_ISSR_208001258_EXP_NICKEL">#REF!</definedName>
    <definedName name="A_KEYWORD_ISSR_208001258_EXP_OIL_DERIV_NGLS_PLASTICS">#REF!</definedName>
    <definedName name="A_KEYWORD_ISSR_208001258_EXP_OIL_PETRO_FUEL">#REF!</definedName>
    <definedName name="A_KEYWORD_ISSR_208001258_EXP_OTH_COMMODITY">#REF!</definedName>
    <definedName name="A_KEYWORD_ISSR_208001258_EXP_OTH_COST">#REF!</definedName>
    <definedName name="A_KEYWORD_ISSR_208001258_EXP_PALLADIUM">#REF!</definedName>
    <definedName name="A_KEYWORD_ISSR_208001258_EXP_PAPER_PULP">#REF!</definedName>
    <definedName name="A_KEYWORD_ISSR_208001258_EXP_PLATINUM">#REF!</definedName>
    <definedName name="A_KEYWORD_ISSR_208001258_EXP_SILVER">#REF!</definedName>
    <definedName name="A_KEYWORD_ISSR_208001258_EXP_WATER">#REF!</definedName>
    <definedName name="A_KEYWORD_ISSR_208001258_EXP_ZINC">#REF!</definedName>
    <definedName name="A_KEYWORD_ISSR_208001258_FIX_ASS_INV">#REF!</definedName>
    <definedName name="A_KEYWORD_ISSR_208001258_GCI_INFL">#REF!</definedName>
    <definedName name="A_KEYWORD_ISSR_208001258_GOODWILL_AMORT">#REF!</definedName>
    <definedName name="A_KEYWORD_ISSR_208001258_GR_FIX_ASS">#REF!</definedName>
    <definedName name="A_KEYWORD_ISSR_208001258_GR_INTANG">#REF!</definedName>
    <definedName name="A_KEYWORD_ISSR_208001258_INT_EXP_IND">#REF!</definedName>
    <definedName name="A_KEYWORD_ISSR_208001258_INT_INC_IND">#REF!</definedName>
    <definedName name="A_KEYWORD_ISSR_208001258_INV_SECUR">#REF!</definedName>
    <definedName name="A_KEYWORD_ISSR_208001258_Issuer_Name">#REF!</definedName>
    <definedName name="A_KEYWORD_ISSR_208001258_LEASE_DEEM_DEPR">#REF!</definedName>
    <definedName name="A_KEYWORD_ISSR_208001258_LEASE_DEEM_INT">#REF!</definedName>
    <definedName name="A_KEYWORD_ISSR_208001258_LEASE_PAY">#REF!</definedName>
    <definedName name="A_KEYWORD_ISSR_208001258_LT_DEBT">#REF!</definedName>
    <definedName name="A_KEYWORD_ISSR_208001258_MA_PROB">#REF!</definedName>
    <definedName name="A_KEYWORD_ISSR_208001258_MINORITIES">#REF!</definedName>
    <definedName name="A_KEYWORD_ISSR_208001258_MV_ASSOCIATES">#REF!</definedName>
    <definedName name="A_KEYWORD_ISSR_208001258_NET_DEBT">#REF!</definedName>
    <definedName name="A_KEYWORD_ISSR_208001258_NET_DEBT_ADJ">#REF!</definedName>
    <definedName name="A_KEYWORD_ISSR_208001258_NET_FIX_ASS">#REF!</definedName>
    <definedName name="A_KEYWORD_ISSR_208001258_NET_INT_CH">#REF!</definedName>
    <definedName name="A_KEYWORD_ISSR_208001258_NET_INT_EXP">#REF!</definedName>
    <definedName name="A_KEYWORD_ISSR_208001258_NET_INTANG">#REF!</definedName>
    <definedName name="A_KEYWORD_ISSR_208001258_NONPPE_CAPEX">#REF!</definedName>
    <definedName name="A_KEYWORD_ISSR_208001258_OP_COST">#REF!</definedName>
    <definedName name="A_KEYWORD_ISSR_208001258_ORD_SH_FUND">#REF!</definedName>
    <definedName name="A_KEYWORD_ISSR_208001258_ORG_REV_GRTH">#REF!</definedName>
    <definedName name="A_KEYWORD_ISSR_208001258_OTH_COST_INC">#REF!</definedName>
    <definedName name="A_KEYWORD_ISSR_208001258_OTH_CUR_ASS">#REF!</definedName>
    <definedName name="A_KEYWORD_ISSR_208001258_OTH_CUR_LIABS">#REF!</definedName>
    <definedName name="A_KEYWORD_ISSR_208001258_OTH_DACF_ADJ">#REF!</definedName>
    <definedName name="A_KEYWORD_ISSR_208001258_OTH_FIN_CF">#REF!</definedName>
    <definedName name="A_KEYWORD_ISSR_208001258_OTH_GCI_ADJ">#REF!</definedName>
    <definedName name="A_KEYWORD_ISSR_208001258_OTH_INV_CF">#REF!</definedName>
    <definedName name="A_KEYWORD_ISSR_208001258_OTH_LT_ASS">#REF!</definedName>
    <definedName name="A_KEYWORD_ISSR_208001258_OTH_LT_CRED_GQ">#REF!</definedName>
    <definedName name="A_KEYWORD_ISSR_208001258_OTH_NONCASH_ADJ">#REF!</definedName>
    <definedName name="A_KEYWORD_ISSR_208001258_OTH_OP_CF">#REF!</definedName>
    <definedName name="A_KEYWORD_ISSR_208001258_OTH_OP_INC_EXP">#REF!</definedName>
    <definedName name="A_KEYWORD_ISSR_208001258_PERIOD_MILESTONE">#REF!</definedName>
    <definedName name="A_KEYWORD_ISSR_208001258_PL_SALE_ASSETS">#REF!</definedName>
    <definedName name="A_KEYWORD_ISSR_208001258_PREF_SH">#REF!</definedName>
    <definedName name="A_KEYWORD_ISSR_208001258_PROFIT_ON_DISP">#REF!</definedName>
    <definedName name="A_KEYWORD_ISSR_208001258_PT_PROF">#REF!</definedName>
    <definedName name="A_KEYWORD_ISSR_208001258_RD_EXP">#REF!</definedName>
    <definedName name="A_KEYWORD_ISSR_208001258_REV_FIN_SEGMENT">#REF!</definedName>
    <definedName name="A_KEYWORD_ISSR_208001258_SALES">#REF!</definedName>
    <definedName name="A_KEYWORD_ISSR_208001258_SALES_ARGENTINA">#REF!</definedName>
    <definedName name="A_KEYWORD_ISSR_208001258_SALES_BRAZIL">#REF!</definedName>
    <definedName name="A_KEYWORD_ISSR_208001258_SALES_CANADA">#REF!</definedName>
    <definedName name="A_KEYWORD_ISSR_208001258_SALES_CEE">#REF!</definedName>
    <definedName name="A_KEYWORD_ISSR_208001258_SALES_CHILE">#REF!</definedName>
    <definedName name="A_KEYWORD_ISSR_208001258_SALES_CHINA">#REF!</definedName>
    <definedName name="A_KEYWORD_ISSR_208001258_SALES_COLOMBIA">#REF!</definedName>
    <definedName name="A_KEYWORD_ISSR_208001258_SALES_CONS">#REF!</definedName>
    <definedName name="A_KEYWORD_ISSR_208001258_SALES_EU_EX_UK">#REF!</definedName>
    <definedName name="A_KEYWORD_ISSR_208001258_SALES_FINAN">#REF!</definedName>
    <definedName name="A_KEYWORD_ISSR_208001258_SALES_FX_ARS">#REF!</definedName>
    <definedName name="A_KEYWORD_ISSR_208001258_SALES_FX_BRL">#REF!</definedName>
    <definedName name="A_KEYWORD_ISSR_208001258_SALES_FX_CAD">#REF!</definedName>
    <definedName name="A_KEYWORD_ISSR_208001258_SALES_FX_CLP">#REF!</definedName>
    <definedName name="A_KEYWORD_ISSR_208001258_SALES_FX_CNY">#REF!</definedName>
    <definedName name="A_KEYWORD_ISSR_208001258_SALES_FX_COP">#REF!</definedName>
    <definedName name="A_KEYWORD_ISSR_208001258_SALES_FX_EUR">#REF!</definedName>
    <definedName name="A_KEYWORD_ISSR_208001258_SALES_FX_GPB">#REF!</definedName>
    <definedName name="A_KEYWORD_ISSR_208001258_SALES_FX_INR">#REF!</definedName>
    <definedName name="A_KEYWORD_ISSR_208001258_SALES_FX_MXN">#REF!</definedName>
    <definedName name="A_KEYWORD_ISSR_208001258_SALES_FX_OTH">#REF!</definedName>
    <definedName name="A_KEYWORD_ISSR_208001258_SALES_FX_RUB">#REF!</definedName>
    <definedName name="A_KEYWORD_ISSR_208001258_SALES_FX_USD">#REF!</definedName>
    <definedName name="A_KEYWORD_ISSR_208001258_SALES_FX_VEF">#REF!</definedName>
    <definedName name="A_KEYWORD_ISSR_208001258_SALES_FX_YEN">#REF!</definedName>
    <definedName name="A_KEYWORD_ISSR_208001258_SALES_GOV">#REF!</definedName>
    <definedName name="A_KEYWORD_ISSR_208001258_SALES_IND">#REF!</definedName>
    <definedName name="A_KEYWORD_ISSR_208001258_SALES_INDIA">#REF!</definedName>
    <definedName name="A_KEYWORD_ISSR_208001258_SALES_JAPAN">#REF!</definedName>
    <definedName name="A_KEYWORD_ISSR_208001258_SALES_ME">#REF!</definedName>
    <definedName name="A_KEYWORD_ISSR_208001258_SALES_MEXICO">#REF!</definedName>
    <definedName name="A_KEYWORD_ISSR_208001258_SALES_OTH_AEJ">#REF!</definedName>
    <definedName name="A_KEYWORD_ISSR_208001258_SALES_OTH_AM">#REF!</definedName>
    <definedName name="A_KEYWORD_ISSR_208001258_SALES_OTH_EMEA">#REF!</definedName>
    <definedName name="A_KEYWORD_ISSR_208001258_SALES_OTHER">#REF!</definedName>
    <definedName name="A_KEYWORD_ISSR_208001258_SALES_RUSSIA">#REF!</definedName>
    <definedName name="A_KEYWORD_ISSR_208001258_SALES_SMB">#REF!</definedName>
    <definedName name="A_KEYWORD_ISSR_208001258_SALES_TOT_AFRICA">#REF!</definedName>
    <definedName name="A_KEYWORD_ISSR_208001258_SALES_TOT_AM">#REF!</definedName>
    <definedName name="A_KEYWORD_ISSR_208001258_SALES_TOT_ASIA">#REF!</definedName>
    <definedName name="A_KEYWORD_ISSR_208001258_SALES_TOT_EMEA">#REF!</definedName>
    <definedName name="A_KEYWORD_ISSR_208001258_SALES_UK">#REF!</definedName>
    <definedName name="A_KEYWORD_ISSR_208001258_SALES_US">#REF!</definedName>
    <definedName name="A_KEYWORD_ISSR_208001258_SALES_VENEZUELA">#REF!</definedName>
    <definedName name="A_KEYWORD_ISSR_208001258_SEL_GL_AD">#REF!</definedName>
    <definedName name="A_KEYWORD_ISSR_208001258_SH_REPUR">#REF!</definedName>
    <definedName name="A_KEYWORD_ISSR_208001258_SHORT_T_DEBT">#REF!</definedName>
    <definedName name="A_KEYWORD_ISSR_208001258_SHORT_TERM_LIABS">#REF!</definedName>
    <definedName name="A_KEYWORD_ISSR_208001258_STOCKS">#REF!</definedName>
    <definedName name="A_KEYWORD_ISSR_208001258_TOT_ASSET">#REF!</definedName>
    <definedName name="A_KEYWORD_ISSR_208001258_TOT_CF">#REF!</definedName>
    <definedName name="A_KEYWORD_ISSR_208001258_TOT_LIAB">#REF!</definedName>
    <definedName name="A_KEYWORD_ISSR_208001258_TOT_LIAB_EQ">#REF!</definedName>
    <definedName name="A_KEYWORD_ISSR_208001258_TOT_LT_LIAB">#REF!</definedName>
    <definedName name="A_KEYWORD_ISSR_208001258_TOT_OPS_EXP">#REF!</definedName>
    <definedName name="A_KEYWORD_ISSR_208001258_TOT_OPS_EXP_DDA">#REF!</definedName>
    <definedName name="A_KEYWORD_ISSR_208001258_UNF_PENS">#REF!</definedName>
    <definedName name="A_KEYWORD_ISSR_208001258_UNF_PENS_LIAB_OTH">#REF!</definedName>
    <definedName name="A_KEYWORD_ISSR_208001258_UNF_PENS_OFF">#REF!</definedName>
    <definedName name="A_KEYWORD_ISSR_208001258_WORK_CAP">#REF!</definedName>
    <definedName name="A_KEYWORD_ISSR_208009722_ACC_AMORT">#REF!</definedName>
    <definedName name="A_KEYWORD_ISSR_208009722_ACC_DDA">#REF!</definedName>
    <definedName name="A_KEYWORD_ISSR_208009722_ACC_END_DATE">#REF!</definedName>
    <definedName name="A_KEYWORD_ISSR_208009722_ACC_PAY_GQ">#REF!</definedName>
    <definedName name="A_KEYWORD_ISSR_208009722_ACQ">#REF!</definedName>
    <definedName name="A_KEYWORD_ISSR_208009722_ADJ_UNF_PENS_GOOD">#REF!</definedName>
    <definedName name="A_KEYWORD_ISSR_208009722_ASSOC_JV_ADDBK">#REF!</definedName>
    <definedName name="A_KEYWORD_ISSR_208009722_ASSOCIATE">#REF!</definedName>
    <definedName name="A_KEYWORD_ISSR_208009722_ASSOCIATE_OP">#REF!</definedName>
    <definedName name="A_KEYWORD_ISSR_208009722_BAL_MINO_INT">#REF!</definedName>
    <definedName name="A_KEYWORD_ISSR_208009722_CAP_LEASES">#REF!</definedName>
    <definedName name="A_KEYWORD_ISSR_208009722_CAPEX">#REF!</definedName>
    <definedName name="A_KEYWORD_ISSR_208009722_CAPEX_EXPANSION">#REF!</definedName>
    <definedName name="A_KEYWORD_ISSR_208009722_CAPEX_MAINTENANCE">#REF!</definedName>
    <definedName name="A_KEYWORD_ISSR_208009722_CASH_EQ">#REF!</definedName>
    <definedName name="A_KEYWORD_ISSR_208009722_CASH_INT_EXP">#REF!</definedName>
    <definedName name="A_KEYWORD_ISSR_208009722_CASH_TAX_EXP">#REF!</definedName>
    <definedName name="A_KEYWORD_ISSR_208009722_CF_FIN">#REF!</definedName>
    <definedName name="A_KEYWORD_ISSR_208009722_CF_INC_MINORITY">#REF!</definedName>
    <definedName name="A_KEYWORD_ISSR_208009722_CF_INV">#REF!</definedName>
    <definedName name="A_KEYWORD_ISSR_208009722_CF_OPS">#REF!</definedName>
    <definedName name="A_KEYWORD_ISSR_208009722_CHG_LT_DEBT">#REF!</definedName>
    <definedName name="A_KEYWORD_ISSR_208009722_CO_BOR_MARGIN">#REF!</definedName>
    <definedName name="A_KEYWORD_ISSR_208009722_COST_GD_SD">#REF!</definedName>
    <definedName name="A_KEYWORD_ISSR_208009722_CUR_ASS">#REF!</definedName>
    <definedName name="A_KEYWORD_ISSR_208009722_CURRENCY_ISO">#REF!</definedName>
    <definedName name="A_KEYWORD_ISSR_208009722_DEBTORS">#REF!</definedName>
    <definedName name="A_KEYWORD_ISSR_208009722_DEF_INC_TAX">#REF!</definedName>
    <definedName name="A_KEYWORD_ISSR_208009722_DEPR_AMORT">#REF!</definedName>
    <definedName name="A_KEYWORD_ISSR_208009722_DEPREC">#REF!</definedName>
    <definedName name="A_KEYWORD_ISSR_208009722_DIV_PAID">#REF!</definedName>
    <definedName name="A_KEYWORD_ISSR_208009722_DIVDS_ASSOC_JV">#REF!</definedName>
    <definedName name="A_KEYWORD_ISSR_208009722_DIVDS_PD_MINORITIES">#REF!</definedName>
    <definedName name="A_KEYWORD_ISSR_208009722_DIVEST">#REF!</definedName>
    <definedName name="A_KEYWORD_ISSR_208009722_EBIT">#REF!</definedName>
    <definedName name="A_KEYWORD_ISSR_208009722_EBIT_FIN_SEGMENT">#REF!</definedName>
    <definedName name="A_KEYWORD_ISSR_208009722_EBITDA_CALC">#REF!</definedName>
    <definedName name="A_KEYWORD_ISSR_208009722_EMPLOYEES">#REF!</definedName>
    <definedName name="A_KEYWORD_ISSR_208009722_EQ">#REF!</definedName>
    <definedName name="A_KEYWORD_ISSR_208009722_ESO_PRE_TAX">#REF!</definedName>
    <definedName name="A_KEYWORD_ISSR_208009722_FIX_ASS_INV">#REF!</definedName>
    <definedName name="A_KEYWORD_ISSR_208009722_GCI_INFL">#REF!</definedName>
    <definedName name="A_KEYWORD_ISSR_208009722_GOODWILL_AMORT">#REF!</definedName>
    <definedName name="A_KEYWORD_ISSR_208009722_GR_FIX_ASS">#REF!</definedName>
    <definedName name="A_KEYWORD_ISSR_208009722_GR_INTANG">#REF!</definedName>
    <definedName name="A_KEYWORD_ISSR_208009722_INT_EXP_IND">#REF!</definedName>
    <definedName name="A_KEYWORD_ISSR_208009722_INT_INC_IND">#REF!</definedName>
    <definedName name="A_KEYWORD_ISSR_208009722_INV_SECUR">#REF!</definedName>
    <definedName name="A_KEYWORD_ISSR_208009722_Issuer_Name">#REF!</definedName>
    <definedName name="A_KEYWORD_ISSR_208009722_LEASE_DEEM_DEPR">#REF!</definedName>
    <definedName name="A_KEYWORD_ISSR_208009722_LEASE_DEEM_INT">#REF!</definedName>
    <definedName name="A_KEYWORD_ISSR_208009722_LEASE_PAY">#REF!</definedName>
    <definedName name="A_KEYWORD_ISSR_208009722_LT_DEBT">#REF!</definedName>
    <definedName name="A_KEYWORD_ISSR_208009722_MA_PROB">#REF!</definedName>
    <definedName name="A_KEYWORD_ISSR_208009722_MINORITIES">#REF!</definedName>
    <definedName name="A_KEYWORD_ISSR_208009722_MV_ASSOCIATES">#REF!</definedName>
    <definedName name="A_KEYWORD_ISSR_208009722_NET_DEBT">#REF!</definedName>
    <definedName name="A_KEYWORD_ISSR_208009722_NET_DEBT_ADJ">#REF!</definedName>
    <definedName name="A_KEYWORD_ISSR_208009722_NET_FIX_ASS">#REF!</definedName>
    <definedName name="A_KEYWORD_ISSR_208009722_NET_INT_CH">#REF!</definedName>
    <definedName name="A_KEYWORD_ISSR_208009722_NET_INT_EXP">#REF!</definedName>
    <definedName name="A_KEYWORD_ISSR_208009722_NET_INTANG">#REF!</definedName>
    <definedName name="A_KEYWORD_ISSR_208009722_NONPPE_CAPEX">#REF!</definedName>
    <definedName name="A_KEYWORD_ISSR_208009722_OP_AUSTRA">#REF!</definedName>
    <definedName name="A_KEYWORD_ISSR_208009722_OP_AUSTRIA">#REF!</definedName>
    <definedName name="A_KEYWORD_ISSR_208009722_OP_BEL">#REF!</definedName>
    <definedName name="A_KEYWORD_ISSR_208009722_OP_BRAZIL">#REF!</definedName>
    <definedName name="A_KEYWORD_ISSR_208009722_OP_CANADA">#REF!</definedName>
    <definedName name="A_KEYWORD_ISSR_208009722_OP_CEE">#REF!</definedName>
    <definedName name="A_KEYWORD_ISSR_208009722_OP_CHINA">#REF!</definedName>
    <definedName name="A_KEYWORD_ISSR_208009722_OP_CONS">#REF!</definedName>
    <definedName name="A_KEYWORD_ISSR_208009722_OP_COST">#REF!</definedName>
    <definedName name="A_KEYWORD_ISSR_208009722_OP_DEN">#REF!</definedName>
    <definedName name="A_KEYWORD_ISSR_208009722_OP_EU_EX_UK">#REF!</definedName>
    <definedName name="A_KEYWORD_ISSR_208009722_OP_FIN">#REF!</definedName>
    <definedName name="A_KEYWORD_ISSR_208009722_OP_FRA">#REF!</definedName>
    <definedName name="A_KEYWORD_ISSR_208009722_OP_GER">#REF!</definedName>
    <definedName name="A_KEYWORD_ISSR_208009722_OP_GOV">#REF!</definedName>
    <definedName name="A_KEYWORD_ISSR_208009722_OP_GRE">#REF!</definedName>
    <definedName name="A_KEYWORD_ISSR_208009722_OP_ICE">#REF!</definedName>
    <definedName name="A_KEYWORD_ISSR_208009722_OP_IND">#REF!</definedName>
    <definedName name="A_KEYWORD_ISSR_208009722_OP_INDIA">#REF!</definedName>
    <definedName name="A_KEYWORD_ISSR_208009722_OP_IRE">#REF!</definedName>
    <definedName name="A_KEYWORD_ISSR_208009722_OP_ITA">#REF!</definedName>
    <definedName name="A_KEYWORD_ISSR_208009722_OP_JAPAN">#REF!</definedName>
    <definedName name="A_KEYWORD_ISSR_208009722_OP_ME">#REF!</definedName>
    <definedName name="A_KEYWORD_ISSR_208009722_OP_NETH">#REF!</definedName>
    <definedName name="A_KEYWORD_ISSR_208009722_OP_NOR">#REF!</definedName>
    <definedName name="A_KEYWORD_ISSR_208009722_OP_NZ">#REF!</definedName>
    <definedName name="A_KEYWORD_ISSR_208009722_OP_OTH_AEJ">#REF!</definedName>
    <definedName name="A_KEYWORD_ISSR_208009722_OP_OTH_AM">#REF!</definedName>
    <definedName name="A_KEYWORD_ISSR_208009722_OP_OTH_EMEA">#REF!</definedName>
    <definedName name="A_KEYWORD_ISSR_208009722_OP_OTHER">#REF!</definedName>
    <definedName name="A_KEYWORD_ISSR_208009722_OP_POR">#REF!</definedName>
    <definedName name="A_KEYWORD_ISSR_208009722_OP_RUSSIA">#REF!</definedName>
    <definedName name="A_KEYWORD_ISSR_208009722_OP_SK">#REF!</definedName>
    <definedName name="A_KEYWORD_ISSR_208009722_OP_SPA">#REF!</definedName>
    <definedName name="A_KEYWORD_ISSR_208009722_OP_SWE">#REF!</definedName>
    <definedName name="A_KEYWORD_ISSR_208009722_OP_SWIT">#REF!</definedName>
    <definedName name="A_KEYWORD_ISSR_208009722_OP_TOT_AM">#REF!</definedName>
    <definedName name="A_KEYWORD_ISSR_208009722_OP_TOT_ASIA">#REF!</definedName>
    <definedName name="A_KEYWORD_ISSR_208009722_OP_TOT_EMEA">#REF!</definedName>
    <definedName name="A_KEYWORD_ISSR_208009722_OP_UK">#REF!</definedName>
    <definedName name="A_KEYWORD_ISSR_208009722_OP_US">#REF!</definedName>
    <definedName name="A_KEYWORD_ISSR_208009722_ORD_SH_FUND">#REF!</definedName>
    <definedName name="A_KEYWORD_ISSR_208009722_ORG_REV_GRTH">#REF!</definedName>
    <definedName name="A_KEYWORD_ISSR_208009722_OTH_COST_INC">#REF!</definedName>
    <definedName name="A_KEYWORD_ISSR_208009722_OTH_CUR_ASS">#REF!</definedName>
    <definedName name="A_KEYWORD_ISSR_208009722_OTH_CUR_LIABS">#REF!</definedName>
    <definedName name="A_KEYWORD_ISSR_208009722_OTH_DACF_ADJ">#REF!</definedName>
    <definedName name="A_KEYWORD_ISSR_208009722_OTH_FIN_CF">#REF!</definedName>
    <definedName name="A_KEYWORD_ISSR_208009722_OTH_GCI_ADJ">#REF!</definedName>
    <definedName name="A_KEYWORD_ISSR_208009722_OTH_INV_CF">#REF!</definedName>
    <definedName name="A_KEYWORD_ISSR_208009722_OTH_LT_ASS">#REF!</definedName>
    <definedName name="A_KEYWORD_ISSR_208009722_OTH_LT_CRED_GQ">#REF!</definedName>
    <definedName name="A_KEYWORD_ISSR_208009722_OTH_NONCASH_ADJ">#REF!</definedName>
    <definedName name="A_KEYWORD_ISSR_208009722_OTH_OP_CF">#REF!</definedName>
    <definedName name="A_KEYWORD_ISSR_208009722_OTH_OP_INC_EXP">#REF!</definedName>
    <definedName name="A_KEYWORD_ISSR_208009722_PERIOD_MILESTONE">#REF!</definedName>
    <definedName name="A_KEYWORD_ISSR_208009722_PL_SALE_ASSETS">#REF!</definedName>
    <definedName name="A_KEYWORD_ISSR_208009722_PREF_SH">#REF!</definedName>
    <definedName name="A_KEYWORD_ISSR_208009722_PROFIT_ON_DISP">#REF!</definedName>
    <definedName name="A_KEYWORD_ISSR_208009722_PT_PROF">#REF!</definedName>
    <definedName name="A_KEYWORD_ISSR_208009722_RD_EXP">#REF!</definedName>
    <definedName name="A_KEYWORD_ISSR_208009722_REV_FIN_SEGMENT">#REF!</definedName>
    <definedName name="A_KEYWORD_ISSR_208009722_SALES">#REF!</definedName>
    <definedName name="A_KEYWORD_ISSR_208009722_SALES_AUSTRA">#REF!</definedName>
    <definedName name="A_KEYWORD_ISSR_208009722_SALES_AUSTRIA">#REF!</definedName>
    <definedName name="A_KEYWORD_ISSR_208009722_SALES_BEL">#REF!</definedName>
    <definedName name="A_KEYWORD_ISSR_208009722_SALES_BRAZIL">#REF!</definedName>
    <definedName name="A_KEYWORD_ISSR_208009722_SALES_CANADA">#REF!</definedName>
    <definedName name="A_KEYWORD_ISSR_208009722_SALES_CEE">#REF!</definedName>
    <definedName name="A_KEYWORD_ISSR_208009722_SALES_CHINA">#REF!</definedName>
    <definedName name="A_KEYWORD_ISSR_208009722_SALES_CONS">#REF!</definedName>
    <definedName name="A_KEYWORD_ISSR_208009722_SALES_DEN">#REF!</definedName>
    <definedName name="A_KEYWORD_ISSR_208009722_SALES_EU_EX_UK">#REF!</definedName>
    <definedName name="A_KEYWORD_ISSR_208009722_SALES_FIN">#REF!</definedName>
    <definedName name="A_KEYWORD_ISSR_208009722_SALES_FINAN">#REF!</definedName>
    <definedName name="A_KEYWORD_ISSR_208009722_SALES_FRA">#REF!</definedName>
    <definedName name="A_KEYWORD_ISSR_208009722_SALES_GER">#REF!</definedName>
    <definedName name="A_KEYWORD_ISSR_208009722_SALES_GOV">#REF!</definedName>
    <definedName name="A_KEYWORD_ISSR_208009722_SALES_GRE">#REF!</definedName>
    <definedName name="A_KEYWORD_ISSR_208009722_SALES_ICE">#REF!</definedName>
    <definedName name="A_KEYWORD_ISSR_208009722_SALES_IND">#REF!</definedName>
    <definedName name="A_KEYWORD_ISSR_208009722_SALES_INDIA">#REF!</definedName>
    <definedName name="A_KEYWORD_ISSR_208009722_SALES_IRE">#REF!</definedName>
    <definedName name="A_KEYWORD_ISSR_208009722_SALES_ITA">#REF!</definedName>
    <definedName name="A_KEYWORD_ISSR_208009722_SALES_JAPAN">#REF!</definedName>
    <definedName name="A_KEYWORD_ISSR_208009722_SALES_ME">#REF!</definedName>
    <definedName name="A_KEYWORD_ISSR_208009722_SALES_NETH">#REF!</definedName>
    <definedName name="A_KEYWORD_ISSR_208009722_SALES_NOR">#REF!</definedName>
    <definedName name="A_KEYWORD_ISSR_208009722_SALES_NZ">#REF!</definedName>
    <definedName name="A_KEYWORD_ISSR_208009722_SALES_OTH_AEJ">#REF!</definedName>
    <definedName name="A_KEYWORD_ISSR_208009722_SALES_OTH_AM">#REF!</definedName>
    <definedName name="A_KEYWORD_ISSR_208009722_SALES_OTH_EMEA">#REF!</definedName>
    <definedName name="A_KEYWORD_ISSR_208009722_SALES_OTHER">#REF!</definedName>
    <definedName name="A_KEYWORD_ISSR_208009722_SALES_POR">#REF!</definedName>
    <definedName name="A_KEYWORD_ISSR_208009722_SALES_RUSSIA">#REF!</definedName>
    <definedName name="A_KEYWORD_ISSR_208009722_SALES_SK">#REF!</definedName>
    <definedName name="A_KEYWORD_ISSR_208009722_SALES_SMB">#REF!</definedName>
    <definedName name="A_KEYWORD_ISSR_208009722_SALES_SPA">#REF!</definedName>
    <definedName name="A_KEYWORD_ISSR_208009722_SALES_SWE">#REF!</definedName>
    <definedName name="A_KEYWORD_ISSR_208009722_SALES_SWIT">#REF!</definedName>
    <definedName name="A_KEYWORD_ISSR_208009722_SALES_TOT_AM">#REF!</definedName>
    <definedName name="A_KEYWORD_ISSR_208009722_SALES_TOT_ASIA">#REF!</definedName>
    <definedName name="A_KEYWORD_ISSR_208009722_SALES_TOT_EMEA">#REF!</definedName>
    <definedName name="A_KEYWORD_ISSR_208009722_SALES_UK">#REF!</definedName>
    <definedName name="A_KEYWORD_ISSR_208009722_SALES_US">#REF!</definedName>
    <definedName name="A_KEYWORD_ISSR_208009722_SEL_GL_AD">#REF!</definedName>
    <definedName name="A_KEYWORD_ISSR_208009722_SH_REPUR">#REF!</definedName>
    <definedName name="A_KEYWORD_ISSR_208009722_SHORT_T_DEBT">#REF!</definedName>
    <definedName name="A_KEYWORD_ISSR_208009722_SHORT_TERM_LIABS">#REF!</definedName>
    <definedName name="A_KEYWORD_ISSR_208009722_STOCKS">#REF!</definedName>
    <definedName name="A_KEYWORD_ISSR_208009722_TOT_ASSET">#REF!</definedName>
    <definedName name="A_KEYWORD_ISSR_208009722_TOT_CF">#REF!</definedName>
    <definedName name="A_KEYWORD_ISSR_208009722_TOT_LIAB">#REF!</definedName>
    <definedName name="A_KEYWORD_ISSR_208009722_TOT_LIAB_EQ">#REF!</definedName>
    <definedName name="A_KEYWORD_ISSR_208009722_TOT_LT_LIAB">#REF!</definedName>
    <definedName name="A_KEYWORD_ISSR_208009722_TOT_OPS_EXP">#REF!</definedName>
    <definedName name="A_KEYWORD_ISSR_208009722_TOT_OPS_EXP_DDA">#REF!</definedName>
    <definedName name="A_KEYWORD_ISSR_208009722_UNF_PENS">#REF!</definedName>
    <definedName name="A_KEYWORD_ISSR_208009722_UNF_PENS_LIAB_OTH">#REF!</definedName>
    <definedName name="A_KEYWORD_ISSR_208009722_UNF_PENS_OFF">#REF!</definedName>
    <definedName name="A_KEYWORD_ISSR_208009722_WORK_CAP">#REF!</definedName>
    <definedName name="A_KEYWORD_ISSR_208011556_ACC_AMORT">#REF!</definedName>
    <definedName name="A_KEYWORD_ISSR_208011556_ACC_DDA">#REF!</definedName>
    <definedName name="A_KEYWORD_ISSR_208011556_ACC_END_DATE">#REF!</definedName>
    <definedName name="A_KEYWORD_ISSR_208011556_ACC_PAY_GQ">#REF!</definedName>
    <definedName name="A_KEYWORD_ISSR_208011556_ACQ">#REF!</definedName>
    <definedName name="A_KEYWORD_ISSR_208011556_ADJ_UNF_PENS_GOOD">#REF!</definedName>
    <definedName name="A_KEYWORD_ISSR_208011556_ASSOC_JV_ADDBK">#REF!</definedName>
    <definedName name="A_KEYWORD_ISSR_208011556_ASSOCIATE">#REF!</definedName>
    <definedName name="A_KEYWORD_ISSR_208011556_ASSOCIATE_OP">#REF!</definedName>
    <definedName name="A_KEYWORD_ISSR_208011556_BAL_MINO_INT">#REF!</definedName>
    <definedName name="A_KEYWORD_ISSR_208011556_CAP_LEASES">#REF!</definedName>
    <definedName name="A_KEYWORD_ISSR_208011556_CAPEX">#REF!</definedName>
    <definedName name="A_KEYWORD_ISSR_208011556_CAPEX_EXPANSION">#REF!</definedName>
    <definedName name="A_KEYWORD_ISSR_208011556_CAPEX_MAINTENANCE">#REF!</definedName>
    <definedName name="A_KEYWORD_ISSR_208011556_CASH_EQ">#REF!</definedName>
    <definedName name="A_KEYWORD_ISSR_208011556_CASH_INT_EXP">#REF!</definedName>
    <definedName name="A_KEYWORD_ISSR_208011556_CASH_PCT_OS_US">#REF!</definedName>
    <definedName name="A_KEYWORD_ISSR_208011556_CASH_TAX_EXP">#REF!</definedName>
    <definedName name="A_KEYWORD_ISSR_208011556_CF_FIN">#REF!</definedName>
    <definedName name="A_KEYWORD_ISSR_208011556_CF_INC_MINORITY">#REF!</definedName>
    <definedName name="A_KEYWORD_ISSR_208011556_CF_INV">#REF!</definedName>
    <definedName name="A_KEYWORD_ISSR_208011556_CF_OPS">#REF!</definedName>
    <definedName name="A_KEYWORD_ISSR_208011556_CHG_LT_DEBT">#REF!</definedName>
    <definedName name="A_KEYWORD_ISSR_208011556_CO_BOR_MARGIN">#REF!</definedName>
    <definedName name="A_KEYWORD_ISSR_208011556_CONTRIB_MARGIN_RATIO">#REF!</definedName>
    <definedName name="A_KEYWORD_ISSR_208011556_COST_GD_SD">#REF!</definedName>
    <definedName name="A_KEYWORD_ISSR_208011556_CUR_ASS">#REF!</definedName>
    <definedName name="A_KEYWORD_ISSR_208011556_CURRENCY_ISO">#REF!</definedName>
    <definedName name="A_KEYWORD_ISSR_208011556_DEBTORS">#REF!</definedName>
    <definedName name="A_KEYWORD_ISSR_208011556_DEF_INC_TAX">#REF!</definedName>
    <definedName name="A_KEYWORD_ISSR_208011556_DEPR_AMORT">#REF!</definedName>
    <definedName name="A_KEYWORD_ISSR_208011556_DEPREC">#REF!</definedName>
    <definedName name="A_KEYWORD_ISSR_208011556_DIV_PAID">#REF!</definedName>
    <definedName name="A_KEYWORD_ISSR_208011556_DIVDS_ASSOC_JV">#REF!</definedName>
    <definedName name="A_KEYWORD_ISSR_208011556_DIVDS_PD_MINORITIES">#REF!</definedName>
    <definedName name="A_KEYWORD_ISSR_208011556_DIVEST">#REF!</definedName>
    <definedName name="A_KEYWORD_ISSR_208011556_EBIT">#REF!</definedName>
    <definedName name="A_KEYWORD_ISSR_208011556_EBIT_FIN_SEGMENT">#REF!</definedName>
    <definedName name="A_KEYWORD_ISSR_208011556_EBITDA_CALC">#REF!</definedName>
    <definedName name="A_KEYWORD_ISSR_208011556_EMPLOYEES">#REF!</definedName>
    <definedName name="A_KEYWORD_ISSR_208011556_EQ">#REF!</definedName>
    <definedName name="A_KEYWORD_ISSR_208011556_ESO_PRE_TAX">#REF!</definedName>
    <definedName name="A_KEYWORD_ISSR_208011556_EXP_ALUMINIUM">#REF!</definedName>
    <definedName name="A_KEYWORD_ISSR_208011556_EXP_COPPER">#REF!</definedName>
    <definedName name="A_KEYWORD_ISSR_208011556_EXP_GLASS">#REF!</definedName>
    <definedName name="A_KEYWORD_ISSR_208011556_EXP_GOLD">#REF!</definedName>
    <definedName name="A_KEYWORD_ISSR_208011556_EXP_NICKEL">#REF!</definedName>
    <definedName name="A_KEYWORD_ISSR_208011556_EXP_OIL_DERIV_NGLS_PLASTICS">#REF!</definedName>
    <definedName name="A_KEYWORD_ISSR_208011556_EXP_OIL_PETRO_FUEL">#REF!</definedName>
    <definedName name="A_KEYWORD_ISSR_208011556_EXP_OTH_COMMODITY">#REF!</definedName>
    <definedName name="A_KEYWORD_ISSR_208011556_EXP_OTH_COST">#REF!</definedName>
    <definedName name="A_KEYWORD_ISSR_208011556_EXP_PALLADIUM">#REF!</definedName>
    <definedName name="A_KEYWORD_ISSR_208011556_EXP_PAPER_PULP">#REF!</definedName>
    <definedName name="A_KEYWORD_ISSR_208011556_EXP_PLATINUM">#REF!</definedName>
    <definedName name="A_KEYWORD_ISSR_208011556_EXP_SILVER">#REF!</definedName>
    <definedName name="A_KEYWORD_ISSR_208011556_EXP_WATER">#REF!</definedName>
    <definedName name="A_KEYWORD_ISSR_208011556_EXP_ZINC">#REF!</definedName>
    <definedName name="A_KEYWORD_ISSR_208011556_FIX_ASS_INV">#REF!</definedName>
    <definedName name="A_KEYWORD_ISSR_208011556_GCI_INFL">#REF!</definedName>
    <definedName name="A_KEYWORD_ISSR_208011556_GOODWILL_AMORT">#REF!</definedName>
    <definedName name="A_KEYWORD_ISSR_208011556_GR_FIX_ASS">#REF!</definedName>
    <definedName name="A_KEYWORD_ISSR_208011556_GR_INTANG">#REF!</definedName>
    <definedName name="A_KEYWORD_ISSR_208011556_INT_EXP_IND">#REF!</definedName>
    <definedName name="A_KEYWORD_ISSR_208011556_INT_INC_IND">#REF!</definedName>
    <definedName name="A_KEYWORD_ISSR_208011556_INV_SECUR">#REF!</definedName>
    <definedName name="A_KEYWORD_ISSR_208011556_Issuer_Name">#REF!</definedName>
    <definedName name="A_KEYWORD_ISSR_208011556_LEASE_DEEM_DEPR">#REF!</definedName>
    <definedName name="A_KEYWORD_ISSR_208011556_LEASE_DEEM_INT">#REF!</definedName>
    <definedName name="A_KEYWORD_ISSR_208011556_LEASE_PAY">#REF!</definedName>
    <definedName name="A_KEYWORD_ISSR_208011556_LT_DEBT">#REF!</definedName>
    <definedName name="A_KEYWORD_ISSR_208011556_MA_PROB">#REF!</definedName>
    <definedName name="A_KEYWORD_ISSR_208011556_MINORITIES">#REF!</definedName>
    <definedName name="A_KEYWORD_ISSR_208011556_MV_ASSOCIATES">#REF!</definedName>
    <definedName name="A_KEYWORD_ISSR_208011556_NET_DEBT">#REF!</definedName>
    <definedName name="A_KEYWORD_ISSR_208011556_NET_DEBT_ADJ">#REF!</definedName>
    <definedName name="A_KEYWORD_ISSR_208011556_NET_FIX_ASS">#REF!</definedName>
    <definedName name="A_KEYWORD_ISSR_208011556_NET_INT_CH">#REF!</definedName>
    <definedName name="A_KEYWORD_ISSR_208011556_NET_INT_EXP">#REF!</definedName>
    <definedName name="A_KEYWORD_ISSR_208011556_NET_INTANG">#REF!</definedName>
    <definedName name="A_KEYWORD_ISSR_208011556_NONPPE_CAPEX">#REF!</definedName>
    <definedName name="A_KEYWORD_ISSR_208011556_OP_COST">#REF!</definedName>
    <definedName name="A_KEYWORD_ISSR_208011556_ORD_SH_FUND">#REF!</definedName>
    <definedName name="A_KEYWORD_ISSR_208011556_OTH_COST_INC">#REF!</definedName>
    <definedName name="A_KEYWORD_ISSR_208011556_OTH_CUR_ASS">#REF!</definedName>
    <definedName name="A_KEYWORD_ISSR_208011556_OTH_CUR_LIABS">#REF!</definedName>
    <definedName name="A_KEYWORD_ISSR_208011556_OTH_DACF_ADJ">#REF!</definedName>
    <definedName name="A_KEYWORD_ISSR_208011556_OTH_FIN_CF">#REF!</definedName>
    <definedName name="A_KEYWORD_ISSR_208011556_OTH_GCI_ADJ">#REF!</definedName>
    <definedName name="A_KEYWORD_ISSR_208011556_OTH_INV_CF">#REF!</definedName>
    <definedName name="A_KEYWORD_ISSR_208011556_OTH_LT_ASS">#REF!</definedName>
    <definedName name="A_KEYWORD_ISSR_208011556_OTH_LT_CRED_GQ">#REF!</definedName>
    <definedName name="A_KEYWORD_ISSR_208011556_OTH_NONCASH_ADJ">#REF!</definedName>
    <definedName name="A_KEYWORD_ISSR_208011556_OTH_OP_CF">#REF!</definedName>
    <definedName name="A_KEYWORD_ISSR_208011556_OTH_OP_INC_EXP">#REF!</definedName>
    <definedName name="A_KEYWORD_ISSR_208011556_PERIOD_MILESTONE">#REF!</definedName>
    <definedName name="A_KEYWORD_ISSR_208011556_PL_SALE_ASSETS">#REF!</definedName>
    <definedName name="A_KEYWORD_ISSR_208011556_PREF_SH">#REF!</definedName>
    <definedName name="A_KEYWORD_ISSR_208011556_PROFIT_ON_DISP">#REF!</definedName>
    <definedName name="A_KEYWORD_ISSR_208011556_PT_PROF">#REF!</definedName>
    <definedName name="A_KEYWORD_ISSR_208011556_RD_EXP">#REF!</definedName>
    <definedName name="A_KEYWORD_ISSR_208011556_REV_FIN_SEGMENT">#REF!</definedName>
    <definedName name="A_KEYWORD_ISSR_208011556_SALES">#REF!</definedName>
    <definedName name="A_KEYWORD_ISSR_208011556_SALES_ARGENTINA">#REF!</definedName>
    <definedName name="A_KEYWORD_ISSR_208011556_SALES_BRAZIL">#REF!</definedName>
    <definedName name="A_KEYWORD_ISSR_208011556_SALES_CANADA">#REF!</definedName>
    <definedName name="A_KEYWORD_ISSR_208011556_SALES_CEE">#REF!</definedName>
    <definedName name="A_KEYWORD_ISSR_208011556_SALES_CHILE">#REF!</definedName>
    <definedName name="A_KEYWORD_ISSR_208011556_SALES_CHINA">#REF!</definedName>
    <definedName name="A_KEYWORD_ISSR_208011556_SALES_COLOMBIA">#REF!</definedName>
    <definedName name="A_KEYWORD_ISSR_208011556_SALES_CONS">#REF!</definedName>
    <definedName name="A_KEYWORD_ISSR_208011556_SALES_EU_EX_UK">#REF!</definedName>
    <definedName name="A_KEYWORD_ISSR_208011556_SALES_FINAN">#REF!</definedName>
    <definedName name="A_KEYWORD_ISSR_208011556_SALES_FX_ARS">#REF!</definedName>
    <definedName name="A_KEYWORD_ISSR_208011556_SALES_FX_BRL">#REF!</definedName>
    <definedName name="A_KEYWORD_ISSR_208011556_SALES_FX_CAD">#REF!</definedName>
    <definedName name="A_KEYWORD_ISSR_208011556_SALES_FX_CLP">#REF!</definedName>
    <definedName name="A_KEYWORD_ISSR_208011556_SALES_FX_CNY">#REF!</definedName>
    <definedName name="A_KEYWORD_ISSR_208011556_SALES_FX_COP">#REF!</definedName>
    <definedName name="A_KEYWORD_ISSR_208011556_SALES_FX_EUR">#REF!</definedName>
    <definedName name="A_KEYWORD_ISSR_208011556_SALES_FX_GPB">#REF!</definedName>
    <definedName name="A_KEYWORD_ISSR_208011556_SALES_FX_INR">#REF!</definedName>
    <definedName name="A_KEYWORD_ISSR_208011556_SALES_FX_MXN">#REF!</definedName>
    <definedName name="A_KEYWORD_ISSR_208011556_SALES_FX_OTH">#REF!</definedName>
    <definedName name="A_KEYWORD_ISSR_208011556_SALES_FX_RUB">#REF!</definedName>
    <definedName name="A_KEYWORD_ISSR_208011556_SALES_FX_USD">#REF!</definedName>
    <definedName name="A_KEYWORD_ISSR_208011556_SALES_FX_VEF">#REF!</definedName>
    <definedName name="A_KEYWORD_ISSR_208011556_SALES_FX_YEN">#REF!</definedName>
    <definedName name="A_KEYWORD_ISSR_208011556_SALES_GOV">#REF!</definedName>
    <definedName name="A_KEYWORD_ISSR_208011556_SALES_IND">#REF!</definedName>
    <definedName name="A_KEYWORD_ISSR_208011556_SALES_INDIA">#REF!</definedName>
    <definedName name="A_KEYWORD_ISSR_208011556_SALES_JAPAN">#REF!</definedName>
    <definedName name="A_KEYWORD_ISSR_208011556_SALES_ME">#REF!</definedName>
    <definedName name="A_KEYWORD_ISSR_208011556_SALES_MEXICO">#REF!</definedName>
    <definedName name="A_KEYWORD_ISSR_208011556_SALES_OTH_AEJ">#REF!</definedName>
    <definedName name="A_KEYWORD_ISSR_208011556_SALES_OTH_AM">#REF!</definedName>
    <definedName name="A_KEYWORD_ISSR_208011556_SALES_OTH_EMEA">#REF!</definedName>
    <definedName name="A_KEYWORD_ISSR_208011556_SALES_OTHER">#REF!</definedName>
    <definedName name="A_KEYWORD_ISSR_208011556_SALES_RUSSIA">#REF!</definedName>
    <definedName name="A_KEYWORD_ISSR_208011556_SALES_SMB">#REF!</definedName>
    <definedName name="A_KEYWORD_ISSR_208011556_SALES_TOT_AFRICA">#REF!</definedName>
    <definedName name="A_KEYWORD_ISSR_208011556_SALES_TOT_AM">#REF!</definedName>
    <definedName name="A_KEYWORD_ISSR_208011556_SALES_TOT_ASIA">#REF!</definedName>
    <definedName name="A_KEYWORD_ISSR_208011556_SALES_TOT_EMEA">#REF!</definedName>
    <definedName name="A_KEYWORD_ISSR_208011556_SALES_UK">#REF!</definedName>
    <definedName name="A_KEYWORD_ISSR_208011556_SALES_US">#REF!</definedName>
    <definedName name="A_KEYWORD_ISSR_208011556_SALES_VENEZUELA">#REF!</definedName>
    <definedName name="A_KEYWORD_ISSR_208011556_SEL_GL_AD">#REF!</definedName>
    <definedName name="A_KEYWORD_ISSR_208011556_SH_REPUR">#REF!</definedName>
    <definedName name="A_KEYWORD_ISSR_208011556_SHORT_T_DEBT">#REF!</definedName>
    <definedName name="A_KEYWORD_ISSR_208011556_SHORT_TERM_LIABS">#REF!</definedName>
    <definedName name="A_KEYWORD_ISSR_208011556_STOCKS">#REF!</definedName>
    <definedName name="A_KEYWORD_ISSR_208011556_TOT_ASSET">#REF!</definedName>
    <definedName name="A_KEYWORD_ISSR_208011556_TOT_CF">#REF!</definedName>
    <definedName name="A_KEYWORD_ISSR_208011556_TOT_LIAB">#REF!</definedName>
    <definedName name="A_KEYWORD_ISSR_208011556_TOT_LIAB_EQ">#REF!</definedName>
    <definedName name="A_KEYWORD_ISSR_208011556_TOT_LT_LIAB">#REF!</definedName>
    <definedName name="A_KEYWORD_ISSR_208011556_TOT_OPS_EXP">#REF!</definedName>
    <definedName name="A_KEYWORD_ISSR_208011556_TOT_OPS_EXP_DDA">#REF!</definedName>
    <definedName name="A_KEYWORD_ISSR_208011556_UNF_PENS">#REF!</definedName>
    <definedName name="A_KEYWORD_ISSR_208011556_UNF_PENS_LIAB_OTH">#REF!</definedName>
    <definedName name="A_KEYWORD_ISSR_208011556_UNF_PENS_OFF">#REF!</definedName>
    <definedName name="A_KEYWORD_ISSR_208011556_WORK_CAP">#REF!</definedName>
    <definedName name="A_LIVEDATA_EQTY_200001646">#REF!</definedName>
    <definedName name="A_LIVEDATA_EQTY_200002831">#REF!</definedName>
    <definedName name="A_LIVEDATA_EQTY_200004419">#REF!</definedName>
    <definedName name="A_LIVEDATA_EQTY_200012762">#REF!</definedName>
    <definedName name="A_LIVEDATA_EQTY_200014750">#REF!</definedName>
    <definedName name="A_LIVEDATA_ISSR_208000603">#REF!</definedName>
    <definedName name="A_LIVEDATA_ISSR_208000976">#REF!</definedName>
    <definedName name="A_LIVEDATA_ISSR_208001258">#REF!</definedName>
    <definedName name="A_LIVEDATA_ISSR_208009722">#REF!</definedName>
    <definedName name="A_LIVEDATA_ISSR_208011556">#REF!</definedName>
    <definedName name="A_NOM">#REF!,#REF!,#REF!,#REF!,#REF!,#REF!</definedName>
    <definedName name="A_PERIOD_2002">#REF!</definedName>
    <definedName name="A_PERIOD_2003">#REF!</definedName>
    <definedName name="A_PERIOD_2003_Q1">#REF!</definedName>
    <definedName name="A_PERIOD_2003_Q2">#REF!</definedName>
    <definedName name="A_PERIOD_2003_Q3">#REF!</definedName>
    <definedName name="A_PERIOD_2003_Q4">#REF!</definedName>
    <definedName name="A_PERIOD_2004">#REF!</definedName>
    <definedName name="A_PERIOD_2004_Q1">#REF!</definedName>
    <definedName name="A_PERIOD_2004_Q2">#REF!</definedName>
    <definedName name="A_PERIOD_2004_Q3">#REF!</definedName>
    <definedName name="A_PERIOD_2004_Q4">#REF!</definedName>
    <definedName name="A_PERIOD_2005">#REF!</definedName>
    <definedName name="A_PERIOD_2005_Q1">#REF!</definedName>
    <definedName name="A_PERIOD_2005_Q2">#REF!</definedName>
    <definedName name="A_PERIOD_2005_Q3">#REF!</definedName>
    <definedName name="A_PERIOD_2005_Q4">#REF!</definedName>
    <definedName name="A_PERIOD_2006_Q1">#REF!</definedName>
    <definedName name="A_PERIOD_2006_Q2">#REF!</definedName>
    <definedName name="A_PERIOD_2006_Q3">#REF!</definedName>
    <definedName name="A_PERIOD_2006_Q4">#REF!</definedName>
    <definedName name="A_SECTION_EQTY_200001646_1314">#REF!</definedName>
    <definedName name="A_SECTION_EQTY_200001646_1319">#REF!</definedName>
    <definedName name="A_SECTION_EQTY_200001646_131E">#REF!</definedName>
    <definedName name="A_SECTION_EQTY_200001646_131O">#REF!</definedName>
    <definedName name="A_SECTION_EQTY_200001646_131P">#REF!</definedName>
    <definedName name="A_SECTION_EQTY_200001646_13A">#REF!</definedName>
    <definedName name="A_SECTION_EQTY_200001646_13K">#REF!</definedName>
    <definedName name="A_SECTION_EQTY_200001646_13U">#REF!</definedName>
    <definedName name="A_SECTION_EQTY_200001646_13V">#REF!</definedName>
    <definedName name="A_SECTION_EQTY_200001646_13W">#REF!</definedName>
    <definedName name="A_SECTION_EQTY_200001646_Reference_Data">#REF!</definedName>
    <definedName name="A_SECTION_EQTY_200002831_1314">#REF!</definedName>
    <definedName name="A_SECTION_EQTY_200002831_1319">#REF!</definedName>
    <definedName name="A_SECTION_EQTY_200002831_131E">#REF!</definedName>
    <definedName name="A_SECTION_EQTY_200002831_131O">#REF!</definedName>
    <definedName name="A_SECTION_EQTY_200002831_13A">#REF!</definedName>
    <definedName name="A_SECTION_EQTY_200002831_13K">#REF!</definedName>
    <definedName name="A_SECTION_EQTY_200002831_13U">#REF!</definedName>
    <definedName name="A_SECTION_EQTY_200002831_13V">#REF!</definedName>
    <definedName name="A_SECTION_EQTY_200002831_13W">#REF!</definedName>
    <definedName name="A_SECTION_EQTY_200002831_Reference_Data">#REF!</definedName>
    <definedName name="A_SECTION_EQTY_200004419_1314">#REF!</definedName>
    <definedName name="A_SECTION_EQTY_200004419_1319">#REF!</definedName>
    <definedName name="A_SECTION_EQTY_200004419_131E">#REF!</definedName>
    <definedName name="A_SECTION_EQTY_200004419_131O">#REF!</definedName>
    <definedName name="A_SECTION_EQTY_200004419_13A">#REF!</definedName>
    <definedName name="A_SECTION_EQTY_200004419_13K">#REF!</definedName>
    <definedName name="A_SECTION_EQTY_200004419_13U">#REF!</definedName>
    <definedName name="A_SECTION_EQTY_200004419_13V">#REF!</definedName>
    <definedName name="A_SECTION_EQTY_200004419_13W">#REF!</definedName>
    <definedName name="A_SECTION_EQTY_200004419_Reference_Data">#REF!</definedName>
    <definedName name="A_SECTION_EQTY_200012762_1314">#REF!</definedName>
    <definedName name="A_SECTION_EQTY_200012762_1319">#REF!</definedName>
    <definedName name="A_SECTION_EQTY_200012762_131E">#REF!</definedName>
    <definedName name="A_SECTION_EQTY_200012762_131O">#REF!</definedName>
    <definedName name="A_SECTION_EQTY_200012762_13A">#REF!</definedName>
    <definedName name="A_SECTION_EQTY_200012762_13K">#REF!</definedName>
    <definedName name="A_SECTION_EQTY_200012762_13U">#REF!</definedName>
    <definedName name="A_SECTION_EQTY_200012762_13V">#REF!</definedName>
    <definedName name="A_SECTION_EQTY_200012762_13W">#REF!</definedName>
    <definedName name="A_SECTION_EQTY_200012762_Reference_Data">#REF!</definedName>
    <definedName name="A_SECTION_EQTY_200014750_1314">#REF!</definedName>
    <definedName name="A_SECTION_EQTY_200014750_1319">#REF!</definedName>
    <definedName name="A_SECTION_EQTY_200014750_131E">#REF!</definedName>
    <definedName name="A_SECTION_EQTY_200014750_131O">#REF!</definedName>
    <definedName name="A_SECTION_EQTY_200014750_13A">#REF!</definedName>
    <definedName name="A_SECTION_EQTY_200014750_13K">#REF!</definedName>
    <definedName name="A_SECTION_EQTY_200014750_13U">#REF!</definedName>
    <definedName name="A_SECTION_EQTY_200014750_13V">#REF!</definedName>
    <definedName name="A_SECTION_EQTY_200014750_13W">#REF!</definedName>
    <definedName name="A_SECTION_EQTY_200014750_Reference_Data">#REF!</definedName>
    <definedName name="A_SECTION_ISSR_208000603_1314">#REF!</definedName>
    <definedName name="A_SECTION_ISSR_208000603_13168">#REF!</definedName>
    <definedName name="A_SECTION_ISSR_208000603_1319">#REF!</definedName>
    <definedName name="A_SECTION_ISSR_208000603_131E">#REF!</definedName>
    <definedName name="A_SECTION_ISSR_208000603_131J">#REF!</definedName>
    <definedName name="A_SECTION_ISSR_208000603_131O">#REF!</definedName>
    <definedName name="A_SECTION_ISSR_208000603_131P">#REF!</definedName>
    <definedName name="A_SECTION_ISSR_208000603_13A">#REF!</definedName>
    <definedName name="A_SECTION_ISSR_208000603_13U">#REF!</definedName>
    <definedName name="A_SECTION_ISSR_208000603_13V">#REF!</definedName>
    <definedName name="A_SECTION_ISSR_208000603_Reference_Data">#REF!</definedName>
    <definedName name="A_SECTION_ISSR_208000976_1314">#REF!</definedName>
    <definedName name="A_SECTION_ISSR_208000976_13168">#REF!</definedName>
    <definedName name="A_SECTION_ISSR_208000976_1316T">#REF!</definedName>
    <definedName name="A_SECTION_ISSR_208000976_1316U">#REF!</definedName>
    <definedName name="A_SECTION_ISSR_208000976_1319">#REF!</definedName>
    <definedName name="A_SECTION_ISSR_208000976_131E">#REF!</definedName>
    <definedName name="A_SECTION_ISSR_208000976_131J">#REF!</definedName>
    <definedName name="A_SECTION_ISSR_208000976_131O">#REF!</definedName>
    <definedName name="A_SECTION_ISSR_208000976_13A">#REF!</definedName>
    <definedName name="A_SECTION_ISSR_208000976_13U">#REF!</definedName>
    <definedName name="A_SECTION_ISSR_208000976_13V">#REF!</definedName>
    <definedName name="A_SECTION_ISSR_208000976_Reference_Data">#REF!</definedName>
    <definedName name="A_SECTION_ISSR_208001258_1314">#REF!</definedName>
    <definedName name="A_SECTION_ISSR_208001258_13168">#REF!</definedName>
    <definedName name="A_SECTION_ISSR_208001258_1316T">#REF!</definedName>
    <definedName name="A_SECTION_ISSR_208001258_1316U">#REF!</definedName>
    <definedName name="A_SECTION_ISSR_208001258_1319">#REF!</definedName>
    <definedName name="A_SECTION_ISSR_208001258_131E">#REF!</definedName>
    <definedName name="A_SECTION_ISSR_208001258_131J">#REF!</definedName>
    <definedName name="A_SECTION_ISSR_208001258_131O">#REF!</definedName>
    <definedName name="A_SECTION_ISSR_208001258_13A">#REF!</definedName>
    <definedName name="A_SECTION_ISSR_208001258_13U">#REF!</definedName>
    <definedName name="A_SECTION_ISSR_208001258_13V">#REF!</definedName>
    <definedName name="A_SECTION_ISSR_208001258_Reference_Data">#REF!</definedName>
    <definedName name="A_SECTION_ISSR_208009722_1314">#REF!</definedName>
    <definedName name="A_SECTION_ISSR_208009722_13168">#REF!</definedName>
    <definedName name="A_SECTION_ISSR_208009722_1319">#REF!</definedName>
    <definedName name="A_SECTION_ISSR_208009722_131E">#REF!</definedName>
    <definedName name="A_SECTION_ISSR_208009722_131J">#REF!</definedName>
    <definedName name="A_SECTION_ISSR_208009722_131O">#REF!</definedName>
    <definedName name="A_SECTION_ISSR_208009722_13A">#REF!</definedName>
    <definedName name="A_SECTION_ISSR_208009722_13U">#REF!</definedName>
    <definedName name="A_SECTION_ISSR_208009722_13V">#REF!</definedName>
    <definedName name="A_SECTION_ISSR_208009722_Reference_Data">#REF!</definedName>
    <definedName name="A_SECTION_ISSR_208011556_1314">#REF!</definedName>
    <definedName name="A_SECTION_ISSR_208011556_13168">#REF!</definedName>
    <definedName name="A_SECTION_ISSR_208011556_1316T">#REF!</definedName>
    <definedName name="A_SECTION_ISSR_208011556_1316U">#REF!</definedName>
    <definedName name="A_SECTION_ISSR_208011556_1319">#REF!</definedName>
    <definedName name="A_SECTION_ISSR_208011556_131E">#REF!</definedName>
    <definedName name="A_SECTION_ISSR_208011556_131J">#REF!</definedName>
    <definedName name="A_SECTION_ISSR_208011556_131O">#REF!</definedName>
    <definedName name="A_SECTION_ISSR_208011556_13A">#REF!</definedName>
    <definedName name="A_SECTION_ISSR_208011556_13U">#REF!</definedName>
    <definedName name="A_SECTION_ISSR_208011556_13V">#REF!</definedName>
    <definedName name="A_SECTION_ISSR_208011556_Reference_Data">#REF!</definedName>
    <definedName name="aa">#REF!</definedName>
    <definedName name="AA_Print_9596Comps">#REF!</definedName>
    <definedName name="aaa">#REF!</definedName>
    <definedName name="AAA_DOCTOPS" hidden="1">"AAA_SET"</definedName>
    <definedName name="AAA_duser" hidden="1">"OFF"</definedName>
    <definedName name="aaaaaaaaaaaaa" hidden="1">{"'Standalone List Price Trends'!$A$1:$X$56"}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ron">#REF!</definedName>
    <definedName name="ab">#REF!</definedName>
    <definedName name="ABB_Ltd">#REF!</definedName>
    <definedName name="abc">#REF!</definedName>
    <definedName name="abprice">OFFSET(#REF!,0,0,COUNTA(#REF!),1)</definedName>
    <definedName name="Absolute">OFFSET(#REF!,0,0,COUNTA(#REF!),1)</definedName>
    <definedName name="ac">#REF!</definedName>
    <definedName name="Acc_payable">#REF!</definedName>
    <definedName name="Acc_payable_growth_fore">#REF!</definedName>
    <definedName name="Acc_Rec">#REF!</definedName>
    <definedName name="Acc_Rec_growth_fore">#REF!</definedName>
    <definedName name="Acc_Rec_turns">#REF!</definedName>
    <definedName name="AccessDatabase" hidden="1">"C:\FAME\famework\elyval.mdb"</definedName>
    <definedName name="Accounts_Receivable">#REF!</definedName>
    <definedName name="Accrued_compensation">#REF!</definedName>
    <definedName name="Accrued_compensation_growth_fore">#REF!</definedName>
    <definedName name="Accrued_expenses">#REF!</definedName>
    <definedName name="Accrued_expenses_growth_fore">#REF!</definedName>
    <definedName name="Accum_Cap_Expenses">#REF!</definedName>
    <definedName name="Accum_Cap_Expenses_growth_fore">#REF!</definedName>
    <definedName name="Accum_Goodwill_Amort">#REF!</definedName>
    <definedName name="Accum_Goodwill_Amort_growth_fore">#REF!</definedName>
    <definedName name="Accum_Other_Amort.">#REF!</definedName>
    <definedName name="accumulated_depn_end">#REF!</definedName>
    <definedName name="Acquisitions_NonCash">#REF!</definedName>
    <definedName name="active_flag">#REF!</definedName>
    <definedName name="ad">#REF!</definedName>
    <definedName name="Ad_Rate__Cost_per_millions___CPM__Assumptions">#REF!</definedName>
    <definedName name="Ad_revEuro97">#REF!</definedName>
    <definedName name="Ad_revEuro98">#REF!</definedName>
    <definedName name="Ad_revs96">#REF!</definedName>
    <definedName name="Ad_revs97">#REF!</definedName>
    <definedName name="Ad_revs98">#REF!</definedName>
    <definedName name="adctavg">#REF!</definedName>
    <definedName name="adctavgffq">#REF!</definedName>
    <definedName name="adctchg">#REF!</definedName>
    <definedName name="adctcurr">#REF!</definedName>
    <definedName name="adctcurrffq">#REF!</definedName>
    <definedName name="adctpegrelavg">#REF!</definedName>
    <definedName name="adctpegrelcurr">#REF!</definedName>
    <definedName name="adctpegrowthavg">#REF!</definedName>
    <definedName name="adctpegrowthcurr">#REF!</definedName>
    <definedName name="adctshares">#REF!</definedName>
    <definedName name="ADI">#REF!</definedName>
    <definedName name="adj_asset">#REF!</definedName>
    <definedName name="Adj_net_oper_fore">#REF!</definedName>
    <definedName name="AdjEPS1999">#REF!</definedName>
    <definedName name="AdjEPS2000">#REF!</definedName>
    <definedName name="AdjEPS2001">#REF!</definedName>
    <definedName name="AdjEPS2002">#REF!</definedName>
    <definedName name="Adjusted_Common_Equity">#REF!</definedName>
    <definedName name="Adjusted_EBIT">#REF!</definedName>
    <definedName name="Adjusted_EBITDA">#REF!</definedName>
    <definedName name="Adjusted_EPS">#REF!</definedName>
    <definedName name="Adjusted_Income_Available_to_Common">#REF!</definedName>
    <definedName name="Adjusted_Net_Operating_Profit">#REF!</definedName>
    <definedName name="Adjusted_Net_Operating_ProfitA">#REF!</definedName>
    <definedName name="adjustedev">#REF!</definedName>
    <definedName name="adjustednetdebt">#REF!</definedName>
    <definedName name="AdMktShare00">#REF!</definedName>
    <definedName name="AdMktShare01">#REF!</definedName>
    <definedName name="AdMktShare02">#REF!</definedName>
    <definedName name="AdMktShare03">#REF!</definedName>
    <definedName name="AdMktShare96">#REF!</definedName>
    <definedName name="AdMktShare97">#REF!</definedName>
    <definedName name="AdMktShare98">#REF!</definedName>
    <definedName name="AdMktShare99">#REF!</definedName>
    <definedName name="ADP_1MO">#REF!</definedName>
    <definedName name="ADR">#REF!</definedName>
    <definedName name="Adrevgrowth00">#REF!</definedName>
    <definedName name="Adrevgrowth01">#REF!</definedName>
    <definedName name="Adrevgrowth97">#REF!</definedName>
    <definedName name="Adrevgrowth98">#REF!</definedName>
    <definedName name="Adrevgrowth99">#REF!</definedName>
    <definedName name="adtnfy1cons">#REF!</definedName>
    <definedName name="adtnfy2cons">#REF!</definedName>
    <definedName name="adtnhi">#REF!</definedName>
    <definedName name="adtnlow">#REF!</definedName>
    <definedName name="adtnpegrowthavg">#REF!</definedName>
    <definedName name="adtnpegrowthcurr">#REF!</definedName>
    <definedName name="adtnpegrowthhi">#REF!</definedName>
    <definedName name="adtnpegrowthlow">#REF!</definedName>
    <definedName name="adtnprice">#REF!</definedName>
    <definedName name="adtnshares">#REF!</definedName>
    <definedName name="adtnttmavg">#REF!</definedName>
    <definedName name="adtnttmcurr">#REF!</definedName>
    <definedName name="adtnttmhi">#REF!</definedName>
    <definedName name="adtnttmlow">#REF!</definedName>
    <definedName name="adtnttmrelavg">#REF!</definedName>
    <definedName name="adtnttmrelcurr">#REF!</definedName>
    <definedName name="adtnttmrelhi">#REF!</definedName>
    <definedName name="adtnttmrellow">#REF!</definedName>
    <definedName name="AdvMktShare">#REF!</definedName>
    <definedName name="AdvRev">#REF!</definedName>
    <definedName name="AdvRevGrowth">#REF!</definedName>
    <definedName name="afciavg">#REF!</definedName>
    <definedName name="afciavgffq">#REF!</definedName>
    <definedName name="afcichg">#REF!</definedName>
    <definedName name="afcicurr">#REF!</definedName>
    <definedName name="afcicurrffq">#REF!</definedName>
    <definedName name="afcipegrelavg">#REF!</definedName>
    <definedName name="afcipegrelcurr">#REF!</definedName>
    <definedName name="afcipegrowthavg">#REF!</definedName>
    <definedName name="afcipegrowthcurr">#REF!</definedName>
    <definedName name="afcishares">#REF!</definedName>
    <definedName name="After_tax_charge">#REF!</definedName>
    <definedName name="After_Tax_charges_gains">#REF!</definedName>
    <definedName name="AGE">#REF!</definedName>
    <definedName name="AGERev">#REF!</definedName>
    <definedName name="AGESeq.">#REF!</definedName>
    <definedName name="ahdkh" hidden="1">{"Annual_Income",#N/A,FALSE,"Report Page";"Balance_Cash_Flow",#N/A,FALSE,"Report Page";"Quarterly_Income",#N/A,FALSE,"Report Page"}</definedName>
    <definedName name="AJHFkjDGHF" localSheetId="0" hidden="1">{"Annual_Income",#N/A,FALSE,"Report Page";"Balance_Cash_Flow",#N/A,FALSE,"Report Page";"Quarterly_Income",#N/A,FALSE,"Report Page"}</definedName>
    <definedName name="AJHFkjDGHF" hidden="1">{"Annual_Income",#N/A,FALSE,"Report Page";"Balance_Cash_Flow",#N/A,FALSE,"Report Page";"Quarterly_Income",#N/A,FALSE,"Report Page"}</definedName>
    <definedName name="AL_email">"alamba@isigrp.com"</definedName>
    <definedName name="AL_phone">"(XXX) XXX-XXXX"</definedName>
    <definedName name="alaavg">#REF!</definedName>
    <definedName name="alaavgffq">#REF!</definedName>
    <definedName name="alachg">#REF!</definedName>
    <definedName name="alacurr">#REF!</definedName>
    <definedName name="alacurrffq">#REF!</definedName>
    <definedName name="alapegrelavg">#REF!</definedName>
    <definedName name="alapegrelcurr">#REF!</definedName>
    <definedName name="alapegrowthavg">#REF!</definedName>
    <definedName name="alapegrowthcurr">#REF!</definedName>
    <definedName name="Albacom">#REF!</definedName>
    <definedName name="alkprice">#REF!</definedName>
    <definedName name="All_00_PS">#REF!</definedName>
    <definedName name="All_00_Rev">#REF!</definedName>
    <definedName name="All_97_PS">#REF!</definedName>
    <definedName name="All_97_Rev">#REF!</definedName>
    <definedName name="All_98_PS">#REF!</definedName>
    <definedName name="All_98_Rev">#REF!</definedName>
    <definedName name="All_99_PS">#REF!</definedName>
    <definedName name="All_99_Rev">#REF!</definedName>
    <definedName name="All_EPS_00">#REF!</definedName>
    <definedName name="All_EPS_98">#REF!</definedName>
    <definedName name="All_EPS_99">#REF!</definedName>
    <definedName name="All_Metric">OFFSET(#REF!,0,0,COUNTA(#REF!)-1,2)</definedName>
    <definedName name="All_Mkt_Cap">#REF!</definedName>
    <definedName name="All_Off_High">#REF!</definedName>
    <definedName name="ALL_STATEMENTS">#REF!</definedName>
    <definedName name="All_Stocks">#REF!</definedName>
    <definedName name="alsk_is">#REF!</definedName>
    <definedName name="AmericanCellular">#REF!</definedName>
    <definedName name="Americas_License_Revenue">#REF!</definedName>
    <definedName name="amort">#REF!</definedName>
    <definedName name="Amort96">#REF!</definedName>
    <definedName name="Amortisation_pension_actuarial_gain_loss">#REF!</definedName>
    <definedName name="Amortization">#REF!</definedName>
    <definedName name="Amortization_Of_Intangible_Assets">#REF!</definedName>
    <definedName name="Amount_Spent_Share_Repurchase">#REF!</definedName>
    <definedName name="ampavg">#REF!</definedName>
    <definedName name="ampchg">#REF!</definedName>
    <definedName name="ampcrpe">#REF!</definedName>
    <definedName name="ampcurr">#REF!</definedName>
    <definedName name="ampdate">#REF!</definedName>
    <definedName name="ampdown">#REF!</definedName>
    <definedName name="ampdownsup">#REF!</definedName>
    <definedName name="ampevebitda">#REF!</definedName>
    <definedName name="ampfy1cons">#REF!</definedName>
    <definedName name="ampfy2cons">#REF!</definedName>
    <definedName name="amphi">#REF!</definedName>
    <definedName name="amphilo">#REF!</definedName>
    <definedName name="amplo">#REF!</definedName>
    <definedName name="ampmktcap">#REF!</definedName>
    <definedName name="amppegrowthavg">#REF!</definedName>
    <definedName name="amppegrowthcurr">#REF!</definedName>
    <definedName name="amppegrowthmax">#REF!</definedName>
    <definedName name="amppegrowthmin">#REF!</definedName>
    <definedName name="ampperelavg">#REF!</definedName>
    <definedName name="ampperelcurr">#REF!</definedName>
    <definedName name="ampprice">#REF!</definedName>
    <definedName name="ampqv">#REF!</definedName>
    <definedName name="amprating">#REF!</definedName>
    <definedName name="amprpe">#REF!</definedName>
    <definedName name="ampshares">#REF!</definedName>
    <definedName name="amptech">#REF!</definedName>
    <definedName name="amptprice">#REF!</definedName>
    <definedName name="ampttmavg">#REF!</definedName>
    <definedName name="ampttmcurr">#REF!</definedName>
    <definedName name="ampttmhi">#REF!</definedName>
    <definedName name="ampttmlo">#REF!</definedName>
    <definedName name="ampttmrelavg">#REF!</definedName>
    <definedName name="ampttmrelcurr">#REF!</definedName>
    <definedName name="ampttmrelhi">#REF!</definedName>
    <definedName name="ampttmrello">#REF!</definedName>
    <definedName name="ampup">#REF!</definedName>
    <definedName name="ampupsup">#REF!</definedName>
    <definedName name="ampvol">#REF!</definedName>
    <definedName name="ampyield">#REF!</definedName>
    <definedName name="amrprice">#REF!</definedName>
    <definedName name="amrshares">#REF!</definedName>
    <definedName name="Analog">#REF!</definedName>
    <definedName name="and" hidden="1">{"fax (BS)",#N/A,FALSE,"BS";"fax (CF)",#N/A,FALSE,"CF";"fax (seg)",#N/A,FALSE,"Seg";"fax (telecomm)",#N/A,FALSE,"telecomm";"fax (infodisplay)",#N/A,FALSE,"infodisplay";"fax (am)",#N/A,FALSE,"AM";"fax (is)",#N/A,FALSE,"IS"}</definedName>
    <definedName name="anicavg">#REF!</definedName>
    <definedName name="anicchg">#REF!</definedName>
    <definedName name="aniccrpe">#REF!</definedName>
    <definedName name="aniccurr">#REF!</definedName>
    <definedName name="anicdate">#REF!</definedName>
    <definedName name="anicdown">#REF!</definedName>
    <definedName name="anicdownsup">#REF!</definedName>
    <definedName name="aniceps98">#REF!</definedName>
    <definedName name="aniceps99">#REF!</definedName>
    <definedName name="anicfy1cons">#REF!</definedName>
    <definedName name="anicfy2cons">#REF!</definedName>
    <definedName name="anichi">#REF!</definedName>
    <definedName name="anichilo">#REF!</definedName>
    <definedName name="aniclow">#REF!</definedName>
    <definedName name="anicmktcap">#REF!</definedName>
    <definedName name="anicpegrowth">#REF!</definedName>
    <definedName name="anicpegrowthavg">#REF!</definedName>
    <definedName name="anicpegrowthcurr">#REF!</definedName>
    <definedName name="anicpegrowthhi">#REF!</definedName>
    <definedName name="anicpegrowthlow">#REF!</definedName>
    <definedName name="anicprice">#REF!</definedName>
    <definedName name="anicrpe">#REF!</definedName>
    <definedName name="anicshares">#REF!</definedName>
    <definedName name="anictprice">#REF!</definedName>
    <definedName name="anicttmavg">#REF!</definedName>
    <definedName name="anicttmcurr">#REF!</definedName>
    <definedName name="anicttmhi">#REF!</definedName>
    <definedName name="anicttmlow">#REF!</definedName>
    <definedName name="anicttmrelavg">#REF!</definedName>
    <definedName name="anicttmrelcurr">#REF!</definedName>
    <definedName name="anicttmrelhi">#REF!</definedName>
    <definedName name="anicttmrellow">#REF!</definedName>
    <definedName name="anicup">#REF!</definedName>
    <definedName name="anicupsup">#REF!</definedName>
    <definedName name="anicvol">#REF!</definedName>
    <definedName name="anicyield">#REF!</definedName>
    <definedName name="Ann_revenue">#REF!</definedName>
    <definedName name="ANNHIGH">#REF!</definedName>
    <definedName name="ANNLOW">#REF!</definedName>
    <definedName name="ANNUAL">#REF!</definedName>
    <definedName name="anscount" hidden="1">1</definedName>
    <definedName name="antcavg">#REF!</definedName>
    <definedName name="antcavgffq">#REF!</definedName>
    <definedName name="antcchg">#REF!</definedName>
    <definedName name="antccurr">#REF!</definedName>
    <definedName name="antccurrffq">#REF!</definedName>
    <definedName name="antcpegrelavg">#REF!</definedName>
    <definedName name="antcpegrelcurr">#REF!</definedName>
    <definedName name="antcpegrowthavg">#REF!</definedName>
    <definedName name="antcpegrowthcurr">#REF!</definedName>
    <definedName name="aomnc" hidden="1">{"fax (BS)",#N/A,FALSE,"BS";"fax (CF)",#N/A,FALSE,"CF";"fax (seg)",#N/A,FALSE,"Seg";"fax (telecomm)",#N/A,FALSE,"telecomm";"fax (infodisplay)",#N/A,FALSE,"infodisplay";"fax (am)",#N/A,FALSE,"AM";"fax (is)",#N/A,FALSE,"IS"}</definedName>
    <definedName name="AP">#REF!</definedName>
    <definedName name="apccavg">#REF!</definedName>
    <definedName name="apccchg">#REF!</definedName>
    <definedName name="apcccrpe">#REF!</definedName>
    <definedName name="apcccurr">#REF!</definedName>
    <definedName name="apccdate">#REF!</definedName>
    <definedName name="apccdown">#REF!</definedName>
    <definedName name="apccdownsup">#REF!</definedName>
    <definedName name="apccfy1cons">#REF!</definedName>
    <definedName name="apccfy2cons">#REF!</definedName>
    <definedName name="apcchi">#REF!</definedName>
    <definedName name="apcchilo">#REF!</definedName>
    <definedName name="apcclow">#REF!</definedName>
    <definedName name="apccmktcap">#REF!</definedName>
    <definedName name="apccpegrowthavg">#REF!</definedName>
    <definedName name="apccpegrowthcurr">#REF!</definedName>
    <definedName name="apccpegrowthhi">#REF!</definedName>
    <definedName name="apccpegrowthlow">#REF!</definedName>
    <definedName name="apccprice">#REF!</definedName>
    <definedName name="apccrpe">#REF!</definedName>
    <definedName name="apccshares">#REF!</definedName>
    <definedName name="apcctprice">#REF!</definedName>
    <definedName name="apccttmavg">#REF!</definedName>
    <definedName name="apccttmcurr">#REF!</definedName>
    <definedName name="apccttmhi">#REF!</definedName>
    <definedName name="apccttmlow">#REF!</definedName>
    <definedName name="apccttmrelavg">#REF!</definedName>
    <definedName name="apccttmrelcurr">#REF!</definedName>
    <definedName name="apccttmrelhi">#REF!</definedName>
    <definedName name="apccttmrellow">#REF!</definedName>
    <definedName name="apccup">#REF!</definedName>
    <definedName name="apccupsup">#REF!</definedName>
    <definedName name="apccurr">#REF!</definedName>
    <definedName name="apccvol">#REF!</definedName>
    <definedName name="apccyield">#REF!</definedName>
    <definedName name="aphavg">#REF!</definedName>
    <definedName name="aphchg">#REF!</definedName>
    <definedName name="aphcrpe">#REF!</definedName>
    <definedName name="aphcurr">#REF!</definedName>
    <definedName name="aphdate">#REF!</definedName>
    <definedName name="aphdown">#REF!</definedName>
    <definedName name="aphdownsup">#REF!</definedName>
    <definedName name="aphfy1cons">#REF!</definedName>
    <definedName name="aphfy2cons">#REF!</definedName>
    <definedName name="aphhi">#REF!</definedName>
    <definedName name="aphhilo">#REF!</definedName>
    <definedName name="aphlow">#REF!</definedName>
    <definedName name="aphmktcap">#REF!</definedName>
    <definedName name="aphpegrowthavg">#REF!</definedName>
    <definedName name="aphpegrowthcurr">#REF!</definedName>
    <definedName name="aphpegrowthhi">#REF!</definedName>
    <definedName name="aphpegrowthlow">#REF!</definedName>
    <definedName name="aphprice">#REF!</definedName>
    <definedName name="aphrpe">#REF!</definedName>
    <definedName name="aphshares">#REF!</definedName>
    <definedName name="aphtprice">#REF!</definedName>
    <definedName name="aphttmavg">#REF!</definedName>
    <definedName name="aphttmcurr">#REF!</definedName>
    <definedName name="aphttmhi">#REF!</definedName>
    <definedName name="aphttmlow">#REF!</definedName>
    <definedName name="aphttmrelavg">#REF!</definedName>
    <definedName name="aphttmrelcurr">#REF!</definedName>
    <definedName name="aphttmrelhi">#REF!</definedName>
    <definedName name="aphttmrellow">#REF!</definedName>
    <definedName name="aphup">#REF!</definedName>
    <definedName name="aphupsup">#REF!</definedName>
    <definedName name="aphvol">#REF!</definedName>
    <definedName name="aphyield">#REF!</definedName>
    <definedName name="AppDevCon">#REF!</definedName>
    <definedName name="AR">#REF!</definedName>
    <definedName name="arcc">#REF!</definedName>
    <definedName name="ARCC_g">#REF!</definedName>
    <definedName name="ARCC_is">#REF!</definedName>
    <definedName name="AreasForDeletion">#REF!</definedName>
    <definedName name="Argentina">#REF!</definedName>
    <definedName name="Arial">#REF!</definedName>
    <definedName name="ARPU">#REF!</definedName>
    <definedName name="ArrayAnnualGrossMargin">#REF!</definedName>
    <definedName name="ArrayAnnualNetIncome">#REF!</definedName>
    <definedName name="ArrayAnnualOperatingIncome">#REF!</definedName>
    <definedName name="ArrayAnnualOperatingMargin">#REF!</definedName>
    <definedName name="ArrayAnnualRev">#REF!</definedName>
    <definedName name="ArrayQuarterGrossMargin">#REF!</definedName>
    <definedName name="ArrayQuarterlyNetIncome">#REF!</definedName>
    <definedName name="ArrayQuarterlyOperatingIncome">#REF!</definedName>
    <definedName name="ArrayQuarterlyRev">#REF!</definedName>
    <definedName name="ArrayQuarterNetIncome">#REF!</definedName>
    <definedName name="ArrayQuarterOperatingIncome">#REF!</definedName>
    <definedName name="ArrayQuarterOperatingMargin">#REF!</definedName>
    <definedName name="ArrayQuarterRev">#REF!</definedName>
    <definedName name="arwavg">#REF!</definedName>
    <definedName name="arwchg">#REF!</definedName>
    <definedName name="arwcurr">#REF!</definedName>
    <definedName name="arwdate">#REF!</definedName>
    <definedName name="arwdown">#REF!</definedName>
    <definedName name="arwdownsup">#REF!</definedName>
    <definedName name="arweps98">#REF!</definedName>
    <definedName name="arweps99">#REF!</definedName>
    <definedName name="arwfy1cons">#REF!</definedName>
    <definedName name="arwfy2cons">#REF!</definedName>
    <definedName name="arwhi">#REF!</definedName>
    <definedName name="arwhilo">#REF!</definedName>
    <definedName name="arwlow">#REF!</definedName>
    <definedName name="arwmktcap">#REF!</definedName>
    <definedName name="arwpegrowthavg">#REF!</definedName>
    <definedName name="arwpegrowthcurr">#REF!</definedName>
    <definedName name="arwpegrowthhi">#REF!</definedName>
    <definedName name="arwpegrowthlow">#REF!</definedName>
    <definedName name="arwprice">#REF!</definedName>
    <definedName name="arwrpe">#REF!</definedName>
    <definedName name="arwshares">#REF!</definedName>
    <definedName name="arwtprice">#REF!</definedName>
    <definedName name="arwttmavg">#REF!</definedName>
    <definedName name="arwttmcurr">#REF!</definedName>
    <definedName name="arwttmhi">#REF!</definedName>
    <definedName name="arwttmlow">#REF!</definedName>
    <definedName name="arwttmrelavg">#REF!</definedName>
    <definedName name="arwttmrelcurr">#REF!</definedName>
    <definedName name="arwttmrelhi">#REF!</definedName>
    <definedName name="arwttmrellow">#REF!</definedName>
    <definedName name="arwup">#REF!</definedName>
    <definedName name="arwupsup">#REF!</definedName>
    <definedName name="arwvol">#REF!</definedName>
    <definedName name="arwyield">#REF!</definedName>
    <definedName name="asdf" hidden="1">{"'Standalone List Price Trends'!$A$1:$X$56"}</definedName>
    <definedName name="asdtf" hidden="1">{"'Standalone List Price Trends'!$A$1:$X$56"}</definedName>
    <definedName name="asggdasgasdg" hidden="1">{"'Standalone List Price Trends'!$A$1:$X$56"}</definedName>
    <definedName name="Asia_Pacific_Revenues">#REF!</definedName>
    <definedName name="asms">#REF!</definedName>
    <definedName name="ASP">#REF!</definedName>
    <definedName name="ASPs">#REF!</definedName>
    <definedName name="Associate_Value">#REF!</definedName>
    <definedName name="ASWXIncStmt">#REF!</definedName>
    <definedName name="AT_5YRGROWTH">#REF!</definedName>
    <definedName name="atsnchg">#REF!</definedName>
    <definedName name="atsncrpe">#REF!</definedName>
    <definedName name="atsncurr">#REF!</definedName>
    <definedName name="atsndate">#REF!</definedName>
    <definedName name="atsndown">#REF!</definedName>
    <definedName name="atsndownsup">#REF!</definedName>
    <definedName name="atsnevebitda">#REF!</definedName>
    <definedName name="atsnffqpeavg">#REF!</definedName>
    <definedName name="atsnffqpecurr">#REF!</definedName>
    <definedName name="atsnFY1cons">#REF!</definedName>
    <definedName name="atsnFY2cons">#REF!</definedName>
    <definedName name="atsnhi">#REF!</definedName>
    <definedName name="atsnhilo">#REF!</definedName>
    <definedName name="atsnlo">#REF!</definedName>
    <definedName name="atsnmktcap">#REF!</definedName>
    <definedName name="atsnpe1">#REF!</definedName>
    <definedName name="atsnpe2">#REF!</definedName>
    <definedName name="atsnpegrowthavg">#REF!</definedName>
    <definedName name="atsnpegrowthcurr">#REF!</definedName>
    <definedName name="atsnpegrowthmax">#REF!</definedName>
    <definedName name="atsnpegrowthmin">#REF!</definedName>
    <definedName name="atsnperelavg">#REF!</definedName>
    <definedName name="atsnperelcurr">#REF!</definedName>
    <definedName name="atsnprice">#REF!</definedName>
    <definedName name="atsnqv">#REF!</definedName>
    <definedName name="atsnrpe">#REF!</definedName>
    <definedName name="atsnshares">#REF!</definedName>
    <definedName name="atsntech">#REF!</definedName>
    <definedName name="atsntprice">#REF!</definedName>
    <definedName name="atsnttmavg">#REF!</definedName>
    <definedName name="atsnttmcurr">#REF!</definedName>
    <definedName name="atsnttmhi">#REF!</definedName>
    <definedName name="atsnttmlo">#REF!</definedName>
    <definedName name="atsnttmrelavg">#REF!</definedName>
    <definedName name="atsnttmrelcurr">#REF!</definedName>
    <definedName name="atsnttmrelhi">#REF!</definedName>
    <definedName name="atsnttmrello">#REF!</definedName>
    <definedName name="atsnup">#REF!</definedName>
    <definedName name="atsnupsup">#REF!</definedName>
    <definedName name="atsnvol">#REF!</definedName>
    <definedName name="atsnyield">#REF!</definedName>
    <definedName name="AUOptronics">#REF!</definedName>
    <definedName name="AVELIFE">3</definedName>
    <definedName name="Average_Employees">#REF!</definedName>
    <definedName name="Average_invested_capital">#REF!</definedName>
    <definedName name="Average_invested_capital_DCF">#REF!</definedName>
    <definedName name="Average_thereafter">#REF!</definedName>
    <definedName name="AverageSimple">#REF!</definedName>
    <definedName name="AVG_MRR_per_Lost_Cust">#REF!</definedName>
    <definedName name="AVG_MRR_per_New_Cust">#REF!</definedName>
    <definedName name="AvgAUM_06">#REF!</definedName>
    <definedName name="avgcomp">#REF!</definedName>
    <definedName name="AvgRev.perUnit">#REF!</definedName>
    <definedName name="avtavg">#REF!</definedName>
    <definedName name="avtchg">#REF!</definedName>
    <definedName name="avtcrpe">#REF!</definedName>
    <definedName name="avtcurr">#REF!</definedName>
    <definedName name="avtdate">#REF!</definedName>
    <definedName name="avtdown">#REF!</definedName>
    <definedName name="avtdownsup">#REF!</definedName>
    <definedName name="avteps99">#REF!</definedName>
    <definedName name="avtfy1cons">#REF!</definedName>
    <definedName name="avtfy2cons">#REF!</definedName>
    <definedName name="avthi">#REF!</definedName>
    <definedName name="avthilo">#REF!</definedName>
    <definedName name="avtlow">#REF!</definedName>
    <definedName name="avtmktcap">#REF!</definedName>
    <definedName name="avtpegrowthavg">#REF!</definedName>
    <definedName name="avtpegrowthcurr">#REF!</definedName>
    <definedName name="avtpegrowthhi">#REF!</definedName>
    <definedName name="avtpegrowthlow">#REF!</definedName>
    <definedName name="avtprice">#REF!</definedName>
    <definedName name="avtrpe">#REF!</definedName>
    <definedName name="avtshares">#REF!</definedName>
    <definedName name="avttprice">#REF!</definedName>
    <definedName name="avtttmavg">#REF!</definedName>
    <definedName name="avtttmcurr">#REF!</definedName>
    <definedName name="avtttmhi">#REF!</definedName>
    <definedName name="avtttmlow">#REF!</definedName>
    <definedName name="avtttmrelavg">#REF!</definedName>
    <definedName name="avtttmrelcurr">#REF!</definedName>
    <definedName name="avtttmrelhi">#REF!</definedName>
    <definedName name="avtttmrellow">#REF!</definedName>
    <definedName name="avtup">#REF!</definedName>
    <definedName name="avtupsup">#REF!</definedName>
    <definedName name="avtvol">#REF!</definedName>
    <definedName name="avtyield">#REF!</definedName>
    <definedName name="avxavg">#REF!</definedName>
    <definedName name="avxchg">#REF!</definedName>
    <definedName name="avxcrpe">#REF!</definedName>
    <definedName name="avxcurr">#REF!</definedName>
    <definedName name="avxdate">#REF!</definedName>
    <definedName name="avxdown">#REF!</definedName>
    <definedName name="avxdownsup">#REF!</definedName>
    <definedName name="avxevebitda">#REF!</definedName>
    <definedName name="avxffqpeavg">#REF!</definedName>
    <definedName name="avxffqpecurr">#REF!</definedName>
    <definedName name="avxfy1cons">#REF!</definedName>
    <definedName name="avxfy2cons">#REF!</definedName>
    <definedName name="avxhi">#REF!</definedName>
    <definedName name="avxhilo">#REF!</definedName>
    <definedName name="avxlo">#REF!</definedName>
    <definedName name="avxmktcap">#REF!</definedName>
    <definedName name="avxpegrowthavg">#REF!</definedName>
    <definedName name="avxpegrowthcurr">#REF!</definedName>
    <definedName name="avxpegrowthhi">#REF!</definedName>
    <definedName name="avxpegrowthlo">#REF!</definedName>
    <definedName name="avxperelavg">#REF!</definedName>
    <definedName name="avxperelcurr">#REF!</definedName>
    <definedName name="avxprice">#REF!</definedName>
    <definedName name="avxrating">#REF!</definedName>
    <definedName name="avxrpe">#REF!</definedName>
    <definedName name="avxshares">#REF!</definedName>
    <definedName name="avxtprice">#REF!</definedName>
    <definedName name="avxttmavg">#REF!</definedName>
    <definedName name="avxttmcurr">#REF!</definedName>
    <definedName name="avxttmhi">#REF!</definedName>
    <definedName name="avxttmlo">#REF!</definedName>
    <definedName name="avxttmrelavg">#REF!</definedName>
    <definedName name="avxttmrelcurr">#REF!</definedName>
    <definedName name="avxttmrelhi">#REF!</definedName>
    <definedName name="avxttmrello">#REF!</definedName>
    <definedName name="avxup">#REF!</definedName>
    <definedName name="avxupsup">#REF!</definedName>
    <definedName name="avxvol">#REF!</definedName>
    <definedName name="avxyield">#REF!</definedName>
    <definedName name="awaprice">#REF!</definedName>
    <definedName name="awashares">#REF!</definedName>
    <definedName name="axeavg">#REF!</definedName>
    <definedName name="axechg">#REF!</definedName>
    <definedName name="axecrpe">#REF!</definedName>
    <definedName name="axecurr">#REF!</definedName>
    <definedName name="axedate">#REF!</definedName>
    <definedName name="axedown">#REF!</definedName>
    <definedName name="axedownsup">#REF!</definedName>
    <definedName name="axeevebitda">#REF!</definedName>
    <definedName name="axeffqpeavg">#REF!</definedName>
    <definedName name="axeffqpecurr">#REF!</definedName>
    <definedName name="axeFY1cons">#REF!</definedName>
    <definedName name="axeFY2cons">#REF!</definedName>
    <definedName name="axehi">#REF!</definedName>
    <definedName name="axehilo">#REF!</definedName>
    <definedName name="axelo">#REF!</definedName>
    <definedName name="axemktcap">#REF!</definedName>
    <definedName name="axepe1">#REF!</definedName>
    <definedName name="axepe2">#REF!</definedName>
    <definedName name="axepegrowthavg">#REF!</definedName>
    <definedName name="axepegrowthcurr">#REF!</definedName>
    <definedName name="axepegrowthmax">#REF!</definedName>
    <definedName name="axepegrowthmin">#REF!</definedName>
    <definedName name="axeperelavg">#REF!</definedName>
    <definedName name="axeperelcurr">#REF!</definedName>
    <definedName name="axeprice">#REF!</definedName>
    <definedName name="axeqv">#REF!</definedName>
    <definedName name="axerating">#REF!</definedName>
    <definedName name="axerpe">#REF!</definedName>
    <definedName name="axeshares">#REF!</definedName>
    <definedName name="axetech">#REF!</definedName>
    <definedName name="axetprice">#REF!</definedName>
    <definedName name="axettmavg">#REF!</definedName>
    <definedName name="axettmcurr">#REF!</definedName>
    <definedName name="axettmhi">#REF!</definedName>
    <definedName name="axettmlo">#REF!</definedName>
    <definedName name="axettmrelavg">#REF!</definedName>
    <definedName name="axettmrelcurr">#REF!</definedName>
    <definedName name="axettmrelhi">#REF!</definedName>
    <definedName name="axettmrello">#REF!</definedName>
    <definedName name="axeup">#REF!</definedName>
    <definedName name="axeupsup">#REF!</definedName>
    <definedName name="axevol">#REF!</definedName>
    <definedName name="axeyield">#REF!</definedName>
    <definedName name="b" hidden="1">{"IS",#N/A,FALSE,"IS";"RPTIS",#N/A,FALSE,"RPTIS";"STATS",#N/A,FALSE,"STATS";"CELL",#N/A,FALSE,"CELL";"BS",#N/A,FALSE,"BS"}</definedName>
    <definedName name="B___DEMONSTRAÇÃO_DO_RESULTADO_PROJETADA">#REF!</definedName>
    <definedName name="ba" hidden="1">{"IS",#N/A,FALSE,"IS";"RPTIS",#N/A,FALSE,"RPTIS";"STATS",#N/A,FALSE,"STATS";"CELL",#N/A,FALSE,"CELL";"BS",#N/A,FALSE,"BS"}</definedName>
    <definedName name="ba_cash">#REF!</definedName>
    <definedName name="ba_cur_ass">#REF!</definedName>
    <definedName name="ba_stock">#REF!</definedName>
    <definedName name="ba_tot_ass">#REF!</definedName>
    <definedName name="ba_wip">#REF!</definedName>
    <definedName name="BACK_A">#REF!</definedName>
    <definedName name="Backlog">#REF!</definedName>
    <definedName name="balance">#REF!</definedName>
    <definedName name="balance_sheet">#REF!</definedName>
    <definedName name="balancesheet">#REF!</definedName>
    <definedName name="Balsht">#REF!</definedName>
    <definedName name="BaseTick">#REF!</definedName>
    <definedName name="Basic_Shares_Outstanding">#REF!</definedName>
    <definedName name="BB_email">"bbaytosh@isigrp.com"</definedName>
    <definedName name="bb_MTI1MDBCNTdGNkJCNDdEQ0" localSheetId="0" hidden="1">#REF!</definedName>
    <definedName name="bb_MTI1MDBCNTdGNkJCNDdEQ0" hidden="1">#REF!</definedName>
    <definedName name="BB_phone">"(212) 446-9469"</definedName>
    <definedName name="beicurr">#REF!</definedName>
    <definedName name="beidate">#REF!</definedName>
    <definedName name="beidown">#REF!</definedName>
    <definedName name="beievebitda">#REF!</definedName>
    <definedName name="beify1cons">#REF!</definedName>
    <definedName name="beify2cons">#REF!</definedName>
    <definedName name="beihi">#REF!</definedName>
    <definedName name="beilo">#REF!</definedName>
    <definedName name="beipegrowthavg">#REF!</definedName>
    <definedName name="beipegrowthcurr">#REF!</definedName>
    <definedName name="beipegrowthmax">#REF!</definedName>
    <definedName name="beipegrowthmin">#REF!</definedName>
    <definedName name="beiprice">#REF!</definedName>
    <definedName name="beiqv">#REF!</definedName>
    <definedName name="beirpe">#REF!</definedName>
    <definedName name="beitech">#REF!</definedName>
    <definedName name="beittmavg">#REF!</definedName>
    <definedName name="beittmcurr">#REF!</definedName>
    <definedName name="beittmhi">#REF!</definedName>
    <definedName name="beittmlo">#REF!</definedName>
    <definedName name="beittmrelavg">#REF!</definedName>
    <definedName name="beittmrelcurr">#REF!</definedName>
    <definedName name="beittmrelhi">#REF!</definedName>
    <definedName name="beittmrello">#REF!</definedName>
    <definedName name="beiup">#REF!</definedName>
    <definedName name="beivol">#REF!</definedName>
    <definedName name="beiyield">#REF!</definedName>
    <definedName name="BEL_5YRGROWTH">#REF!</definedName>
    <definedName name="belnew" hidden="1">{"IS",#N/A,FALSE,"IS";"RPTIS",#N/A,FALSE,"RPTIS";"STATS",#N/A,FALSE,"STATS";"CELL",#N/A,FALSE,"CELL";"BS",#N/A,FALSE,"BS"}</definedName>
    <definedName name="Beta">#REF!</definedName>
    <definedName name="Bias_Chart">#REF!</definedName>
    <definedName name="bl_pens_prov">#REF!</definedName>
    <definedName name="bl_sh_fund">#REF!</definedName>
    <definedName name="bl_tot_cur_liab">#REF!</definedName>
    <definedName name="bl_tot_liab_over">#REF!</definedName>
    <definedName name="bl_tot_liab_use_over">#REF!</definedName>
    <definedName name="blah" hidden="1">{"page 1",#N/A,FALSE,"Comps";"page 2",#N/A,FALSE,"Comps"}</definedName>
    <definedName name="BLKB">#REF!</definedName>
    <definedName name="BLS_5YRGROWTH">#REF!</definedName>
    <definedName name="bls_vge">#REF!</definedName>
    <definedName name="bls_wireless_subs">#REF!</definedName>
    <definedName name="bobj_pe">#REF!</definedName>
    <definedName name="bobj_price">#REF!</definedName>
    <definedName name="BOEHydis">#REF!</definedName>
    <definedName name="Book_value_per_share">#REF!</definedName>
    <definedName name="Boston_Add">#REF!</definedName>
    <definedName name="braniffprice">#REF!</definedName>
    <definedName name="braniffshares">#REF!</definedName>
    <definedName name="Breakdown">#REF!</definedName>
    <definedName name="BreakdownDetailed">#REF!</definedName>
    <definedName name="bridgeinfo">#REF!</definedName>
    <definedName name="broadband">#REF!</definedName>
    <definedName name="BROADCASTING">#REF!</definedName>
    <definedName name="Broadline">#REF!</definedName>
    <definedName name="BRW_5YRGROWTH">#REF!</definedName>
    <definedName name="BS">#REF!</definedName>
    <definedName name="bs_drivers">#REF!</definedName>
    <definedName name="BS_Metric">OFFSET(#REF!,0,0,COUNTA(#REF!)-1)</definedName>
    <definedName name="BS_print">#REF!</definedName>
    <definedName name="BS_SF_OS">#REF!</definedName>
    <definedName name="BS_total_assets">#REF!</definedName>
    <definedName name="bt">#REF!</definedName>
    <definedName name="buildout">#REF!</definedName>
    <definedName name="bus_line_growth">#REF!</definedName>
    <definedName name="ButtonsForDeletion">#REF!</definedName>
    <definedName name="BUV">#REF!</definedName>
    <definedName name="Buy_Out_Of_Minorities">#REF!</definedName>
    <definedName name="bv">#REF!</definedName>
    <definedName name="bwccrpe">#REF!</definedName>
    <definedName name="bwccurr">#REF!</definedName>
    <definedName name="bwcdate">#REF!</definedName>
    <definedName name="bwcdown">#REF!</definedName>
    <definedName name="bwcdownsup">#REF!</definedName>
    <definedName name="bwcevebitda">#REF!</definedName>
    <definedName name="bwcffqpeavg">#REF!</definedName>
    <definedName name="bwcffqpecurr">#REF!</definedName>
    <definedName name="bwcFY1cons">#REF!</definedName>
    <definedName name="bwcFY2cons">#REF!</definedName>
    <definedName name="bwchi">#REF!</definedName>
    <definedName name="bwchilo">#REF!</definedName>
    <definedName name="bwclo">#REF!</definedName>
    <definedName name="bwcmktcap">#REF!</definedName>
    <definedName name="bwcpe1">#REF!</definedName>
    <definedName name="bwcpe2">#REF!</definedName>
    <definedName name="bwcpegrowthavg">#REF!</definedName>
    <definedName name="bwcpegrowthcurr">#REF!</definedName>
    <definedName name="bwcpegrowthmax">#REF!</definedName>
    <definedName name="bwcpegrowthmin">#REF!</definedName>
    <definedName name="bwcperelavg">#REF!</definedName>
    <definedName name="bwcperelcurr">#REF!</definedName>
    <definedName name="bwcprice">#REF!</definedName>
    <definedName name="bwcqv">#REF!</definedName>
    <definedName name="bwcrating">#REF!</definedName>
    <definedName name="bwcrpe">#REF!</definedName>
    <definedName name="bwcshares">#REF!</definedName>
    <definedName name="bwctech">#REF!</definedName>
    <definedName name="bwctprice">#REF!</definedName>
    <definedName name="bwcttmavg">#REF!</definedName>
    <definedName name="bwcttmcurr">#REF!</definedName>
    <definedName name="bwcttmhi">#REF!</definedName>
    <definedName name="bwcttmlo">#REF!</definedName>
    <definedName name="bwcttmrelavg">#REF!</definedName>
    <definedName name="bwcttmrelcurr">#REF!</definedName>
    <definedName name="bwcttmrelhi">#REF!</definedName>
    <definedName name="bwcttmrello">#REF!</definedName>
    <definedName name="bwcup">#REF!</definedName>
    <definedName name="bwcupsup">#REF!</definedName>
    <definedName name="bwcvol">#REF!</definedName>
    <definedName name="bwcyield">#REF!</definedName>
    <definedName name="c_cash_eoy">#REF!</definedName>
    <definedName name="c_cash_fin">#REF!</definedName>
    <definedName name="c_cash_inv">#REF!</definedName>
    <definedName name="c_cash_op">#REF!</definedName>
    <definedName name="c_ex_acq">#REF!</definedName>
    <definedName name="c_fin_act_oth">#REF!</definedName>
    <definedName name="c_incr_nwc">#REF!</definedName>
    <definedName name="c_net_depr">#REF!</definedName>
    <definedName name="c_on_cap_ex">#REF!</definedName>
    <definedName name="c_proc_ltl">#REF!</definedName>
    <definedName name="c_proc_stb">#REF!</definedName>
    <definedName name="c_tot_div">#REF!</definedName>
    <definedName name="c_tot_incr_cash">#REF!</definedName>
    <definedName name="CABLE">#REF!</definedName>
    <definedName name="caiprice">#REF!</definedName>
    <definedName name="caishares">#REF!</definedName>
    <definedName name="cal00_eps">#REF!</definedName>
    <definedName name="cal00_rev">#REF!</definedName>
    <definedName name="cal01_eps">#REF!</definedName>
    <definedName name="cal01_rev">#REF!</definedName>
    <definedName name="cal93_eps">#REF!</definedName>
    <definedName name="cal93_rev">#REF!</definedName>
    <definedName name="cal94_eps">#REF!</definedName>
    <definedName name="cal94_rev">#REF!</definedName>
    <definedName name="cal95_eps">#REF!</definedName>
    <definedName name="cal95_rev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endar">#REF!</definedName>
    <definedName name="caleps98">#REF!</definedName>
    <definedName name="caleps99">#REF!</definedName>
    <definedName name="Call_Note">#REF!</definedName>
    <definedName name="calrev95">#REF!</definedName>
    <definedName name="calrev96">#REF!</definedName>
    <definedName name="calrev97">#REF!</definedName>
    <definedName name="calrev98">#REF!</definedName>
    <definedName name="calrev99">#REF!</definedName>
    <definedName name="cap">#REF!</definedName>
    <definedName name="Cap._RnD_Asset_net_of_RnD_amort.">#REF!</definedName>
    <definedName name="CAP_print">#REF!</definedName>
    <definedName name="Capacitors">#REF!</definedName>
    <definedName name="Capacity_Measurement">#REF!</definedName>
    <definedName name="capex">#REF!</definedName>
    <definedName name="Capexp_92">#REF!</definedName>
    <definedName name="Capexp_93">#REF!</definedName>
    <definedName name="Capexp_94">#REF!</definedName>
    <definedName name="Capexp_95">#REF!</definedName>
    <definedName name="CAPEXP92">#REF!</definedName>
    <definedName name="CAPEXP93">#REF!</definedName>
    <definedName name="CAPEXP94">#REF!</definedName>
    <definedName name="CAPEXP95">#REF!</definedName>
    <definedName name="CAPEXP96">#REF!</definedName>
    <definedName name="CAPEXP97">#REF!</definedName>
    <definedName name="Capital_Expenditure">#REF!</definedName>
    <definedName name="capital_investment">#REF!</definedName>
    <definedName name="Capitalised_Value_Operating_Leases">#REF!</definedName>
    <definedName name="Capitalization">#REF!</definedName>
    <definedName name="CAPM">#REF!</definedName>
    <definedName name="cargo">#REF!</definedName>
    <definedName name="Carmel_Add">#REF!</definedName>
    <definedName name="Carmel_Bank">#REF!</definedName>
    <definedName name="Carmel_Date">#REF!</definedName>
    <definedName name="Carmel_Sell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eSwitch">#REF!</definedName>
    <definedName name="Cash">#REF!</definedName>
    <definedName name="cash_98">#REF!</definedName>
    <definedName name="cash_99">#REF!</definedName>
    <definedName name="Cash_At_End_of_Period">#REF!</definedName>
    <definedName name="Cash_DCF">#REF!</definedName>
    <definedName name="cash_flow">#REF!</definedName>
    <definedName name="Cash_Flow_Statement">#REF!</definedName>
    <definedName name="Cash_fore">#REF!</definedName>
    <definedName name="Cash_growth">#REF!</definedName>
    <definedName name="Cash_growth_fore">#REF!</definedName>
    <definedName name="Cash_Operating_Taxes">#REF!</definedName>
    <definedName name="Cash_operating_taxes_fore">#REF!</definedName>
    <definedName name="cash_to_kirch">#REF!</definedName>
    <definedName name="cashburn">#REF!</definedName>
    <definedName name="CashFlow">#REF!</definedName>
    <definedName name="Cashflow_Option_Expense">#REF!</definedName>
    <definedName name="cashps">#REF!</definedName>
    <definedName name="Casio">#REF!</definedName>
    <definedName name="cb_sChart1560B1BF_opts" hidden="1">"1, 9, 1, False, 2, False, False, , 0, False, False, 1, 1"</definedName>
    <definedName name="cb_sChart1560B326">#REF!</definedName>
    <definedName name="cb_sChart1560B326_opts" hidden="1">"1, 9, 1, False, 2, False, False, , 0, False, False, 1, 1"</definedName>
    <definedName name="cb_sChart1560B5DC">#REF!</definedName>
    <definedName name="cb_sChart1560B5DC_opts" hidden="1">"1, 9, 1, False, 2, False, False, , 0, False, False, 1, 1"</definedName>
    <definedName name="cb_sChart1560C23F">#REF!</definedName>
    <definedName name="cb_sChart1560C23F_opts" hidden="1">"1, 9, 1, False, 2, False, False, , 0, False, False, 1, 1"</definedName>
    <definedName name="cb_sChart1B28B2AD">#REF!</definedName>
    <definedName name="cb_sChart1B28B2AD_opts" hidden="1">"1, 3, 1, False, 2, False, False, , 0, False, True, 1, 1"</definedName>
    <definedName name="cb_sChart1B28B8C8">#REF!</definedName>
    <definedName name="cb_sChart1B28B8C8_opts" hidden="1">"1, 3, 1, False, 2, False, False, , 0, False, True, 1, 1"</definedName>
    <definedName name="cb_sChart1B28BF3F">#REF!</definedName>
    <definedName name="cb_sChart1B28BF3F_opts" hidden="1">"1, 3, 1, False, 2, False, False, , 0, False, True, 1, 1"</definedName>
    <definedName name="cb_sChart1B28C218">#REF!</definedName>
    <definedName name="cb_sChart1B28C218_opts" hidden="1">"1, 3, 1, False, 2, False, False, , 0, False, True, 1, 1"</definedName>
    <definedName name="cb_sChart1B28C96B">#REF!</definedName>
    <definedName name="cb_sChart1B28C96B_opts" hidden="1">"1, 3, 1, False, 2, False, False, , 0, False, True, 1, 1"</definedName>
    <definedName name="ccc">#REF!</definedName>
    <definedName name="ccnotes">#REF!</definedName>
    <definedName name="cd">#REF!</definedName>
    <definedName name="CDC">#REF!</definedName>
    <definedName name="cdtcurr">#REF!</definedName>
    <definedName name="cdtdate">#REF!</definedName>
    <definedName name="cdtdown">#REF!</definedName>
    <definedName name="cdtdownsup">#REF!</definedName>
    <definedName name="cdtevebitda">#REF!</definedName>
    <definedName name="cdtffqpeavg">#REF!</definedName>
    <definedName name="cdtffqpecurr">#REF!</definedName>
    <definedName name="cdtFY1cons">#REF!</definedName>
    <definedName name="cdtFY2cons">#REF!</definedName>
    <definedName name="cdthi">#REF!</definedName>
    <definedName name="cdthilo">#REF!</definedName>
    <definedName name="cdtlo">#REF!</definedName>
    <definedName name="cdtmktcap">#REF!</definedName>
    <definedName name="cdtpe1">#REF!</definedName>
    <definedName name="cdtpe2">#REF!</definedName>
    <definedName name="cdtpegrowthavg">#REF!</definedName>
    <definedName name="cdtpegrowthcurr">#REF!</definedName>
    <definedName name="cdtpegrowthmax">#REF!</definedName>
    <definedName name="cdtpegrowthmin">#REF!</definedName>
    <definedName name="cdtperelavg">#REF!</definedName>
    <definedName name="cdtperelcurr">#REF!</definedName>
    <definedName name="cdtprice">#REF!</definedName>
    <definedName name="cdtqv">#REF!</definedName>
    <definedName name="cdtrating">#REF!</definedName>
    <definedName name="cdtrpe">#REF!</definedName>
    <definedName name="cdtshares">#REF!</definedName>
    <definedName name="cdttech">#REF!</definedName>
    <definedName name="cdttprice">#REF!</definedName>
    <definedName name="cdtttmavg">#REF!</definedName>
    <definedName name="cdtttmcurr">#REF!</definedName>
    <definedName name="cdtttmhi">#REF!</definedName>
    <definedName name="cdtttmlo">#REF!</definedName>
    <definedName name="cdtttmrelavg">#REF!</definedName>
    <definedName name="cdtttmrelcurr">#REF!</definedName>
    <definedName name="cdtttmrelhi">#REF!</definedName>
    <definedName name="cdtttmrello">#REF!</definedName>
    <definedName name="cdtup">#REF!</definedName>
    <definedName name="cdtupsup">#REF!</definedName>
    <definedName name="cdtvol">#REF!</definedName>
    <definedName name="cdtyield">#REF!</definedName>
    <definedName name="CellEBITDA">#REF!</definedName>
    <definedName name="CEPS00">#REF!</definedName>
    <definedName name="CEPS01">#REF!</definedName>
    <definedName name="CEPS1998">#REF!</definedName>
    <definedName name="CEPS1999">#REF!</definedName>
    <definedName name="CEPS2000">#REF!</definedName>
    <definedName name="CEPS2001">#REF!</definedName>
    <definedName name="CEPS97">#REF!</definedName>
    <definedName name="CEPS98">#REF!</definedName>
    <definedName name="CEPS99">#REF!</definedName>
    <definedName name="cf">#REF!</definedName>
    <definedName name="CF_AS_NT">#REF!</definedName>
    <definedName name="CF_EQ_NT">#REF!</definedName>
    <definedName name="CF_IV_OT">#REF!</definedName>
    <definedName name="CF_Metric">OFFSET(#REF!,0,0,COUNTA(#REF!)-1)</definedName>
    <definedName name="CF_NT">#REF!</definedName>
    <definedName name="CF_PR_SP">#REF!</definedName>
    <definedName name="CF_print">#REF!</definedName>
    <definedName name="CF_SH_IS">#REF!</definedName>
    <definedName name="CF_TR_OT">#REF!</definedName>
    <definedName name="CFPS_Curr_Yr">#REF!</definedName>
    <definedName name="CFPS_Lst_Yr">#REF!</definedName>
    <definedName name="CFPS_Next_Yr">#REF!</definedName>
    <definedName name="ChangeRange" hidden="1">#REF!</definedName>
    <definedName name="Channel">#REF!</definedName>
    <definedName name="Channel_Inv">#REF!</definedName>
    <definedName name="ChannelBrkdwn">#REF!</definedName>
    <definedName name="Charts1">#REF!</definedName>
    <definedName name="Charts2">#REF!</definedName>
    <definedName name="chg">#REF!</definedName>
    <definedName name="Chg_in_fixed_assets">#REF!</definedName>
    <definedName name="Chg_in_other_assets">#REF!</definedName>
    <definedName name="Chg_in_working_capital">#REF!</definedName>
    <definedName name="Chicago_Add">#REF!</definedName>
    <definedName name="Chicago_Bank">#REF!</definedName>
    <definedName name="Chicago_Date">#REF!</definedName>
    <definedName name="Chicago_Sell">#REF!</definedName>
    <definedName name="Chile1">#REF!</definedName>
    <definedName name="Chile2">#REF!</definedName>
    <definedName name="ChiMei">#REF!</definedName>
    <definedName name="Chipsets">#REF!</definedName>
    <definedName name="Choices_Wrapper">#N/A</definedName>
    <definedName name="CIEN_1Pager">#REF!</definedName>
    <definedName name="cienavg">#REF!</definedName>
    <definedName name="cienavgffq">#REF!</definedName>
    <definedName name="cienchg">#REF!</definedName>
    <definedName name="ciencurr">#REF!</definedName>
    <definedName name="ciencurrffq">#REF!</definedName>
    <definedName name="cienpegrelavg">#REF!</definedName>
    <definedName name="cienpegrelcurr">#REF!</definedName>
    <definedName name="cienpegrowthavg">#REF!</definedName>
    <definedName name="cienpegrowthcurr">#REF!</definedName>
    <definedName name="cienshares">#REF!</definedName>
    <definedName name="CincinattiBell">#REF!</definedName>
    <definedName name="cingular">#REF!</definedName>
    <definedName name="CL1_CFPS">#REF!</definedName>
    <definedName name="CL1_EFDW_SHN">#REF!</definedName>
    <definedName name="CL1_EPE_SHN">#REF!</definedName>
    <definedName name="CL1_EPS_HS">#REF!</definedName>
    <definedName name="CL1_EPSD">#REF!</definedName>
    <definedName name="CL1_EPSG">#REF!</definedName>
    <definedName name="CL1_FDW_SHN">#REF!</definedName>
    <definedName name="CL1_FX">#REF!</definedName>
    <definedName name="CL1_NAV_SH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osed_End">#REF!</definedName>
    <definedName name="clsavg">#REF!</definedName>
    <definedName name="clschg">#REF!</definedName>
    <definedName name="clscrpe">#REF!</definedName>
    <definedName name="clscurr">#REF!</definedName>
    <definedName name="clsdate">#REF!</definedName>
    <definedName name="clsdown">#REF!</definedName>
    <definedName name="clsdownsup">#REF!</definedName>
    <definedName name="clseps98">#REF!</definedName>
    <definedName name="clseps99">#REF!</definedName>
    <definedName name="clsfy1cons">#REF!</definedName>
    <definedName name="clsfy2cons">#REF!</definedName>
    <definedName name="clshi">#REF!</definedName>
    <definedName name="clshilo">#REF!</definedName>
    <definedName name="clslow">#REF!</definedName>
    <definedName name="clsmktcap">#REF!</definedName>
    <definedName name="clspegrowthavg">#REF!</definedName>
    <definedName name="clspegrowthcurr">#REF!</definedName>
    <definedName name="clspegrowthhi">#REF!</definedName>
    <definedName name="clspegrowthlow">#REF!</definedName>
    <definedName name="clsprice">#REF!</definedName>
    <definedName name="clsrpe">#REF!</definedName>
    <definedName name="clsshares">#REF!</definedName>
    <definedName name="clstprice">#REF!</definedName>
    <definedName name="clsttmavg">#REF!</definedName>
    <definedName name="clsttmcurr">#REF!</definedName>
    <definedName name="clsttmhi">#REF!</definedName>
    <definedName name="clsttmlow">#REF!</definedName>
    <definedName name="clsttmrelavg">#REF!</definedName>
    <definedName name="clsttmrelcurr">#REF!</definedName>
    <definedName name="clsttmrelhi">#REF!</definedName>
    <definedName name="clsttmrellow">#REF!</definedName>
    <definedName name="clsup">#REF!</definedName>
    <definedName name="clsupsup">#REF!</definedName>
    <definedName name="clsvol">#REF!</definedName>
    <definedName name="clsyield">#REF!</definedName>
    <definedName name="Cluster">#REF!</definedName>
    <definedName name="cm">#REF!</definedName>
    <definedName name="cmtnavg">#REF!</definedName>
    <definedName name="cmtnavgffq">#REF!</definedName>
    <definedName name="cmtnchg">#REF!</definedName>
    <definedName name="cmtncurr">#REF!</definedName>
    <definedName name="cmtncurrffq">#REF!</definedName>
    <definedName name="cmtnpegrelavg">#REF!</definedName>
    <definedName name="cmtnpegrelcurr">#REF!</definedName>
    <definedName name="cmtnpegrowthavg">#REF!</definedName>
    <definedName name="cmtnpegrowthcurr">#REF!</definedName>
    <definedName name="cmtnshares">#REF!</definedName>
    <definedName name="cmvtavg">#REF!</definedName>
    <definedName name="cmvtavgffq">#REF!</definedName>
    <definedName name="cmvtchg">#REF!</definedName>
    <definedName name="cmvtcurr">#REF!</definedName>
    <definedName name="cmvtcurrffq">#REF!</definedName>
    <definedName name="cmvtpegrelavg">#REF!</definedName>
    <definedName name="cmvtpegrelcurr">#REF!</definedName>
    <definedName name="cmvtpegrowthavg">#REF!</definedName>
    <definedName name="cmvtpegrowthcurr">#REF!</definedName>
    <definedName name="cogn_pe">#REF!</definedName>
    <definedName name="cogn_price">#REF!</definedName>
    <definedName name="COGS">#REF!</definedName>
    <definedName name="column_id">#REF!</definedName>
    <definedName name="column_name">#REF!</definedName>
    <definedName name="Comm_Euro97">#REF!</definedName>
    <definedName name="Comm_Euro98">#REF!</definedName>
    <definedName name="Commercial_Capex">#REF!</definedName>
    <definedName name="Commercial_COGS">#REF!</definedName>
    <definedName name="Commercial_paper">#REF!</definedName>
    <definedName name="Commercial_Revenue">#REF!</definedName>
    <definedName name="Commercial_SGA">#REF!</definedName>
    <definedName name="common">#REF!</definedName>
    <definedName name="Common_Dividend">#REF!</definedName>
    <definedName name="commrate">#REF!</definedName>
    <definedName name="Communications">#REF!</definedName>
    <definedName name="Companies">#REF!</definedName>
    <definedName name="Company">#REF!</definedName>
    <definedName name="Company_Fig_ID">#REF!</definedName>
    <definedName name="Company_ID">#REF!</definedName>
    <definedName name="company_name">#REF!</definedName>
    <definedName name="Company_reported_exceptionals">#REF!</definedName>
    <definedName name="Company1">#REF!</definedName>
    <definedName name="companyinfo">#REF!</definedName>
    <definedName name="CompanyName">#REF!</definedName>
    <definedName name="CompanyNames">#REF!</definedName>
    <definedName name="CompTable_Companies">OFFSET(#REF!,0,0,COUNTA(#REF!)-13)</definedName>
    <definedName name="CompTable_MeanMetrics">OFFSET(#REF!,0,0,1,COUNTA(#REF!)-37)</definedName>
    <definedName name="CompTable_Metric">OFFSET(#REF!,0,8,1,COUNTA(#REF!)-8)</definedName>
    <definedName name="CompTable_YearColRange">OFFSET(#REF!,0,0,1,COUNTA(#REF!))</definedName>
    <definedName name="comscurr">#REF!</definedName>
    <definedName name="comscurrffq">#REF!</definedName>
    <definedName name="comspegrelavg">#REF!</definedName>
    <definedName name="comspegrelcurr">#REF!</definedName>
    <definedName name="comspegrowthavg">#REF!</definedName>
    <definedName name="comspegrowthcurr">#REF!</definedName>
    <definedName name="con">#REF!</definedName>
    <definedName name="concession_active">#REF!</definedName>
    <definedName name="concession_adj_equity_value">#REF!</definedName>
    <definedName name="concession_disc_rate_2">#REF!</definedName>
    <definedName name="concession_payment_stream_2">#REF!</definedName>
    <definedName name="cons_line_growth">#REF!</definedName>
    <definedName name="cons_wcom">#REF!</definedName>
    <definedName name="consolidated_company_id">#REF!</definedName>
    <definedName name="Const_Costs">#REF!</definedName>
    <definedName name="consumer">#REF!</definedName>
    <definedName name="cont_life">#REF!</definedName>
    <definedName name="ContentsHelp" hidden="1">#REF!</definedName>
    <definedName name="conv">#REF!</definedName>
    <definedName name="conv2">#REF!</definedName>
    <definedName name="conversion_rate">#REF!</definedName>
    <definedName name="CopyArea">#REF!</definedName>
    <definedName name="Core_EBIT">#REF!</definedName>
    <definedName name="Core_EBITDA">#REF!</definedName>
    <definedName name="Core_Net_Cash_Debt">#REF!</definedName>
    <definedName name="Core_Sales">#REF!</definedName>
    <definedName name="Corporate_Capex">#REF!</definedName>
    <definedName name="Corporate_COGS">#REF!</definedName>
    <definedName name="Corporate_Revenue">#REF!</definedName>
    <definedName name="Corporate_SGA">#REF!</definedName>
    <definedName name="Corporate_Value">#REF!</definedName>
    <definedName name="COSr_AssociatesMinorities">#REF!</definedName>
    <definedName name="Cost">#REF!</definedName>
    <definedName name="Cost_Of_License">#REF!</definedName>
    <definedName name="Cost_Of_Maintenance">#REF!</definedName>
    <definedName name="Cost_of_sales_net_of_D_A">#REF!</definedName>
    <definedName name="Cost_Of_Services">#REF!</definedName>
    <definedName name="Cost_Of_Subscription">#REF!</definedName>
    <definedName name="Cost_Savings">#REF!</definedName>
    <definedName name="CountriesData">#REF!</definedName>
    <definedName name="Country_Index">#REF!</definedName>
    <definedName name="Country_Name">#REF!</definedName>
    <definedName name="Cov_00_PS">#REF!</definedName>
    <definedName name="Cov_00_Rev">#REF!</definedName>
    <definedName name="Cov_97_PS">#REF!</definedName>
    <definedName name="Cov_97_Rev">#REF!</definedName>
    <definedName name="Cov_98_PS">#REF!</definedName>
    <definedName name="Cov_98_Rev">#REF!</definedName>
    <definedName name="Cov_99_PS">#REF!</definedName>
    <definedName name="Cov_99_Rev">#REF!</definedName>
    <definedName name="Cov_EPS_00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#REF!</definedName>
    <definedName name="Cov_Univ_Avg">#REF!</definedName>
    <definedName name="Cov_Univ_Total">#REF!</definedName>
    <definedName name="covenants">#REF!</definedName>
    <definedName name="COVER">#REF!</definedName>
    <definedName name="CoverageStatus">#REF!</definedName>
    <definedName name="cox" hidden="1">{#N/A,#N/A,FALSE,"Time Warner";#N/A,#N/A,FALSE,"Entertainment Group";#N/A,#N/A,FALSE,"EBITDA";#N/A,#N/A,FALSE,"Notes"}</definedName>
    <definedName name="CP_Interest">#REF!</definedName>
    <definedName name="CPI">#REF!</definedName>
    <definedName name="CPT">#REF!</definedName>
    <definedName name="cratios">#REF!</definedName>
    <definedName name="CreateTable" hidden="1">#REF!</definedName>
    <definedName name="CreditSrvSecurites">#REF!</definedName>
    <definedName name="CRIB">#REF!</definedName>
    <definedName name="Crit_12mo">#REF!</definedName>
    <definedName name="Crit_Date">#REF!</definedName>
    <definedName name="Crit_Date_7">#REF!</definedName>
    <definedName name="_xlnm.Criteria">#REF!</definedName>
    <definedName name="CRM">#REF!</definedName>
    <definedName name="cs">#N/A</definedName>
    <definedName name="csc_currency">#REF!</definedName>
    <definedName name="cschg">#REF!</definedName>
    <definedName name="cscoavg">#REF!</definedName>
    <definedName name="cscoavgffq">#REF!</definedName>
    <definedName name="cscochg">#REF!</definedName>
    <definedName name="cscocurr">#REF!</definedName>
    <definedName name="cscocurrffq">#REF!</definedName>
    <definedName name="cscopegrelavg">#REF!</definedName>
    <definedName name="cscopegrelcurr">#REF!</definedName>
    <definedName name="cscopegrowthavg">#REF!</definedName>
    <definedName name="cscopegrowthcurr">#REF!</definedName>
    <definedName name="cscoshares">#REF!</definedName>
    <definedName name="cscurr">#REF!</definedName>
    <definedName name="cscurrffq">#REF!</definedName>
    <definedName name="csDesignMode">1</definedName>
    <definedName name="csize">#REF!</definedName>
    <definedName name="cspegrelavg">#REF!</definedName>
    <definedName name="cspegrelcurr">#REF!</definedName>
    <definedName name="cspegrowthavg">#REF!</definedName>
    <definedName name="cspegrowthcurr">#REF!</definedName>
    <definedName name="CTL_5YRGROWTH">#REF!</definedName>
    <definedName name="ctvavg">#REF!</definedName>
    <definedName name="ctvchg">#REF!</definedName>
    <definedName name="ctvcrpe">#REF!</definedName>
    <definedName name="ctvcurr">#REF!</definedName>
    <definedName name="ctvdate">#REF!</definedName>
    <definedName name="ctvdown">#REF!</definedName>
    <definedName name="ctvdownsup">#REF!</definedName>
    <definedName name="ctveps98">#REF!</definedName>
    <definedName name="ctveps99">#REF!</definedName>
    <definedName name="ctvfy1cons">#REF!</definedName>
    <definedName name="ctvfy2cons">#REF!</definedName>
    <definedName name="ctvhi">#REF!</definedName>
    <definedName name="ctvhilo">#REF!</definedName>
    <definedName name="ctvlow">#REF!</definedName>
    <definedName name="ctvmktcap">#REF!</definedName>
    <definedName name="ctvpegrowthavg">#REF!</definedName>
    <definedName name="ctvpegrowthcurr">#REF!</definedName>
    <definedName name="ctvpegrowthhi">#REF!</definedName>
    <definedName name="ctvpegrowthlow">#REF!</definedName>
    <definedName name="ctvprice">#REF!</definedName>
    <definedName name="ctvrpe">#REF!</definedName>
    <definedName name="ctvshares">#REF!</definedName>
    <definedName name="ctvtprice">#REF!</definedName>
    <definedName name="ctvttmavg">#REF!</definedName>
    <definedName name="ctvttmcurr">#REF!</definedName>
    <definedName name="ctvttmhi">#REF!</definedName>
    <definedName name="ctvttmlow">#REF!</definedName>
    <definedName name="ctvttmrelavg">#REF!</definedName>
    <definedName name="ctvttmrelcurr">#REF!</definedName>
    <definedName name="ctvttmrelhi">#REF!</definedName>
    <definedName name="ctvttmrellow">#REF!</definedName>
    <definedName name="ctvup">#REF!</definedName>
    <definedName name="ctvupsup">#REF!</definedName>
    <definedName name="ctvvol">#REF!</definedName>
    <definedName name="ctvyield">#REF!</definedName>
    <definedName name="CU">#REF!</definedName>
    <definedName name="CU1_">#REF!</definedName>
    <definedName name="cu102.ShareScalingFactor" hidden="1">1000000</definedName>
    <definedName name="cu103.EmployeeScalingFactor" hidden="1">1000</definedName>
    <definedName name="cu107.DPSSymbol" hidden="1">"US$"</definedName>
    <definedName name="cu107.EPSSymbol" hidden="1">"US$"</definedName>
    <definedName name="cu71.ScalingFactor" hidden="1">1000000</definedName>
    <definedName name="Cumulative_Goodwill_Prev_Written_Off_To_Equity">#REF!</definedName>
    <definedName name="Cumulative_PV_of_EVA">#REF!</definedName>
    <definedName name="Cumulative_PV_of_FCF">#REF!</definedName>
    <definedName name="CUR3MTH">6</definedName>
    <definedName name="CURCYTD">9</definedName>
    <definedName name="CURMTH">1</definedName>
    <definedName name="CURMYTD">12</definedName>
    <definedName name="Currency">#REF!</definedName>
    <definedName name="Currency_Header">#REF!</definedName>
    <definedName name="CurrencyLookup">#REF!</definedName>
    <definedName name="CurrencyMarker">#REF!</definedName>
    <definedName name="CurrencyTable">#REF!</definedName>
    <definedName name="Current_assets">#REF!</definedName>
    <definedName name="Current_cost_adjusted_net_income">#REF!</definedName>
    <definedName name="current_earnings_footnote">#REF!</definedName>
    <definedName name="Current_estd_yr">#REF!</definedName>
    <definedName name="current_liabilities">#REF!</definedName>
    <definedName name="currenta">#REF!</definedName>
    <definedName name="currentl">#REF!</definedName>
    <definedName name="CurrentPE">#REF!</definedName>
    <definedName name="CurrentPrice">#REF!</definedName>
    <definedName name="CurrentTime">#REF!</definedName>
    <definedName name="CURWEEK">1</definedName>
    <definedName name="CUSLink29">#REF!</definedName>
    <definedName name="Cust.Analy.">#REF!</definedName>
    <definedName name="Customer_deposits">#REF!</definedName>
    <definedName name="Customer_deposits_growth_fore">#REF!</definedName>
    <definedName name="Customers">#REF!</definedName>
    <definedName name="CvgRef">#REF!</definedName>
    <definedName name="CY_1Rev">#REF!</definedName>
    <definedName name="CY_2Rev">#REF!</definedName>
    <definedName name="CY01Rev">#REF!</definedName>
    <definedName name="CY02EPS">#REF!</definedName>
    <definedName name="CY02Rev">#REF!</definedName>
    <definedName name="CY03EPS">#REF!</definedName>
    <definedName name="CY03Rev">#REF!</definedName>
    <definedName name="CY0Rev">#REF!</definedName>
    <definedName name="CY1Rev">#REF!</definedName>
    <definedName name="CY2Rev">#REF!</definedName>
    <definedName name="CY3Rev">#REF!</definedName>
    <definedName name="CYTDVOL">11</definedName>
    <definedName name="d">#REF!</definedName>
    <definedName name="da">#REF!</definedName>
    <definedName name="dalprice">#REF!</definedName>
    <definedName name="dalshares">#REF!</definedName>
    <definedName name="Data">#REF!</definedName>
    <definedName name="data_type_id">#REF!</definedName>
    <definedName name="_xlnm.Database">#REF!</definedName>
    <definedName name="Dataquest">#REF!</definedName>
    <definedName name="DataSheet">#REF!</definedName>
    <definedName name="date">#REF!</definedName>
    <definedName name="date_of_last_bvps_update">#REF!</definedName>
    <definedName name="date_of_last_eps_update">#REF!</definedName>
    <definedName name="dates">#REF!</definedName>
    <definedName name="Days_Sales_Outstanding_Adj">#REF!</definedName>
    <definedName name="Days_Sales_Outstanding_Rep">#REF!</definedName>
    <definedName name="DaysTotal">#REF!</definedName>
    <definedName name="DB">"WIRENYPROD"</definedName>
    <definedName name="dcf">#REF!</definedName>
    <definedName name="DCF_1995">#REF!</definedName>
    <definedName name="DCF_1996">#REF!</definedName>
    <definedName name="DCF_1997">#REF!</definedName>
    <definedName name="DCF_1998">#REF!</definedName>
    <definedName name="DCF_1999">#REF!</definedName>
    <definedName name="DCF_2000">#REF!</definedName>
    <definedName name="DCF_2001">#REF!</definedName>
    <definedName name="DCF_2002">#REF!</definedName>
    <definedName name="DCF_2003">#REF!</definedName>
    <definedName name="DCF_2004">#REF!</definedName>
    <definedName name="DCF_2005">#REF!</definedName>
    <definedName name="DCF_2006">#REF!</definedName>
    <definedName name="DCF_2007">#REF!</definedName>
    <definedName name="DCF_2008">#REF!</definedName>
    <definedName name="DCF_2009">#REF!</definedName>
    <definedName name="DCF_2010">#REF!</definedName>
    <definedName name="DCF_2011">#REF!</definedName>
    <definedName name="DCF_2012">#REF!</definedName>
    <definedName name="DCF_2013">#REF!</definedName>
    <definedName name="DCF_2014">#REF!</definedName>
    <definedName name="DCF_2015">#REF!</definedName>
    <definedName name="DCF_2016">#REF!</definedName>
    <definedName name="DCF_2017">#REF!</definedName>
    <definedName name="DCF_2018">#REF!</definedName>
    <definedName name="DCF_2019">#REF!</definedName>
    <definedName name="DCF_2020">#REF!</definedName>
    <definedName name="DCF_A">#REF!</definedName>
    <definedName name="DCF_A2">#REF!</definedName>
    <definedName name="DCF_analysis">#REF!</definedName>
    <definedName name="dcf_debt">#REF!</definedName>
    <definedName name="DCF_EY1">#REF!</definedName>
    <definedName name="DCF_EY10">#REF!</definedName>
    <definedName name="DCF_EY11">#REF!</definedName>
    <definedName name="DCF_EY12">#REF!</definedName>
    <definedName name="DCF_EY13">#REF!</definedName>
    <definedName name="DCF_EY14">#REF!</definedName>
    <definedName name="DCF_EY15">#REF!</definedName>
    <definedName name="DCF_EY16">#REF!</definedName>
    <definedName name="DCF_EY17">#REF!</definedName>
    <definedName name="DCF_EY18">#REF!</definedName>
    <definedName name="DCF_EY19">#REF!</definedName>
    <definedName name="DCF_EY2">#REF!</definedName>
    <definedName name="DCF_EY20">#REF!</definedName>
    <definedName name="DCF_EY21">#REF!</definedName>
    <definedName name="DCF_EY22">#REF!</definedName>
    <definedName name="DCF_EY23">#REF!</definedName>
    <definedName name="DCF_EY24">#REF!</definedName>
    <definedName name="DCF_EY25">#REF!</definedName>
    <definedName name="DCF_EY26">#REF!</definedName>
    <definedName name="DCF_EY3">#REF!</definedName>
    <definedName name="DCF_EY4">#REF!</definedName>
    <definedName name="DCF_EY5">#REF!</definedName>
    <definedName name="DCF_EY6">#REF!</definedName>
    <definedName name="DCF_EY7">#REF!</definedName>
    <definedName name="DCF_EY8">#REF!</definedName>
    <definedName name="DCF_EY9">#REF!</definedName>
    <definedName name="dcf_lookup">#REF!</definedName>
    <definedName name="DCF_P">#REF!</definedName>
    <definedName name="DCF_Perpetuity">#REF!</definedName>
    <definedName name="DCF_print">#REF!</definedName>
    <definedName name="DCF_TYPE">#REF!</definedName>
    <definedName name="dd">#REF!</definedName>
    <definedName name="de">#REF!</definedName>
    <definedName name="Deals">#REF!</definedName>
    <definedName name="Deals_Over_1m">#REF!</definedName>
    <definedName name="debt">#REF!</definedName>
    <definedName name="Debt_growth">#REF!</definedName>
    <definedName name="Debt_Market_Cap_Ratio">#REF!</definedName>
    <definedName name="debt_schedule">#REF!</definedName>
    <definedName name="Debt_To_Capital">#REF!</definedName>
    <definedName name="Debt_To_Equity">#REF!</definedName>
    <definedName name="debttc">#REF!</definedName>
    <definedName name="decrease">#REF!</definedName>
    <definedName name="Def">#REF!</definedName>
    <definedName name="DEF_DEM_X">#REF!</definedName>
    <definedName name="DEF_ITL_X">#REF!</definedName>
    <definedName name="Deferred_Rev">#REF!</definedName>
    <definedName name="Deferred_tax_asset">#REF!</definedName>
    <definedName name="Deferred_tax_asset_growth_fore">#REF!</definedName>
    <definedName name="Deferred_Tax_Component_Of_Current_Tax_Charge">#REF!</definedName>
    <definedName name="Deferred_tax_liability">#REF!</definedName>
    <definedName name="Deferred_tax_liability_growth_fore">#REF!</definedName>
    <definedName name="Deferred_taxes">#REF!</definedName>
    <definedName name="Deferred_Taxes_Balance_Sheet">#REF!</definedName>
    <definedName name="Deferred_Taxes_Cash_Flow">#REF!</definedName>
    <definedName name="DeleteArea3">#REF!</definedName>
    <definedName name="DeleteArea4">#REF!</definedName>
    <definedName name="DeleteArea5">#REF!</definedName>
    <definedName name="DeleteArea6">#REF!</definedName>
    <definedName name="DeleteArea7">#REF!</definedName>
    <definedName name="deleteme">#REF!</definedName>
    <definedName name="deleteme2" localSheetId="0" hidden="1">{#N/A,#N/A,FALSE,"Output";#N/A,#N/A,FALSE,"Cover Sheet";#N/A,#N/A,FALSE,"Current Mkt. Projections"}</definedName>
    <definedName name="deleteme2" hidden="1">{#N/A,#N/A,FALSE,"Output";#N/A,#N/A,FALSE,"Cover Sheet";#N/A,#N/A,FALSE,"Current Mkt. Projections"}</definedName>
    <definedName name="deleteme3" localSheetId="0" hidden="1">{#N/A,#N/A,FALSE,"Output";#N/A,#N/A,FALSE,"Cover Sheet";#N/A,#N/A,FALSE,"Current Mkt. Projections"}</definedName>
    <definedName name="deleteme3" hidden="1">{#N/A,#N/A,FALSE,"Output";#N/A,#N/A,FALSE,"Cover Sheet";#N/A,#N/A,FALSE,"Current Mkt. Projections"}</definedName>
    <definedName name="deleteme333" localSheetId="0" hidden="1">{#N/A,#N/A,FALSE,"Output";#N/A,#N/A,FALSE,"Cover Sheet";#N/A,#N/A,FALSE,"Current Mkt. Projections"}</definedName>
    <definedName name="deleteme333" hidden="1">{#N/A,#N/A,FALSE,"Output";#N/A,#N/A,FALSE,"Cover Sheet";#N/A,#N/A,FALSE,"Current Mkt. Projections"}</definedName>
    <definedName name="DeleteRange" hidden="1">#REF!</definedName>
    <definedName name="DeleteTable" hidden="1">#REF!</definedName>
    <definedName name="DellEMC">#REF!</definedName>
    <definedName name="dep">#REF!</definedName>
    <definedName name="Dep_and_Amort">#REF!</definedName>
    <definedName name="Dep_margin_fore">#REF!</definedName>
    <definedName name="DepAmo1998">#REF!</definedName>
    <definedName name="DepAmo1999">#REF!</definedName>
    <definedName name="DepAmo2000">#REF!</definedName>
    <definedName name="DepAmo2001">#REF!</definedName>
    <definedName name="depr">#REF!</definedName>
    <definedName name="depr_amort">#REF!</definedName>
    <definedName name="Depreciation">#REF!</definedName>
    <definedName name="Depreciation_Adjustment">#REF!</definedName>
    <definedName name="Depreciation_fore">#REF!</definedName>
    <definedName name="Depreciation_margin">#REF!</definedName>
    <definedName name="deriv_spon_type_id">#REF!</definedName>
    <definedName name="deriv_type_id">#REF!</definedName>
    <definedName name="description">#REF!</definedName>
    <definedName name="Desktop">#REF!</definedName>
    <definedName name="DESKTOPASP">#REF!</definedName>
    <definedName name="DESKTOPREV">#REF!</definedName>
    <definedName name="DESKTOPSHIP.">#REF!</definedName>
    <definedName name="df_analysis">#REF!</definedName>
    <definedName name="dfa" hidden="1">{"Annual_Income",#N/A,FALSE,"Report Page";"Balance_Cash_Flow",#N/A,FALSE,"Report Page";"Quarterly_Income",#N/A,FALSE,"Report Page"}</definedName>
    <definedName name="dfaddfd">#REF!</definedName>
    <definedName name="dfdf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ial_around_services">#REF!</definedName>
    <definedName name="Dial_Capex">#REF!</definedName>
    <definedName name="Dial_COGS">#REF!</definedName>
    <definedName name="Dial_Revenue">#REF!</definedName>
    <definedName name="Dial_SGA">#REF!</definedName>
    <definedName name="Diluted_Shares_Outstanding">#REF!</definedName>
    <definedName name="dilution_factor">#REF!</definedName>
    <definedName name="dir">#REF!</definedName>
    <definedName name="Direct">#REF!</definedName>
    <definedName name="DirectTable">#REF!</definedName>
    <definedName name="Disc_Op_Assets_Held_For_Sale">#REF!</definedName>
    <definedName name="Disclosed">#REF!</definedName>
    <definedName name="discount_rate">#REF!</definedName>
    <definedName name="discountrate">#REF!</definedName>
    <definedName name="discountratemax">#REF!</definedName>
    <definedName name="discountratemed">#REF!</definedName>
    <definedName name="discountratemin">#REF!</definedName>
    <definedName name="Discretes">#REF!</definedName>
    <definedName name="Distribution">#REF!</definedName>
    <definedName name="Div">#REF!</definedName>
    <definedName name="dividend">#REF!</definedName>
    <definedName name="DIVIDEND_DISCOUNTED_MODEL">#REF!</definedName>
    <definedName name="Dividends_Other">#REF!</definedName>
    <definedName name="Dividends_Paid">#REF!</definedName>
    <definedName name="Dividends_Special_Common">#REF!</definedName>
    <definedName name="DLX1.USE">#REF!</definedName>
    <definedName name="DLX2.USE">#REF!</definedName>
    <definedName name="DLX21.USE">#REF!</definedName>
    <definedName name="DLX3.USE">#REF!</definedName>
    <definedName name="DLX4.USE">#REF!</definedName>
    <definedName name="DLX5.USE">#REF!</definedName>
    <definedName name="DLX6.USE">#REF!</definedName>
    <definedName name="DLX7.USE">#REF!</definedName>
    <definedName name="DLX8.USE">#REF!</definedName>
    <definedName name="DLX9.USE">#REF!</definedName>
    <definedName name="DnA_fore">#REF!</definedName>
    <definedName name="DnA_growth_fore">#REF!</definedName>
    <definedName name="Dobson">#REF!</definedName>
    <definedName name="DoCoMo" hidden="1">{"test2",#N/A,TRUE,"Prices"}</definedName>
    <definedName name="dollb">#REF!</definedName>
    <definedName name="DownloadDate">#REF!</definedName>
    <definedName name="downsup">#REF!</definedName>
    <definedName name="DPO_estimate">#REF!</definedName>
    <definedName name="DPS_Curr_Yr">#REF!</definedName>
    <definedName name="DPS_Lst_Yr">#REF!</definedName>
    <definedName name="dps_mkt">#REF!</definedName>
    <definedName name="DPS_Next_Yr">#REF!</definedName>
    <definedName name="dps_over">#REF!</definedName>
    <definedName name="dps_sum_qtr">#REF!</definedName>
    <definedName name="dps_year_actual">#REF!</definedName>
    <definedName name="DPS00">#REF!</definedName>
    <definedName name="DPSEuro03">#REF!</definedName>
    <definedName name="DPSEuro04">#REF!</definedName>
    <definedName name="DPSord00">#REF!</definedName>
    <definedName name="DPSord01">#REF!</definedName>
    <definedName name="DPSord97">#REF!</definedName>
    <definedName name="DPSord98">#REF!</definedName>
    <definedName name="DPSord99">#REF!</definedName>
    <definedName name="drivers1">#REF!</definedName>
    <definedName name="drivers2">#REF!</definedName>
    <definedName name="drivers3">#REF!</definedName>
    <definedName name="DSO">#REF!</definedName>
    <definedName name="DSO_estimate">#REF!</definedName>
    <definedName name="DSTREAM">#REF!</definedName>
    <definedName name="E_ALL_ACN">#REF!</definedName>
    <definedName name="E_ALL_ADI">#REF!</definedName>
    <definedName name="E_ALL_ALTR">#REF!</definedName>
    <definedName name="E_ALL_AMAT">#REF!</definedName>
    <definedName name="E_ALL_AMD">#REF!</definedName>
    <definedName name="E_ALL_AMT">#REF!</definedName>
    <definedName name="E_ALL_APXT">#REF!</definedName>
    <definedName name="E_ALL_ARM">#REF!</definedName>
    <definedName name="E_ALL_ARW">#REF!</definedName>
    <definedName name="E_ALL_ARX">#REF!</definedName>
    <definedName name="E_ALL_AVGO">#REF!</definedName>
    <definedName name="E_ALL_BCE">#REF!</definedName>
    <definedName name="E_ALL_BRCM">#REF!</definedName>
    <definedName name="E_ALL_BSY">#REF!</definedName>
    <definedName name="E_ALL_CCI">#REF!</definedName>
    <definedName name="E_ALL_CDNS">#REF!</definedName>
    <definedName name="E_ALL_CFG">#REF!</definedName>
    <definedName name="E_ALL_CHTR">#REF!</definedName>
    <definedName name="E_ALL_CMCSA">#REF!</definedName>
    <definedName name="E_ALL_CRWD">#REF!</definedName>
    <definedName name="E_ALL_CSAL">#REF!</definedName>
    <definedName name="E_ALL_CTL">#REF!</definedName>
    <definedName name="E_ALL_CTSH">#REF!</definedName>
    <definedName name="E_ALL_CYBR">#REF!</definedName>
    <definedName name="E_ALL_DBX">#REF!</definedName>
    <definedName name="E_ALL_DIS">#REF!</definedName>
    <definedName name="E_ALL_DTV">#REF!</definedName>
    <definedName name="E_ALL_ENTG">#REF!</definedName>
    <definedName name="E_ALL_EPAM">#REF!</definedName>
    <definedName name="E_ALL_EQIX">#REF!</definedName>
    <definedName name="E_ALL_FSL">#REF!</definedName>
    <definedName name="E_ALL_FTR">#REF!</definedName>
    <definedName name="E_ALL_FTRCQ">#REF!</definedName>
    <definedName name="E_ALL_FYBR">#REF!</definedName>
    <definedName name="E_ALL_GLOB">#REF!</definedName>
    <definedName name="E_ALL_I">#REF!</definedName>
    <definedName name="E_ALL_IBM">#REF!</definedName>
    <definedName name="E_ALL_INTC">#REF!</definedName>
    <definedName name="E_ALL_INTU">#REF!</definedName>
    <definedName name="E_ALL_JBL">#REF!</definedName>
    <definedName name="E_ALL_KEYWORDS_TYPE_Breakdown_EQTY_200001646">#REF!</definedName>
    <definedName name="E_ALL_KEYWORDS_TYPE_Breakdown_EQTY_200002831">#REF!</definedName>
    <definedName name="E_ALL_KEYWORDS_TYPE_Breakdown_EQTY_200004419">#REF!</definedName>
    <definedName name="E_ALL_KEYWORDS_TYPE_ScalarContributed_EQTY_200000304">#REF!,#REF!,#REF!,#REF!</definedName>
    <definedName name="E_ALL_KEYWORDS_TYPE_ScalarContributed_EQTY_200000813">#REF!,#REF!,#REF!,#REF!,#REF!</definedName>
    <definedName name="E_ALL_KEYWORDS_TYPE_ScalarContributed_EQTY_200001265">#REF!,#REF!,#REF!,#REF!</definedName>
    <definedName name="E_ALL_KEYWORDS_TYPE_ScalarContributed_EQTY_200001320">#REF!,#REF!,#REF!,#REF!</definedName>
    <definedName name="E_ALL_KEYWORDS_TYPE_ScalarContributed_EQTY_200001330">#REF!,#REF!,#REF!,#REF!</definedName>
    <definedName name="E_ALL_KEYWORDS_TYPE_ScalarContributed_EQTY_200001353">#REF!,#REF!</definedName>
    <definedName name="E_ALL_KEYWORDS_TYPE_ScalarContributed_EQTY_200001371">#REF!,#REF!</definedName>
    <definedName name="E_ALL_KEYWORDS_TYPE_ScalarContributed_EQTY_200001381">#REF!,#REF!,#REF!,#REF!</definedName>
    <definedName name="E_ALL_KEYWORDS_TYPE_ScalarContributed_EQTY_200001646">#REF!,#REF!,#REF!,#REF!</definedName>
    <definedName name="E_ALL_KEYWORDS_TYPE_ScalarContributed_EQTY_200002282">#REF!,#REF!,#REF!,#REF!,#REF!</definedName>
    <definedName name="E_ALL_KEYWORDS_TYPE_ScalarContributed_EQTY_200002283">#REF!,#REF!,#REF!,#REF!,#REF!</definedName>
    <definedName name="E_ALL_KEYWORDS_TYPE_ScalarContributed_EQTY_200002831">#REF!,#REF!,#REF!,#REF!,#REF!</definedName>
    <definedName name="E_ALL_KEYWORDS_TYPE_ScalarContributed_EQTY_200002833">#REF!,#REF!,#REF!,#REF!</definedName>
    <definedName name="E_ALL_KEYWORDS_TYPE_ScalarContributed_EQTY_200003036">#REF!,#REF!,#REF!,#REF!,#REF!</definedName>
    <definedName name="E_ALL_KEYWORDS_TYPE_ScalarContributed_EQTY_200003037">#REF!,#REF!,#REF!,#REF!</definedName>
    <definedName name="E_ALL_KEYWORDS_TYPE_ScalarContributed_EQTY_200003892">#REF!,#REF!,#REF!,#REF!</definedName>
    <definedName name="E_ALL_KEYWORDS_TYPE_ScalarContributed_EQTY_200004419">#REF!,#REF!,#REF!,#REF!</definedName>
    <definedName name="E_ALL_KEYWORDS_TYPE_ScalarContributed_EQTY_200004906">#REF!,#REF!,#REF!,#REF!,#REF!</definedName>
    <definedName name="E_ALL_KEYWORDS_TYPE_ScalarContributed_EQTY_200005326">#REF!,#REF!,#REF!,#REF!</definedName>
    <definedName name="E_ALL_KEYWORDS_TYPE_ScalarContributed_EQTY_200006384">#REF!,#REF!,#REF!,#REF!,#REF!</definedName>
    <definedName name="E_ALL_KEYWORDS_TYPE_ScalarContributed_EQTY_200007794">#REF!,#REF!,#REF!,#REF!</definedName>
    <definedName name="E_ALL_KEYWORDS_TYPE_ScalarContributed_EQTY_200009556">#REF!,#REF!,#REF!,#REF!</definedName>
    <definedName name="E_ALL_KEYWORDS_TYPE_ScalarContributed_EQTY_200010313">#REF!,#REF!,#REF!,#REF!,#REF!</definedName>
    <definedName name="E_ALL_KEYWORDS_TYPE_ScalarContributed_EQTY_200011598">#REF!,#REF!,#REF!,#REF!,#REF!</definedName>
    <definedName name="E_ALL_KEYWORDS_TYPE_ScalarContributed_EQTY_200012762">#REF!,#REF!,#REF!,#REF!</definedName>
    <definedName name="E_ALL_KEYWORDS_TYPE_ScalarContributed_EQTY_200014300">#REF!,#REF!,#REF!,#REF!</definedName>
    <definedName name="E_ALL_KEYWORDS_TYPE_ScalarContributed_EQTY_200014750">#REF!,#REF!,#REF!,#REF!,#REF!</definedName>
    <definedName name="E_ALL_KEYWORDS_TYPE_ScalarContributed_EQTY_200015107">#REF!,#REF!,#REF!,#REF!</definedName>
    <definedName name="E_ALL_KEYWORDS_TYPE_ScalarContributed_EQTY_200015716">#REF!,#REF!,#REF!,#REF!</definedName>
    <definedName name="E_ALL_KEYWORDS_TYPE_ScalarContributed_EQTY_200015757">#REF!,#REF!,#REF!,#REF!</definedName>
    <definedName name="E_ALL_KEYWORDS_TYPE_ScalarContributed_EQTY_200016026">#REF!,#REF!,#REF!,#REF!</definedName>
    <definedName name="E_ALL_KEYWORDS_TYPE_ScalarContributed_EQTY_200017745">#REF!,#REF!,#REF!,#REF!</definedName>
    <definedName name="E_ALL_KEYWORDS_TYPE_ScalarContributed_EQTY_200021484">#REF!,#REF!,#REF!,#REF!,#REF!</definedName>
    <definedName name="E_ALL_KEYWORDS_TYPE_ScalarContributed_ISSR_208000027">#REF!,#REF!</definedName>
    <definedName name="E_ALL_KEYWORDS_TYPE_ScalarContributed_ISSR_208000430">#REF!,#REF!,#REF!,#REF!,#REF!,#REF!,#REF!,#REF!,#REF!,#REF!,#REF!</definedName>
    <definedName name="E_ALL_KEYWORDS_TYPE_ScalarContributed_ISSR_208000603">#REF!</definedName>
    <definedName name="E_ALL_KEYWORDS_TYPE_ScalarContributed_ISSR_208000826">#REF!,#REF!,#REF!,#REF!</definedName>
    <definedName name="E_ALL_KEYWORDS_TYPE_ScalarContributed_ISSR_208000976">#REF!</definedName>
    <definedName name="E_ALL_KEYWORDS_TYPE_ScalarContributed_ISSR_208000977">#REF!,#REF!</definedName>
    <definedName name="E_ALL_KEYWORDS_TYPE_ScalarContributed_ISSR_208001048">#REF!,#REF!</definedName>
    <definedName name="E_ALL_KEYWORDS_TYPE_ScalarContributed_ISSR_208001258">#REF!</definedName>
    <definedName name="E_ALL_KEYWORDS_TYPE_ScalarContributed_ISSR_208001370">#REF!,#REF!</definedName>
    <definedName name="E_ALL_KEYWORDS_TYPE_ScalarContributed_ISSR_208001515">#REF!,#REF!</definedName>
    <definedName name="E_ALL_KEYWORDS_TYPE_ScalarContributed_ISSR_208001627">#REF!,#REF!,#REF!</definedName>
    <definedName name="E_ALL_KEYWORDS_TYPE_ScalarContributed_ISSR_208001640">#REF!,#REF!</definedName>
    <definedName name="E_ALL_KEYWORDS_TYPE_ScalarContributed_ISSR_208001765">#REF!,#REF!,#REF!</definedName>
    <definedName name="E_ALL_KEYWORDS_TYPE_ScalarContributed_ISSR_208001785">#REF!,#REF!</definedName>
    <definedName name="E_ALL_KEYWORDS_TYPE_ScalarContributed_ISSR_208002651">#REF!,#REF!</definedName>
    <definedName name="E_ALL_KEYWORDS_TYPE_ScalarContributed_ISSR_208005795">#REF!,#REF!</definedName>
    <definedName name="E_ALL_KEYWORDS_TYPE_ScalarContributed_ISSR_208008030">#REF!,#REF!,#REF!</definedName>
    <definedName name="E_ALL_KEYWORDS_TYPE_ScalarContributed_ISSR_208008836">#REF!,#REF!</definedName>
    <definedName name="E_ALL_KEYWORDS_TYPE_ScalarContributed_ISSR_208009722">#REF!</definedName>
    <definedName name="E_ALL_KEYWORDS_TYPE_ScalarContributed_ISSR_208011556">#REF!,#REF!</definedName>
    <definedName name="E_ALL_KEYWORDS_TYPE_ScalarContributed_ISSR_208011888">#REF!,#REF!,#REF!,#REF!,#REF!,#REF!,#REF!,#REF!,#REF!,#REF!,#REF!</definedName>
    <definedName name="E_ALL_KEYWORDS_TYPE_ScalarContributed_ISSR_208012959">#REF!,#REF!,#REF!</definedName>
    <definedName name="E_ALL_KEYWORDS_TYPE_ScalarContributed_ISSR_208015351">#REF!,#REF!</definedName>
    <definedName name="E_ALL_KEYWORDS_TYPE_ScalarContributed_ISSR_208018253">#REF!,#REF!,#REF!</definedName>
    <definedName name="E_ALL_KEYWORDS_TYPE_ScalarContributed_ISSR_208020919">#REF!,#REF!,#REF!</definedName>
    <definedName name="E_ALL_KEYWORDS_TYPE_ScalarReference_EQTY_200001646">#REF!</definedName>
    <definedName name="E_ALL_KEYWORDS_TYPE_ScalarReference_EQTY_200002831">#REF!</definedName>
    <definedName name="E_ALL_KEYWORDS_TYPE_ScalarReference_EQTY_200004419">#REF!</definedName>
    <definedName name="E_ALL_KEYWORDS_TYPE_ScalarReference_EQTY_200012762">#REF!</definedName>
    <definedName name="E_ALL_KEYWORDS_TYPE_ScalarReference_EQTY_200014750">#REF!</definedName>
    <definedName name="E_ALL_KEYWORDS_TYPE_ScalarReference_ISSR_208000603">#REF!</definedName>
    <definedName name="E_ALL_KEYWORDS_TYPE_ScalarReference_ISSR_208000976">#REF!</definedName>
    <definedName name="E_ALL_KEYWORDS_TYPE_ScalarReference_ISSR_208001258">#REF!</definedName>
    <definedName name="E_ALL_KEYWORDS_TYPE_ScalarReference_ISSR_208009722">#REF!</definedName>
    <definedName name="E_ALL_KEYWORDS_TYPE_ScalarReference_ISSR_208011556">#REF!</definedName>
    <definedName name="E_ALL_KEYWORDS_TYPE_Vector_EQTY_200000304">#REF!,#REF!,#REF!,#REF!,#REF!,#REF!,#REF!</definedName>
    <definedName name="E_ALL_KEYWORDS_TYPE_Vector_EQTY_200001265">#REF!,#REF!,#REF!,#REF!,#REF!,#REF!,#REF!</definedName>
    <definedName name="E_ALL_KEYWORDS_TYPE_Vector_EQTY_200001320">#REF!,#REF!,#REF!,#REF!,#REF!,#REF!,#REF!</definedName>
    <definedName name="E_ALL_KEYWORDS_TYPE_Vector_EQTY_200001330">#REF!,#REF!,#REF!,#REF!,#REF!,#REF!,#REF!</definedName>
    <definedName name="E_ALL_KEYWORDS_TYPE_Vector_EQTY_200001353">#REF!,#REF!,#REF!,#REF!,#REF!</definedName>
    <definedName name="E_ALL_KEYWORDS_TYPE_Vector_EQTY_200001371">#REF!,#REF!,#REF!,#REF!,#REF!</definedName>
    <definedName name="E_ALL_KEYWORDS_TYPE_Vector_EQTY_200001381">#REF!,#REF!,#REF!,#REF!,#REF!,#REF!,#REF!</definedName>
    <definedName name="E_ALL_KEYWORDS_TYPE_Vector_EQTY_200001646">#REF!,#REF!,#REF!,#REF!,#REF!,#REF!,#REF!,#REF!</definedName>
    <definedName name="E_ALL_KEYWORDS_TYPE_Vector_EQTY_200002282">#REF!,#REF!,#REF!,#REF!,#REF!,#REF!,#REF!,#REF!</definedName>
    <definedName name="E_ALL_KEYWORDS_TYPE_Vector_EQTY_200002831">#REF!,#REF!,#REF!,#REF!,#REF!,#REF!,#REF!</definedName>
    <definedName name="E_ALL_KEYWORDS_TYPE_Vector_EQTY_200002833">#REF!,#REF!,#REF!,#REF!,#REF!,#REF!,#REF!</definedName>
    <definedName name="E_ALL_KEYWORDS_TYPE_Vector_EQTY_200003036">#REF!,#REF!,#REF!,#REF!,#REF!,#REF!,#REF!</definedName>
    <definedName name="E_ALL_KEYWORDS_TYPE_Vector_EQTY_200003037">#REF!,#REF!,#REF!,#REF!,#REF!,#REF!,#REF!</definedName>
    <definedName name="E_ALL_KEYWORDS_TYPE_Vector_EQTY_200003892">#REF!,#REF!,#REF!,#REF!,#REF!,#REF!,#REF!</definedName>
    <definedName name="E_ALL_KEYWORDS_TYPE_Vector_EQTY_200004419">#REF!,#REF!,#REF!,#REF!,#REF!,#REF!,#REF!</definedName>
    <definedName name="E_ALL_KEYWORDS_TYPE_Vector_EQTY_200004906">#REF!,#REF!,#REF!,#REF!,#REF!,#REF!,#REF!</definedName>
    <definedName name="E_ALL_KEYWORDS_TYPE_Vector_EQTY_200005184">#REF!,#REF!,#REF!,#REF!,#REF!,#REF!,#REF!</definedName>
    <definedName name="E_ALL_KEYWORDS_TYPE_Vector_EQTY_200005326">#REF!,#REF!,#REF!,#REF!,#REF!,#REF!,#REF!</definedName>
    <definedName name="E_ALL_KEYWORDS_TYPE_Vector_EQTY_200005722">#REF!,#REF!,#REF!,#REF!,#REF!,#REF!,#REF!</definedName>
    <definedName name="E_ALL_KEYWORDS_TYPE_Vector_EQTY_200006232">#REF!,#REF!,#REF!,#REF!,#REF!,#REF!,#REF!</definedName>
    <definedName name="E_ALL_KEYWORDS_TYPE_Vector_EQTY_200006333">#REF!,#REF!,#REF!,#REF!,#REF!,#REF!,#REF!,#REF!,#REF!</definedName>
    <definedName name="E_ALL_KEYWORDS_TYPE_Vector_EQTY_200006384">#REF!,#REF!,#REF!,#REF!,#REF!,#REF!,#REF!</definedName>
    <definedName name="E_ALL_KEYWORDS_TYPE_Vector_EQTY_200009556">#REF!,#REF!,#REF!,#REF!,#REF!,#REF!,#REF!</definedName>
    <definedName name="E_ALL_KEYWORDS_TYPE_Vector_EQTY_200011598">#REF!,#REF!,#REF!,#REF!,#REF!,#REF!,#REF!</definedName>
    <definedName name="E_ALL_KEYWORDS_TYPE_Vector_EQTY_200012762">#REF!,#REF!,#REF!,#REF!,#REF!,#REF!,#REF!</definedName>
    <definedName name="E_ALL_KEYWORDS_TYPE_Vector_EQTY_200014300">#REF!,#REF!,#REF!,#REF!,#REF!,#REF!,#REF!</definedName>
    <definedName name="E_ALL_KEYWORDS_TYPE_Vector_EQTY_200014750">#REF!,#REF!,#REF!,#REF!,#REF!,#REF!,#REF!</definedName>
    <definedName name="E_ALL_KEYWORDS_TYPE_Vector_EQTY_200015107">#REF!,#REF!,#REF!,#REF!,#REF!,#REF!,#REF!</definedName>
    <definedName name="E_ALL_KEYWORDS_TYPE_Vector_EQTY_200015716">#REF!,#REF!,#REF!,#REF!,#REF!,#REF!,#REF!</definedName>
    <definedName name="E_ALL_KEYWORDS_TYPE_Vector_EQTY_200015757">#REF!,#REF!,#REF!,#REF!,#REF!,#REF!,#REF!,#REF!</definedName>
    <definedName name="E_ALL_KEYWORDS_TYPE_Vector_EQTY_200016026">#REF!,#REF!,#REF!,#REF!,#REF!,#REF!,#REF!,#REF!</definedName>
    <definedName name="E_ALL_KEYWORDS_TYPE_Vector_EQTY_200017745">#REF!,#REF!,#REF!,#REF!,#REF!,#REF!,#REF!</definedName>
    <definedName name="E_ALL_KEYWORDS_TYPE_Vector_EQTY_200021484">#REF!,#REF!,#REF!,#REF!,#REF!,#REF!,#REF!</definedName>
    <definedName name="E_ALL_KEYWORDS_TYPE_Vector_ISSR_208000027">#REF!,#REF!,#REF!,#REF!,#REF!,#REF!,#REF!,#REF!,#REF!,#REF!,#REF!,#REF!,#REF!,#REF!,#REF!,#REF!</definedName>
    <definedName name="E_ALL_KEYWORDS_TYPE_Vector_ISSR_208000402">#REF!,#REF!,#REF!,#REF!,#REF!,#REF!,#REF!,#REF!,#REF!,#REF!,#REF!,#REF!,#REF!,#REF!,#REF!,#REF!</definedName>
    <definedName name="E_ALL_KEYWORDS_TYPE_Vector_ISSR_208000430">#REF!,#REF!,#REF!,#REF!,#REF!,#REF!,#REF!,#REF!,#REF!,#REF!,#REF!,#REF!,#REF!,#REF!</definedName>
    <definedName name="E_ALL_KEYWORDS_TYPE_Vector_ISSR_208000435">#REF!,#REF!,#REF!,#REF!,#REF!,#REF!,#REF!,#REF!,#REF!,#REF!,#REF!,#REF!,#REF!,#REF!,#REF!,#REF!</definedName>
    <definedName name="E_ALL_KEYWORDS_TYPE_Vector_ISSR_208000451">#REF!,#REF!,#REF!,#REF!,#REF!,#REF!,#REF!,#REF!,#REF!,#REF!,#REF!,#REF!,#REF!,#REF!,#REF!,#REF!,#REF!,#REF!,#REF!,#REF!,#REF!,#REF!,#REF!,#REF!,#REF!,#REF!</definedName>
    <definedName name="E_ALL_KEYWORDS_TYPE_Vector_ISSR_208000468">#REF!,#REF!,#REF!,#REF!,#REF!,#REF!,#REF!,#REF!,#REF!,#REF!,#REF!,#REF!,#REF!,#REF!,#REF!,#REF!</definedName>
    <definedName name="E_ALL_KEYWORDS_TYPE_Vector_ISSR_208000603">#REF!,#REF!,#REF!,#REF!,#REF!,#REF!,#REF!,#REF!,#REF!,#REF!</definedName>
    <definedName name="E_ALL_KEYWORDS_TYPE_Vector_ISSR_208000826">#REF!,#REF!,#REF!,#REF!,#REF!,#REF!,#REF!,#REF!,#REF!,#REF!,#REF!,#REF!,#REF!,#REF!,#REF!,#REF!</definedName>
    <definedName name="E_ALL_KEYWORDS_TYPE_Vector_ISSR_208000976">#REF!,#REF!,#REF!,#REF!,#REF!,#REF!,#REF!,#REF!,#REF!</definedName>
    <definedName name="E_ALL_KEYWORDS_TYPE_Vector_ISSR_208000977">#REF!,#REF!,#REF!,#REF!,#REF!,#REF!,#REF!,#REF!,#REF!,#REF!,#REF!,#REF!,#REF!,#REF!,#REF!</definedName>
    <definedName name="E_ALL_KEYWORDS_TYPE_Vector_ISSR_208001048">#REF!,#REF!,#REF!,#REF!,#REF!,#REF!,#REF!,#REF!,#REF!,#REF!,#REF!,#REF!,#REF!</definedName>
    <definedName name="E_ALL_KEYWORDS_TYPE_Vector_ISSR_208001049">#REF!,#REF!,#REF!,#REF!,#REF!,#REF!,#REF!,#REF!,#REF!,#REF!,#REF!,#REF!,#REF!,#REF!,#REF!</definedName>
    <definedName name="E_ALL_KEYWORDS_TYPE_Vector_ISSR_208001137">#REF!,#REF!,#REF!,#REF!,#REF!,#REF!,#REF!,#REF!,#REF!,#REF!,#REF!,#REF!,#REF!,#REF!,#REF!</definedName>
    <definedName name="E_ALL_KEYWORDS_TYPE_Vector_ISSR_208001258">#REF!,#REF!,#REF!,#REF!,#REF!,#REF!,#REF!,#REF!,#REF!,#REF!,#REF!,#REF!,#REF!,#REF!,#REF!</definedName>
    <definedName name="E_ALL_KEYWORDS_TYPE_Vector_ISSR_208001370">#REF!,#REF!,#REF!,#REF!,#REF!,#REF!,#REF!,#REF!,#REF!,#REF!,#REF!,#REF!,#REF!</definedName>
    <definedName name="E_ALL_KEYWORDS_TYPE_Vector_ISSR_208001515">#REF!,#REF!,#REF!,#REF!,#REF!,#REF!,#REF!,#REF!,#REF!</definedName>
    <definedName name="E_ALL_KEYWORDS_TYPE_Vector_ISSR_208001627">#REF!,#REF!,#REF!,#REF!,#REF!,#REF!,#REF!,#REF!,#REF!,#REF!,#REF!,#REF!,#REF!</definedName>
    <definedName name="E_ALL_KEYWORDS_TYPE_Vector_ISSR_208001640">#REF!,#REF!,#REF!,#REF!,#REF!,#REF!,#REF!,#REF!,#REF!,#REF!,#REF!,#REF!,#REF!,#REF!</definedName>
    <definedName name="E_ALL_KEYWORDS_TYPE_Vector_ISSR_208001765">#REF!,#REF!,#REF!,#REF!,#REF!,#REF!,#REF!,#REF!,#REF!,#REF!,#REF!,#REF!,#REF!,#REF!,#REF!,#REF!</definedName>
    <definedName name="E_ALL_KEYWORDS_TYPE_Vector_ISSR_208001785">#REF!,#REF!,#REF!,#REF!,#REF!,#REF!,#REF!,#REF!,#REF!,#REF!,#REF!,#REF!,#REF!</definedName>
    <definedName name="E_ALL_KEYWORDS_TYPE_Vector_ISSR_208002651">#REF!,#REF!,#REF!,#REF!,#REF!,#REF!,#REF!,#REF!,#REF!,#REF!,#REF!,#REF!,#REF!</definedName>
    <definedName name="E_ALL_KEYWORDS_TYPE_Vector_ISSR_208005795">#REF!,#REF!,#REF!,#REF!,#REF!,#REF!,#REF!,#REF!,#REF!,#REF!</definedName>
    <definedName name="E_ALL_KEYWORDS_TYPE_Vector_ISSR_208007359">#REF!,#REF!,#REF!,#REF!,#REF!,#REF!,#REF!,#REF!,#REF!</definedName>
    <definedName name="E_ALL_KEYWORDS_TYPE_Vector_ISSR_208007452">#REF!,#REF!,#REF!,#REF!,#REF!,#REF!,#REF!,#REF!,#REF!,#REF!,#REF!,#REF!,#REF!,#REF!,#REF!,#REF!,#REF!,#REF!,#REF!,#REF!,#REF!,#REF!,#REF!,#REF!,#REF!</definedName>
    <definedName name="E_ALL_KEYWORDS_TYPE_Vector_ISSR_208007986">#REF!,#REF!,#REF!,#REF!,#REF!,#REF!,#REF!,#REF!,#REF!,#REF!,#REF!,#REF!,#REF!,#REF!,#REF!</definedName>
    <definedName name="E_ALL_KEYWORDS_TYPE_Vector_ISSR_208008030">#REF!,#REF!,#REF!,#REF!,#REF!,#REF!,#REF!,#REF!,#REF!,#REF!,#REF!,#REF!,#REF!,#REF!,#REF!,#REF!,#REF!,#REF!,#REF!,#REF!</definedName>
    <definedName name="E_ALL_KEYWORDS_TYPE_Vector_ISSR_208008836">#REF!,#REF!,#REF!,#REF!,#REF!,#REF!,#REF!,#REF!,#REF!,#REF!</definedName>
    <definedName name="E_ALL_KEYWORDS_TYPE_Vector_ISSR_208009722">#REF!,#REF!,#REF!,#REF!,#REF!,#REF!,#REF!,#REF!,#REF!</definedName>
    <definedName name="E_ALL_KEYWORDS_TYPE_Vector_ISSR_208010209">#REF!,#REF!,#REF!,#REF!,#REF!,#REF!,#REF!,#REF!,#REF!,#REF!,#REF!,#REF!,#REF!,#REF!,#REF!</definedName>
    <definedName name="E_ALL_KEYWORDS_TYPE_Vector_ISSR_208011072">#REF!,#REF!,#REF!,#REF!,#REF!,#REF!,#REF!,#REF!,#REF!,#REF!,#REF!,#REF!,#REF!,#REF!</definedName>
    <definedName name="E_ALL_KEYWORDS_TYPE_Vector_ISSR_208011556">#REF!,#REF!,#REF!,#REF!,#REF!,#REF!,#REF!,#REF!,#REF!,#REF!</definedName>
    <definedName name="E_ALL_KEYWORDS_TYPE_Vector_ISSR_208011888">#REF!,#REF!,#REF!,#REF!,#REF!,#REF!,#REF!,#REF!,#REF!,#REF!,#REF!,#REF!,#REF!,#REF!,#REF!,#REF!,#REF!,#REF!,#REF!</definedName>
    <definedName name="E_ALL_KEYWORDS_TYPE_Vector_ISSR_208012959">#REF!,#REF!,#REF!,#REF!,#REF!,#REF!,#REF!,#REF!,#REF!,#REF!,#REF!,#REF!,#REF!,#REF!,#REF!,#REF!,#REF!,#REF!,#REF!,#REF!</definedName>
    <definedName name="E_ALL_KEYWORDS_TYPE_Vector_ISSR_208015351">#REF!,#REF!,#REF!,#REF!,#REF!,#REF!,#REF!,#REF!,#REF!,#REF!,#REF!,#REF!,#REF!,#REF!</definedName>
    <definedName name="E_ALL_KEYWORDS_TYPE_Vector_ISSR_208018253">#REF!,#REF!,#REF!,#REF!,#REF!,#REF!,#REF!,#REF!,#REF!,#REF!,#REF!,#REF!,#REF!</definedName>
    <definedName name="E_ALL_KEYWORDS_TYPE_Vector_ISSR_208020919">#REF!,#REF!,#REF!,#REF!,#REF!,#REF!,#REF!,#REF!,#REF!,#REF!,#REF!,#REF!,#REF!</definedName>
    <definedName name="E_ALL_KNBE">#REF!</definedName>
    <definedName name="E_ALL_LLTC">#REF!</definedName>
    <definedName name="E_ALL_LUMN">#REF!</definedName>
    <definedName name="E_ALL_LVLT">#REF!</definedName>
    <definedName name="E_ALL_MCFE">#REF!</definedName>
    <definedName name="E_ALL_MCHP">#REF!</definedName>
    <definedName name="E_ALL_MDB">#REF!</definedName>
    <definedName name="E_ALL_MIME">#REF!</definedName>
    <definedName name="E_ALL_MKTO">#REF!</definedName>
    <definedName name="E_ALL_MRVL">#REF!</definedName>
    <definedName name="E_ALL_MSFT">#REF!</definedName>
    <definedName name="E_ALL_MXIM">#REF!</definedName>
    <definedName name="E_ALL_NOK1V.HE">#REF!</definedName>
    <definedName name="E_ALL_NVDA">#REF!</definedName>
    <definedName name="E_ALL_NXPI">#REF!</definedName>
    <definedName name="E_ALL_ON">#REF!</definedName>
    <definedName name="E_ALL_PANW">#REF!</definedName>
    <definedName name="E_ALL_PERIODS_ARX">#REF!</definedName>
    <definedName name="E_ALL_PERIODS_SBAC">#REF!</definedName>
    <definedName name="E_ALL_PERIODS_T">#REF!</definedName>
    <definedName name="E_ALL_PFPT">#REF!</definedName>
    <definedName name="E_ALL_QRVO">#REF!</definedName>
    <definedName name="E_ALL_QTS">#REF!</definedName>
    <definedName name="E_ALL_RCI">#REF!</definedName>
    <definedName name="E_ALL_RPD">#REF!</definedName>
    <definedName name="E_ALL_S">#REF!</definedName>
    <definedName name="E_ALL_SBAC">#REF!</definedName>
    <definedName name="E_ALL_SECTION_KEYWORDS_EQTY_200001646_1314">#REF!</definedName>
    <definedName name="E_ALL_SECTION_KEYWORDS_EQTY_200001646_1319">#REF!</definedName>
    <definedName name="E_ALL_SECTION_KEYWORDS_EQTY_200001646_131E">#REF!</definedName>
    <definedName name="E_ALL_SECTION_KEYWORDS_EQTY_200001646_131O">#REF!</definedName>
    <definedName name="E_ALL_SECTION_KEYWORDS_EQTY_200001646_131P">#REF!</definedName>
    <definedName name="E_ALL_SECTION_KEYWORDS_EQTY_200001646_13A">#REF!</definedName>
    <definedName name="E_ALL_SECTION_KEYWORDS_EQTY_200001646_13K">#REF!</definedName>
    <definedName name="E_ALL_SECTION_KEYWORDS_EQTY_200001646_13U">#REF!</definedName>
    <definedName name="E_ALL_SECTION_KEYWORDS_EQTY_200001646_13V">#REF!</definedName>
    <definedName name="E_ALL_SECTION_KEYWORDS_EQTY_200001646_13W">#REF!</definedName>
    <definedName name="E_ALL_SECTION_KEYWORDS_EQTY_200001646_Reference_Data">#REF!</definedName>
    <definedName name="E_ALL_SECTION_KEYWORDS_EQTY_200002831_1314">#REF!</definedName>
    <definedName name="E_ALL_SECTION_KEYWORDS_EQTY_200002831_1319">#REF!</definedName>
    <definedName name="E_ALL_SECTION_KEYWORDS_EQTY_200002831_131E">#REF!</definedName>
    <definedName name="E_ALL_SECTION_KEYWORDS_EQTY_200002831_131O">#REF!</definedName>
    <definedName name="E_ALL_SECTION_KEYWORDS_EQTY_200002831_13A">#REF!</definedName>
    <definedName name="E_ALL_SECTION_KEYWORDS_EQTY_200002831_13K">#REF!</definedName>
    <definedName name="E_ALL_SECTION_KEYWORDS_EQTY_200002831_13U">#REF!</definedName>
    <definedName name="E_ALL_SECTION_KEYWORDS_EQTY_200002831_13V">#REF!</definedName>
    <definedName name="E_ALL_SECTION_KEYWORDS_EQTY_200002831_13W">#REF!</definedName>
    <definedName name="E_ALL_SECTION_KEYWORDS_EQTY_200002831_Reference_Data">#REF!</definedName>
    <definedName name="E_ALL_SECTION_KEYWORDS_EQTY_200004419_1314">#REF!</definedName>
    <definedName name="E_ALL_SECTION_KEYWORDS_EQTY_200004419_1319">#REF!</definedName>
    <definedName name="E_ALL_SECTION_KEYWORDS_EQTY_200004419_131E">#REF!</definedName>
    <definedName name="E_ALL_SECTION_KEYWORDS_EQTY_200004419_131O">#REF!</definedName>
    <definedName name="E_ALL_SECTION_KEYWORDS_EQTY_200004419_13A">#REF!</definedName>
    <definedName name="E_ALL_SECTION_KEYWORDS_EQTY_200004419_13K">#REF!</definedName>
    <definedName name="E_ALL_SECTION_KEYWORDS_EQTY_200004419_13U">#REF!</definedName>
    <definedName name="E_ALL_SECTION_KEYWORDS_EQTY_200004419_13V">#REF!</definedName>
    <definedName name="E_ALL_SECTION_KEYWORDS_EQTY_200004419_13W">#REF!</definedName>
    <definedName name="E_ALL_SECTION_KEYWORDS_EQTY_200004419_Reference_Data">#REF!</definedName>
    <definedName name="E_ALL_SECTION_KEYWORDS_EQTY_200005326_13K">#REF!</definedName>
    <definedName name="E_ALL_SECTION_KEYWORDS_EQTY_200006333_13K">#REF!</definedName>
    <definedName name="E_ALL_SECTION_KEYWORDS_EQTY_200012762_1314">#REF!</definedName>
    <definedName name="E_ALL_SECTION_KEYWORDS_EQTY_200012762_1319">#REF!</definedName>
    <definedName name="E_ALL_SECTION_KEYWORDS_EQTY_200012762_131E">#REF!</definedName>
    <definedName name="E_ALL_SECTION_KEYWORDS_EQTY_200012762_131O">#REF!</definedName>
    <definedName name="E_ALL_SECTION_KEYWORDS_EQTY_200012762_13A">#REF!</definedName>
    <definedName name="E_ALL_SECTION_KEYWORDS_EQTY_200012762_13K">#REF!</definedName>
    <definedName name="E_ALL_SECTION_KEYWORDS_EQTY_200012762_13U">#REF!</definedName>
    <definedName name="E_ALL_SECTION_KEYWORDS_EQTY_200012762_13V">#REF!</definedName>
    <definedName name="E_ALL_SECTION_KEYWORDS_EQTY_200012762_13W">#REF!</definedName>
    <definedName name="E_ALL_SECTION_KEYWORDS_EQTY_200012762_Reference_Data">#REF!</definedName>
    <definedName name="E_ALL_SECTION_KEYWORDS_EQTY_200014750_1314">#REF!</definedName>
    <definedName name="E_ALL_SECTION_KEYWORDS_EQTY_200014750_1319">#REF!</definedName>
    <definedName name="E_ALL_SECTION_KEYWORDS_EQTY_200014750_131E">#REF!</definedName>
    <definedName name="E_ALL_SECTION_KEYWORDS_EQTY_200014750_131O">#REF!</definedName>
    <definedName name="E_ALL_SECTION_KEYWORDS_EQTY_200014750_13A">#REF!</definedName>
    <definedName name="E_ALL_SECTION_KEYWORDS_EQTY_200014750_13K">#REF!</definedName>
    <definedName name="E_ALL_SECTION_KEYWORDS_EQTY_200014750_13U">#REF!</definedName>
    <definedName name="E_ALL_SECTION_KEYWORDS_EQTY_200014750_13V">#REF!</definedName>
    <definedName name="E_ALL_SECTION_KEYWORDS_EQTY_200014750_13W">#REF!</definedName>
    <definedName name="E_ALL_SECTION_KEYWORDS_EQTY_200014750_Reference_Data">#REF!</definedName>
    <definedName name="E_ALL_SECTION_KEYWORDS_EQTY_200021484_13A">#REF!</definedName>
    <definedName name="E_ALL_SECTION_KEYWORDS_EQTY_200021484_13K">#REF!</definedName>
    <definedName name="E_ALL_SECTION_KEYWORDS_ISSR_208000402_136J">#REF!,#REF!</definedName>
    <definedName name="E_ALL_SECTION_KEYWORDS_ISSR_208000435_136J">#REF!,#REF!</definedName>
    <definedName name="E_ALL_SECTION_KEYWORDS_ISSR_208000603_1314">#REF!</definedName>
    <definedName name="E_ALL_SECTION_KEYWORDS_ISSR_208000603_13168">#REF!</definedName>
    <definedName name="E_ALL_SECTION_KEYWORDS_ISSR_208000603_1319">#REF!</definedName>
    <definedName name="E_ALL_SECTION_KEYWORDS_ISSR_208000603_131E">#REF!</definedName>
    <definedName name="E_ALL_SECTION_KEYWORDS_ISSR_208000603_131J">#REF!</definedName>
    <definedName name="E_ALL_SECTION_KEYWORDS_ISSR_208000603_131O">#REF!</definedName>
    <definedName name="E_ALL_SECTION_KEYWORDS_ISSR_208000603_131P">#REF!</definedName>
    <definedName name="E_ALL_SECTION_KEYWORDS_ISSR_208000603_13A">#REF!</definedName>
    <definedName name="E_ALL_SECTION_KEYWORDS_ISSR_208000603_13U">#REF!</definedName>
    <definedName name="E_ALL_SECTION_KEYWORDS_ISSR_208000603_13V">#REF!</definedName>
    <definedName name="E_ALL_SECTION_KEYWORDS_ISSR_208000603_Reference_Data">#REF!</definedName>
    <definedName name="E_ALL_SECTION_KEYWORDS_ISSR_208000826_136J">#REF!,#REF!</definedName>
    <definedName name="E_ALL_SECTION_KEYWORDS_ISSR_208000976_1314">#REF!</definedName>
    <definedName name="E_ALL_SECTION_KEYWORDS_ISSR_208000976_13168">#REF!</definedName>
    <definedName name="E_ALL_SECTION_KEYWORDS_ISSR_208000976_1316T">#REF!</definedName>
    <definedName name="E_ALL_SECTION_KEYWORDS_ISSR_208000976_1316U">#REF!</definedName>
    <definedName name="E_ALL_SECTION_KEYWORDS_ISSR_208000976_1319">#REF!</definedName>
    <definedName name="E_ALL_SECTION_KEYWORDS_ISSR_208000976_131E">#REF!</definedName>
    <definedName name="E_ALL_SECTION_KEYWORDS_ISSR_208000976_131J">#REF!</definedName>
    <definedName name="E_ALL_SECTION_KEYWORDS_ISSR_208000976_131O">#REF!</definedName>
    <definedName name="E_ALL_SECTION_KEYWORDS_ISSR_208000976_136E">#REF!,#REF!</definedName>
    <definedName name="E_ALL_SECTION_KEYWORDS_ISSR_208000976_13A">#REF!</definedName>
    <definedName name="E_ALL_SECTION_KEYWORDS_ISSR_208000976_13U">#REF!</definedName>
    <definedName name="E_ALL_SECTION_KEYWORDS_ISSR_208000976_13V">#REF!</definedName>
    <definedName name="E_ALL_SECTION_KEYWORDS_ISSR_208000976_Reference_Data">#REF!</definedName>
    <definedName name="E_ALL_SECTION_KEYWORDS_ISSR_208000977_136E">#REF!,#REF!</definedName>
    <definedName name="E_ALL_SECTION_KEYWORDS_ISSR_208001258_1314">#REF!</definedName>
    <definedName name="E_ALL_SECTION_KEYWORDS_ISSR_208001258_13168">#REF!</definedName>
    <definedName name="E_ALL_SECTION_KEYWORDS_ISSR_208001258_1316T">#REF!</definedName>
    <definedName name="E_ALL_SECTION_KEYWORDS_ISSR_208001258_1316U">#REF!</definedName>
    <definedName name="E_ALL_SECTION_KEYWORDS_ISSR_208001258_1319">#REF!</definedName>
    <definedName name="E_ALL_SECTION_KEYWORDS_ISSR_208001258_131E">#REF!</definedName>
    <definedName name="E_ALL_SECTION_KEYWORDS_ISSR_208001258_131J">#REF!</definedName>
    <definedName name="E_ALL_SECTION_KEYWORDS_ISSR_208001258_131O">#REF!</definedName>
    <definedName name="E_ALL_SECTION_KEYWORDS_ISSR_208001258_13A">#REF!</definedName>
    <definedName name="E_ALL_SECTION_KEYWORDS_ISSR_208001258_13U">#REF!</definedName>
    <definedName name="E_ALL_SECTION_KEYWORDS_ISSR_208001258_13V">#REF!</definedName>
    <definedName name="E_ALL_SECTION_KEYWORDS_ISSR_208001258_Reference_Data">#REF!</definedName>
    <definedName name="E_ALL_SECTION_KEYWORDS_ISSR_208001515_1314">#REF!</definedName>
    <definedName name="E_ALL_SECTION_KEYWORDS_ISSR_208001515_1319">#REF!</definedName>
    <definedName name="E_ALL_SECTION_KEYWORDS_ISSR_208001515_131E">#REF!</definedName>
    <definedName name="E_ALL_SECTION_KEYWORDS_ISSR_208001515_13V">#REF!,#REF!</definedName>
    <definedName name="E_ALL_SECTION_KEYWORDS_ISSR_208001627_131O">#REF!,#REF!</definedName>
    <definedName name="E_ALL_SECTION_KEYWORDS_ISSR_208001640_13V">#REF!,#REF!</definedName>
    <definedName name="E_ALL_SECTION_KEYWORDS_ISSR_208001765_1314">#REF!</definedName>
    <definedName name="E_ALL_SECTION_KEYWORDS_ISSR_208001765_13168">#REF!</definedName>
    <definedName name="E_ALL_SECTION_KEYWORDS_ISSR_208001765_1316T">#REF!</definedName>
    <definedName name="E_ALL_SECTION_KEYWORDS_ISSR_208001765_1319">#REF!</definedName>
    <definedName name="E_ALL_SECTION_KEYWORDS_ISSR_208001765_131E">#REF!</definedName>
    <definedName name="E_ALL_SECTION_KEYWORDS_ISSR_208001765_136E">#REF!,#REF!</definedName>
    <definedName name="E_ALL_SECTION_KEYWORDS_ISSR_208001765_13V">#REF!,#REF!</definedName>
    <definedName name="E_ALL_SECTION_KEYWORDS_ISSR_208001785_13V">#REF!,#REF!</definedName>
    <definedName name="E_ALL_SECTION_KEYWORDS_ISSR_208002651_13V">#REF!,#REF!</definedName>
    <definedName name="E_ALL_SECTION_KEYWORDS_ISSR_208006029_136E">#REF!,#REF!</definedName>
    <definedName name="E_ALL_SECTION_KEYWORDS_ISSR_208006029_13V">#REF!,#REF!</definedName>
    <definedName name="E_ALL_SECTION_KEYWORDS_ISSR_208007452_136J">#REF!,#REF!</definedName>
    <definedName name="E_ALL_SECTION_KEYWORDS_ISSR_208007452_13V">#REF!,#REF!</definedName>
    <definedName name="E_ALL_SECTION_KEYWORDS_ISSR_208007986_13168">#REF!,#REF!</definedName>
    <definedName name="E_ALL_SECTION_KEYWORDS_ISSR_208007986_136E">#REF!,#REF!</definedName>
    <definedName name="E_ALL_SECTION_KEYWORDS_ISSR_208008030_1316P">#REF!,#REF!</definedName>
    <definedName name="E_ALL_SECTION_KEYWORDS_ISSR_208008030_131Y">#REF!,#REF!</definedName>
    <definedName name="E_ALL_SECTION_KEYWORDS_ISSR_208008030_134L">#REF!,#REF!</definedName>
    <definedName name="E_ALL_SECTION_KEYWORDS_ISSR_208008836_136E">#REF!,#REF!</definedName>
    <definedName name="E_ALL_SECTION_KEYWORDS_ISSR_208009722_1314">#REF!</definedName>
    <definedName name="E_ALL_SECTION_KEYWORDS_ISSR_208009722_13168">#REF!</definedName>
    <definedName name="E_ALL_SECTION_KEYWORDS_ISSR_208009722_1319">#REF!</definedName>
    <definedName name="E_ALL_SECTION_KEYWORDS_ISSR_208009722_131E">#REF!</definedName>
    <definedName name="E_ALL_SECTION_KEYWORDS_ISSR_208009722_131J">#REF!</definedName>
    <definedName name="E_ALL_SECTION_KEYWORDS_ISSR_208009722_131O">#REF!</definedName>
    <definedName name="E_ALL_SECTION_KEYWORDS_ISSR_208009722_13A">#REF!</definedName>
    <definedName name="E_ALL_SECTION_KEYWORDS_ISSR_208009722_13U">#REF!</definedName>
    <definedName name="E_ALL_SECTION_KEYWORDS_ISSR_208009722_13V">#REF!</definedName>
    <definedName name="E_ALL_SECTION_KEYWORDS_ISSR_208009722_Reference_Data">#REF!</definedName>
    <definedName name="E_ALL_SECTION_KEYWORDS_ISSR_208011556_1314">#REF!</definedName>
    <definedName name="E_ALL_SECTION_KEYWORDS_ISSR_208011556_13168">#REF!</definedName>
    <definedName name="E_ALL_SECTION_KEYWORDS_ISSR_208011556_1316T">#REF!</definedName>
    <definedName name="E_ALL_SECTION_KEYWORDS_ISSR_208011556_1316U">#REF!</definedName>
    <definedName name="E_ALL_SECTION_KEYWORDS_ISSR_208011556_1319">#REF!</definedName>
    <definedName name="E_ALL_SECTION_KEYWORDS_ISSR_208011556_131E">#REF!</definedName>
    <definedName name="E_ALL_SECTION_KEYWORDS_ISSR_208011556_131J">#REF!</definedName>
    <definedName name="E_ALL_SECTION_KEYWORDS_ISSR_208011556_131O">#REF!</definedName>
    <definedName name="E_ALL_SECTION_KEYWORDS_ISSR_208011556_13A">#REF!</definedName>
    <definedName name="E_ALL_SECTION_KEYWORDS_ISSR_208011556_13U">#REF!</definedName>
    <definedName name="E_ALL_SECTION_KEYWORDS_ISSR_208011556_13V">#REF!</definedName>
    <definedName name="E_ALL_SECTION_KEYWORDS_ISSR_208011556_Reference_Data">#REF!</definedName>
    <definedName name="E_ALL_SECTION_KEYWORDS_ISSR_208011888_136E">#REF!,#REF!</definedName>
    <definedName name="E_ALL_SECTION_KEYWORDS_ISSR_208015351_13V">#REF!,#REF!</definedName>
    <definedName name="E_ALL_SECTION_KEYWORDS_ISSR_208018253_131O">#REF!,#REF!</definedName>
    <definedName name="E_ALL_SECTION_KEYWORDS_ISSR_208020919_131O">#REF!,#REF!</definedName>
    <definedName name="E_ALL_SECTION_KEYWORDS_ISSR_208020919_136J">#REF!,#REF!</definedName>
    <definedName name="E_ALL_SECTIONS_EQTY_200000304">#REF!,#REF!,#REF!,#REF!,#REF!,#REF!,#REF!,#REF!,#REF!,#REF!</definedName>
    <definedName name="E_ALL_SECTIONS_EQTY_200001265">#REF!,#REF!,#REF!,#REF!,#REF!,#REF!,#REF!,#REF!,#REF!,#REF!</definedName>
    <definedName name="E_ALL_SECTIONS_EQTY_200001320">#REF!,#REF!,#REF!,#REF!,#REF!,#REF!,#REF!,#REF!,#REF!,#REF!</definedName>
    <definedName name="E_ALL_SECTIONS_EQTY_200001330">#REF!,#REF!,#REF!,#REF!,#REF!,#REF!,#REF!,#REF!,#REF!,#REF!</definedName>
    <definedName name="E_ALL_SECTIONS_EQTY_200001353">#REF!,#REF!,#REF!,#REF!,#REF!,#REF!,#REF!,#REF!</definedName>
    <definedName name="E_ALL_SECTIONS_EQTY_200001371">#REF!,#REF!,#REF!,#REF!,#REF!,#REF!,#REF!,#REF!</definedName>
    <definedName name="E_ALL_SECTIONS_EQTY_200001381">#REF!,#REF!,#REF!,#REF!,#REF!,#REF!,#REF!,#REF!,#REF!,#REF!</definedName>
    <definedName name="E_ALL_SECTIONS_EQTY_200001646">#REF!,#REF!,#REF!,#REF!,#REF!,#REF!,#REF!,#REF!,#REF!,#REF!,#REF!</definedName>
    <definedName name="E_ALL_SECTIONS_EQTY_200002831">#REF!,#REF!,#REF!,#REF!,#REF!,#REF!,#REF!,#REF!,#REF!,#REF!</definedName>
    <definedName name="E_ALL_SECTIONS_EQTY_200002833">#REF!,#REF!,#REF!,#REF!,#REF!,#REF!,#REF!,#REF!,#REF!,#REF!</definedName>
    <definedName name="E_ALL_SECTIONS_EQTY_200003037">#REF!,#REF!,#REF!,#REF!,#REF!,#REF!,#REF!,#REF!,#REF!,#REF!</definedName>
    <definedName name="E_ALL_SECTIONS_EQTY_200003892">#REF!,#REF!,#REF!,#REF!,#REF!,#REF!,#REF!,#REF!,#REF!,#REF!</definedName>
    <definedName name="E_ALL_SECTIONS_EQTY_200004419">#REF!,#REF!,#REF!,#REF!,#REF!,#REF!,#REF!,#REF!,#REF!,#REF!</definedName>
    <definedName name="E_ALL_SECTIONS_EQTY_200005326">#REF!,#REF!,#REF!,#REF!,#REF!,#REF!,#REF!,#REF!,#REF!,#REF!</definedName>
    <definedName name="E_ALL_SECTIONS_EQTY_200006232">#REF!,#REF!,#REF!,#REF!,#REF!,#REF!,#REF!,#REF!,#REF!,#REF!</definedName>
    <definedName name="E_ALL_SECTIONS_EQTY_200009556">#REF!,#REF!,#REF!,#REF!,#REF!,#REF!,#REF!,#REF!,#REF!,#REF!</definedName>
    <definedName name="E_ALL_SECTIONS_EQTY_200011598">#REF!,#REF!,#REF!,#REF!,#REF!,#REF!,#REF!,#REF!,#REF!,#REF!</definedName>
    <definedName name="E_ALL_SECTIONS_EQTY_200012762">#REF!,#REF!,#REF!,#REF!,#REF!,#REF!,#REF!,#REF!,#REF!,#REF!</definedName>
    <definedName name="E_ALL_SECTIONS_EQTY_200014300">#REF!,#REF!,#REF!,#REF!,#REF!,#REF!,#REF!,#REF!,#REF!,#REF!</definedName>
    <definedName name="E_ALL_SECTIONS_EQTY_200014750">#REF!,#REF!,#REF!,#REF!,#REF!,#REF!,#REF!,#REF!,#REF!,#REF!</definedName>
    <definedName name="E_ALL_SECTIONS_EQTY_200015107">#REF!,#REF!,#REF!,#REF!,#REF!,#REF!,#REF!,#REF!,#REF!,#REF!</definedName>
    <definedName name="E_ALL_SECTIONS_EQTY_200015716">#REF!,#REF!,#REF!,#REF!,#REF!,#REF!,#REF!,#REF!,#REF!,#REF!</definedName>
    <definedName name="E_ALL_SECTIONS_EQTY_200015757">#REF!,#REF!,#REF!,#REF!,#REF!,#REF!,#REF!,#REF!,#REF!,#REF!,#REF!</definedName>
    <definedName name="E_ALL_SECTIONS_EQTY_200016026">#REF!,#REF!,#REF!,#REF!,#REF!,#REF!,#REF!,#REF!,#REF!,#REF!,#REF!</definedName>
    <definedName name="E_ALL_SECTIONS_EQTY_200017745">#REF!,#REF!,#REF!,#REF!,#REF!,#REF!,#REF!,#REF!,#REF!,#REF!</definedName>
    <definedName name="E_ALL_SECTIONS_ISSR_208000430">#REF!,#REF!,#REF!,#REF!,#REF!,#REF!,#REF!,#REF!,#REF!,#REF!,#REF!</definedName>
    <definedName name="E_ALL_SECTIONS_ISSR_208000451">#REF!,#REF!,#REF!,#REF!,#REF!,#REF!,#REF!,#REF!,#REF!,#REF!</definedName>
    <definedName name="E_ALL_SECTIONS_ISSR_208000603">#REF!,#REF!,#REF!,#REF!,#REF!,#REF!,#REF!,#REF!,#REF!,#REF!,#REF!</definedName>
    <definedName name="E_ALL_SECTIONS_ISSR_208000977">#REF!,#REF!,#REF!,#REF!,#REF!,#REF!,#REF!,#REF!,#REF!,#REF!,#REF!</definedName>
    <definedName name="E_ALL_SECTIONS_ISSR_208001049">#REF!,#REF!,#REF!,#REF!,#REF!,#REF!,#REF!,#REF!,#REF!,#REF!,#REF!</definedName>
    <definedName name="E_ALL_SECTIONS_ISSR_208001137">#REF!,#REF!,#REF!,#REF!,#REF!,#REF!,#REF!,#REF!,#REF!,#REF!,#REF!</definedName>
    <definedName name="E_ALL_SECTIONS_ISSR_208001258">#REF!,#REF!,#REF!,#REF!,#REF!,#REF!,#REF!,#REF!,#REF!,#REF!,#REF!</definedName>
    <definedName name="E_ALL_SECTIONS_ISSR_208001515">#REF!,#REF!,#REF!,#REF!,#REF!,#REF!,#REF!,#REF!,#REF!,#REF!</definedName>
    <definedName name="E_ALL_SECTIONS_ISSR_208005795">#REF!,#REF!,#REF!,#REF!,#REF!,#REF!,#REF!,#REF!,#REF!,#REF!,#REF!</definedName>
    <definedName name="E_ALL_SECTIONS_ISSR_208007359">#REF!,#REF!,#REF!,#REF!,#REF!,#REF!,#REF!,#REF!,#REF!,#REF!</definedName>
    <definedName name="E_ALL_SECTIONS_ISSR_208009722">#REF!,#REF!,#REF!,#REF!,#REF!,#REF!,#REF!,#REF!,#REF!,#REF!</definedName>
    <definedName name="E_ALL_SECTIONS_ISSR_208010209">#REF!,#REF!,#REF!,#REF!,#REF!,#REF!,#REF!,#REF!,#REF!,#REF!,#REF!</definedName>
    <definedName name="E_ALL_SECTIONS_ISSR_208011072">#REF!,#REF!,#REF!,#REF!,#REF!,#REF!,#REF!,#REF!,#REF!,#REF!,#REF!</definedName>
    <definedName name="E_ALL_SECTIONS_ISSR_208012959">#REF!,#REF!,#REF!,#REF!,#REF!,#REF!,#REF!,#REF!,#REF!,#REF!,#REF!,#REF!,#REF!</definedName>
    <definedName name="E_ALL_SECTIONS_ISSR_208015351">#REF!,#REF!,#REF!,#REF!,#REF!,#REF!,#REF!,#REF!,#REF!,#REF!,#REF!</definedName>
    <definedName name="E_ALL_SEMI">#REF!</definedName>
    <definedName name="E_ALL_SIRI">#REF!</definedName>
    <definedName name="E_ALL_SWKS">#REF!</definedName>
    <definedName name="E_ALL_T">#REF!</definedName>
    <definedName name="E_ALL_TEL">#REF!</definedName>
    <definedName name="E_ALL_TENB">#REF!</definedName>
    <definedName name="E_ALL_TER">#REF!</definedName>
    <definedName name="E_ALL_TGT">#REF!</definedName>
    <definedName name="E_ALL_TMUS">#REF!</definedName>
    <definedName name="E_ALL_TWC">#REF!</definedName>
    <definedName name="E_ALL_TWKS">#REF!</definedName>
    <definedName name="E_ALL_TXN">#REF!</definedName>
    <definedName name="E_ALL_VMW">#REF!</definedName>
    <definedName name="E_ALL_VSM">#REF!</definedName>
    <definedName name="E_ALL_VZ">#REF!</definedName>
    <definedName name="E_ALL_WDAY">#REF!</definedName>
    <definedName name="E_ALL_WIN">#REF!</definedName>
    <definedName name="E_ALL_ZAYO">#REF!</definedName>
    <definedName name="E_ALL_ZS">#REF!</definedName>
    <definedName name="E_ALL_ZS_OLD">#REF!</definedName>
    <definedName name="E_CURRENCY_EQTY_200000304_PRI">#REF!</definedName>
    <definedName name="E_CURRENCY_EQTY_200000304_PUB">#REF!</definedName>
    <definedName name="E_CURRENCY_EQTY_200000304_REP">#REF!</definedName>
    <definedName name="E_CURRENCY_EQTY_200001265_PRI">#REF!</definedName>
    <definedName name="E_CURRENCY_EQTY_200001265_PUB">#REF!</definedName>
    <definedName name="E_CURRENCY_EQTY_200001265_REP">#REF!</definedName>
    <definedName name="E_CURRENCY_EQTY_200001320_PRI">#REF!</definedName>
    <definedName name="E_CURRENCY_EQTY_200001320_PUB">#REF!</definedName>
    <definedName name="E_CURRENCY_EQTY_200001320_REP">#REF!</definedName>
    <definedName name="E_CURRENCY_EQTY_200001330_PRI">#REF!</definedName>
    <definedName name="E_CURRENCY_EQTY_200001330_PUB">#REF!</definedName>
    <definedName name="E_CURRENCY_EQTY_200001330_REP">#REF!</definedName>
    <definedName name="E_CURRENCY_EQTY_200001353_PRI">#REF!</definedName>
    <definedName name="E_CURRENCY_EQTY_200001353_PUB">#REF!</definedName>
    <definedName name="E_CURRENCY_EQTY_200001353_REP">#REF!</definedName>
    <definedName name="E_CURRENCY_EQTY_200001371_PRI">#REF!</definedName>
    <definedName name="E_CURRENCY_EQTY_200001371_PUB">#REF!</definedName>
    <definedName name="E_CURRENCY_EQTY_200001371_REP">#REF!</definedName>
    <definedName name="E_CURRENCY_EQTY_200001381_PRI">#REF!</definedName>
    <definedName name="E_CURRENCY_EQTY_200001381_PUB">#REF!</definedName>
    <definedName name="E_CURRENCY_EQTY_200001381_REP">#REF!</definedName>
    <definedName name="E_CURRENCY_EQTY_200001646_PRI">#REF!</definedName>
    <definedName name="E_CURRENCY_EQTY_200001646_PUB">#REF!</definedName>
    <definedName name="E_CURRENCY_EQTY_200001646_REP">#REF!</definedName>
    <definedName name="E_CURRENCY_EQTY_200002831_PRI">#REF!</definedName>
    <definedName name="E_CURRENCY_EQTY_200002831_PUB">#REF!</definedName>
    <definedName name="E_CURRENCY_EQTY_200002831_REP">#REF!</definedName>
    <definedName name="E_CURRENCY_EQTY_200002833_PRI">#REF!</definedName>
    <definedName name="E_CURRENCY_EQTY_200002833_PUB">#REF!</definedName>
    <definedName name="E_CURRENCY_EQTY_200002833_REP">#REF!</definedName>
    <definedName name="E_CURRENCY_EQTY_200003037_PRI">#REF!</definedName>
    <definedName name="E_CURRENCY_EQTY_200003037_PUB">#REF!</definedName>
    <definedName name="E_CURRENCY_EQTY_200003037_REP">#REF!</definedName>
    <definedName name="E_CURRENCY_EQTY_200003892_PRI">#REF!</definedName>
    <definedName name="E_CURRENCY_EQTY_200003892_PUB">#REF!</definedName>
    <definedName name="E_CURRENCY_EQTY_200003892_REP">#REF!</definedName>
    <definedName name="E_CURRENCY_EQTY_200004419_PRI">#REF!</definedName>
    <definedName name="E_CURRENCY_EQTY_200004419_PUB">#REF!</definedName>
    <definedName name="E_CURRENCY_EQTY_200004419_REP">#REF!</definedName>
    <definedName name="E_CURRENCY_EQTY_200005326_PRI">#REF!</definedName>
    <definedName name="E_CURRENCY_EQTY_200005326_PUB">#REF!</definedName>
    <definedName name="E_CURRENCY_EQTY_200005326_REP">#REF!</definedName>
    <definedName name="E_CURRENCY_EQTY_200006232_PRI">#REF!</definedName>
    <definedName name="E_CURRENCY_EQTY_200006232_PUB">#REF!</definedName>
    <definedName name="E_CURRENCY_EQTY_200006232_REP">#REF!</definedName>
    <definedName name="E_CURRENCY_EQTY_200006639_PUB">#REF!</definedName>
    <definedName name="E_CURRENCY_EQTY_200009556_PRI">#REF!</definedName>
    <definedName name="E_CURRENCY_EQTY_200009556_PUB">#REF!</definedName>
    <definedName name="E_CURRENCY_EQTY_200009556_REP">#REF!</definedName>
    <definedName name="E_CURRENCY_EQTY_200011598_PRI">#REF!</definedName>
    <definedName name="E_CURRENCY_EQTY_200011598_PUB">#REF!</definedName>
    <definedName name="E_CURRENCY_EQTY_200011598_REP">#REF!</definedName>
    <definedName name="E_CURRENCY_EQTY_200012762_PRI">#REF!</definedName>
    <definedName name="E_CURRENCY_EQTY_200012762_PUB">#REF!</definedName>
    <definedName name="E_CURRENCY_EQTY_200012762_REP">#REF!</definedName>
    <definedName name="E_CURRENCY_EQTY_200014300_PRI">#REF!</definedName>
    <definedName name="E_CURRENCY_EQTY_200014300_PUB">#REF!</definedName>
    <definedName name="E_CURRENCY_EQTY_200014300_REP">#REF!</definedName>
    <definedName name="E_CURRENCY_EQTY_200014750_PRI">#REF!</definedName>
    <definedName name="E_CURRENCY_EQTY_200014750_PUB">#REF!</definedName>
    <definedName name="E_CURRENCY_EQTY_200014750_REP">#REF!</definedName>
    <definedName name="E_CURRENCY_EQTY_200015107_PRI">#REF!</definedName>
    <definedName name="E_CURRENCY_EQTY_200015107_PUB">#REF!</definedName>
    <definedName name="E_CURRENCY_EQTY_200015107_REP">#REF!</definedName>
    <definedName name="E_CURRENCY_EQTY_200015716_PRI">#REF!</definedName>
    <definedName name="E_CURRENCY_EQTY_200015716_PUB">#REF!</definedName>
    <definedName name="E_CURRENCY_EQTY_200015716_REP">#REF!</definedName>
    <definedName name="E_CURRENCY_EQTY_200015757_PRI">#REF!</definedName>
    <definedName name="E_CURRENCY_EQTY_200015757_PUB">#REF!</definedName>
    <definedName name="E_CURRENCY_EQTY_200015757_REP">#REF!</definedName>
    <definedName name="E_CURRENCY_EQTY_200016026_PRI">#REF!</definedName>
    <definedName name="E_CURRENCY_EQTY_200016026_PUB">#REF!</definedName>
    <definedName name="E_CURRENCY_EQTY_200016026_REP">#REF!</definedName>
    <definedName name="E_CURRENCY_EQTY_200017745_PRI">#REF!</definedName>
    <definedName name="E_CURRENCY_EQTY_200017745_PUB">#REF!</definedName>
    <definedName name="E_CURRENCY_EQTY_200017745_REP">#REF!</definedName>
    <definedName name="E_CURRENCY_ISSR_208000027_REP">#REF!</definedName>
    <definedName name="E_CURRENCY_ISSR_208000402_REP">#REF!</definedName>
    <definedName name="E_CURRENCY_ISSR_208000430_REP">#REF!</definedName>
    <definedName name="E_CURRENCY_ISSR_208000435_REP">#REF!</definedName>
    <definedName name="E_CURRENCY_ISSR_208000451_REP">#REF!</definedName>
    <definedName name="E_CURRENCY_ISSR_208000468_REP">#REF!</definedName>
    <definedName name="E_CURRENCY_ISSR_208000603_REP">#REF!</definedName>
    <definedName name="E_CURRENCY_ISSR_208000976_REP">#REF!</definedName>
    <definedName name="E_CURRENCY_ISSR_208000977_REP">#REF!</definedName>
    <definedName name="E_CURRENCY_ISSR_208001049_REP">#REF!</definedName>
    <definedName name="E_CURRENCY_ISSR_208001137_REP">#REF!</definedName>
    <definedName name="E_CURRENCY_ISSR_208001258_REP">#REF!</definedName>
    <definedName name="E_CURRENCY_ISSR_208001515_REP">#REF!</definedName>
    <definedName name="E_CURRENCY_ISSR_208005795_REP">#REF!</definedName>
    <definedName name="E_CURRENCY_ISSR_208007359_REP">#REF!</definedName>
    <definedName name="E_CURRENCY_ISSR_208008030_REP">#REF!</definedName>
    <definedName name="E_CURRENCY_ISSR_208008836_REP">#REF!</definedName>
    <definedName name="E_CURRENCY_ISSR_208009722_REP">#REF!</definedName>
    <definedName name="E_CURRENCY_ISSR_208010209_REP">#REF!</definedName>
    <definedName name="E_CURRENCY_ISSR_208011072_REP">#REF!</definedName>
    <definedName name="E_CURRENCY_ISSR_208011556_REP">#REF!</definedName>
    <definedName name="E_CURRENCY_ISSR_208011888_REP">#REF!</definedName>
    <definedName name="E_CURRENCY_ISSR_208012959_REP">#REF!</definedName>
    <definedName name="E_CURRENCY_ISSR_208015351_REP">#REF!</definedName>
    <definedName name="E_ENTITY_DATA_EQTY_200001646">#REF!</definedName>
    <definedName name="E_ENTITY_DATA_EQTY_200012762">#REF!</definedName>
    <definedName name="E_ENTITY_DATA_ISSR_208000603">#REF!</definedName>
    <definedName name="E_ENTITY_DATA_ISSR_208009722">#REF!</definedName>
    <definedName name="E_ENTITY_DATA_ISSR_208011556">#REF!</definedName>
    <definedName name="E_KEYWORD_EQTY_200001646_ACT1">#REF!</definedName>
    <definedName name="E_KEYWORD_EQTY_200001646_AMER_CONVICTION">#REF!</definedName>
    <definedName name="E_KEYWORD_EQTY_200001646_AMER_LIST">#REF!</definedName>
    <definedName name="E_KEYWORD_EQTY_200001646_BETA_ANALYST">#REF!</definedName>
    <definedName name="E_KEYWORD_EQTY_200001646_BVPS">#REF!</definedName>
    <definedName name="E_KEYWORD_EQTY_200001646_BVPS_PUB">#REF!</definedName>
    <definedName name="E_KEYWORD_EQTY_200001646_CF_NI_PRE_PREF">#REF!</definedName>
    <definedName name="E_KEYWORD_EQTY_200001646_COMMON_DIV_PAID">#REF!</definedName>
    <definedName name="E_KEYWORD_EQTY_200001646_CURRENCY_ISO">#REF!</definedName>
    <definedName name="E_KEYWORD_EQTY_200001646_DILUTE_SHARES">#REF!</definedName>
    <definedName name="E_KEYWORD_EQTY_200001646_DPS">#REF!</definedName>
    <definedName name="E_KEYWORD_EQTY_200001646_DPS_PUB">#REF!</definedName>
    <definedName name="E_KEYWORD_EQTY_200001646_EBIT_PUB">#REF!</definedName>
    <definedName name="E_KEYWORD_EQTY_200001646_EBITDA_PUB">#REF!</definedName>
    <definedName name="E_KEYWORD_EQTY_200001646_EPS">#REF!</definedName>
    <definedName name="E_KEYWORD_EQTY_200001646_EPS_EX_ESO_B">#REF!</definedName>
    <definedName name="E_KEYWORD_EQTY_200001646_EPS_EX_ESO_D">#REF!</definedName>
    <definedName name="E_KEYWORD_EQTY_200001646_EPS_FUL_DIL">#REF!</definedName>
    <definedName name="E_KEYWORD_EQTY_200001646_EPS_POST_BASIC">#REF!</definedName>
    <definedName name="E_KEYWORD_EQTY_200001646_EPS_PUB">#REF!</definedName>
    <definedName name="E_KEYWORD_EQTY_200001646_EPS_PUB_EX_ESO">#REF!</definedName>
    <definedName name="E_KEYWORD_EQTY_200001646_EQ_PUB">#REF!</definedName>
    <definedName name="E_KEYWORD_EQTY_200001646_ESO_POST_TAX">#REF!</definedName>
    <definedName name="E_KEYWORD_EQTY_200001646_ESO_YEAR">#REF!</definedName>
    <definedName name="E_KEYWORD_EQTY_200001646_EV_ADJ_PUB">#REF!</definedName>
    <definedName name="E_KEYWORD_EQTY_200001646_FREE_FLOAT">#REF!</definedName>
    <definedName name="E_KEYWORD_EQTY_200001646_FULLY_DIL_EPS">#REF!</definedName>
    <definedName name="E_KEYWORD_EQTY_200001646_FV_GRANT">#REF!</definedName>
    <definedName name="E_KEYWORD_EQTY_200001646_GT_BETA">#REF!</definedName>
    <definedName name="E_KEYWORD_EQTY_200001646_INC_MINORITY">#REF!</definedName>
    <definedName name="E_KEYWORD_EQTY_200001646_Interim_Type">#REF!</definedName>
    <definedName name="E_KEYWORD_EQTY_200001646_LEGAL_RATING">#REF!</definedName>
    <definedName name="E_KEYWORD_EQTY_200001646_MARGIN_TAX_RATE">#REF!</definedName>
    <definedName name="E_KEYWORD_EQTY_200001646_MKT_EQ_RISK_PREM">#REF!</definedName>
    <definedName name="E_KEYWORD_EQTY_200001646_NET_DEBT_PUB">#REF!</definedName>
    <definedName name="E_KEYWORD_EQTY_200001646_NET_EARNING">#REF!</definedName>
    <definedName name="E_KEYWORD_EQTY_200001646_NET_INC">#REF!</definedName>
    <definedName name="E_KEYWORD_EQTY_200001646_NI_PRE_PREF">#REF!</definedName>
    <definedName name="E_KEYWORD_EQTY_200001646_NI_PUB">#REF!</definedName>
    <definedName name="E_KEYWORD_EQTY_200001646_NON_OP_ADD">#REF!</definedName>
    <definedName name="E_KEYWORD_EQTY_200001646_NUM_SH">#REF!</definedName>
    <definedName name="E_KEYWORD_EQTY_200001646_PREF_DIV">#REF!</definedName>
    <definedName name="E_KEYWORD_EQTY_200001646_PRICE_CURRENCY_ISO">#REF!</definedName>
    <definedName name="E_KEYWORD_EQTY_200001646_PROV_INC_TAX">#REF!</definedName>
    <definedName name="E_KEYWORD_EQTY_200001646_PTP_PUB">#REF!</definedName>
    <definedName name="E_KEYWORD_EQTY_200001646_PUB_CURRENCY_ISO">#REF!</definedName>
    <definedName name="E_KEYWORD_EQTY_200001646_REPUR_ACTUAL">#REF!</definedName>
    <definedName name="E_KEYWORD_EQTY_200001646_REPUR_REMAINING">#REF!</definedName>
    <definedName name="E_KEYWORD_EQTY_200001646_REPUR_SUSPENDED">#REF!</definedName>
    <definedName name="E_KEYWORD_EQTY_200001646_REPUR_TOT_AUTH">#REF!</definedName>
    <definedName name="E_KEYWORD_EQTY_200001646_REVS_PUB">#REF!</definedName>
    <definedName name="E_KEYWORD_EQTY_200001646_RISK_FR_RATE">#REF!</definedName>
    <definedName name="E_KEYWORD_EQTY_200001646_Security_Name">#REF!</definedName>
    <definedName name="E_KEYWORD_EQTY_200001646_SH">#REF!</definedName>
    <definedName name="E_KEYWORD_EQTY_200001646_TARGET_PRICE">#REF!</definedName>
    <definedName name="E_KEYWORD_EQTY_200001646_TAX_EXC">#REF!</definedName>
    <definedName name="E_KEYWORD_EQTY_200001646_Ticker">#REF!</definedName>
    <definedName name="E_KEYWORD_EQTY_200001646_TP_PERIOD">#REF!</definedName>
    <definedName name="E_KEYWORD_EQTY_200002831_ACT1">#REF!</definedName>
    <definedName name="E_KEYWORD_EQTY_200002831_ACT2">#REF!</definedName>
    <definedName name="E_KEYWORD_EQTY_200002831_ACT3">#REF!</definedName>
    <definedName name="E_KEYWORD_EQTY_200002831_ACT4">#REF!</definedName>
    <definedName name="E_KEYWORD_EQTY_200002831_ACT5">#REF!</definedName>
    <definedName name="E_KEYWORD_EQTY_200002831_ACT6">#REF!</definedName>
    <definedName name="E_KEYWORD_EQTY_200002831_ACT7">#REF!</definedName>
    <definedName name="E_KEYWORD_EQTY_200002831_ACT8">#REF!</definedName>
    <definedName name="E_KEYWORD_EQTY_200002831_ACT9">#REF!</definedName>
    <definedName name="E_KEYWORD_EQTY_200002831_AMER_CONVICTION">#REF!</definedName>
    <definedName name="E_KEYWORD_EQTY_200002831_AMER_LIST">#REF!</definedName>
    <definedName name="E_KEYWORD_EQTY_200002831_BETA_ANALYST">#REF!</definedName>
    <definedName name="E_KEYWORD_EQTY_200002831_BVPS">#REF!</definedName>
    <definedName name="E_KEYWORD_EQTY_200002831_BVPS_PUB">#REF!</definedName>
    <definedName name="E_KEYWORD_EQTY_200002831_CF_NI_PRE_PREF">#REF!</definedName>
    <definedName name="E_KEYWORD_EQTY_200002831_COMMON_DIV_PAID">#REF!</definedName>
    <definedName name="E_KEYWORD_EQTY_200002831_CURRENCY_ISO">#REF!</definedName>
    <definedName name="E_KEYWORD_EQTY_200002831_DILUTE_SHARES">#REF!</definedName>
    <definedName name="E_KEYWORD_EQTY_200002831_DPS">#REF!</definedName>
    <definedName name="E_KEYWORD_EQTY_200002831_DPS_PUB">#REF!</definedName>
    <definedName name="E_KEYWORD_EQTY_200002831_EBIT_PUB">#REF!</definedName>
    <definedName name="E_KEYWORD_EQTY_200002831_EBITDA_PUB">#REF!</definedName>
    <definedName name="E_KEYWORD_EQTY_200002831_EPS">#REF!</definedName>
    <definedName name="E_KEYWORD_EQTY_200002831_EPS_EX_ESO_B">#REF!</definedName>
    <definedName name="E_KEYWORD_EQTY_200002831_EPS_EX_ESO_D">#REF!</definedName>
    <definedName name="E_KEYWORD_EQTY_200002831_EPS_FUL_DIL">#REF!</definedName>
    <definedName name="E_KEYWORD_EQTY_200002831_EPS_POST_BASIC">#REF!</definedName>
    <definedName name="E_KEYWORD_EQTY_200002831_EPS_PUB">#REF!</definedName>
    <definedName name="E_KEYWORD_EQTY_200002831_EPS_PUB_EX_ESO">#REF!</definedName>
    <definedName name="E_KEYWORD_EQTY_200002831_EQ_PUB">#REF!</definedName>
    <definedName name="E_KEYWORD_EQTY_200002831_ESO_POST_TAX">#REF!</definedName>
    <definedName name="E_KEYWORD_EQTY_200002831_ESO_YEAR">#REF!</definedName>
    <definedName name="E_KEYWORD_EQTY_200002831_EV_ADJ_PUB">#REF!</definedName>
    <definedName name="E_KEYWORD_EQTY_200002831_FREE_FLOAT">#REF!</definedName>
    <definedName name="E_KEYWORD_EQTY_200002831_FULLY_DIL_EPS">#REF!</definedName>
    <definedName name="E_KEYWORD_EQTY_200002831_FV_GRANT">#REF!</definedName>
    <definedName name="E_KEYWORD_EQTY_200002831_INC_MINORITY">#REF!</definedName>
    <definedName name="E_KEYWORD_EQTY_200002831_Interim_Type">#REF!</definedName>
    <definedName name="E_KEYWORD_EQTY_200002831_LEGAL_RATING">#REF!</definedName>
    <definedName name="E_KEYWORD_EQTY_200002831_MARGIN_TAX_RATE">#REF!</definedName>
    <definedName name="E_KEYWORD_EQTY_200002831_MKT_EQ_RISK_PREM">#REF!</definedName>
    <definedName name="E_KEYWORD_EQTY_200002831_NET_DEBT_PUB">#REF!</definedName>
    <definedName name="E_KEYWORD_EQTY_200002831_NET_EARNING">#REF!</definedName>
    <definedName name="E_KEYWORD_EQTY_200002831_NET_INC">#REF!</definedName>
    <definedName name="E_KEYWORD_EQTY_200002831_NI_PRE_PREF">#REF!</definedName>
    <definedName name="E_KEYWORD_EQTY_200002831_NI_PUB">#REF!</definedName>
    <definedName name="E_KEYWORD_EQTY_200002831_NON_OP_ADD">#REF!</definedName>
    <definedName name="E_KEYWORD_EQTY_200002831_NUM_SH">#REF!</definedName>
    <definedName name="E_KEYWORD_EQTY_200002831_PREF_DIV">#REF!</definedName>
    <definedName name="E_KEYWORD_EQTY_200002831_PRICE_CURRENCY_ISO">#REF!</definedName>
    <definedName name="E_KEYWORD_EQTY_200002831_PROV_INC_TAX">#REF!</definedName>
    <definedName name="E_KEYWORD_EQTY_200002831_PTP_PUB">#REF!</definedName>
    <definedName name="E_KEYWORD_EQTY_200002831_PUB_CURRENCY_ISO">#REF!</definedName>
    <definedName name="E_KEYWORD_EQTY_200002831_REPUR_ACTUAL">#REF!</definedName>
    <definedName name="E_KEYWORD_EQTY_200002831_REPUR_REMAINING">#REF!</definedName>
    <definedName name="E_KEYWORD_EQTY_200002831_REPUR_SUSPENDED">#REF!</definedName>
    <definedName name="E_KEYWORD_EQTY_200002831_REPUR_TOT_AUTH">#REF!</definedName>
    <definedName name="E_KEYWORD_EQTY_200002831_REVS_PUB">#REF!</definedName>
    <definedName name="E_KEYWORD_EQTY_200002831_RISK_FR_RATE">#REF!</definedName>
    <definedName name="E_KEYWORD_EQTY_200002831_Security_Name">#REF!</definedName>
    <definedName name="E_KEYWORD_EQTY_200002831_SH">#REF!</definedName>
    <definedName name="E_KEYWORD_EQTY_200002831_TARGET_PRICE">#REF!</definedName>
    <definedName name="E_KEYWORD_EQTY_200002831_TAX_EXC">#REF!</definedName>
    <definedName name="E_KEYWORD_EQTY_200002831_Ticker">#REF!</definedName>
    <definedName name="E_KEYWORD_EQTY_200002831_TP_PERIOD">#REF!</definedName>
    <definedName name="E_KEYWORD_EQTY_200004419_ACT1">#REF!</definedName>
    <definedName name="E_KEYWORD_EQTY_200004419_ACT2">#REF!</definedName>
    <definedName name="E_KEYWORD_EQTY_200004419_ACT3">#REF!</definedName>
    <definedName name="E_KEYWORD_EQTY_200004419_ACT4">#REF!</definedName>
    <definedName name="E_KEYWORD_EQTY_200004419_ACT5">#REF!</definedName>
    <definedName name="E_KEYWORD_EQTY_200004419_ACT6">#REF!</definedName>
    <definedName name="E_KEYWORD_EQTY_200004419_ACT7">#REF!</definedName>
    <definedName name="E_KEYWORD_EQTY_200004419_ACT8">#REF!</definedName>
    <definedName name="E_KEYWORD_EQTY_200004419_ACT9">#REF!</definedName>
    <definedName name="E_KEYWORD_EQTY_200004419_AMER_CONVICTION">#REF!</definedName>
    <definedName name="E_KEYWORD_EQTY_200004419_AMER_LIST">#REF!</definedName>
    <definedName name="E_KEYWORD_EQTY_200004419_BETA_ANALYST">#REF!</definedName>
    <definedName name="E_KEYWORD_EQTY_200004419_BVPS">#REF!</definedName>
    <definedName name="E_KEYWORD_EQTY_200004419_BVPS_PUB">#REF!</definedName>
    <definedName name="E_KEYWORD_EQTY_200004419_CEEE_EPS">#REF!</definedName>
    <definedName name="E_KEYWORD_EQTY_200004419_CF_NI_PRE_PREF">#REF!</definedName>
    <definedName name="E_KEYWORD_EQTY_200004419_COMMON_DIV_PAID">#REF!</definedName>
    <definedName name="E_KEYWORD_EQTY_200004419_CURRENCY_ISO">#REF!</definedName>
    <definedName name="E_KEYWORD_EQTY_200004419_DILUTE_SHARES">#REF!</definedName>
    <definedName name="E_KEYWORD_EQTY_200004419_DPS">#REF!</definedName>
    <definedName name="E_KEYWORD_EQTY_200004419_DPS_PUB">#REF!</definedName>
    <definedName name="E_KEYWORD_EQTY_200004419_EBIT_PUB">#REF!</definedName>
    <definedName name="E_KEYWORD_EQTY_200004419_EBITDA_PUB">#REF!</definedName>
    <definedName name="E_KEYWORD_EQTY_200004419_EPS">#REF!</definedName>
    <definedName name="E_KEYWORD_EQTY_200004419_EPS_EX_ESO_B">#REF!</definedName>
    <definedName name="E_KEYWORD_EQTY_200004419_EPS_EX_ESO_D">#REF!</definedName>
    <definedName name="E_KEYWORD_EQTY_200004419_EPS_FUL_DIL">#REF!</definedName>
    <definedName name="E_KEYWORD_EQTY_200004419_EPS_POST_BASIC">#REF!</definedName>
    <definedName name="E_KEYWORD_EQTY_200004419_EPS_PUB">#REF!</definedName>
    <definedName name="E_KEYWORD_EQTY_200004419_EPS_PUB_EX_ESO">#REF!</definedName>
    <definedName name="E_KEYWORD_EQTY_200004419_EQ_PUB">#REF!</definedName>
    <definedName name="E_KEYWORD_EQTY_200004419_ESO_POST_TAX">#REF!</definedName>
    <definedName name="E_KEYWORD_EQTY_200004419_ESO_YEAR">#REF!</definedName>
    <definedName name="E_KEYWORD_EQTY_200004419_EV_ADJ_PUB">#REF!</definedName>
    <definedName name="E_KEYWORD_EQTY_200004419_FREE_FLOAT">#REF!</definedName>
    <definedName name="E_KEYWORD_EQTY_200004419_FULLY_DIL_EPS">#REF!</definedName>
    <definedName name="E_KEYWORD_EQTY_200004419_FV_GRANT">#REF!</definedName>
    <definedName name="E_KEYWORD_EQTY_200004419_INC_MINORITY">#REF!</definedName>
    <definedName name="E_KEYWORD_EQTY_200004419_Interim_Type">#REF!</definedName>
    <definedName name="E_KEYWORD_EQTY_200004419_LEGAL_RATING">#REF!</definedName>
    <definedName name="E_KEYWORD_EQTY_200004419_MARGIN_TAX_RATE">#REF!</definedName>
    <definedName name="E_KEYWORD_EQTY_200004419_MKT_EQ_RISK_PREM">#REF!</definedName>
    <definedName name="E_KEYWORD_EQTY_200004419_NET_DEBT_PUB">#REF!</definedName>
    <definedName name="E_KEYWORD_EQTY_200004419_NET_EARNING">#REF!</definedName>
    <definedName name="E_KEYWORD_EQTY_200004419_NET_INC">#REF!</definedName>
    <definedName name="E_KEYWORD_EQTY_200004419_NI_PRE_PREF">#REF!</definedName>
    <definedName name="E_KEYWORD_EQTY_200004419_NI_PUB">#REF!</definedName>
    <definedName name="E_KEYWORD_EQTY_200004419_NON_OP_ADD">#REF!</definedName>
    <definedName name="E_KEYWORD_EQTY_200004419_NUM_SH">#REF!</definedName>
    <definedName name="E_KEYWORD_EQTY_200004419_PREF_DIV">#REF!</definedName>
    <definedName name="E_KEYWORD_EQTY_200004419_PRICE_CURRENCY_ISO">#REF!</definedName>
    <definedName name="E_KEYWORD_EQTY_200004419_PROV_INC_TAX">#REF!</definedName>
    <definedName name="E_KEYWORD_EQTY_200004419_PTP_PUB">#REF!</definedName>
    <definedName name="E_KEYWORD_EQTY_200004419_PUB_CURRENCY_ISO">#REF!</definedName>
    <definedName name="E_KEYWORD_EQTY_200004419_REPUR_ACTUAL">#REF!</definedName>
    <definedName name="E_KEYWORD_EQTY_200004419_REPUR_REMAINING">#REF!</definedName>
    <definedName name="E_KEYWORD_EQTY_200004419_REPUR_SUSPENDED">#REF!</definedName>
    <definedName name="E_KEYWORD_EQTY_200004419_REPUR_TOT_AUTH">#REF!</definedName>
    <definedName name="E_KEYWORD_EQTY_200004419_REVS_PUB">#REF!</definedName>
    <definedName name="E_KEYWORD_EQTY_200004419_RISK_FR_RATE">#REF!</definedName>
    <definedName name="E_KEYWORD_EQTY_200004419_Security_Name">#REF!</definedName>
    <definedName name="E_KEYWORD_EQTY_200004419_SH">#REF!</definedName>
    <definedName name="E_KEYWORD_EQTY_200004419_TARGET_PRICE">#REF!</definedName>
    <definedName name="E_KEYWORD_EQTY_200004419_TAX_EXC">#REF!</definedName>
    <definedName name="E_KEYWORD_EQTY_200004419_Ticker">#REF!</definedName>
    <definedName name="E_KEYWORD_EQTY_200004419_TP_PERIOD">#REF!</definedName>
    <definedName name="E_KEYWORD_EQTY_200012762_AMER_CONVICTION">#REF!</definedName>
    <definedName name="E_KEYWORD_EQTY_200012762_AMER_LIST">#REF!</definedName>
    <definedName name="E_KEYWORD_EQTY_200012762_BETA_ANALYST">#REF!</definedName>
    <definedName name="E_KEYWORD_EQTY_200012762_BVPS">#REF!</definedName>
    <definedName name="E_KEYWORD_EQTY_200012762_BVPS_PUB">#REF!</definedName>
    <definedName name="E_KEYWORD_EQTY_200012762_CEEE_EPS">#REF!</definedName>
    <definedName name="E_KEYWORD_EQTY_200012762_CF_NI_PRE_PREF">#REF!</definedName>
    <definedName name="E_KEYWORD_EQTY_200012762_COMMON_DIV_PAID">#REF!</definedName>
    <definedName name="E_KEYWORD_EQTY_200012762_CURRENCY_ISO">#REF!</definedName>
    <definedName name="E_KEYWORD_EQTY_200012762_DILUTE_SHARES">#REF!</definedName>
    <definedName name="E_KEYWORD_EQTY_200012762_DPS">#REF!</definedName>
    <definedName name="E_KEYWORD_EQTY_200012762_DPS_PUB">#REF!</definedName>
    <definedName name="E_KEYWORD_EQTY_200012762_EBIT_PUB">#REF!</definedName>
    <definedName name="E_KEYWORD_EQTY_200012762_EBITDA_PUB">#REF!</definedName>
    <definedName name="E_KEYWORD_EQTY_200012762_EPS">#REF!</definedName>
    <definedName name="E_KEYWORD_EQTY_200012762_EPS_EX_ESO_B">#REF!</definedName>
    <definedName name="E_KEYWORD_EQTY_200012762_EPS_EX_ESO_D">#REF!</definedName>
    <definedName name="E_KEYWORD_EQTY_200012762_EPS_FUL_DIL">#REF!</definedName>
    <definedName name="E_KEYWORD_EQTY_200012762_EPS_POST_BASIC">#REF!</definedName>
    <definedName name="E_KEYWORD_EQTY_200012762_EPS_PUB">#REF!</definedName>
    <definedName name="E_KEYWORD_EQTY_200012762_EPS_PUB_EX_ESO">#REF!</definedName>
    <definedName name="E_KEYWORD_EQTY_200012762_EQ_PUB">#REF!</definedName>
    <definedName name="E_KEYWORD_EQTY_200012762_ESO_POST_TAX">#REF!</definedName>
    <definedName name="E_KEYWORD_EQTY_200012762_ESO_YEAR">#REF!</definedName>
    <definedName name="E_KEYWORD_EQTY_200012762_EV_ADJ_PUB">#REF!</definedName>
    <definedName name="E_KEYWORD_EQTY_200012762_FREE_FLOAT">#REF!</definedName>
    <definedName name="E_KEYWORD_EQTY_200012762_FULLY_DIL_EPS">#REF!</definedName>
    <definedName name="E_KEYWORD_EQTY_200012762_FV_GRANT">#REF!</definedName>
    <definedName name="E_KEYWORD_EQTY_200012762_INC_MINORITY">#REF!</definedName>
    <definedName name="E_KEYWORD_EQTY_200012762_Interim_Type">#REF!</definedName>
    <definedName name="E_KEYWORD_EQTY_200012762_LEGAL_RATING">#REF!</definedName>
    <definedName name="E_KEYWORD_EQTY_200012762_MARGIN_TAX_RATE">#REF!</definedName>
    <definedName name="E_KEYWORD_EQTY_200012762_MKT_EQ_RISK_PREM">#REF!</definedName>
    <definedName name="E_KEYWORD_EQTY_200012762_NET_DEBT_PUB">#REF!</definedName>
    <definedName name="E_KEYWORD_EQTY_200012762_NET_EARNING">#REF!</definedName>
    <definedName name="E_KEYWORD_EQTY_200012762_NET_INC">#REF!</definedName>
    <definedName name="E_KEYWORD_EQTY_200012762_NI_PRE_PREF">#REF!</definedName>
    <definedName name="E_KEYWORD_EQTY_200012762_NI_PUB">#REF!</definedName>
    <definedName name="E_KEYWORD_EQTY_200012762_NON_OP_ADD">#REF!</definedName>
    <definedName name="E_KEYWORD_EQTY_200012762_NUM_SH">#REF!</definedName>
    <definedName name="E_KEYWORD_EQTY_200012762_PREF_DIV">#REF!</definedName>
    <definedName name="E_KEYWORD_EQTY_200012762_PRICE_CURRENCY_ISO">#REF!</definedName>
    <definedName name="E_KEYWORD_EQTY_200012762_PROV_INC_TAX">#REF!</definedName>
    <definedName name="E_KEYWORD_EQTY_200012762_PTP_PUB">#REF!</definedName>
    <definedName name="E_KEYWORD_EQTY_200012762_PUB_CURRENCY_ISO">#REF!</definedName>
    <definedName name="E_KEYWORD_EQTY_200012762_REPUR_ACTUAL">#REF!</definedName>
    <definedName name="E_KEYWORD_EQTY_200012762_REPUR_REMAINING">#REF!</definedName>
    <definedName name="E_KEYWORD_EQTY_200012762_REPUR_SUSPENDED">#REF!</definedName>
    <definedName name="E_KEYWORD_EQTY_200012762_REPUR_TOT_AUTH">#REF!</definedName>
    <definedName name="E_KEYWORD_EQTY_200012762_REVS_PUB">#REF!</definedName>
    <definedName name="E_KEYWORD_EQTY_200012762_RISK_FR_RATE">#REF!</definedName>
    <definedName name="E_KEYWORD_EQTY_200012762_Security_Name">#REF!</definedName>
    <definedName name="E_KEYWORD_EQTY_200012762_SH">#REF!</definedName>
    <definedName name="E_KEYWORD_EQTY_200012762_TARGET_PRICE">#REF!</definedName>
    <definedName name="E_KEYWORD_EQTY_200012762_TAX_EXC">#REF!</definedName>
    <definedName name="E_KEYWORD_EQTY_200012762_Ticker">#REF!</definedName>
    <definedName name="E_KEYWORD_EQTY_200012762_TP_PERIOD">#REF!</definedName>
    <definedName name="E_KEYWORD_EQTY_200014750_AMER_CONVICTION">#REF!</definedName>
    <definedName name="E_KEYWORD_EQTY_200014750_AMER_LIST">#REF!</definedName>
    <definedName name="E_KEYWORD_EQTY_200014750_BETA_ANALYST">#REF!</definedName>
    <definedName name="E_KEYWORD_EQTY_200014750_BVPS">#REF!</definedName>
    <definedName name="E_KEYWORD_EQTY_200014750_BVPS_PUB">#REF!</definedName>
    <definedName name="E_KEYWORD_EQTY_200014750_CEEE_EPS">#REF!</definedName>
    <definedName name="E_KEYWORD_EQTY_200014750_CF_NI_PRE_PREF">#REF!</definedName>
    <definedName name="E_KEYWORD_EQTY_200014750_COMMON_DIV_PAID">#REF!</definedName>
    <definedName name="E_KEYWORD_EQTY_200014750_CURRENCY_ISO">#REF!</definedName>
    <definedName name="E_KEYWORD_EQTY_200014750_DILUTE_SHARES">#REF!</definedName>
    <definedName name="E_KEYWORD_EQTY_200014750_DPS">#REF!</definedName>
    <definedName name="E_KEYWORD_EQTY_200014750_DPS_PUB">#REF!</definedName>
    <definedName name="E_KEYWORD_EQTY_200014750_EBIT_PUB">#REF!</definedName>
    <definedName name="E_KEYWORD_EQTY_200014750_EBITDA_PUB">#REF!</definedName>
    <definedName name="E_KEYWORD_EQTY_200014750_EPS">#REF!</definedName>
    <definedName name="E_KEYWORD_EQTY_200014750_EPS_CONS_PUB">#REF!</definedName>
    <definedName name="E_KEYWORD_EQTY_200014750_EPS_EX_ESO_B">#REF!</definedName>
    <definedName name="E_KEYWORD_EQTY_200014750_EPS_EX_ESO_D">#REF!</definedName>
    <definedName name="E_KEYWORD_EQTY_200014750_EPS_FUL_DIL">#REF!</definedName>
    <definedName name="E_KEYWORD_EQTY_200014750_EPS_POST_BASIC">#REF!</definedName>
    <definedName name="E_KEYWORD_EQTY_200014750_EPS_PUB">#REF!</definedName>
    <definedName name="E_KEYWORD_EQTY_200014750_EPS_PUB_EX_ESO">#REF!</definedName>
    <definedName name="E_KEYWORD_EQTY_200014750_EQ_PUB">#REF!</definedName>
    <definedName name="E_KEYWORD_EQTY_200014750_ESO_POST_TAX">#REF!</definedName>
    <definedName name="E_KEYWORD_EQTY_200014750_ESO_YEAR">#REF!</definedName>
    <definedName name="E_KEYWORD_EQTY_200014750_EV_ADJ_PUB">#REF!</definedName>
    <definedName name="E_KEYWORD_EQTY_200014750_FOREIGN_HOLDNG">#REF!</definedName>
    <definedName name="E_KEYWORD_EQTY_200014750_FREE_FLOAT">#REF!</definedName>
    <definedName name="E_KEYWORD_EQTY_200014750_FULLY_DIL_EPS">#REF!</definedName>
    <definedName name="E_KEYWORD_EQTY_200014750_FV_GRANT">#REF!</definedName>
    <definedName name="E_KEYWORD_EQTY_200014750_INC_MINORITY">#REF!</definedName>
    <definedName name="E_KEYWORD_EQTY_200014750_Interim_Type">#REF!</definedName>
    <definedName name="E_KEYWORD_EQTY_200014750_LEGAL_RATING">#REF!</definedName>
    <definedName name="E_KEYWORD_EQTY_200014750_MARGIN_TAX_RATE">#REF!</definedName>
    <definedName name="E_KEYWORD_EQTY_200014750_MKT_EQ_RISK_PREM">#REF!</definedName>
    <definedName name="E_KEYWORD_EQTY_200014750_NET_DEBT_PUB">#REF!</definedName>
    <definedName name="E_KEYWORD_EQTY_200014750_NET_EARNING">#REF!</definedName>
    <definedName name="E_KEYWORD_EQTY_200014750_NET_INC">#REF!</definedName>
    <definedName name="E_KEYWORD_EQTY_200014750_NI_CONS">#REF!</definedName>
    <definedName name="E_KEYWORD_EQTY_200014750_NI_PRE_PREF">#REF!</definedName>
    <definedName name="E_KEYWORD_EQTY_200014750_NI_PUB">#REF!</definedName>
    <definedName name="E_KEYWORD_EQTY_200014750_NON_OP_ADD">#REF!</definedName>
    <definedName name="E_KEYWORD_EQTY_200014750_NUM_SH">#REF!</definedName>
    <definedName name="E_KEYWORD_EQTY_200014750_PREF_DIV">#REF!</definedName>
    <definedName name="E_KEYWORD_EQTY_200014750_PRI_TARG_METH">#REF!</definedName>
    <definedName name="E_KEYWORD_EQTY_200014750_PRI_TARG_MULT">#REF!</definedName>
    <definedName name="E_KEYWORD_EQTY_200014750_PRICE_CURRENCY_ISO">#REF!</definedName>
    <definedName name="E_KEYWORD_EQTY_200014750_PROV_INC_TAX">#REF!</definedName>
    <definedName name="E_KEYWORD_EQTY_200014750_PTP_PUB">#REF!</definedName>
    <definedName name="E_KEYWORD_EQTY_200014750_PUB_CURRENCY_ISO">#REF!</definedName>
    <definedName name="E_KEYWORD_EQTY_200014750_REPUR_ACTUAL">#REF!</definedName>
    <definedName name="E_KEYWORD_EQTY_200014750_REPUR_REMAINING">#REF!</definedName>
    <definedName name="E_KEYWORD_EQTY_200014750_REPUR_SUSPENDED">#REF!</definedName>
    <definedName name="E_KEYWORD_EQTY_200014750_REPUR_TOT_AUTH">#REF!</definedName>
    <definedName name="E_KEYWORD_EQTY_200014750_REVS_PUB">#REF!</definedName>
    <definedName name="E_KEYWORD_EQTY_200014750_RISK_FR_RATE">#REF!</definedName>
    <definedName name="E_KEYWORD_EQTY_200014750_Security_Name">#REF!</definedName>
    <definedName name="E_KEYWORD_EQTY_200014750_SH">#REF!</definedName>
    <definedName name="E_KEYWORD_EQTY_200014750_TARGET_PRICE">#REF!</definedName>
    <definedName name="E_KEYWORD_EQTY_200014750_TAX_EXC">#REF!</definedName>
    <definedName name="E_KEYWORD_EQTY_200014750_Ticker">#REF!</definedName>
    <definedName name="E_KEYWORD_EQTY_200014750_TP_PERIOD">#REF!</definedName>
    <definedName name="E_KEYWORD_ISSR_208000603_ACC_AMORT">#REF!</definedName>
    <definedName name="E_KEYWORD_ISSR_208000603_ACC_DDA">#REF!</definedName>
    <definedName name="E_KEYWORD_ISSR_208000603_ACC_END_DATE">#REF!</definedName>
    <definedName name="E_KEYWORD_ISSR_208000603_ACC_GW_AM">#REF!</definedName>
    <definedName name="E_KEYWORD_ISSR_208000603_ACC_PAY_GQ">#REF!</definedName>
    <definedName name="E_KEYWORD_ISSR_208000603_ACCUM_AMORT">#REF!</definedName>
    <definedName name="E_KEYWORD_ISSR_208000603_ACQ">#REF!</definedName>
    <definedName name="E_KEYWORD_ISSR_208000603_ADJ_UNF_PENS_GOOD">#REF!</definedName>
    <definedName name="E_KEYWORD_ISSR_208000603_ASSOC_JV_ADDBK">#REF!</definedName>
    <definedName name="E_KEYWORD_ISSR_208000603_ASSOCIATE">#REF!</definedName>
    <definedName name="E_KEYWORD_ISSR_208000603_ASSOCIATE_OP">#REF!</definedName>
    <definedName name="E_KEYWORD_ISSR_208000603_BAL_MINO_INT">#REF!</definedName>
    <definedName name="E_KEYWORD_ISSR_208000603_CAP_LEASES">#REF!</definedName>
    <definedName name="E_KEYWORD_ISSR_208000603_CAPEX">#REF!</definedName>
    <definedName name="E_KEYWORD_ISSR_208000603_CAPEX_EXPANSION">#REF!</definedName>
    <definedName name="E_KEYWORD_ISSR_208000603_CAPEX_MAINTENANCE">#REF!</definedName>
    <definedName name="E_KEYWORD_ISSR_208000603_CASH_EQ">#REF!</definedName>
    <definedName name="E_KEYWORD_ISSR_208000603_CASH_INT_EXP">#REF!</definedName>
    <definedName name="E_KEYWORD_ISSR_208000603_CASH_TAX_EXP">#REF!</definedName>
    <definedName name="E_KEYWORD_ISSR_208000603_CF_FIN">#REF!</definedName>
    <definedName name="E_KEYWORD_ISSR_208000603_CF_INC_MINORITY">#REF!</definedName>
    <definedName name="E_KEYWORD_ISSR_208000603_CF_INV">#REF!</definedName>
    <definedName name="E_KEYWORD_ISSR_208000603_CF_OPS">#REF!</definedName>
    <definedName name="E_KEYWORD_ISSR_208000603_CHG_LT_DEBT">#REF!</definedName>
    <definedName name="E_KEYWORD_ISSR_208000603_CO_BOR_MARGIN">#REF!</definedName>
    <definedName name="E_KEYWORD_ISSR_208000603_COST_GD_SD">#REF!</definedName>
    <definedName name="E_KEYWORD_ISSR_208000603_CUR_ASS">#REF!</definedName>
    <definedName name="E_KEYWORD_ISSR_208000603_CURRENCY_ISO">#REF!</definedName>
    <definedName name="E_KEYWORD_ISSR_208000603_DEBTORS">#REF!</definedName>
    <definedName name="E_KEYWORD_ISSR_208000603_DEF_INC_TAX">#REF!</definedName>
    <definedName name="E_KEYWORD_ISSR_208000603_DEPR_AMORT">#REF!</definedName>
    <definedName name="E_KEYWORD_ISSR_208000603_DEPREC">#REF!</definedName>
    <definedName name="E_KEYWORD_ISSR_208000603_DIV_PAID">#REF!</definedName>
    <definedName name="E_KEYWORD_ISSR_208000603_DIVDS_ASSOC_JV">#REF!</definedName>
    <definedName name="E_KEYWORD_ISSR_208000603_DIVDS_PD_MINORITIES">#REF!</definedName>
    <definedName name="E_KEYWORD_ISSR_208000603_DIVEST">#REF!</definedName>
    <definedName name="E_KEYWORD_ISSR_208000603_EBIT">#REF!</definedName>
    <definedName name="E_KEYWORD_ISSR_208000603_EBIT_FIN_SEGMENT">#REF!</definedName>
    <definedName name="E_KEYWORD_ISSR_208000603_EBITDA_CALC">#REF!</definedName>
    <definedName name="E_KEYWORD_ISSR_208000603_EMPLOYEES">#REF!</definedName>
    <definedName name="E_KEYWORD_ISSR_208000603_EQ">#REF!</definedName>
    <definedName name="E_KEYWORD_ISSR_208000603_ESO_PRE_TAX">#REF!</definedName>
    <definedName name="E_KEYWORD_ISSR_208000603_FIX_ASS_INV">#REF!</definedName>
    <definedName name="E_KEYWORD_ISSR_208000603_GCI_INFL">#REF!</definedName>
    <definedName name="E_KEYWORD_ISSR_208000603_GOODWILL_AMORT">#REF!</definedName>
    <definedName name="E_KEYWORD_ISSR_208000603_GR_FIX_ASS">#REF!</definedName>
    <definedName name="E_KEYWORD_ISSR_208000603_GR_INTANG">#REF!</definedName>
    <definedName name="E_KEYWORD_ISSR_208000603_GROSS_GW">#REF!</definedName>
    <definedName name="E_KEYWORD_ISSR_208000603_GROSS_OTH_INTANG">#REF!</definedName>
    <definedName name="E_KEYWORD_ISSR_208000603_GT_BLEND_ARPU_PC">#REF!</definedName>
    <definedName name="E_KEYWORD_ISSR_208000603_GT_BLEND_MOU">#REF!</definedName>
    <definedName name="E_KEYWORD_ISSR_208000603_GT_CAPEX_MOU">#REF!</definedName>
    <definedName name="E_KEYWORD_ISSR_208000603_GT_DSL_SUB">#REF!</definedName>
    <definedName name="E_KEYWORD_ISSR_208000603_GT_FIX_DATA_REV">#REF!</definedName>
    <definedName name="E_KEYWORD_ISSR_208000603_GT_FIX_VOICE_REV">#REF!</definedName>
    <definedName name="E_KEYWORD_ISSR_208000603_GT_LD_SUB">#REF!</definedName>
    <definedName name="E_KEYWORD_ISSR_208000603_GT_MOB_DATA_REV">#REF!</definedName>
    <definedName name="E_KEYWORD_ISSR_208000603_GT_MOB_VOICE_REV">#REF!</definedName>
    <definedName name="E_KEYWORD_ISSR_208000603_GT_OTH_CAPEX">#REF!</definedName>
    <definedName name="E_KEYWORD_ISSR_208000603_GT_OTH_REV">#REF!</definedName>
    <definedName name="E_KEYWORD_ISSR_208000603_GT_OTHER_REV">#REF!</definedName>
    <definedName name="E_KEYWORD_ISSR_208000603_GT_PAY_TV_REV">#REF!</definedName>
    <definedName name="E_KEYWORD_ISSR_208000603_GT_SERVC_REV">#REF!</definedName>
    <definedName name="E_KEYWORD_ISSR_208000603_GT_TOT_ACC_LINE">#REF!</definedName>
    <definedName name="E_KEYWORD_ISSR_208000603_GT_TOT_BUS_LINE">#REF!</definedName>
    <definedName name="E_KEYWORD_ISSR_208000603_GT_TOT_MINS">#REF!</definedName>
    <definedName name="E_KEYWORD_ISSR_208000603_GT_TOT_PPD_SUB_PC">#REF!</definedName>
    <definedName name="E_KEYWORD_ISSR_208000603_GT_TOT_RES_LINE">#REF!</definedName>
    <definedName name="E_KEYWORD_ISSR_208000603_GT_TOT_RET_LINE">#REF!</definedName>
    <definedName name="E_KEYWORD_ISSR_208000603_GT_WRLN_CAPEX">#REF!</definedName>
    <definedName name="E_KEYWORD_ISSR_208000603_GT_WRLN_REV">#REF!</definedName>
    <definedName name="E_KEYWORD_ISSR_208000603_GT_WRLS_ARPU">#REF!</definedName>
    <definedName name="E_KEYWORD_ISSR_208000603_GT_WRLS_CAPEX">#REF!</definedName>
    <definedName name="E_KEYWORD_ISSR_208000603_GT_WRLS_CHURN">#REF!</definedName>
    <definedName name="E_KEYWORD_ISSR_208000603_GT_WRLS_REV">#REF!</definedName>
    <definedName name="E_KEYWORD_ISSR_208000603_GT_WRLS_SUB">#REF!</definedName>
    <definedName name="E_KEYWORD_ISSR_208000603_INT_EXP_IND">#REF!</definedName>
    <definedName name="E_KEYWORD_ISSR_208000603_INT_INC_IND">#REF!</definedName>
    <definedName name="E_KEYWORD_ISSR_208000603_INT_PAID_CF">#REF!</definedName>
    <definedName name="E_KEYWORD_ISSR_208000603_INTANG_CAPEX">#REF!</definedName>
    <definedName name="E_KEYWORD_ISSR_208000603_INV_SECUR">#REF!</definedName>
    <definedName name="E_KEYWORD_ISSR_208000603_Issuer_Name">#REF!</definedName>
    <definedName name="E_KEYWORD_ISSR_208000603_LEASE_DEEM_DEPR">#REF!</definedName>
    <definedName name="E_KEYWORD_ISSR_208000603_LEASE_DEEM_INT">#REF!</definedName>
    <definedName name="E_KEYWORD_ISSR_208000603_LEASE_PAY">#REF!</definedName>
    <definedName name="E_KEYWORD_ISSR_208000603_LT_DEBT">#REF!</definedName>
    <definedName name="E_KEYWORD_ISSR_208000603_MA_PROB">#REF!</definedName>
    <definedName name="E_KEYWORD_ISSR_208000603_MINORITIES">#REF!</definedName>
    <definedName name="E_KEYWORD_ISSR_208000603_MV_ASSOCIATES">#REF!</definedName>
    <definedName name="E_KEYWORD_ISSR_208000603_NET_DEBT">#REF!</definedName>
    <definedName name="E_KEYWORD_ISSR_208000603_NET_DEBT_ADJ">#REF!</definedName>
    <definedName name="E_KEYWORD_ISSR_208000603_NET_FIX_ASS">#REF!</definedName>
    <definedName name="E_KEYWORD_ISSR_208000603_NET_GW">#REF!</definedName>
    <definedName name="E_KEYWORD_ISSR_208000603_NET_INT_CH">#REF!</definedName>
    <definedName name="E_KEYWORD_ISSR_208000603_NET_INT_EXP">#REF!</definedName>
    <definedName name="E_KEYWORD_ISSR_208000603_NET_INTANG">#REF!</definedName>
    <definedName name="E_KEYWORD_ISSR_208000603_NET_OTH_INTANG">#REF!</definedName>
    <definedName name="E_KEYWORD_ISSR_208000603_NONPPE_CAPEX">#REF!</definedName>
    <definedName name="E_KEYWORD_ISSR_208000603_OP_AUSTRA">#REF!</definedName>
    <definedName name="E_KEYWORD_ISSR_208000603_OP_AUSTRIA">#REF!</definedName>
    <definedName name="E_KEYWORD_ISSR_208000603_OP_BEL">#REF!</definedName>
    <definedName name="E_KEYWORD_ISSR_208000603_OP_BRAZIL">#REF!</definedName>
    <definedName name="E_KEYWORD_ISSR_208000603_OP_CANADA">#REF!</definedName>
    <definedName name="E_KEYWORD_ISSR_208000603_OP_CEE">#REF!</definedName>
    <definedName name="E_KEYWORD_ISSR_208000603_OP_CHINA">#REF!</definedName>
    <definedName name="E_KEYWORD_ISSR_208000603_OP_CONS">#REF!</definedName>
    <definedName name="E_KEYWORD_ISSR_208000603_OP_COST">#REF!</definedName>
    <definedName name="E_KEYWORD_ISSR_208000603_OP_DEN">#REF!</definedName>
    <definedName name="E_KEYWORD_ISSR_208000603_OP_EU_EX_UK">#REF!</definedName>
    <definedName name="E_KEYWORD_ISSR_208000603_OP_FIN">#REF!</definedName>
    <definedName name="E_KEYWORD_ISSR_208000603_OP_FRA">#REF!</definedName>
    <definedName name="E_KEYWORD_ISSR_208000603_OP_GER">#REF!</definedName>
    <definedName name="E_KEYWORD_ISSR_208000603_OP_GOV">#REF!</definedName>
    <definedName name="E_KEYWORD_ISSR_208000603_OP_GRE">#REF!</definedName>
    <definedName name="E_KEYWORD_ISSR_208000603_OP_ICE">#REF!</definedName>
    <definedName name="E_KEYWORD_ISSR_208000603_OP_IND">#REF!</definedName>
    <definedName name="E_KEYWORD_ISSR_208000603_OP_INDIA">#REF!</definedName>
    <definedName name="E_KEYWORD_ISSR_208000603_OP_IRE">#REF!</definedName>
    <definedName name="E_KEYWORD_ISSR_208000603_OP_ITA">#REF!</definedName>
    <definedName name="E_KEYWORD_ISSR_208000603_OP_JAPAN">#REF!</definedName>
    <definedName name="E_KEYWORD_ISSR_208000603_OP_ME">#REF!</definedName>
    <definedName name="E_KEYWORD_ISSR_208000603_OP_NETH">#REF!</definedName>
    <definedName name="E_KEYWORD_ISSR_208000603_OP_NOR">#REF!</definedName>
    <definedName name="E_KEYWORD_ISSR_208000603_OP_NZ">#REF!</definedName>
    <definedName name="E_KEYWORD_ISSR_208000603_OP_OTH_AEJ">#REF!</definedName>
    <definedName name="E_KEYWORD_ISSR_208000603_OP_OTH_AM">#REF!</definedName>
    <definedName name="E_KEYWORD_ISSR_208000603_OP_OTH_EMEA">#REF!</definedName>
    <definedName name="E_KEYWORD_ISSR_208000603_OP_OTHER">#REF!</definedName>
    <definedName name="E_KEYWORD_ISSR_208000603_OP_POR">#REF!</definedName>
    <definedName name="E_KEYWORD_ISSR_208000603_OP_RUSSIA">#REF!</definedName>
    <definedName name="E_KEYWORD_ISSR_208000603_OP_SK">#REF!</definedName>
    <definedName name="E_KEYWORD_ISSR_208000603_OP_SPA">#REF!</definedName>
    <definedName name="E_KEYWORD_ISSR_208000603_OP_SWE">#REF!</definedName>
    <definedName name="E_KEYWORD_ISSR_208000603_OP_SWIT">#REF!</definedName>
    <definedName name="E_KEYWORD_ISSR_208000603_OP_TOT_AM">#REF!</definedName>
    <definedName name="E_KEYWORD_ISSR_208000603_OP_TOT_ASIA">#REF!</definedName>
    <definedName name="E_KEYWORD_ISSR_208000603_OP_TOT_EMEA">#REF!</definedName>
    <definedName name="E_KEYWORD_ISSR_208000603_OP_UK">#REF!</definedName>
    <definedName name="E_KEYWORD_ISSR_208000603_OP_US">#REF!</definedName>
    <definedName name="E_KEYWORD_ISSR_208000603_ORD_SH_FUND">#REF!</definedName>
    <definedName name="E_KEYWORD_ISSR_208000603_OTH_COST_INC">#REF!</definedName>
    <definedName name="E_KEYWORD_ISSR_208000603_OTH_CUR_ASS">#REF!</definedName>
    <definedName name="E_KEYWORD_ISSR_208000603_OTH_CUR_LIABS">#REF!</definedName>
    <definedName name="E_KEYWORD_ISSR_208000603_OTH_DACF_ADJ">#REF!</definedName>
    <definedName name="E_KEYWORD_ISSR_208000603_OTH_FIN_CF">#REF!</definedName>
    <definedName name="E_KEYWORD_ISSR_208000603_OTH_GCI_ADJ">#REF!</definedName>
    <definedName name="E_KEYWORD_ISSR_208000603_OTH_INV_CF">#REF!</definedName>
    <definedName name="E_KEYWORD_ISSR_208000603_OTH_LT_ASS">#REF!</definedName>
    <definedName name="E_KEYWORD_ISSR_208000603_OTH_LT_CRED_GQ">#REF!</definedName>
    <definedName name="E_KEYWORD_ISSR_208000603_OTH_NONCASH_ADJ">#REF!</definedName>
    <definedName name="E_KEYWORD_ISSR_208000603_OTH_OP_CF">#REF!</definedName>
    <definedName name="E_KEYWORD_ISSR_208000603_OTH_OP_INC_EXP">#REF!</definedName>
    <definedName name="E_KEYWORD_ISSR_208000603_PERIOD_MILESTONE">#REF!</definedName>
    <definedName name="E_KEYWORD_ISSR_208000603_PL_SALE_ASSETS">#REF!</definedName>
    <definedName name="E_KEYWORD_ISSR_208000603_PPNT_FCF">#REF!</definedName>
    <definedName name="E_KEYWORD_ISSR_208000603_PREF_SH">#REF!</definedName>
    <definedName name="E_KEYWORD_ISSR_208000603_PROFIT_ON_DISP">#REF!</definedName>
    <definedName name="E_KEYWORD_ISSR_208000603_PT_PROF">#REF!</definedName>
    <definedName name="E_KEYWORD_ISSR_208000603_RD_EXP">#REF!</definedName>
    <definedName name="E_KEYWORD_ISSR_208000603_REV_FIN_SEGMENT">#REF!</definedName>
    <definedName name="E_KEYWORD_ISSR_208000603_SALES">#REF!</definedName>
    <definedName name="E_KEYWORD_ISSR_208000603_SALES_AUSTRA">#REF!</definedName>
    <definedName name="E_KEYWORD_ISSR_208000603_SALES_AUSTRIA">#REF!</definedName>
    <definedName name="E_KEYWORD_ISSR_208000603_SALES_BEL">#REF!</definedName>
    <definedName name="E_KEYWORD_ISSR_208000603_SALES_BRAZIL">#REF!</definedName>
    <definedName name="E_KEYWORD_ISSR_208000603_SALES_CANADA">#REF!</definedName>
    <definedName name="E_KEYWORD_ISSR_208000603_SALES_CEE">#REF!</definedName>
    <definedName name="E_KEYWORD_ISSR_208000603_SALES_CHINA">#REF!</definedName>
    <definedName name="E_KEYWORD_ISSR_208000603_SALES_CONS">#REF!</definedName>
    <definedName name="E_KEYWORD_ISSR_208000603_SALES_DEN">#REF!</definedName>
    <definedName name="E_KEYWORD_ISSR_208000603_SALES_EU_EX_UK">#REF!</definedName>
    <definedName name="E_KEYWORD_ISSR_208000603_SALES_FIN">#REF!</definedName>
    <definedName name="E_KEYWORD_ISSR_208000603_SALES_FINAN">#REF!</definedName>
    <definedName name="E_KEYWORD_ISSR_208000603_SALES_FRA">#REF!</definedName>
    <definedName name="E_KEYWORD_ISSR_208000603_SALES_GER">#REF!</definedName>
    <definedName name="E_KEYWORD_ISSR_208000603_SALES_GOV">#REF!</definedName>
    <definedName name="E_KEYWORD_ISSR_208000603_SALES_GRE">#REF!</definedName>
    <definedName name="E_KEYWORD_ISSR_208000603_SALES_ICE">#REF!</definedName>
    <definedName name="E_KEYWORD_ISSR_208000603_SALES_IND">#REF!</definedName>
    <definedName name="E_KEYWORD_ISSR_208000603_SALES_INDIA">#REF!</definedName>
    <definedName name="E_KEYWORD_ISSR_208000603_SALES_IRE">#REF!</definedName>
    <definedName name="E_KEYWORD_ISSR_208000603_SALES_ITA">#REF!</definedName>
    <definedName name="E_KEYWORD_ISSR_208000603_SALES_JAPAN">#REF!</definedName>
    <definedName name="E_KEYWORD_ISSR_208000603_SALES_ME">#REF!</definedName>
    <definedName name="E_KEYWORD_ISSR_208000603_SALES_NETH">#REF!</definedName>
    <definedName name="E_KEYWORD_ISSR_208000603_SALES_NOR">#REF!</definedName>
    <definedName name="E_KEYWORD_ISSR_208000603_SALES_NZ">#REF!</definedName>
    <definedName name="E_KEYWORD_ISSR_208000603_SALES_OTH_AEJ">#REF!</definedName>
    <definedName name="E_KEYWORD_ISSR_208000603_SALES_OTH_AM">#REF!</definedName>
    <definedName name="E_KEYWORD_ISSR_208000603_SALES_OTH_EMEA">#REF!</definedName>
    <definedName name="E_KEYWORD_ISSR_208000603_SALES_OTHER">#REF!</definedName>
    <definedName name="E_KEYWORD_ISSR_208000603_SALES_POR">#REF!</definedName>
    <definedName name="E_KEYWORD_ISSR_208000603_SALES_RUSSIA">#REF!</definedName>
    <definedName name="E_KEYWORD_ISSR_208000603_SALES_SK">#REF!</definedName>
    <definedName name="E_KEYWORD_ISSR_208000603_SALES_SMB">#REF!</definedName>
    <definedName name="E_KEYWORD_ISSR_208000603_SALES_SPA">#REF!</definedName>
    <definedName name="E_KEYWORD_ISSR_208000603_SALES_SWE">#REF!</definedName>
    <definedName name="E_KEYWORD_ISSR_208000603_SALES_SWIT">#REF!</definedName>
    <definedName name="E_KEYWORD_ISSR_208000603_SALES_TOT_AM">#REF!</definedName>
    <definedName name="E_KEYWORD_ISSR_208000603_SALES_TOT_ASIA">#REF!</definedName>
    <definedName name="E_KEYWORD_ISSR_208000603_SALES_TOT_EMEA">#REF!</definedName>
    <definedName name="E_KEYWORD_ISSR_208000603_SALES_UK">#REF!</definedName>
    <definedName name="E_KEYWORD_ISSR_208000603_SALES_US">#REF!</definedName>
    <definedName name="E_KEYWORD_ISSR_208000603_SEL_GL_AD">#REF!</definedName>
    <definedName name="E_KEYWORD_ISSR_208000603_SH_REPUR">#REF!</definedName>
    <definedName name="E_KEYWORD_ISSR_208000603_SHORT_T_DEBT">#REF!</definedName>
    <definedName name="E_KEYWORD_ISSR_208000603_SHORT_TERM_LIABS">#REF!</definedName>
    <definedName name="E_KEYWORD_ISSR_208000603_STOCKS">#REF!</definedName>
    <definedName name="E_KEYWORD_ISSR_208000603_TANG_CAPEX">#REF!</definedName>
    <definedName name="E_KEYWORD_ISSR_208000603_TAX_PAID_CF">#REF!</definedName>
    <definedName name="E_KEYWORD_ISSR_208000603_TOT_ASSET">#REF!</definedName>
    <definedName name="E_KEYWORD_ISSR_208000603_TOT_CF">#REF!</definedName>
    <definedName name="E_KEYWORD_ISSR_208000603_TOT_LIAB">#REF!</definedName>
    <definedName name="E_KEYWORD_ISSR_208000603_TOT_LIAB_EQ">#REF!</definedName>
    <definedName name="E_KEYWORD_ISSR_208000603_TOT_LT_LIAB">#REF!</definedName>
    <definedName name="E_KEYWORD_ISSR_208000603_TOT_OPS_EXP">#REF!</definedName>
    <definedName name="E_KEYWORD_ISSR_208000603_TOT_OPS_EXP_DDA">#REF!</definedName>
    <definedName name="E_KEYWORD_ISSR_208000603_UNF_PENS">#REF!</definedName>
    <definedName name="E_KEYWORD_ISSR_208000603_UNF_PENS_LIAB_OTH">#REF!</definedName>
    <definedName name="E_KEYWORD_ISSR_208000603_UNF_PENS_OFF">#REF!</definedName>
    <definedName name="E_KEYWORD_ISSR_208000603_WORK_CAP">#REF!</definedName>
    <definedName name="E_KEYWORD_ISSR_208000976_ACC_AMORT">#REF!</definedName>
    <definedName name="E_KEYWORD_ISSR_208000976_ACC_DDA">#REF!</definedName>
    <definedName name="E_KEYWORD_ISSR_208000976_ACC_END_DATE">#REF!</definedName>
    <definedName name="E_KEYWORD_ISSR_208000976_ACC_PAY_GQ">#REF!</definedName>
    <definedName name="E_KEYWORD_ISSR_208000976_ACQ">#REF!</definedName>
    <definedName name="E_KEYWORD_ISSR_208000976_ADJ_UNF_PENS_GOOD">#REF!</definedName>
    <definedName name="E_KEYWORD_ISSR_208000976_ASSOC_JV_ADDBK">#REF!</definedName>
    <definedName name="E_KEYWORD_ISSR_208000976_ASSOCIATE">#REF!</definedName>
    <definedName name="E_KEYWORD_ISSR_208000976_ASSOCIATE_OP">#REF!</definedName>
    <definedName name="E_KEYWORD_ISSR_208000976_BAL_MINO_INT">#REF!</definedName>
    <definedName name="E_KEYWORD_ISSR_208000976_CAP_LEASES">#REF!</definedName>
    <definedName name="E_KEYWORD_ISSR_208000976_CAPEX">#REF!</definedName>
    <definedName name="E_KEYWORD_ISSR_208000976_CAPEX_EXPANSION">#REF!</definedName>
    <definedName name="E_KEYWORD_ISSR_208000976_CAPEX_MAINTENANCE">#REF!</definedName>
    <definedName name="E_KEYWORD_ISSR_208000976_CASH_EQ">#REF!</definedName>
    <definedName name="E_KEYWORD_ISSR_208000976_CASH_INT_EXP">#REF!</definedName>
    <definedName name="E_KEYWORD_ISSR_208000976_CASH_PCT_OS_US">#REF!</definedName>
    <definedName name="E_KEYWORD_ISSR_208000976_CASH_TAX_EXP">#REF!</definedName>
    <definedName name="E_KEYWORD_ISSR_208000976_CF_FIN">#REF!</definedName>
    <definedName name="E_KEYWORD_ISSR_208000976_CF_INC_MINORITY">#REF!</definedName>
    <definedName name="E_KEYWORD_ISSR_208000976_CF_INV">#REF!</definedName>
    <definedName name="E_KEYWORD_ISSR_208000976_CF_OPS">#REF!</definedName>
    <definedName name="E_KEYWORD_ISSR_208000976_CHG_LT_DEBT">#REF!</definedName>
    <definedName name="E_KEYWORD_ISSR_208000976_CO_BOR_MARGIN">#REF!</definedName>
    <definedName name="E_KEYWORD_ISSR_208000976_COST_GD_SD">#REF!</definedName>
    <definedName name="E_KEYWORD_ISSR_208000976_CUR_ASS">#REF!</definedName>
    <definedName name="E_KEYWORD_ISSR_208000976_CURRENCY_ISO">#REF!</definedName>
    <definedName name="E_KEYWORD_ISSR_208000976_DEBTORS">#REF!</definedName>
    <definedName name="E_KEYWORD_ISSR_208000976_DEF_INC_TAX">#REF!</definedName>
    <definedName name="E_KEYWORD_ISSR_208000976_DEPR_AMORT">#REF!</definedName>
    <definedName name="E_KEYWORD_ISSR_208000976_DEPREC">#REF!</definedName>
    <definedName name="E_KEYWORD_ISSR_208000976_DIV_PAID">#REF!</definedName>
    <definedName name="E_KEYWORD_ISSR_208000976_DIVDS_ASSOC_JV">#REF!</definedName>
    <definedName name="E_KEYWORD_ISSR_208000976_DIVDS_PD_MINORITIES">#REF!</definedName>
    <definedName name="E_KEYWORD_ISSR_208000976_DIVEST">#REF!</definedName>
    <definedName name="E_KEYWORD_ISSR_208000976_EBIT">#REF!</definedName>
    <definedName name="E_KEYWORD_ISSR_208000976_EBIT_FIN_SEGMENT">#REF!</definedName>
    <definedName name="E_KEYWORD_ISSR_208000976_EBITDA_CALC">#REF!</definedName>
    <definedName name="E_KEYWORD_ISSR_208000976_EMPLOYEES">#REF!</definedName>
    <definedName name="E_KEYWORD_ISSR_208000976_EQ">#REF!</definedName>
    <definedName name="E_KEYWORD_ISSR_208000976_ESO_PRE_TAX">#REF!</definedName>
    <definedName name="E_KEYWORD_ISSR_208000976_EXP_ALUMINIUM">#REF!</definedName>
    <definedName name="E_KEYWORD_ISSR_208000976_EXP_COPPER">#REF!</definedName>
    <definedName name="E_KEYWORD_ISSR_208000976_EXP_GLASS">#REF!</definedName>
    <definedName name="E_KEYWORD_ISSR_208000976_EXP_GOLD">#REF!</definedName>
    <definedName name="E_KEYWORD_ISSR_208000976_EXP_NICKEL">#REF!</definedName>
    <definedName name="E_KEYWORD_ISSR_208000976_EXP_OIL_DERIV_NGLS_PLASTICS">#REF!</definedName>
    <definedName name="E_KEYWORD_ISSR_208000976_EXP_OIL_PETRO_FUEL">#REF!</definedName>
    <definedName name="E_KEYWORD_ISSR_208000976_EXP_OTH_COMMODITY">#REF!</definedName>
    <definedName name="E_KEYWORD_ISSR_208000976_EXP_OTH_COST">#REF!</definedName>
    <definedName name="E_KEYWORD_ISSR_208000976_EXP_PALLADIUM">#REF!</definedName>
    <definedName name="E_KEYWORD_ISSR_208000976_EXP_PAPER_PULP">#REF!</definedName>
    <definedName name="E_KEYWORD_ISSR_208000976_EXP_PLATINUM">#REF!</definedName>
    <definedName name="E_KEYWORD_ISSR_208000976_EXP_SILVER">#REF!</definedName>
    <definedName name="E_KEYWORD_ISSR_208000976_EXP_WATER">#REF!</definedName>
    <definedName name="E_KEYWORD_ISSR_208000976_EXP_ZINC">#REF!</definedName>
    <definedName name="E_KEYWORD_ISSR_208000976_FIX_ASS_INV">#REF!</definedName>
    <definedName name="E_KEYWORD_ISSR_208000976_GCI_INFL">#REF!</definedName>
    <definedName name="E_KEYWORD_ISSR_208000976_GOODWILL_AMORT">#REF!</definedName>
    <definedName name="E_KEYWORD_ISSR_208000976_GR_FIX_ASS">#REF!</definedName>
    <definedName name="E_KEYWORD_ISSR_208000976_GR_INTANG">#REF!</definedName>
    <definedName name="E_KEYWORD_ISSR_208000976_INT_EXP_IND">#REF!</definedName>
    <definedName name="E_KEYWORD_ISSR_208000976_INT_INC_IND">#REF!</definedName>
    <definedName name="E_KEYWORD_ISSR_208000976_INV_SECUR">#REF!</definedName>
    <definedName name="E_KEYWORD_ISSR_208000976_Issuer_Name">#REF!</definedName>
    <definedName name="E_KEYWORD_ISSR_208000976_LEASE_DEEM_DEPR">#REF!</definedName>
    <definedName name="E_KEYWORD_ISSR_208000976_LEASE_DEEM_INT">#REF!</definedName>
    <definedName name="E_KEYWORD_ISSR_208000976_LEASE_PAY">#REF!</definedName>
    <definedName name="E_KEYWORD_ISSR_208000976_LT_DEBT">#REF!</definedName>
    <definedName name="E_KEYWORD_ISSR_208000976_MA_PROB">#REF!</definedName>
    <definedName name="E_KEYWORD_ISSR_208000976_MINORITIES">#REF!</definedName>
    <definedName name="E_KEYWORD_ISSR_208000976_MV_ASSOCIATES">#REF!</definedName>
    <definedName name="E_KEYWORD_ISSR_208000976_NET_DEBT">#REF!</definedName>
    <definedName name="E_KEYWORD_ISSR_208000976_NET_DEBT_ADJ">#REF!</definedName>
    <definedName name="E_KEYWORD_ISSR_208000976_NET_FIX_ASS">#REF!</definedName>
    <definedName name="E_KEYWORD_ISSR_208000976_NET_INT_CH">#REF!</definedName>
    <definedName name="E_KEYWORD_ISSR_208000976_NET_INT_EXP">#REF!</definedName>
    <definedName name="E_KEYWORD_ISSR_208000976_NET_INTANG">#REF!</definedName>
    <definedName name="E_KEYWORD_ISSR_208000976_NONPPE_CAPEX">#REF!</definedName>
    <definedName name="E_KEYWORD_ISSR_208000976_OP_COST">#REF!</definedName>
    <definedName name="E_KEYWORD_ISSR_208000976_ORD_SH_FUND">#REF!</definedName>
    <definedName name="E_KEYWORD_ISSR_208000976_ORG_REV_GRTH">#REF!</definedName>
    <definedName name="E_KEYWORD_ISSR_208000976_OTH_COST_INC">#REF!</definedName>
    <definedName name="E_KEYWORD_ISSR_208000976_OTH_CUR_ASS">#REF!</definedName>
    <definedName name="E_KEYWORD_ISSR_208000976_OTH_CUR_LIABS">#REF!</definedName>
    <definedName name="E_KEYWORD_ISSR_208000976_OTH_DACF_ADJ">#REF!</definedName>
    <definedName name="E_KEYWORD_ISSR_208000976_OTH_FIN_CF">#REF!</definedName>
    <definedName name="E_KEYWORD_ISSR_208000976_OTH_GCI_ADJ">#REF!</definedName>
    <definedName name="E_KEYWORD_ISSR_208000976_OTH_INV_CF">#REF!</definedName>
    <definedName name="E_KEYWORD_ISSR_208000976_OTH_LT_ASS">#REF!</definedName>
    <definedName name="E_KEYWORD_ISSR_208000976_OTH_LT_CRED_GQ">#REF!</definedName>
    <definedName name="E_KEYWORD_ISSR_208000976_OTH_NONCASH_ADJ">#REF!</definedName>
    <definedName name="E_KEYWORD_ISSR_208000976_OTH_OP_CF">#REF!</definedName>
    <definedName name="E_KEYWORD_ISSR_208000976_OTH_OP_INC_EXP">#REF!</definedName>
    <definedName name="E_KEYWORD_ISSR_208000976_PERIOD_MILESTONE">#REF!</definedName>
    <definedName name="E_KEYWORD_ISSR_208000976_PL_SALE_ASSETS">#REF!</definedName>
    <definedName name="E_KEYWORD_ISSR_208000976_PREF_SH">#REF!</definedName>
    <definedName name="E_KEYWORD_ISSR_208000976_PROFIT_ON_DISP">#REF!</definedName>
    <definedName name="E_KEYWORD_ISSR_208000976_PT_PROF">#REF!</definedName>
    <definedName name="E_KEYWORD_ISSR_208000976_RD_EXP">#REF!</definedName>
    <definedName name="E_KEYWORD_ISSR_208000976_REV_FIN_SEGMENT">#REF!</definedName>
    <definedName name="E_KEYWORD_ISSR_208000976_SALES">#REF!</definedName>
    <definedName name="E_KEYWORD_ISSR_208000976_SALES_ARGENTINA">#REF!</definedName>
    <definedName name="E_KEYWORD_ISSR_208000976_SALES_BRAZIL">#REF!</definedName>
    <definedName name="E_KEYWORD_ISSR_208000976_SALES_CANADA">#REF!</definedName>
    <definedName name="E_KEYWORD_ISSR_208000976_SALES_CEE">#REF!</definedName>
    <definedName name="E_KEYWORD_ISSR_208000976_SALES_CHILE">#REF!</definedName>
    <definedName name="E_KEYWORD_ISSR_208000976_SALES_CHINA">#REF!</definedName>
    <definedName name="E_KEYWORD_ISSR_208000976_SALES_COLOMBIA">#REF!</definedName>
    <definedName name="E_KEYWORD_ISSR_208000976_SALES_CONS">#REF!</definedName>
    <definedName name="E_KEYWORD_ISSR_208000976_SALES_EU_EX_UK">#REF!</definedName>
    <definedName name="E_KEYWORD_ISSR_208000976_SALES_FINAN">#REF!</definedName>
    <definedName name="E_KEYWORD_ISSR_208000976_SALES_FX_ARS">#REF!</definedName>
    <definedName name="E_KEYWORD_ISSR_208000976_SALES_FX_BRL">#REF!</definedName>
    <definedName name="E_KEYWORD_ISSR_208000976_SALES_FX_CAD">#REF!</definedName>
    <definedName name="E_KEYWORD_ISSR_208000976_SALES_FX_CLP">#REF!</definedName>
    <definedName name="E_KEYWORD_ISSR_208000976_SALES_FX_CNY">#REF!</definedName>
    <definedName name="E_KEYWORD_ISSR_208000976_SALES_FX_COP">#REF!</definedName>
    <definedName name="E_KEYWORD_ISSR_208000976_SALES_FX_EUR">#REF!</definedName>
    <definedName name="E_KEYWORD_ISSR_208000976_SALES_FX_GPB">#REF!</definedName>
    <definedName name="E_KEYWORD_ISSR_208000976_SALES_FX_INR">#REF!</definedName>
    <definedName name="E_KEYWORD_ISSR_208000976_SALES_FX_MXN">#REF!</definedName>
    <definedName name="E_KEYWORD_ISSR_208000976_SALES_FX_OTH">#REF!</definedName>
    <definedName name="E_KEYWORD_ISSR_208000976_SALES_FX_RUB">#REF!</definedName>
    <definedName name="E_KEYWORD_ISSR_208000976_SALES_FX_USD">#REF!</definedName>
    <definedName name="E_KEYWORD_ISSR_208000976_SALES_FX_VEF">#REF!</definedName>
    <definedName name="E_KEYWORD_ISSR_208000976_SALES_FX_YEN">#REF!</definedName>
    <definedName name="E_KEYWORD_ISSR_208000976_SALES_GOV">#REF!</definedName>
    <definedName name="E_KEYWORD_ISSR_208000976_SALES_IND">#REF!</definedName>
    <definedName name="E_KEYWORD_ISSR_208000976_SALES_INDIA">#REF!</definedName>
    <definedName name="E_KEYWORD_ISSR_208000976_SALES_JAPAN">#REF!</definedName>
    <definedName name="E_KEYWORD_ISSR_208000976_SALES_ME">#REF!</definedName>
    <definedName name="E_KEYWORD_ISSR_208000976_SALES_MEXICO">#REF!</definedName>
    <definedName name="E_KEYWORD_ISSR_208000976_SALES_OTH_AEJ">#REF!</definedName>
    <definedName name="E_KEYWORD_ISSR_208000976_SALES_OTH_AM">#REF!</definedName>
    <definedName name="E_KEYWORD_ISSR_208000976_SALES_OTH_EMEA">#REF!</definedName>
    <definedName name="E_KEYWORD_ISSR_208000976_SALES_OTHER">#REF!</definedName>
    <definedName name="E_KEYWORD_ISSR_208000976_SALES_RUSSIA">#REF!</definedName>
    <definedName name="E_KEYWORD_ISSR_208000976_SALES_SMB">#REF!</definedName>
    <definedName name="E_KEYWORD_ISSR_208000976_SALES_TOT_AFRICA">#REF!</definedName>
    <definedName name="E_KEYWORD_ISSR_208000976_SALES_TOT_AM">#REF!</definedName>
    <definedName name="E_KEYWORD_ISSR_208000976_SALES_TOT_ASIA">#REF!</definedName>
    <definedName name="E_KEYWORD_ISSR_208000976_SALES_TOT_EMEA">#REF!</definedName>
    <definedName name="E_KEYWORD_ISSR_208000976_SALES_UK">#REF!</definedName>
    <definedName name="E_KEYWORD_ISSR_208000976_SALES_US">#REF!</definedName>
    <definedName name="E_KEYWORD_ISSR_208000976_SALES_VENEZUELA">#REF!</definedName>
    <definedName name="E_KEYWORD_ISSR_208000976_SEL_GL_AD">#REF!</definedName>
    <definedName name="E_KEYWORD_ISSR_208000976_SH_REPUR">#REF!</definedName>
    <definedName name="E_KEYWORD_ISSR_208000976_SHORT_T_DEBT">#REF!</definedName>
    <definedName name="E_KEYWORD_ISSR_208000976_SHORT_TERM_LIABS">#REF!</definedName>
    <definedName name="E_KEYWORD_ISSR_208000976_STOCKS">#REF!</definedName>
    <definedName name="E_KEYWORD_ISSR_208000976_TOT_ASSET">#REF!</definedName>
    <definedName name="E_KEYWORD_ISSR_208000976_TOT_CF">#REF!</definedName>
    <definedName name="E_KEYWORD_ISSR_208000976_TOT_LIAB">#REF!</definedName>
    <definedName name="E_KEYWORD_ISSR_208000976_TOT_LIAB_EQ">#REF!</definedName>
    <definedName name="E_KEYWORD_ISSR_208000976_TOT_LT_LIAB">#REF!</definedName>
    <definedName name="E_KEYWORD_ISSR_208000976_TOT_OPS_EXP">#REF!</definedName>
    <definedName name="E_KEYWORD_ISSR_208000976_TOT_OPS_EXP_DDA">#REF!</definedName>
    <definedName name="E_KEYWORD_ISSR_208000976_UNF_PENS">#REF!</definedName>
    <definedName name="E_KEYWORD_ISSR_208000976_UNF_PENS_LIAB_OTH">#REF!</definedName>
    <definedName name="E_KEYWORD_ISSR_208000976_UNF_PENS_OFF">#REF!</definedName>
    <definedName name="E_KEYWORD_ISSR_208000976_WORK_CAP">#REF!</definedName>
    <definedName name="E_KEYWORD_ISSR_208001048_ORG_REV_GRTH">#REF!</definedName>
    <definedName name="E_KEYWORD_ISSR_208001258_ACC_AMORT">#REF!</definedName>
    <definedName name="E_KEYWORD_ISSR_208001258_ACC_DDA">#REF!</definedName>
    <definedName name="E_KEYWORD_ISSR_208001258_ACC_END_DATE">#REF!</definedName>
    <definedName name="E_KEYWORD_ISSR_208001258_ACC_PAY_GQ">#REF!</definedName>
    <definedName name="E_KEYWORD_ISSR_208001258_ACQ">#REF!</definedName>
    <definedName name="E_KEYWORD_ISSR_208001258_ADJ_UNF_PENS_GOOD">#REF!</definedName>
    <definedName name="E_KEYWORD_ISSR_208001258_ASSOC_JV_ADDBK">#REF!</definedName>
    <definedName name="E_KEYWORD_ISSR_208001258_ASSOCIATE">#REF!</definedName>
    <definedName name="E_KEYWORD_ISSR_208001258_ASSOCIATE_OP">#REF!</definedName>
    <definedName name="E_KEYWORD_ISSR_208001258_BAL_MINO_INT">#REF!</definedName>
    <definedName name="E_KEYWORD_ISSR_208001258_CAP_LEASES">#REF!</definedName>
    <definedName name="E_KEYWORD_ISSR_208001258_CAPEX">#REF!</definedName>
    <definedName name="E_KEYWORD_ISSR_208001258_CAPEX_EXPANSION">#REF!</definedName>
    <definedName name="E_KEYWORD_ISSR_208001258_CAPEX_MAINTENANCE">#REF!</definedName>
    <definedName name="E_KEYWORD_ISSR_208001258_CASH_EQ">#REF!</definedName>
    <definedName name="E_KEYWORD_ISSR_208001258_CASH_INT_EXP">#REF!</definedName>
    <definedName name="E_KEYWORD_ISSR_208001258_CASH_PCT_OS_US">#REF!</definedName>
    <definedName name="E_KEYWORD_ISSR_208001258_CASH_TAX_EXP">#REF!</definedName>
    <definedName name="E_KEYWORD_ISSR_208001258_CF_FIN">#REF!</definedName>
    <definedName name="E_KEYWORD_ISSR_208001258_CF_INC_MINORITY">#REF!</definedName>
    <definedName name="E_KEYWORD_ISSR_208001258_CF_INV">#REF!</definedName>
    <definedName name="E_KEYWORD_ISSR_208001258_CF_OPS">#REF!</definedName>
    <definedName name="E_KEYWORD_ISSR_208001258_CHG_LT_DEBT">#REF!</definedName>
    <definedName name="E_KEYWORD_ISSR_208001258_CO_BOR_MARGIN">#REF!</definedName>
    <definedName name="E_KEYWORD_ISSR_208001258_COST_GD_SD">#REF!</definedName>
    <definedName name="E_KEYWORD_ISSR_208001258_CUR_ASS">#REF!</definedName>
    <definedName name="E_KEYWORD_ISSR_208001258_CURRENCY_ISO">#REF!</definedName>
    <definedName name="E_KEYWORD_ISSR_208001258_DEBTORS">#REF!</definedName>
    <definedName name="E_KEYWORD_ISSR_208001258_DEF_INC_TAX">#REF!</definedName>
    <definedName name="E_KEYWORD_ISSR_208001258_DEPR_AMORT">#REF!</definedName>
    <definedName name="E_KEYWORD_ISSR_208001258_DEPREC">#REF!</definedName>
    <definedName name="E_KEYWORD_ISSR_208001258_DIV_PAID">#REF!</definedName>
    <definedName name="E_KEYWORD_ISSR_208001258_DIVDS_ASSOC_JV">#REF!</definedName>
    <definedName name="E_KEYWORD_ISSR_208001258_DIVDS_PD_MINORITIES">#REF!</definedName>
    <definedName name="E_KEYWORD_ISSR_208001258_DIVEST">#REF!</definedName>
    <definedName name="E_KEYWORD_ISSR_208001258_EBIT">#REF!</definedName>
    <definedName name="E_KEYWORD_ISSR_208001258_EBIT_FIN_SEGMENT">#REF!</definedName>
    <definedName name="E_KEYWORD_ISSR_208001258_EBITDA_CALC">#REF!</definedName>
    <definedName name="E_KEYWORD_ISSR_208001258_EMPLOYEES">#REF!</definedName>
    <definedName name="E_KEYWORD_ISSR_208001258_EQ">#REF!</definedName>
    <definedName name="E_KEYWORD_ISSR_208001258_ESO_PRE_TAX">#REF!</definedName>
    <definedName name="E_KEYWORD_ISSR_208001258_EXP_ALUMINIUM">#REF!</definedName>
    <definedName name="E_KEYWORD_ISSR_208001258_EXP_COPPER">#REF!</definedName>
    <definedName name="E_KEYWORD_ISSR_208001258_EXP_GLASS">#REF!</definedName>
    <definedName name="E_KEYWORD_ISSR_208001258_EXP_GOLD">#REF!</definedName>
    <definedName name="E_KEYWORD_ISSR_208001258_EXP_NICKEL">#REF!</definedName>
    <definedName name="E_KEYWORD_ISSR_208001258_EXP_OIL_DERIV_NGLS_PLASTICS">#REF!</definedName>
    <definedName name="E_KEYWORD_ISSR_208001258_EXP_OIL_PETRO_FUEL">#REF!</definedName>
    <definedName name="E_KEYWORD_ISSR_208001258_EXP_OTH_COMMODITY">#REF!</definedName>
    <definedName name="E_KEYWORD_ISSR_208001258_EXP_OTH_COST">#REF!</definedName>
    <definedName name="E_KEYWORD_ISSR_208001258_EXP_PALLADIUM">#REF!</definedName>
    <definedName name="E_KEYWORD_ISSR_208001258_EXP_PAPER_PULP">#REF!</definedName>
    <definedName name="E_KEYWORD_ISSR_208001258_EXP_PLATINUM">#REF!</definedName>
    <definedName name="E_KEYWORD_ISSR_208001258_EXP_SILVER">#REF!</definedName>
    <definedName name="E_KEYWORD_ISSR_208001258_EXP_WATER">#REF!</definedName>
    <definedName name="E_KEYWORD_ISSR_208001258_EXP_ZINC">#REF!</definedName>
    <definedName name="E_KEYWORD_ISSR_208001258_FIX_ASS_INV">#REF!</definedName>
    <definedName name="E_KEYWORD_ISSR_208001258_GCI_INFL">#REF!</definedName>
    <definedName name="E_KEYWORD_ISSR_208001258_GOODWILL_AMORT">#REF!</definedName>
    <definedName name="E_KEYWORD_ISSR_208001258_GR_FIX_ASS">#REF!</definedName>
    <definedName name="E_KEYWORD_ISSR_208001258_GR_INTANG">#REF!</definedName>
    <definedName name="E_KEYWORD_ISSR_208001258_INT_EXP_IND">#REF!</definedName>
    <definedName name="E_KEYWORD_ISSR_208001258_INT_INC_IND">#REF!</definedName>
    <definedName name="E_KEYWORD_ISSR_208001258_INV_SECUR">#REF!</definedName>
    <definedName name="E_KEYWORD_ISSR_208001258_Issuer_Name">#REF!</definedName>
    <definedName name="E_KEYWORD_ISSR_208001258_LEASE_DEEM_DEPR">#REF!</definedName>
    <definedName name="E_KEYWORD_ISSR_208001258_LEASE_DEEM_INT">#REF!</definedName>
    <definedName name="E_KEYWORD_ISSR_208001258_LEASE_PAY">#REF!</definedName>
    <definedName name="E_KEYWORD_ISSR_208001258_LT_DEBT">#REF!</definedName>
    <definedName name="E_KEYWORD_ISSR_208001258_MA_PROB">#REF!</definedName>
    <definedName name="E_KEYWORD_ISSR_208001258_MINORITIES">#REF!</definedName>
    <definedName name="E_KEYWORD_ISSR_208001258_MV_ASSOCIATES">#REF!</definedName>
    <definedName name="E_KEYWORD_ISSR_208001258_NET_DEBT">#REF!</definedName>
    <definedName name="E_KEYWORD_ISSR_208001258_NET_DEBT_ADJ">#REF!</definedName>
    <definedName name="E_KEYWORD_ISSR_208001258_NET_FIX_ASS">#REF!</definedName>
    <definedName name="E_KEYWORD_ISSR_208001258_NET_INT_CH">#REF!</definedName>
    <definedName name="E_KEYWORD_ISSR_208001258_NET_INT_EXP">#REF!</definedName>
    <definedName name="E_KEYWORD_ISSR_208001258_NET_INTANG">#REF!</definedName>
    <definedName name="E_KEYWORD_ISSR_208001258_NONPPE_CAPEX">#REF!</definedName>
    <definedName name="E_KEYWORD_ISSR_208001258_OP_COST">#REF!</definedName>
    <definedName name="E_KEYWORD_ISSR_208001258_ORD_SH_FUND">#REF!</definedName>
    <definedName name="E_KEYWORD_ISSR_208001258_ORG_REV_GRTH">#REF!</definedName>
    <definedName name="E_KEYWORD_ISSR_208001258_OTH_COST_INC">#REF!</definedName>
    <definedName name="E_KEYWORD_ISSR_208001258_OTH_CUR_ASS">#REF!</definedName>
    <definedName name="E_KEYWORD_ISSR_208001258_OTH_CUR_LIABS">#REF!</definedName>
    <definedName name="E_KEYWORD_ISSR_208001258_OTH_DACF_ADJ">#REF!</definedName>
    <definedName name="E_KEYWORD_ISSR_208001258_OTH_FIN_CF">#REF!</definedName>
    <definedName name="E_KEYWORD_ISSR_208001258_OTH_GCI_ADJ">#REF!</definedName>
    <definedName name="E_KEYWORD_ISSR_208001258_OTH_INV_CF">#REF!</definedName>
    <definedName name="E_KEYWORD_ISSR_208001258_OTH_LT_ASS">#REF!</definedName>
    <definedName name="E_KEYWORD_ISSR_208001258_OTH_LT_CRED_GQ">#REF!</definedName>
    <definedName name="E_KEYWORD_ISSR_208001258_OTH_NONCASH_ADJ">#REF!</definedName>
    <definedName name="E_KEYWORD_ISSR_208001258_OTH_OP_CF">#REF!</definedName>
    <definedName name="E_KEYWORD_ISSR_208001258_OTH_OP_INC_EXP">#REF!</definedName>
    <definedName name="E_KEYWORD_ISSR_208001258_PERIOD_MILESTONE">#REF!</definedName>
    <definedName name="E_KEYWORD_ISSR_208001258_PL_SALE_ASSETS">#REF!</definedName>
    <definedName name="E_KEYWORD_ISSR_208001258_PREF_SH">#REF!</definedName>
    <definedName name="E_KEYWORD_ISSR_208001258_PROFIT_ON_DISP">#REF!</definedName>
    <definedName name="E_KEYWORD_ISSR_208001258_PT_PROF">#REF!</definedName>
    <definedName name="E_KEYWORD_ISSR_208001258_RD_EXP">#REF!</definedName>
    <definedName name="E_KEYWORD_ISSR_208001258_REV_FIN_SEGMENT">#REF!</definedName>
    <definedName name="E_KEYWORD_ISSR_208001258_SALES">#REF!</definedName>
    <definedName name="E_KEYWORD_ISSR_208001258_SALES_ARGENTINA">#REF!</definedName>
    <definedName name="E_KEYWORD_ISSR_208001258_SALES_BRAZIL">#REF!</definedName>
    <definedName name="E_KEYWORD_ISSR_208001258_SALES_CANADA">#REF!</definedName>
    <definedName name="E_KEYWORD_ISSR_208001258_SALES_CEE">#REF!</definedName>
    <definedName name="E_KEYWORD_ISSR_208001258_SALES_CHILE">#REF!</definedName>
    <definedName name="E_KEYWORD_ISSR_208001258_SALES_CHINA">#REF!</definedName>
    <definedName name="E_KEYWORD_ISSR_208001258_SALES_COLOMBIA">#REF!</definedName>
    <definedName name="E_KEYWORD_ISSR_208001258_SALES_CONS">#REF!</definedName>
    <definedName name="E_KEYWORD_ISSR_208001258_SALES_EU_EX_UK">#REF!</definedName>
    <definedName name="E_KEYWORD_ISSR_208001258_SALES_FINAN">#REF!</definedName>
    <definedName name="E_KEYWORD_ISSR_208001258_SALES_FX_ARS">#REF!</definedName>
    <definedName name="E_KEYWORD_ISSR_208001258_SALES_FX_BRL">#REF!</definedName>
    <definedName name="E_KEYWORD_ISSR_208001258_SALES_FX_CAD">#REF!</definedName>
    <definedName name="E_KEYWORD_ISSR_208001258_SALES_FX_CLP">#REF!</definedName>
    <definedName name="E_KEYWORD_ISSR_208001258_SALES_FX_CNY">#REF!</definedName>
    <definedName name="E_KEYWORD_ISSR_208001258_SALES_FX_COP">#REF!</definedName>
    <definedName name="E_KEYWORD_ISSR_208001258_SALES_FX_EUR">#REF!</definedName>
    <definedName name="E_KEYWORD_ISSR_208001258_SALES_FX_GPB">#REF!</definedName>
    <definedName name="E_KEYWORD_ISSR_208001258_SALES_FX_INR">#REF!</definedName>
    <definedName name="E_KEYWORD_ISSR_208001258_SALES_FX_MXN">#REF!</definedName>
    <definedName name="E_KEYWORD_ISSR_208001258_SALES_FX_OTH">#REF!</definedName>
    <definedName name="E_KEYWORD_ISSR_208001258_SALES_FX_RUB">#REF!</definedName>
    <definedName name="E_KEYWORD_ISSR_208001258_SALES_FX_USD">#REF!</definedName>
    <definedName name="E_KEYWORD_ISSR_208001258_SALES_FX_VEF">#REF!</definedName>
    <definedName name="E_KEYWORD_ISSR_208001258_SALES_FX_YEN">#REF!</definedName>
    <definedName name="E_KEYWORD_ISSR_208001258_SALES_GOV">#REF!</definedName>
    <definedName name="E_KEYWORD_ISSR_208001258_SALES_IND">#REF!</definedName>
    <definedName name="E_KEYWORD_ISSR_208001258_SALES_INDIA">#REF!</definedName>
    <definedName name="E_KEYWORD_ISSR_208001258_SALES_JAPAN">#REF!</definedName>
    <definedName name="E_KEYWORD_ISSR_208001258_SALES_ME">#REF!</definedName>
    <definedName name="E_KEYWORD_ISSR_208001258_SALES_MEXICO">#REF!</definedName>
    <definedName name="E_KEYWORD_ISSR_208001258_SALES_OTH_AEJ">#REF!</definedName>
    <definedName name="E_KEYWORD_ISSR_208001258_SALES_OTH_AM">#REF!</definedName>
    <definedName name="E_KEYWORD_ISSR_208001258_SALES_OTH_EMEA">#REF!</definedName>
    <definedName name="E_KEYWORD_ISSR_208001258_SALES_OTHER">#REF!</definedName>
    <definedName name="E_KEYWORD_ISSR_208001258_SALES_RUSSIA">#REF!</definedName>
    <definedName name="E_KEYWORD_ISSR_208001258_SALES_SMB">#REF!</definedName>
    <definedName name="E_KEYWORD_ISSR_208001258_SALES_TOT_AFRICA">#REF!</definedName>
    <definedName name="E_KEYWORD_ISSR_208001258_SALES_TOT_AM">#REF!</definedName>
    <definedName name="E_KEYWORD_ISSR_208001258_SALES_TOT_ASIA">#REF!</definedName>
    <definedName name="E_KEYWORD_ISSR_208001258_SALES_TOT_EMEA">#REF!</definedName>
    <definedName name="E_KEYWORD_ISSR_208001258_SALES_UK">#REF!</definedName>
    <definedName name="E_KEYWORD_ISSR_208001258_SALES_US">#REF!</definedName>
    <definedName name="E_KEYWORD_ISSR_208001258_SALES_VENEZUELA">#REF!</definedName>
    <definedName name="E_KEYWORD_ISSR_208001258_SEL_GL_AD">#REF!</definedName>
    <definedName name="E_KEYWORD_ISSR_208001258_SH_REPUR">#REF!</definedName>
    <definedName name="E_KEYWORD_ISSR_208001258_SHORT_T_DEBT">#REF!</definedName>
    <definedName name="E_KEYWORD_ISSR_208001258_SHORT_TERM_LIABS">#REF!</definedName>
    <definedName name="E_KEYWORD_ISSR_208001258_STOCKS">#REF!</definedName>
    <definedName name="E_KEYWORD_ISSR_208001258_TOT_ASSET">#REF!</definedName>
    <definedName name="E_KEYWORD_ISSR_208001258_TOT_CF">#REF!</definedName>
    <definedName name="E_KEYWORD_ISSR_208001258_TOT_LIAB">#REF!</definedName>
    <definedName name="E_KEYWORD_ISSR_208001258_TOT_LIAB_EQ">#REF!</definedName>
    <definedName name="E_KEYWORD_ISSR_208001258_TOT_LT_LIAB">#REF!</definedName>
    <definedName name="E_KEYWORD_ISSR_208001258_TOT_OPS_EXP">#REF!</definedName>
    <definedName name="E_KEYWORD_ISSR_208001258_TOT_OPS_EXP_DDA">#REF!</definedName>
    <definedName name="E_KEYWORD_ISSR_208001258_UNF_PENS">#REF!</definedName>
    <definedName name="E_KEYWORD_ISSR_208001258_UNF_PENS_LIAB_OTH">#REF!</definedName>
    <definedName name="E_KEYWORD_ISSR_208001258_UNF_PENS_OFF">#REF!</definedName>
    <definedName name="E_KEYWORD_ISSR_208001258_WORK_CAP">#REF!</definedName>
    <definedName name="E_KEYWORD_ISSR_208009722_ACC_AMORT">#REF!</definedName>
    <definedName name="E_KEYWORD_ISSR_208009722_ACC_DDA">#REF!</definedName>
    <definedName name="E_KEYWORD_ISSR_208009722_ACC_END_DATE">#REF!</definedName>
    <definedName name="E_KEYWORD_ISSR_208009722_ACC_PAY_GQ">#REF!</definedName>
    <definedName name="E_KEYWORD_ISSR_208009722_ACQ">#REF!</definedName>
    <definedName name="E_KEYWORD_ISSR_208009722_ADJ_UNF_PENS_GOOD">#REF!</definedName>
    <definedName name="E_KEYWORD_ISSR_208009722_ASSOC_JV_ADDBK">#REF!</definedName>
    <definedName name="E_KEYWORD_ISSR_208009722_ASSOCIATE">#REF!</definedName>
    <definedName name="E_KEYWORD_ISSR_208009722_ASSOCIATE_OP">#REF!</definedName>
    <definedName name="E_KEYWORD_ISSR_208009722_BAL_MINO_INT">#REF!</definedName>
    <definedName name="E_KEYWORD_ISSR_208009722_CAP_LEASES">#REF!</definedName>
    <definedName name="E_KEYWORD_ISSR_208009722_CAPEX">#REF!</definedName>
    <definedName name="E_KEYWORD_ISSR_208009722_CAPEX_EXPANSION">#REF!</definedName>
    <definedName name="E_KEYWORD_ISSR_208009722_CAPEX_MAINTENANCE">#REF!</definedName>
    <definedName name="E_KEYWORD_ISSR_208009722_CASH_EQ">#REF!</definedName>
    <definedName name="E_KEYWORD_ISSR_208009722_CASH_INT_EXP">#REF!</definedName>
    <definedName name="E_KEYWORD_ISSR_208009722_CASH_TAX_EXP">#REF!</definedName>
    <definedName name="E_KEYWORD_ISSR_208009722_CF_FIN">#REF!</definedName>
    <definedName name="E_KEYWORD_ISSR_208009722_CF_INC_MINORITY">#REF!</definedName>
    <definedName name="E_KEYWORD_ISSR_208009722_CF_INV">#REF!</definedName>
    <definedName name="E_KEYWORD_ISSR_208009722_CF_OPS">#REF!</definedName>
    <definedName name="E_KEYWORD_ISSR_208009722_CHG_LT_DEBT">#REF!</definedName>
    <definedName name="E_KEYWORD_ISSR_208009722_CO_BOR_MARGIN">#REF!</definedName>
    <definedName name="E_KEYWORD_ISSR_208009722_COST_GD_SD">#REF!</definedName>
    <definedName name="E_KEYWORD_ISSR_208009722_CUR_ASS">#REF!</definedName>
    <definedName name="E_KEYWORD_ISSR_208009722_CURRENCY_ISO">#REF!</definedName>
    <definedName name="E_KEYWORD_ISSR_208009722_DEBTORS">#REF!</definedName>
    <definedName name="E_KEYWORD_ISSR_208009722_DEF_INC_TAX">#REF!</definedName>
    <definedName name="E_KEYWORD_ISSR_208009722_DEPR_AMORT">#REF!</definedName>
    <definedName name="E_KEYWORD_ISSR_208009722_DEPREC">#REF!</definedName>
    <definedName name="E_KEYWORD_ISSR_208009722_DIV_PAID">#REF!</definedName>
    <definedName name="E_KEYWORD_ISSR_208009722_DIVDS_ASSOC_JV">#REF!</definedName>
    <definedName name="E_KEYWORD_ISSR_208009722_DIVDS_PD_MINORITIES">#REF!</definedName>
    <definedName name="E_KEYWORD_ISSR_208009722_DIVEST">#REF!</definedName>
    <definedName name="E_KEYWORD_ISSR_208009722_EBIT">#REF!</definedName>
    <definedName name="E_KEYWORD_ISSR_208009722_EBIT_FIN_SEGMENT">#REF!</definedName>
    <definedName name="E_KEYWORD_ISSR_208009722_EBITDA_CALC">#REF!</definedName>
    <definedName name="E_KEYWORD_ISSR_208009722_EMPLOYEES">#REF!</definedName>
    <definedName name="E_KEYWORD_ISSR_208009722_EQ">#REF!</definedName>
    <definedName name="E_KEYWORD_ISSR_208009722_ESO_PRE_TAX">#REF!</definedName>
    <definedName name="E_KEYWORD_ISSR_208009722_FIX_ASS_INV">#REF!</definedName>
    <definedName name="E_KEYWORD_ISSR_208009722_GCI_INFL">#REF!</definedName>
    <definedName name="E_KEYWORD_ISSR_208009722_GOODWILL_AMORT">#REF!</definedName>
    <definedName name="E_KEYWORD_ISSR_208009722_GR_FIX_ASS">#REF!</definedName>
    <definedName name="E_KEYWORD_ISSR_208009722_GR_INTANG">#REF!</definedName>
    <definedName name="E_KEYWORD_ISSR_208009722_INT_EXP_IND">#REF!</definedName>
    <definedName name="E_KEYWORD_ISSR_208009722_INT_INC_IND">#REF!</definedName>
    <definedName name="E_KEYWORD_ISSR_208009722_INV_SECUR">#REF!</definedName>
    <definedName name="E_KEYWORD_ISSR_208009722_Issuer_Name">#REF!</definedName>
    <definedName name="E_KEYWORD_ISSR_208009722_LEASE_DEEM_DEPR">#REF!</definedName>
    <definedName name="E_KEYWORD_ISSR_208009722_LEASE_DEEM_INT">#REF!</definedName>
    <definedName name="E_KEYWORD_ISSR_208009722_LEASE_PAY">#REF!</definedName>
    <definedName name="E_KEYWORD_ISSR_208009722_LT_DEBT">#REF!</definedName>
    <definedName name="E_KEYWORD_ISSR_208009722_MA_PROB">#REF!</definedName>
    <definedName name="E_KEYWORD_ISSR_208009722_MINORITIES">#REF!</definedName>
    <definedName name="E_KEYWORD_ISSR_208009722_MV_ASSOCIATES">#REF!</definedName>
    <definedName name="E_KEYWORD_ISSR_208009722_NET_DEBT">#REF!</definedName>
    <definedName name="E_KEYWORD_ISSR_208009722_NET_DEBT_ADJ">#REF!</definedName>
    <definedName name="E_KEYWORD_ISSR_208009722_NET_FIX_ASS">#REF!</definedName>
    <definedName name="E_KEYWORD_ISSR_208009722_NET_INT_CH">#REF!</definedName>
    <definedName name="E_KEYWORD_ISSR_208009722_NET_INT_EXP">#REF!</definedName>
    <definedName name="E_KEYWORD_ISSR_208009722_NET_INTANG">#REF!</definedName>
    <definedName name="E_KEYWORD_ISSR_208009722_NONPPE_CAPEX">#REF!</definedName>
    <definedName name="E_KEYWORD_ISSR_208009722_OP_AUSTRA">#REF!</definedName>
    <definedName name="E_KEYWORD_ISSR_208009722_OP_AUSTRIA">#REF!</definedName>
    <definedName name="E_KEYWORD_ISSR_208009722_OP_BEL">#REF!</definedName>
    <definedName name="E_KEYWORD_ISSR_208009722_OP_BRAZIL">#REF!</definedName>
    <definedName name="E_KEYWORD_ISSR_208009722_OP_CANADA">#REF!</definedName>
    <definedName name="E_KEYWORD_ISSR_208009722_OP_CEE">#REF!</definedName>
    <definedName name="E_KEYWORD_ISSR_208009722_OP_CHINA">#REF!</definedName>
    <definedName name="E_KEYWORD_ISSR_208009722_OP_CONS">#REF!</definedName>
    <definedName name="E_KEYWORD_ISSR_208009722_OP_COST">#REF!</definedName>
    <definedName name="E_KEYWORD_ISSR_208009722_OP_DEN">#REF!</definedName>
    <definedName name="E_KEYWORD_ISSR_208009722_OP_EU_EX_UK">#REF!</definedName>
    <definedName name="E_KEYWORD_ISSR_208009722_OP_FIN">#REF!</definedName>
    <definedName name="E_KEYWORD_ISSR_208009722_OP_FRA">#REF!</definedName>
    <definedName name="E_KEYWORD_ISSR_208009722_OP_GER">#REF!</definedName>
    <definedName name="E_KEYWORD_ISSR_208009722_OP_GOV">#REF!</definedName>
    <definedName name="E_KEYWORD_ISSR_208009722_OP_GRE">#REF!</definedName>
    <definedName name="E_KEYWORD_ISSR_208009722_OP_ICE">#REF!</definedName>
    <definedName name="E_KEYWORD_ISSR_208009722_OP_IND">#REF!</definedName>
    <definedName name="E_KEYWORD_ISSR_208009722_OP_INDIA">#REF!</definedName>
    <definedName name="E_KEYWORD_ISSR_208009722_OP_IRE">#REF!</definedName>
    <definedName name="E_KEYWORD_ISSR_208009722_OP_ITA">#REF!</definedName>
    <definedName name="E_KEYWORD_ISSR_208009722_OP_JAPAN">#REF!</definedName>
    <definedName name="E_KEYWORD_ISSR_208009722_OP_ME">#REF!</definedName>
    <definedName name="E_KEYWORD_ISSR_208009722_OP_NETH">#REF!</definedName>
    <definedName name="E_KEYWORD_ISSR_208009722_OP_NOR">#REF!</definedName>
    <definedName name="E_KEYWORD_ISSR_208009722_OP_NZ">#REF!</definedName>
    <definedName name="E_KEYWORD_ISSR_208009722_OP_OTH_AEJ">#REF!</definedName>
    <definedName name="E_KEYWORD_ISSR_208009722_OP_OTH_AM">#REF!</definedName>
    <definedName name="E_KEYWORD_ISSR_208009722_OP_OTH_EMEA">#REF!</definedName>
    <definedName name="E_KEYWORD_ISSR_208009722_OP_OTHER">#REF!</definedName>
    <definedName name="E_KEYWORD_ISSR_208009722_OP_POR">#REF!</definedName>
    <definedName name="E_KEYWORD_ISSR_208009722_OP_RUSSIA">#REF!</definedName>
    <definedName name="E_KEYWORD_ISSR_208009722_OP_SK">#REF!</definedName>
    <definedName name="E_KEYWORD_ISSR_208009722_OP_SPA">#REF!</definedName>
    <definedName name="E_KEYWORD_ISSR_208009722_OP_SWE">#REF!</definedName>
    <definedName name="E_KEYWORD_ISSR_208009722_OP_SWIT">#REF!</definedName>
    <definedName name="E_KEYWORD_ISSR_208009722_OP_TOT_AM">#REF!</definedName>
    <definedName name="E_KEYWORD_ISSR_208009722_OP_TOT_ASIA">#REF!</definedName>
    <definedName name="E_KEYWORD_ISSR_208009722_OP_TOT_EMEA">#REF!</definedName>
    <definedName name="E_KEYWORD_ISSR_208009722_OP_UK">#REF!</definedName>
    <definedName name="E_KEYWORD_ISSR_208009722_OP_US">#REF!</definedName>
    <definedName name="E_KEYWORD_ISSR_208009722_ORD_SH_FUND">#REF!</definedName>
    <definedName name="E_KEYWORD_ISSR_208009722_ORG_REV_GRTH">#REF!</definedName>
    <definedName name="E_KEYWORD_ISSR_208009722_OTH_COST_INC">#REF!</definedName>
    <definedName name="E_KEYWORD_ISSR_208009722_OTH_CUR_ASS">#REF!</definedName>
    <definedName name="E_KEYWORD_ISSR_208009722_OTH_CUR_LIABS">#REF!</definedName>
    <definedName name="E_KEYWORD_ISSR_208009722_OTH_DACF_ADJ">#REF!</definedName>
    <definedName name="E_KEYWORD_ISSR_208009722_OTH_FIN_CF">#REF!</definedName>
    <definedName name="E_KEYWORD_ISSR_208009722_OTH_GCI_ADJ">#REF!</definedName>
    <definedName name="E_KEYWORD_ISSR_208009722_OTH_INV_CF">#REF!</definedName>
    <definedName name="E_KEYWORD_ISSR_208009722_OTH_LT_ASS">#REF!</definedName>
    <definedName name="E_KEYWORD_ISSR_208009722_OTH_LT_CRED_GQ">#REF!</definedName>
    <definedName name="E_KEYWORD_ISSR_208009722_OTH_NONCASH_ADJ">#REF!</definedName>
    <definedName name="E_KEYWORD_ISSR_208009722_OTH_OP_CF">#REF!</definedName>
    <definedName name="E_KEYWORD_ISSR_208009722_OTH_OP_INC_EXP">#REF!</definedName>
    <definedName name="E_KEYWORD_ISSR_208009722_PERIOD_MILESTONE">#REF!</definedName>
    <definedName name="E_KEYWORD_ISSR_208009722_PL_SALE_ASSETS">#REF!</definedName>
    <definedName name="E_KEYWORD_ISSR_208009722_PREF_SH">#REF!</definedName>
    <definedName name="E_KEYWORD_ISSR_208009722_PROFIT_ON_DISP">#REF!</definedName>
    <definedName name="E_KEYWORD_ISSR_208009722_PT_PROF">#REF!</definedName>
    <definedName name="E_KEYWORD_ISSR_208009722_RD_EXP">#REF!</definedName>
    <definedName name="E_KEYWORD_ISSR_208009722_REV_FIN_SEGMENT">#REF!</definedName>
    <definedName name="E_KEYWORD_ISSR_208009722_SALES">#REF!</definedName>
    <definedName name="E_KEYWORD_ISSR_208009722_SALES_AUSTRA">#REF!</definedName>
    <definedName name="E_KEYWORD_ISSR_208009722_SALES_AUSTRIA">#REF!</definedName>
    <definedName name="E_KEYWORD_ISSR_208009722_SALES_BEL">#REF!</definedName>
    <definedName name="E_KEYWORD_ISSR_208009722_SALES_BRAZIL">#REF!</definedName>
    <definedName name="E_KEYWORD_ISSR_208009722_SALES_CANADA">#REF!</definedName>
    <definedName name="E_KEYWORD_ISSR_208009722_SALES_CEE">#REF!</definedName>
    <definedName name="E_KEYWORD_ISSR_208009722_SALES_CHINA">#REF!</definedName>
    <definedName name="E_KEYWORD_ISSR_208009722_SALES_CONS">#REF!</definedName>
    <definedName name="E_KEYWORD_ISSR_208009722_SALES_DEN">#REF!</definedName>
    <definedName name="E_KEYWORD_ISSR_208009722_SALES_EU_EX_UK">#REF!</definedName>
    <definedName name="E_KEYWORD_ISSR_208009722_SALES_FIN">#REF!</definedName>
    <definedName name="E_KEYWORD_ISSR_208009722_SALES_FINAN">#REF!</definedName>
    <definedName name="E_KEYWORD_ISSR_208009722_SALES_FRA">#REF!</definedName>
    <definedName name="E_KEYWORD_ISSR_208009722_SALES_GER">#REF!</definedName>
    <definedName name="E_KEYWORD_ISSR_208009722_SALES_GOV">#REF!</definedName>
    <definedName name="E_KEYWORD_ISSR_208009722_SALES_GRE">#REF!</definedName>
    <definedName name="E_KEYWORD_ISSR_208009722_SALES_ICE">#REF!</definedName>
    <definedName name="E_KEYWORD_ISSR_208009722_SALES_IND">#REF!</definedName>
    <definedName name="E_KEYWORD_ISSR_208009722_SALES_INDIA">#REF!</definedName>
    <definedName name="E_KEYWORD_ISSR_208009722_SALES_IRE">#REF!</definedName>
    <definedName name="E_KEYWORD_ISSR_208009722_SALES_ITA">#REF!</definedName>
    <definedName name="E_KEYWORD_ISSR_208009722_SALES_JAPAN">#REF!</definedName>
    <definedName name="E_KEYWORD_ISSR_208009722_SALES_ME">#REF!</definedName>
    <definedName name="E_KEYWORD_ISSR_208009722_SALES_NETH">#REF!</definedName>
    <definedName name="E_KEYWORD_ISSR_208009722_SALES_NOR">#REF!</definedName>
    <definedName name="E_KEYWORD_ISSR_208009722_SALES_NZ">#REF!</definedName>
    <definedName name="E_KEYWORD_ISSR_208009722_SALES_OTH_AEJ">#REF!</definedName>
    <definedName name="E_KEYWORD_ISSR_208009722_SALES_OTH_AM">#REF!</definedName>
    <definedName name="E_KEYWORD_ISSR_208009722_SALES_OTH_EMEA">#REF!</definedName>
    <definedName name="E_KEYWORD_ISSR_208009722_SALES_OTHER">#REF!</definedName>
    <definedName name="E_KEYWORD_ISSR_208009722_SALES_POR">#REF!</definedName>
    <definedName name="E_KEYWORD_ISSR_208009722_SALES_RUSSIA">#REF!</definedName>
    <definedName name="E_KEYWORD_ISSR_208009722_SALES_SK">#REF!</definedName>
    <definedName name="E_KEYWORD_ISSR_208009722_SALES_SMB">#REF!</definedName>
    <definedName name="E_KEYWORD_ISSR_208009722_SALES_SPA">#REF!</definedName>
    <definedName name="E_KEYWORD_ISSR_208009722_SALES_SWE">#REF!</definedName>
    <definedName name="E_KEYWORD_ISSR_208009722_SALES_SWIT">#REF!</definedName>
    <definedName name="E_KEYWORD_ISSR_208009722_SALES_TOT_AM">#REF!</definedName>
    <definedName name="E_KEYWORD_ISSR_208009722_SALES_TOT_ASIA">#REF!</definedName>
    <definedName name="E_KEYWORD_ISSR_208009722_SALES_TOT_EMEA">#REF!</definedName>
    <definedName name="E_KEYWORD_ISSR_208009722_SALES_UK">#REF!</definedName>
    <definedName name="E_KEYWORD_ISSR_208009722_SALES_US">#REF!</definedName>
    <definedName name="E_KEYWORD_ISSR_208009722_SEL_GL_AD">#REF!</definedName>
    <definedName name="E_KEYWORD_ISSR_208009722_SH_REPUR">#REF!</definedName>
    <definedName name="E_KEYWORD_ISSR_208009722_SHORT_T_DEBT">#REF!</definedName>
    <definedName name="E_KEYWORD_ISSR_208009722_SHORT_TERM_LIABS">#REF!</definedName>
    <definedName name="E_KEYWORD_ISSR_208009722_STOCKS">#REF!</definedName>
    <definedName name="E_KEYWORD_ISSR_208009722_TOT_ASSET">#REF!</definedName>
    <definedName name="E_KEYWORD_ISSR_208009722_TOT_CF">#REF!</definedName>
    <definedName name="E_KEYWORD_ISSR_208009722_TOT_LIAB">#REF!</definedName>
    <definedName name="E_KEYWORD_ISSR_208009722_TOT_LIAB_EQ">#REF!</definedName>
    <definedName name="E_KEYWORD_ISSR_208009722_TOT_LT_LIAB">#REF!</definedName>
    <definedName name="E_KEYWORD_ISSR_208009722_TOT_OPS_EXP">#REF!</definedName>
    <definedName name="E_KEYWORD_ISSR_208009722_TOT_OPS_EXP_DDA">#REF!</definedName>
    <definedName name="E_KEYWORD_ISSR_208009722_UNF_PENS">#REF!</definedName>
    <definedName name="E_KEYWORD_ISSR_208009722_UNF_PENS_LIAB_OTH">#REF!</definedName>
    <definedName name="E_KEYWORD_ISSR_208009722_UNF_PENS_OFF">#REF!</definedName>
    <definedName name="E_KEYWORD_ISSR_208009722_WORK_CAP">#REF!</definedName>
    <definedName name="E_KEYWORD_ISSR_208011556_ACC_AMORT">#REF!</definedName>
    <definedName name="E_KEYWORD_ISSR_208011556_ACC_DDA">#REF!</definedName>
    <definedName name="E_KEYWORD_ISSR_208011556_ACC_END_DATE">#REF!</definedName>
    <definedName name="E_KEYWORD_ISSR_208011556_ACC_PAY_GQ">#REF!</definedName>
    <definedName name="E_KEYWORD_ISSR_208011556_ACQ">#REF!</definedName>
    <definedName name="E_KEYWORD_ISSR_208011556_ADJ_UNF_PENS_GOOD">#REF!</definedName>
    <definedName name="E_KEYWORD_ISSR_208011556_ASSOC_JV_ADDBK">#REF!</definedName>
    <definedName name="E_KEYWORD_ISSR_208011556_ASSOCIATE">#REF!</definedName>
    <definedName name="E_KEYWORD_ISSR_208011556_ASSOCIATE_OP">#REF!</definedName>
    <definedName name="E_KEYWORD_ISSR_208011556_BAL_MINO_INT">#REF!</definedName>
    <definedName name="E_KEYWORD_ISSR_208011556_CAP_LEASES">#REF!</definedName>
    <definedName name="E_KEYWORD_ISSR_208011556_CAPEX">#REF!</definedName>
    <definedName name="E_KEYWORD_ISSR_208011556_CAPEX_EXPANSION">#REF!</definedName>
    <definedName name="E_KEYWORD_ISSR_208011556_CAPEX_MAINTENANCE">#REF!</definedName>
    <definedName name="E_KEYWORD_ISSR_208011556_CASH_EQ">#REF!</definedName>
    <definedName name="E_KEYWORD_ISSR_208011556_CASH_INT_EXP">#REF!</definedName>
    <definedName name="E_KEYWORD_ISSR_208011556_CASH_PCT_OS_US">#REF!</definedName>
    <definedName name="E_KEYWORD_ISSR_208011556_CASH_TAX_EXP">#REF!</definedName>
    <definedName name="E_KEYWORD_ISSR_208011556_CF_FIN">#REF!</definedName>
    <definedName name="E_KEYWORD_ISSR_208011556_CF_INC_MINORITY">#REF!</definedName>
    <definedName name="E_KEYWORD_ISSR_208011556_CF_INV">#REF!</definedName>
    <definedName name="E_KEYWORD_ISSR_208011556_CF_OPS">#REF!</definedName>
    <definedName name="E_KEYWORD_ISSR_208011556_CHG_LT_DEBT">#REF!</definedName>
    <definedName name="E_KEYWORD_ISSR_208011556_CO_BOR_MARGIN">#REF!</definedName>
    <definedName name="E_KEYWORD_ISSR_208011556_CONTRIB_MARGIN_RATIO">#REF!</definedName>
    <definedName name="E_KEYWORD_ISSR_208011556_COST_GD_SD">#REF!</definedName>
    <definedName name="E_KEYWORD_ISSR_208011556_CUR_ASS">#REF!</definedName>
    <definedName name="E_KEYWORD_ISSR_208011556_CURRENCY_ISO">#REF!</definedName>
    <definedName name="E_KEYWORD_ISSR_208011556_DEBTORS">#REF!</definedName>
    <definedName name="E_KEYWORD_ISSR_208011556_DEF_INC_TAX">#REF!</definedName>
    <definedName name="E_KEYWORD_ISSR_208011556_DEPR_AMORT">#REF!</definedName>
    <definedName name="E_KEYWORD_ISSR_208011556_DEPREC">#REF!</definedName>
    <definedName name="E_KEYWORD_ISSR_208011556_DIV_PAID">#REF!</definedName>
    <definedName name="E_KEYWORD_ISSR_208011556_DIVDS_ASSOC_JV">#REF!</definedName>
    <definedName name="E_KEYWORD_ISSR_208011556_DIVDS_PD_MINORITIES">#REF!</definedName>
    <definedName name="E_KEYWORD_ISSR_208011556_DIVEST">#REF!</definedName>
    <definedName name="E_KEYWORD_ISSR_208011556_EBIT">#REF!</definedName>
    <definedName name="E_KEYWORD_ISSR_208011556_EBIT_FIN_SEGMENT">#REF!</definedName>
    <definedName name="E_KEYWORD_ISSR_208011556_EBITDA_CALC">#REF!</definedName>
    <definedName name="E_KEYWORD_ISSR_208011556_EMPLOYEES">#REF!</definedName>
    <definedName name="E_KEYWORD_ISSR_208011556_EQ">#REF!</definedName>
    <definedName name="E_KEYWORD_ISSR_208011556_ESO_PRE_TAX">#REF!</definedName>
    <definedName name="E_KEYWORD_ISSR_208011556_EXP_ALUMINIUM">#REF!</definedName>
    <definedName name="E_KEYWORD_ISSR_208011556_EXP_COPPER">#REF!</definedName>
    <definedName name="E_KEYWORD_ISSR_208011556_EXP_GLASS">#REF!</definedName>
    <definedName name="E_KEYWORD_ISSR_208011556_EXP_GOLD">#REF!</definedName>
    <definedName name="E_KEYWORD_ISSR_208011556_EXP_NICKEL">#REF!</definedName>
    <definedName name="E_KEYWORD_ISSR_208011556_EXP_OIL_DERIV_NGLS_PLASTICS">#REF!</definedName>
    <definedName name="E_KEYWORD_ISSR_208011556_EXP_OIL_PETRO_FUEL">#REF!</definedName>
    <definedName name="E_KEYWORD_ISSR_208011556_EXP_OTH_COMMODITY">#REF!</definedName>
    <definedName name="E_KEYWORD_ISSR_208011556_EXP_OTH_COST">#REF!</definedName>
    <definedName name="E_KEYWORD_ISSR_208011556_EXP_PALLADIUM">#REF!</definedName>
    <definedName name="E_KEYWORD_ISSR_208011556_EXP_PAPER_PULP">#REF!</definedName>
    <definedName name="E_KEYWORD_ISSR_208011556_EXP_PLATINUM">#REF!</definedName>
    <definedName name="E_KEYWORD_ISSR_208011556_EXP_SILVER">#REF!</definedName>
    <definedName name="E_KEYWORD_ISSR_208011556_EXP_WATER">#REF!</definedName>
    <definedName name="E_KEYWORD_ISSR_208011556_EXP_ZINC">#REF!</definedName>
    <definedName name="E_KEYWORD_ISSR_208011556_FIX_ASS_INV">#REF!</definedName>
    <definedName name="E_KEYWORD_ISSR_208011556_GCI_INFL">#REF!</definedName>
    <definedName name="E_KEYWORD_ISSR_208011556_GOODWILL_AMORT">#REF!</definedName>
    <definedName name="E_KEYWORD_ISSR_208011556_GR_FIX_ASS">#REF!</definedName>
    <definedName name="E_KEYWORD_ISSR_208011556_GR_INTANG">#REF!</definedName>
    <definedName name="E_KEYWORD_ISSR_208011556_INT_EXP_IND">#REF!</definedName>
    <definedName name="E_KEYWORD_ISSR_208011556_INT_INC_IND">#REF!</definedName>
    <definedName name="E_KEYWORD_ISSR_208011556_INV_SECUR">#REF!</definedName>
    <definedName name="E_KEYWORD_ISSR_208011556_Issuer_Name">#REF!</definedName>
    <definedName name="E_KEYWORD_ISSR_208011556_LEASE_DEEM_DEPR">#REF!</definedName>
    <definedName name="E_KEYWORD_ISSR_208011556_LEASE_DEEM_INT">#REF!</definedName>
    <definedName name="E_KEYWORD_ISSR_208011556_LEASE_PAY">#REF!</definedName>
    <definedName name="E_KEYWORD_ISSR_208011556_LT_DEBT">#REF!</definedName>
    <definedName name="E_KEYWORD_ISSR_208011556_MA_PROB">#REF!</definedName>
    <definedName name="E_KEYWORD_ISSR_208011556_MINORITIES">#REF!</definedName>
    <definedName name="E_KEYWORD_ISSR_208011556_MV_ASSOCIATES">#REF!</definedName>
    <definedName name="E_KEYWORD_ISSR_208011556_NET_DEBT">#REF!</definedName>
    <definedName name="E_KEYWORD_ISSR_208011556_NET_DEBT_ADJ">#REF!</definedName>
    <definedName name="E_KEYWORD_ISSR_208011556_NET_FIX_ASS">#REF!</definedName>
    <definedName name="E_KEYWORD_ISSR_208011556_NET_INT_CH">#REF!</definedName>
    <definedName name="E_KEYWORD_ISSR_208011556_NET_INT_EXP">#REF!</definedName>
    <definedName name="E_KEYWORD_ISSR_208011556_NET_INTANG">#REF!</definedName>
    <definedName name="E_KEYWORD_ISSR_208011556_NONPPE_CAPEX">#REF!</definedName>
    <definedName name="E_KEYWORD_ISSR_208011556_OP_COST">#REF!</definedName>
    <definedName name="E_KEYWORD_ISSR_208011556_ORD_SH_FUND">#REF!</definedName>
    <definedName name="E_KEYWORD_ISSR_208011556_OTH_COST_INC">#REF!</definedName>
    <definedName name="E_KEYWORD_ISSR_208011556_OTH_CUR_ASS">#REF!</definedName>
    <definedName name="E_KEYWORD_ISSR_208011556_OTH_CUR_LIABS">#REF!</definedName>
    <definedName name="E_KEYWORD_ISSR_208011556_OTH_DACF_ADJ">#REF!</definedName>
    <definedName name="E_KEYWORD_ISSR_208011556_OTH_FIN_CF">#REF!</definedName>
    <definedName name="E_KEYWORD_ISSR_208011556_OTH_GCI_ADJ">#REF!</definedName>
    <definedName name="E_KEYWORD_ISSR_208011556_OTH_INV_CF">#REF!</definedName>
    <definedName name="E_KEYWORD_ISSR_208011556_OTH_LT_ASS">#REF!</definedName>
    <definedName name="E_KEYWORD_ISSR_208011556_OTH_LT_CRED_GQ">#REF!</definedName>
    <definedName name="E_KEYWORD_ISSR_208011556_OTH_NONCASH_ADJ">#REF!</definedName>
    <definedName name="E_KEYWORD_ISSR_208011556_OTH_OP_CF">#REF!</definedName>
    <definedName name="E_KEYWORD_ISSR_208011556_OTH_OP_INC_EXP">#REF!</definedName>
    <definedName name="E_KEYWORD_ISSR_208011556_PERIOD_MILESTONE">#REF!</definedName>
    <definedName name="E_KEYWORD_ISSR_208011556_PL_SALE_ASSETS">#REF!</definedName>
    <definedName name="E_KEYWORD_ISSR_208011556_PREF_SH">#REF!</definedName>
    <definedName name="E_KEYWORD_ISSR_208011556_PROFIT_ON_DISP">#REF!</definedName>
    <definedName name="E_KEYWORD_ISSR_208011556_PT_PROF">#REF!</definedName>
    <definedName name="E_KEYWORD_ISSR_208011556_RD_EXP">#REF!</definedName>
    <definedName name="E_KEYWORD_ISSR_208011556_REV_FIN_SEGMENT">#REF!</definedName>
    <definedName name="E_KEYWORD_ISSR_208011556_SALES">#REF!</definedName>
    <definedName name="E_KEYWORD_ISSR_208011556_SALES_ARGENTINA">#REF!</definedName>
    <definedName name="E_KEYWORD_ISSR_208011556_SALES_BRAZIL">#REF!</definedName>
    <definedName name="E_KEYWORD_ISSR_208011556_SALES_CANADA">#REF!</definedName>
    <definedName name="E_KEYWORD_ISSR_208011556_SALES_CEE">#REF!</definedName>
    <definedName name="E_KEYWORD_ISSR_208011556_SALES_CHILE">#REF!</definedName>
    <definedName name="E_KEYWORD_ISSR_208011556_SALES_CHINA">#REF!</definedName>
    <definedName name="E_KEYWORD_ISSR_208011556_SALES_COLOMBIA">#REF!</definedName>
    <definedName name="E_KEYWORD_ISSR_208011556_SALES_CONS">#REF!</definedName>
    <definedName name="E_KEYWORD_ISSR_208011556_SALES_EU_EX_UK">#REF!</definedName>
    <definedName name="E_KEYWORD_ISSR_208011556_SALES_FINAN">#REF!</definedName>
    <definedName name="E_KEYWORD_ISSR_208011556_SALES_FX_ARS">#REF!</definedName>
    <definedName name="E_KEYWORD_ISSR_208011556_SALES_FX_BRL">#REF!</definedName>
    <definedName name="E_KEYWORD_ISSR_208011556_SALES_FX_CAD">#REF!</definedName>
    <definedName name="E_KEYWORD_ISSR_208011556_SALES_FX_CLP">#REF!</definedName>
    <definedName name="E_KEYWORD_ISSR_208011556_SALES_FX_CNY">#REF!</definedName>
    <definedName name="E_KEYWORD_ISSR_208011556_SALES_FX_COP">#REF!</definedName>
    <definedName name="E_KEYWORD_ISSR_208011556_SALES_FX_EUR">#REF!</definedName>
    <definedName name="E_KEYWORD_ISSR_208011556_SALES_FX_GPB">#REF!</definedName>
    <definedName name="E_KEYWORD_ISSR_208011556_SALES_FX_INR">#REF!</definedName>
    <definedName name="E_KEYWORD_ISSR_208011556_SALES_FX_MXN">#REF!</definedName>
    <definedName name="E_KEYWORD_ISSR_208011556_SALES_FX_OTH">#REF!</definedName>
    <definedName name="E_KEYWORD_ISSR_208011556_SALES_FX_RUB">#REF!</definedName>
    <definedName name="E_KEYWORD_ISSR_208011556_SALES_FX_USD">#REF!</definedName>
    <definedName name="E_KEYWORD_ISSR_208011556_SALES_FX_VEF">#REF!</definedName>
    <definedName name="E_KEYWORD_ISSR_208011556_SALES_FX_YEN">#REF!</definedName>
    <definedName name="E_KEYWORD_ISSR_208011556_SALES_GOV">#REF!</definedName>
    <definedName name="E_KEYWORD_ISSR_208011556_SALES_IND">#REF!</definedName>
    <definedName name="E_KEYWORD_ISSR_208011556_SALES_INDIA">#REF!</definedName>
    <definedName name="E_KEYWORD_ISSR_208011556_SALES_JAPAN">#REF!</definedName>
    <definedName name="E_KEYWORD_ISSR_208011556_SALES_ME">#REF!</definedName>
    <definedName name="E_KEYWORD_ISSR_208011556_SALES_MEXICO">#REF!</definedName>
    <definedName name="E_KEYWORD_ISSR_208011556_SALES_OTH_AEJ">#REF!</definedName>
    <definedName name="E_KEYWORD_ISSR_208011556_SALES_OTH_AM">#REF!</definedName>
    <definedName name="E_KEYWORD_ISSR_208011556_SALES_OTH_EMEA">#REF!</definedName>
    <definedName name="E_KEYWORD_ISSR_208011556_SALES_OTHER">#REF!</definedName>
    <definedName name="E_KEYWORD_ISSR_208011556_SALES_RUSSIA">#REF!</definedName>
    <definedName name="E_KEYWORD_ISSR_208011556_SALES_SMB">#REF!</definedName>
    <definedName name="E_KEYWORD_ISSR_208011556_SALES_TOT_AFRICA">#REF!</definedName>
    <definedName name="E_KEYWORD_ISSR_208011556_SALES_TOT_AM">#REF!</definedName>
    <definedName name="E_KEYWORD_ISSR_208011556_SALES_TOT_ASIA">#REF!</definedName>
    <definedName name="E_KEYWORD_ISSR_208011556_SALES_TOT_EMEA">#REF!</definedName>
    <definedName name="E_KEYWORD_ISSR_208011556_SALES_UK">#REF!</definedName>
    <definedName name="E_KEYWORD_ISSR_208011556_SALES_US">#REF!</definedName>
    <definedName name="E_KEYWORD_ISSR_208011556_SALES_VENEZUELA">#REF!</definedName>
    <definedName name="E_KEYWORD_ISSR_208011556_SEL_GL_AD">#REF!</definedName>
    <definedName name="E_KEYWORD_ISSR_208011556_SH_REPUR">#REF!</definedName>
    <definedName name="E_KEYWORD_ISSR_208011556_SHORT_T_DEBT">#REF!</definedName>
    <definedName name="E_KEYWORD_ISSR_208011556_SHORT_TERM_LIABS">#REF!</definedName>
    <definedName name="E_KEYWORD_ISSR_208011556_STOCKS">#REF!</definedName>
    <definedName name="E_KEYWORD_ISSR_208011556_TOT_ASSET">#REF!</definedName>
    <definedName name="E_KEYWORD_ISSR_208011556_TOT_CF">#REF!</definedName>
    <definedName name="E_KEYWORD_ISSR_208011556_TOT_LIAB">#REF!</definedName>
    <definedName name="E_KEYWORD_ISSR_208011556_TOT_LIAB_EQ">#REF!</definedName>
    <definedName name="E_KEYWORD_ISSR_208011556_TOT_LT_LIAB">#REF!</definedName>
    <definedName name="E_KEYWORD_ISSR_208011556_TOT_OPS_EXP">#REF!</definedName>
    <definedName name="E_KEYWORD_ISSR_208011556_TOT_OPS_EXP_DDA">#REF!</definedName>
    <definedName name="E_KEYWORD_ISSR_208011556_UNF_PENS">#REF!</definedName>
    <definedName name="E_KEYWORD_ISSR_208011556_UNF_PENS_LIAB_OTH">#REF!</definedName>
    <definedName name="E_KEYWORD_ISSR_208011556_UNF_PENS_OFF">#REF!</definedName>
    <definedName name="E_KEYWORD_ISSR_208011556_WORK_CAP">#REF!</definedName>
    <definedName name="E_LIVEDATA_EQTY_200001646">#REF!</definedName>
    <definedName name="E_LIVEDATA_EQTY_200002831">#REF!</definedName>
    <definedName name="E_LIVEDATA_EQTY_200004419">#REF!</definedName>
    <definedName name="E_LIVEDATA_EQTY_200012762">#REF!</definedName>
    <definedName name="E_LIVEDATA_EQTY_200014750">#REF!</definedName>
    <definedName name="E_LIVEDATA_ISSR_208000603">#REF!</definedName>
    <definedName name="E_LIVEDATA_ISSR_208000976">#REF!</definedName>
    <definedName name="E_LIVEDATA_ISSR_208001258">#REF!</definedName>
    <definedName name="E_LIVEDATA_ISSR_208009722">#REF!</definedName>
    <definedName name="E_LIVEDATA_ISSR_208011556">#REF!</definedName>
    <definedName name="E_OCF_2001">#REF!</definedName>
    <definedName name="E_OCF_2002">#REF!</definedName>
    <definedName name="E_OCF_2003">#REF!</definedName>
    <definedName name="E_OCF_2004">#REF!</definedName>
    <definedName name="E_PERIOD_2002">#REF!</definedName>
    <definedName name="E_PERIOD_2003">#REF!</definedName>
    <definedName name="E_PERIOD_2003_Q1">#REF!</definedName>
    <definedName name="E_PERIOD_2003_Q2">#REF!</definedName>
    <definedName name="E_PERIOD_2003_Q3">#REF!</definedName>
    <definedName name="E_PERIOD_2003_Q4">#REF!</definedName>
    <definedName name="E_PERIOD_2004">#REF!</definedName>
    <definedName name="E_PERIOD_2004_Q1">#REF!</definedName>
    <definedName name="E_PERIOD_2004_Q2">#REF!</definedName>
    <definedName name="E_PERIOD_2004_Q3">#REF!</definedName>
    <definedName name="E_PERIOD_2004_Q4">#REF!</definedName>
    <definedName name="E_PERIOD_2005">#REF!</definedName>
    <definedName name="E_PERIOD_2005_Q1">#REF!</definedName>
    <definedName name="E_PERIOD_2005_Q2">#REF!</definedName>
    <definedName name="E_PERIOD_2005_Q3">#REF!</definedName>
    <definedName name="E_PERIOD_2005_Q4">#REF!</definedName>
    <definedName name="E_PERIOD_2006_Q1">#REF!</definedName>
    <definedName name="E_PERIOD_2006_Q2">#REF!</definedName>
    <definedName name="E_PERIOD_2006_Q3">#REF!</definedName>
    <definedName name="E_PERIOD_2006_Q4">#REF!</definedName>
    <definedName name="E_Rev_2000">#REF!</definedName>
    <definedName name="E_Rev_2002">#REF!</definedName>
    <definedName name="E_SECTION_EQTY_200001646_1314">#REF!</definedName>
    <definedName name="E_SECTION_EQTY_200001646_1319">#REF!</definedName>
    <definedName name="E_SECTION_EQTY_200001646_131E">#REF!</definedName>
    <definedName name="E_SECTION_EQTY_200001646_131O">#REF!</definedName>
    <definedName name="E_SECTION_EQTY_200001646_131P">#REF!</definedName>
    <definedName name="E_SECTION_EQTY_200001646_13A">#REF!</definedName>
    <definedName name="E_SECTION_EQTY_200001646_13K">#REF!</definedName>
    <definedName name="E_SECTION_EQTY_200001646_13U">#REF!</definedName>
    <definedName name="E_SECTION_EQTY_200001646_13V">#REF!</definedName>
    <definedName name="E_SECTION_EQTY_200001646_13W">#REF!</definedName>
    <definedName name="E_SECTION_EQTY_200001646_Reference_Data">#REF!</definedName>
    <definedName name="E_SECTION_EQTY_200002831_1314">#REF!</definedName>
    <definedName name="E_SECTION_EQTY_200002831_1319">#REF!</definedName>
    <definedName name="E_SECTION_EQTY_200002831_131E">#REF!</definedName>
    <definedName name="E_SECTION_EQTY_200002831_131O">#REF!</definedName>
    <definedName name="E_SECTION_EQTY_200002831_13A">#REF!</definedName>
    <definedName name="E_SECTION_EQTY_200002831_13K">#REF!</definedName>
    <definedName name="E_SECTION_EQTY_200002831_13U">#REF!</definedName>
    <definedName name="E_SECTION_EQTY_200002831_13V">#REF!</definedName>
    <definedName name="E_SECTION_EQTY_200002831_13W">#REF!</definedName>
    <definedName name="E_SECTION_EQTY_200002831_Reference_Data">#REF!</definedName>
    <definedName name="E_SECTION_EQTY_200004419_1314">#REF!</definedName>
    <definedName name="E_SECTION_EQTY_200004419_1319">#REF!</definedName>
    <definedName name="E_SECTION_EQTY_200004419_131E">#REF!</definedName>
    <definedName name="E_SECTION_EQTY_200004419_131O">#REF!</definedName>
    <definedName name="E_SECTION_EQTY_200004419_13A">#REF!</definedName>
    <definedName name="E_SECTION_EQTY_200004419_13K">#REF!</definedName>
    <definedName name="E_SECTION_EQTY_200004419_13U">#REF!</definedName>
    <definedName name="E_SECTION_EQTY_200004419_13V">#REF!</definedName>
    <definedName name="E_SECTION_EQTY_200004419_13W">#REF!</definedName>
    <definedName name="E_SECTION_EQTY_200004419_Reference_Data">#REF!</definedName>
    <definedName name="E_SECTION_EQTY_200012762_1314">#REF!</definedName>
    <definedName name="E_SECTION_EQTY_200012762_1319">#REF!</definedName>
    <definedName name="E_SECTION_EQTY_200012762_131E">#REF!</definedName>
    <definedName name="E_SECTION_EQTY_200012762_131O">#REF!</definedName>
    <definedName name="E_SECTION_EQTY_200012762_13A">#REF!</definedName>
    <definedName name="E_SECTION_EQTY_200012762_13K">#REF!</definedName>
    <definedName name="E_SECTION_EQTY_200012762_13U">#REF!</definedName>
    <definedName name="E_SECTION_EQTY_200012762_13V">#REF!</definedName>
    <definedName name="E_SECTION_EQTY_200012762_13W">#REF!</definedName>
    <definedName name="E_SECTION_EQTY_200012762_Reference_Data">#REF!</definedName>
    <definedName name="E_SECTION_EQTY_200014750_1314">#REF!</definedName>
    <definedName name="E_SECTION_EQTY_200014750_1319">#REF!</definedName>
    <definedName name="E_SECTION_EQTY_200014750_131E">#REF!</definedName>
    <definedName name="E_SECTION_EQTY_200014750_131O">#REF!</definedName>
    <definedName name="E_SECTION_EQTY_200014750_13A">#REF!</definedName>
    <definedName name="E_SECTION_EQTY_200014750_13K">#REF!</definedName>
    <definedName name="E_SECTION_EQTY_200014750_13U">#REF!</definedName>
    <definedName name="E_SECTION_EQTY_200014750_13V">#REF!</definedName>
    <definedName name="E_SECTION_EQTY_200014750_13W">#REF!</definedName>
    <definedName name="E_SECTION_EQTY_200014750_Reference_Data">#REF!</definedName>
    <definedName name="E_SECTION_ISSR_208000603_1314">#REF!</definedName>
    <definedName name="E_SECTION_ISSR_208000603_13168">#REF!</definedName>
    <definedName name="E_SECTION_ISSR_208000603_1319">#REF!</definedName>
    <definedName name="E_SECTION_ISSR_208000603_131E">#REF!</definedName>
    <definedName name="E_SECTION_ISSR_208000603_131J">#REF!</definedName>
    <definedName name="E_SECTION_ISSR_208000603_131O">#REF!</definedName>
    <definedName name="E_SECTION_ISSR_208000603_131P">#REF!</definedName>
    <definedName name="E_SECTION_ISSR_208000603_13A">#REF!</definedName>
    <definedName name="E_SECTION_ISSR_208000603_13U">#REF!</definedName>
    <definedName name="E_SECTION_ISSR_208000603_13V">#REF!</definedName>
    <definedName name="E_SECTION_ISSR_208000603_Reference_Data">#REF!</definedName>
    <definedName name="E_SECTION_ISSR_208000976_1314">#REF!</definedName>
    <definedName name="E_SECTION_ISSR_208000976_13168">#REF!</definedName>
    <definedName name="E_SECTION_ISSR_208000976_1316T">#REF!</definedName>
    <definedName name="E_SECTION_ISSR_208000976_1316U">#REF!</definedName>
    <definedName name="E_SECTION_ISSR_208000976_1319">#REF!</definedName>
    <definedName name="E_SECTION_ISSR_208000976_131E">#REF!</definedName>
    <definedName name="E_SECTION_ISSR_208000976_131J">#REF!</definedName>
    <definedName name="E_SECTION_ISSR_208000976_131O">#REF!</definedName>
    <definedName name="E_SECTION_ISSR_208000976_13A">#REF!</definedName>
    <definedName name="E_SECTION_ISSR_208000976_13U">#REF!</definedName>
    <definedName name="E_SECTION_ISSR_208000976_13V">#REF!</definedName>
    <definedName name="E_SECTION_ISSR_208000976_Reference_Data">#REF!</definedName>
    <definedName name="E_SECTION_ISSR_208001258_1314">#REF!</definedName>
    <definedName name="E_SECTION_ISSR_208001258_13168">#REF!</definedName>
    <definedName name="E_SECTION_ISSR_208001258_1316T">#REF!</definedName>
    <definedName name="E_SECTION_ISSR_208001258_1316U">#REF!</definedName>
    <definedName name="E_SECTION_ISSR_208001258_1319">#REF!</definedName>
    <definedName name="E_SECTION_ISSR_208001258_131E">#REF!</definedName>
    <definedName name="E_SECTION_ISSR_208001258_131J">#REF!</definedName>
    <definedName name="E_SECTION_ISSR_208001258_131O">#REF!</definedName>
    <definedName name="E_SECTION_ISSR_208001258_13A">#REF!</definedName>
    <definedName name="E_SECTION_ISSR_208001258_13U">#REF!</definedName>
    <definedName name="E_SECTION_ISSR_208001258_13V">#REF!</definedName>
    <definedName name="E_SECTION_ISSR_208001258_Reference_Data">#REF!</definedName>
    <definedName name="E_SECTION_ISSR_208009722_1314">#REF!</definedName>
    <definedName name="E_SECTION_ISSR_208009722_13168">#REF!</definedName>
    <definedName name="E_SECTION_ISSR_208009722_1319">#REF!</definedName>
    <definedName name="E_SECTION_ISSR_208009722_131E">#REF!</definedName>
    <definedName name="E_SECTION_ISSR_208009722_131J">#REF!</definedName>
    <definedName name="E_SECTION_ISSR_208009722_131O">#REF!</definedName>
    <definedName name="E_SECTION_ISSR_208009722_13A">#REF!</definedName>
    <definedName name="E_SECTION_ISSR_208009722_13U">#REF!</definedName>
    <definedName name="E_SECTION_ISSR_208009722_13V">#REF!</definedName>
    <definedName name="E_SECTION_ISSR_208009722_Reference_Data">#REF!</definedName>
    <definedName name="E_SECTION_ISSR_208011556_1314">#REF!</definedName>
    <definedName name="E_SECTION_ISSR_208011556_13168">#REF!</definedName>
    <definedName name="E_SECTION_ISSR_208011556_1316T">#REF!</definedName>
    <definedName name="E_SECTION_ISSR_208011556_1316U">#REF!</definedName>
    <definedName name="E_SECTION_ISSR_208011556_1319">#REF!</definedName>
    <definedName name="E_SECTION_ISSR_208011556_131E">#REF!</definedName>
    <definedName name="E_SECTION_ISSR_208011556_131J">#REF!</definedName>
    <definedName name="E_SECTION_ISSR_208011556_131O">#REF!</definedName>
    <definedName name="E_SECTION_ISSR_208011556_13A">#REF!</definedName>
    <definedName name="E_SECTION_ISSR_208011556_13U">#REF!</definedName>
    <definedName name="E_SECTION_ISSR_208011556_13V">#REF!</definedName>
    <definedName name="E_SECTION_ISSR_208011556_Reference_Data">#REF!</definedName>
    <definedName name="ea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asternprice">#REF!</definedName>
    <definedName name="easternshares">#REF!</definedName>
    <definedName name="EBIT">#REF!</definedName>
    <definedName name="EBIT_fore">#REF!</definedName>
    <definedName name="EBIT_growth">#REF!</definedName>
    <definedName name="EBIT_Lit03">#REF!</definedName>
    <definedName name="EBIT_margin">#REF!</definedName>
    <definedName name="EBIT_margin_fore">#REF!</definedName>
    <definedName name="ebit_pretelstra">#REF!</definedName>
    <definedName name="EBIT00">#REF!</definedName>
    <definedName name="EBIT01">#REF!</definedName>
    <definedName name="EBIT02">#REF!</definedName>
    <definedName name="EBIT03">#REF!</definedName>
    <definedName name="EBIT04">#REF!</definedName>
    <definedName name="EBIT1997">#REF!</definedName>
    <definedName name="EBIT1998">#REF!</definedName>
    <definedName name="EBIT1999">#REF!</definedName>
    <definedName name="EBIT2000">#REF!</definedName>
    <definedName name="EBIT2001">#REF!</definedName>
    <definedName name="EBIT95">#REF!</definedName>
    <definedName name="EBIT96">#REF!</definedName>
    <definedName name="EBIT97">#REF!</definedName>
    <definedName name="EBIT98">#REF!</definedName>
    <definedName name="EBIT99">#REF!</definedName>
    <definedName name="EBITA">#REF!</definedName>
    <definedName name="EBITA_fore">#REF!</definedName>
    <definedName name="EBITDA">#REF!</definedName>
    <definedName name="EBITDA_DCF">#REF!</definedName>
    <definedName name="EBITDA_fore">#REF!</definedName>
    <definedName name="EBITDA_growth">#REF!</definedName>
    <definedName name="EBITDA_growth_avg">#REF!</definedName>
    <definedName name="EBITDA_margin">#REF!</definedName>
    <definedName name="EBITDA_margin_fore">#REF!</definedName>
    <definedName name="ebitda_pretelstra">#REF!</definedName>
    <definedName name="EBITDA_Share">#REF!</definedName>
    <definedName name="ebitda00">#REF!</definedName>
    <definedName name="EBITDA01">#REF!</definedName>
    <definedName name="EBITDA02">#REF!</definedName>
    <definedName name="EBITDA1997">#REF!</definedName>
    <definedName name="EBITDA1998">#REF!</definedName>
    <definedName name="EBITDA1999">#REF!</definedName>
    <definedName name="EBITDA2000">#REF!</definedName>
    <definedName name="EBITDA2001">#REF!</definedName>
    <definedName name="EBITDA2002">#REF!</definedName>
    <definedName name="EBITDA2003">#REF!</definedName>
    <definedName name="EBITDA2004">#REF!</definedName>
    <definedName name="ebitda96">#REF!</definedName>
    <definedName name="ebitda97">#REF!</definedName>
    <definedName name="ebitda98">#REF!</definedName>
    <definedName name="ebitda99">#REF!</definedName>
    <definedName name="EBITDAAAPR1997">#REF!</definedName>
    <definedName name="EBITDAAAPR1998">#REF!</definedName>
    <definedName name="EBITDAAAPR1999">#REF!</definedName>
    <definedName name="EBITDAAAPR2000">#REF!</definedName>
    <definedName name="EBITDAAAPR2001">#REF!</definedName>
    <definedName name="EBITDALit03">#REF!</definedName>
    <definedName name="EBITDALit04">#REF!</definedName>
    <definedName name="ebitdaps00">#REF!</definedName>
    <definedName name="ebitdaps98">#REF!</definedName>
    <definedName name="ebitdaps99">#REF!</definedName>
    <definedName name="EBITSENS">#REF!</definedName>
    <definedName name="ecilcurr">#REF!</definedName>
    <definedName name="ecilcurrffq">#REF!</definedName>
    <definedName name="ecilpegrelavg">#REF!</definedName>
    <definedName name="ecilpegrelcurr">#REF!</definedName>
    <definedName name="ecilpegrowthavg">#REF!</definedName>
    <definedName name="ecilpegrowthcurr">#REF!</definedName>
    <definedName name="Economic_profit">#REF!</definedName>
    <definedName name="Economic_profit_dcf">#REF!</definedName>
    <definedName name="Economic_profit_DCF_2">#REF!</definedName>
    <definedName name="Economic_profit2">#REF!</definedName>
    <definedName name="effective_tax">#REF!</definedName>
    <definedName name="Effective_tax_rate">#REF!</definedName>
    <definedName name="effodd" hidden="1">{"'Standalone List Price Trends'!$A$1:$X$56"}</definedName>
    <definedName name="EG_DPS">#REF!</definedName>
    <definedName name="EG_Net_Profit">#REF!</definedName>
    <definedName name="ElDato">#REF!</definedName>
    <definedName name="elim_perc">#REF!</definedName>
    <definedName name="elxis">#REF!</definedName>
    <definedName name="EMC">#REF!</definedName>
    <definedName name="employee">#REF!</definedName>
    <definedName name="Employees">#REF!</definedName>
    <definedName name="EndDate">#REF!</definedName>
    <definedName name="EndYear">#REF!</definedName>
    <definedName name="ENI_Pivot_SMCD">#REF!</definedName>
    <definedName name="ENI_Pivot_SMR">#REF!</definedName>
    <definedName name="ent">#REF!</definedName>
    <definedName name="enterprise">#REF!</definedName>
    <definedName name="ENTERPRISEASP">#REF!</definedName>
    <definedName name="ENTERPRISEREV">#REF!</definedName>
    <definedName name="ENTERPRISESHIP.">#REF!</definedName>
    <definedName name="EPIC">#REF!</definedName>
    <definedName name="EPS">#REF!</definedName>
    <definedName name="EPS_Curr_Qtr">#REF!</definedName>
    <definedName name="EPS_Curr_Yr">#REF!</definedName>
    <definedName name="EPS_ex_exceptionals_pretelstra">#REF!</definedName>
    <definedName name="eps_fiscal_yr_change_comment">#REF!</definedName>
    <definedName name="eps_growth">#REF!</definedName>
    <definedName name="EPS_growth_avg">#REF!</definedName>
    <definedName name="EPS_Growth_Rate">#REF!</definedName>
    <definedName name="eps_grwth97">#REF!</definedName>
    <definedName name="EPS_grwth98">#REF!</definedName>
    <definedName name="EPS_lastactual98">#REF!</definedName>
    <definedName name="EPS_Lit03">#REF!</definedName>
    <definedName name="EPS_Lit04">#REF!</definedName>
    <definedName name="EPS_Lst_Yr">#REF!</definedName>
    <definedName name="EPS_Next_Yr">#REF!</definedName>
    <definedName name="EPS_Qtr_Date">#REF!</definedName>
    <definedName name="eps_row1">#REF!</definedName>
    <definedName name="eps_row2">#REF!</definedName>
    <definedName name="eps_row3">#REF!</definedName>
    <definedName name="EPS00">#REF!</definedName>
    <definedName name="EPSCY00">#REF!</definedName>
    <definedName name="EPSCY01">#REF!</definedName>
    <definedName name="EPSCY02">#REF!</definedName>
    <definedName name="EPSCY03">#REF!</definedName>
    <definedName name="EPSCY99">#REF!</definedName>
    <definedName name="EPSEuro01">#REF!</definedName>
    <definedName name="EPSEuro02">#REF!</definedName>
    <definedName name="epsffq">#REF!</definedName>
    <definedName name="epsffqch">#REF!</definedName>
    <definedName name="epsffqgr">#REF!</definedName>
    <definedName name="EPSFY0">#REF!</definedName>
    <definedName name="EPSFY1">#REF!</definedName>
    <definedName name="EPSNTM">#REF!</definedName>
    <definedName name="EPSNTM3">#REF!</definedName>
    <definedName name="Epson">#REF!</definedName>
    <definedName name="EPSQ195">#REF!</definedName>
    <definedName name="EPSQ196">#REF!</definedName>
    <definedName name="EPSQ197">#REF!</definedName>
    <definedName name="EPSQ295">#REF!</definedName>
    <definedName name="EPSQ296">#REF!</definedName>
    <definedName name="EPSQ297">#REF!</definedName>
    <definedName name="EPSQ395">#REF!</definedName>
    <definedName name="EPSQ396">#REF!</definedName>
    <definedName name="EPSQ397">#REF!</definedName>
    <definedName name="EPSQ495">#REF!</definedName>
    <definedName name="EPSQ496">#REF!</definedName>
    <definedName name="EPSQ497">#REF!</definedName>
    <definedName name="EPSTable">#REF!</definedName>
    <definedName name="EqtyConsolAssets">#REF!</definedName>
    <definedName name="Equipment">#REF!</definedName>
    <definedName name="equity">#REF!</definedName>
    <definedName name="equity_cons">#REF!</definedName>
    <definedName name="Equity_Equivalents">#REF!</definedName>
    <definedName name="Equity_In_Affiliates">#REF!</definedName>
    <definedName name="Equity_risk_premium">#REF!</definedName>
    <definedName name="Equity_Ticker">#REF!</definedName>
    <definedName name="eqv">#REF!</definedName>
    <definedName name="eqv_ord">#REF!</definedName>
    <definedName name="eqv_sav">#REF!</definedName>
    <definedName name="ericycurr">#REF!</definedName>
    <definedName name="ericycurrffq">#REF!</definedName>
    <definedName name="ericypegrelavg">#REF!</definedName>
    <definedName name="ericypegrelcurr">#REF!</definedName>
    <definedName name="ericypegrowthavg">#REF!</definedName>
    <definedName name="ericypegrowthcurr">#REF!</definedName>
    <definedName name="ERP">#REF!</definedName>
    <definedName name="Errorline">#REF!</definedName>
    <definedName name="ESG">#REF!</definedName>
    <definedName name="ESO_MARGINAL_TAX_RATE">#REF!</definedName>
    <definedName name="ESO_TAX_RATE">#REF!</definedName>
    <definedName name="ESO_TAX_RATE_old">#REF!</definedName>
    <definedName name="EstRef">#REF!</definedName>
    <definedName name="etekcurr">#REF!</definedName>
    <definedName name="etekdown">#REF!</definedName>
    <definedName name="etekdownsup">#REF!</definedName>
    <definedName name="etekeps99">#REF!</definedName>
    <definedName name="etekfy1cons">#REF!</definedName>
    <definedName name="etekfy2cons">#REF!</definedName>
    <definedName name="etekhi">#REF!</definedName>
    <definedName name="etekhilo">#REF!</definedName>
    <definedName name="eteklow">#REF!</definedName>
    <definedName name="etekmktcap">#REF!</definedName>
    <definedName name="etekpegrowthavg">#REF!</definedName>
    <definedName name="etekpegrowthcurr">#REF!</definedName>
    <definedName name="etekpegrowthhi">#REF!</definedName>
    <definedName name="etekpegrowthlow">#REF!</definedName>
    <definedName name="etekprice">#REF!</definedName>
    <definedName name="etekrpe">#REF!</definedName>
    <definedName name="etekshares">#REF!</definedName>
    <definedName name="etektprice">#REF!</definedName>
    <definedName name="etekttmavg">#REF!</definedName>
    <definedName name="etekttmcurr">#REF!</definedName>
    <definedName name="etekttmhi">#REF!</definedName>
    <definedName name="etekttmlow">#REF!</definedName>
    <definedName name="etekttmrelavg">#REF!</definedName>
    <definedName name="etekttmrelcurr">#REF!</definedName>
    <definedName name="etekttmrelhi">#REF!</definedName>
    <definedName name="etekttmrellow">#REF!</definedName>
    <definedName name="etekup">#REF!</definedName>
    <definedName name="etekupsup">#REF!</definedName>
    <definedName name="etekvol">#REF!</definedName>
    <definedName name="etekyield">#REF!</definedName>
    <definedName name="euro">#REF!</definedName>
    <definedName name="EURO_AdjustedEV">#REF!</definedName>
    <definedName name="EURO_AssociatesMinorities">#REF!</definedName>
    <definedName name="EURO_Find">#REF!</definedName>
    <definedName name="EURO_UnleveredFCF">#REF!</definedName>
    <definedName name="European_Revenues">#REF!</definedName>
    <definedName name="europta">#REF!</definedName>
    <definedName name="ev">#REF!</definedName>
    <definedName name="ev.Calculation" hidden="1">-4105</definedName>
    <definedName name="ev.Initialized" hidden="1">FALSE</definedName>
    <definedName name="ev_euro">#REF!</definedName>
    <definedName name="EVCE" localSheetId="0" hidden="1">{#N/A,#N/A,FALSE,"Output";#N/A,#N/A,FALSE,"Cover Sheet";#N/A,#N/A,FALSE,"Current Mkt. Projections"}</definedName>
    <definedName name="EVCE" hidden="1">{#N/A,#N/A,FALSE,"Output";#N/A,#N/A,FALSE,"Cover Sheet";#N/A,#N/A,FALSE,"Current Mkt. Projections"}</definedName>
    <definedName name="Event_Type">#REF!</definedName>
    <definedName name="Ever">#REF!</definedName>
    <definedName name="eveuro">#REF!</definedName>
    <definedName name="EVs" localSheetId="0" hidden="1">{#N/A,#N/A,FALSE,"Output";#N/A,#N/A,FALSE,"Cover Sheet";#N/A,#N/A,FALSE,"Current Mkt. Projections"}</definedName>
    <definedName name="EVs" hidden="1">{#N/A,#N/A,FALSE,"Output";#N/A,#N/A,FALSE,"Cover Sheet";#N/A,#N/A,FALSE,"Current Mkt. Projections"}</definedName>
    <definedName name="EVtoSvROCE" localSheetId="0" hidden="1">{#N/A,#N/A,FALSE,"Output";#N/A,#N/A,FALSE,"Cover Sheet";#N/A,#N/A,FALSE,"Current Mkt. Projections"}</definedName>
    <definedName name="EVtoSvROCE" hidden="1">{#N/A,#N/A,FALSE,"Output";#N/A,#N/A,FALSE,"Cover Sheet";#N/A,#N/A,FALSE,"Current Mkt. Projections"}</definedName>
    <definedName name="EXACT">#REF!</definedName>
    <definedName name="ExcelPath">#N/A</definedName>
    <definedName name="Exceptionals">#REF!</definedName>
    <definedName name="Excess_cash">#REF!</definedName>
    <definedName name="exch">#REF!</definedName>
    <definedName name="Exchange">#REF!</definedName>
    <definedName name="exchange_code">#REF!</definedName>
    <definedName name="exchK">#REF!</definedName>
    <definedName name="exchQ">#REF!</definedName>
    <definedName name="exchQ1">#REF!</definedName>
    <definedName name="EXERCISE_WEIGHTING">#REF!</definedName>
    <definedName name="Expected_Life">#REF!</definedName>
    <definedName name="Expected_Volatility">#REF!</definedName>
    <definedName name="Expl_forecast_10th_yr">#REF!</definedName>
    <definedName name="Expl_forecast_1st_yr">#REF!</definedName>
    <definedName name="Expl_forecast_2nd_yr">#REF!</definedName>
    <definedName name="Expl_forecast_3rd_yr">#REF!</definedName>
    <definedName name="Expl_forecast_4th_yr">#REF!</definedName>
    <definedName name="Expl_forecast_5th_yr">#REF!</definedName>
    <definedName name="Expl_forecast_6th_yr">#REF!</definedName>
    <definedName name="Expl_forecast_7th_yr">#REF!</definedName>
    <definedName name="Expl_forecast_8th_yr">#REF!</definedName>
    <definedName name="Expl_forecast_9th_yr">#REF!</definedName>
    <definedName name="export">#REF!</definedName>
    <definedName name="export1">#REF!</definedName>
    <definedName name="export2">#REF!</definedName>
    <definedName name="export3">#REF!</definedName>
    <definedName name="exrate">#REF!</definedName>
    <definedName name="External_Storage">#REF!</definedName>
    <definedName name="ExternalNotes.REV">#REF!</definedName>
    <definedName name="Extraordinary_Or_Unusual_Items">#REF!</definedName>
    <definedName name="extras">#REF!</definedName>
    <definedName name="extravg">#REF!</definedName>
    <definedName name="extravgffq">#REF!</definedName>
    <definedName name="extrchg">#REF!</definedName>
    <definedName name="extrcurr">#REF!</definedName>
    <definedName name="extrcurrffq">#REF!</definedName>
    <definedName name="extrpegrelavg">#REF!</definedName>
    <definedName name="extrpegrelcurr">#REF!</definedName>
    <definedName name="extrpegrowthavg">#REF!</definedName>
    <definedName name="extrpegrowthcurr">#REF!</definedName>
    <definedName name="f" hidden="1">{"IS",#N/A,FALSE,"IS";"RPTIS",#N/A,FALSE,"RPTIS";"STATS",#N/A,FALSE,"STATS";"CELL",#N/A,FALSE,"CELL";"BS",#N/A,FALSE,"BS"}</definedName>
    <definedName name="F.1990.01">#REF!</definedName>
    <definedName name="F.1991.01">#REF!</definedName>
    <definedName name="F.1992.01">#REF!</definedName>
    <definedName name="F.1993.01">#REF!</definedName>
    <definedName name="F.1994.01">#REF!</definedName>
    <definedName name="F.1995.01">#REF!</definedName>
    <definedName name="F.1996.01">#REF!</definedName>
    <definedName name="F.1997.01">#REF!</definedName>
    <definedName name="F.1998.01">#REF!</definedName>
    <definedName name="F.1999.01">#REF!</definedName>
    <definedName name="F.2000.01">#REF!</definedName>
    <definedName name="F.2001.01">#REF!</definedName>
    <definedName name="F.2002.01">#REF!</definedName>
    <definedName name="F.2003.01">#REF!</definedName>
    <definedName name="F.2004.01">#REF!</definedName>
    <definedName name="F.2005.01">#REF!</definedName>
    <definedName name="F.2006.01">#REF!</definedName>
    <definedName name="F.2007.01">#REF!</definedName>
    <definedName name="F.2007.12">#REF!</definedName>
    <definedName name="F.2008.07">#REF!</definedName>
    <definedName name="F.2008.09">#REF!</definedName>
    <definedName name="F.2008.11">#REF!</definedName>
    <definedName name="F.2008.12">#REF!</definedName>
    <definedName name="F.2009.01">#REF!</definedName>
    <definedName name="F.2009.03">#REF!</definedName>
    <definedName name="F.2009.05">#REF!</definedName>
    <definedName name="F.2009.06">#REF!</definedName>
    <definedName name="F.2009.07">#REF!</definedName>
    <definedName name="F.2009.09">#REF!</definedName>
    <definedName name="F.2009.11">#REF!</definedName>
    <definedName name="F.2009.12">#REF!</definedName>
    <definedName name="F.2010.01">#REF!</definedName>
    <definedName name="F.2010.05">#REF!</definedName>
    <definedName name="F.2010.06">#REF!</definedName>
    <definedName name="F.2010.09">#REF!</definedName>
    <definedName name="F.2010.10">#REF!</definedName>
    <definedName name="F.2010.11">#REF!</definedName>
    <definedName name="F.2010.12">#REF!</definedName>
    <definedName name="F.2011.01">#REF!</definedName>
    <definedName name="F.2011.05">#REF!</definedName>
    <definedName name="F.2011.06">#REF!</definedName>
    <definedName name="F.2011.10">#REF!</definedName>
    <definedName name="F.2011.11">#REF!</definedName>
    <definedName name="F.2011.12">#REF!</definedName>
    <definedName name="F.2012.01">#REF!</definedName>
    <definedName name="F.2012.05">#REF!</definedName>
    <definedName name="F.2012.06">#REF!</definedName>
    <definedName name="F.2012.10">#REF!</definedName>
    <definedName name="F.2012.11">#REF!</definedName>
    <definedName name="F.2012.12">#REF!</definedName>
    <definedName name="F.2013.01">#REF!</definedName>
    <definedName name="F.2013.05">#REF!</definedName>
    <definedName name="F.2013.06">#REF!</definedName>
    <definedName name="F.2013.10">#REF!</definedName>
    <definedName name="F.2013.11">#REF!</definedName>
    <definedName name="F.2013.12">#REF!</definedName>
    <definedName name="F.2014.01">#REF!</definedName>
    <definedName name="F.2014.05">#REF!</definedName>
    <definedName name="F.2014.06">#REF!</definedName>
    <definedName name="F.2014.10">#REF!</definedName>
    <definedName name="F.2014.11">#REF!</definedName>
    <definedName name="F_AFLCFM1">#REF!</definedName>
    <definedName name="F_AFLCFM2">#REF!</definedName>
    <definedName name="F_AFLPEM3">#REF!</definedName>
    <definedName name="F_AFLPEM4">#REF!</definedName>
    <definedName name="F_AFLPEMb">#REF!</definedName>
    <definedName name="F_AFLSD1">#REF!</definedName>
    <definedName name="F_AFLSD2">#REF!</definedName>
    <definedName name="F_Book_value_per_share">#REF!</definedName>
    <definedName name="F89_F91" localSheetId="2">AMD!$L$7:$Z$130</definedName>
    <definedName name="F90_F92" localSheetId="2">AMD!$Q$7:$AE$130</definedName>
    <definedName name="F93_F95" localSheetId="2">AMD!$AF$7:$AT$130</definedName>
    <definedName name="FAMERange1MonthPC16">#REF!</definedName>
    <definedName name="FAMERangeDJ_BALAL28">#REF!</definedName>
    <definedName name="FAMERangeDJ_BALAM28">#REF!</definedName>
    <definedName name="FAMERangeDJ_BALAN28">#REF!</definedName>
    <definedName name="FAMERangeEPSB54">#REF!</definedName>
    <definedName name="FAMERangeGCI_BALD62">#REF!</definedName>
    <definedName name="FAMERangeGCI_BALD63">#REF!</definedName>
    <definedName name="FAMERangeGCI_ISD88">#REF!</definedName>
    <definedName name="FAMERangeKRI_BALAL99">#REF!</definedName>
    <definedName name="FAMERangeKRI_BALAM99">#REF!</definedName>
    <definedName name="FAMERangeKRI_BALAN99">#REF!</definedName>
    <definedName name="FAMERangeMonthly_DownloadB5">#REF!</definedName>
    <definedName name="FAMERangeMonthly_DownloadD5">#REF!</definedName>
    <definedName name="FAMERangeraw_dataB36">#REF!</definedName>
    <definedName name="FAMERangeraw_dataB37">#REF!</definedName>
    <definedName name="FAMERangeraw_dataB38">#REF!</definedName>
    <definedName name="FAMERangeraw_dataB39">#REF!</definedName>
    <definedName name="FAMERangeraw_dataB40">#REF!</definedName>
    <definedName name="FAMERangeraw_dataB45">#REF!</definedName>
    <definedName name="FAMERangeraw_dataB51">#REF!</definedName>
    <definedName name="FAMERangeraw_dataB52">#REF!</definedName>
    <definedName name="FAMERangeraw_dataB54">#REF!</definedName>
    <definedName name="FAMERangeraw_dataB55">#REF!</definedName>
    <definedName name="FAMERangeraw_dataB57">#REF!</definedName>
    <definedName name="FAMERangeraw_dataB58">#REF!</definedName>
    <definedName name="FAMERangeraw_dataB59">#REF!</definedName>
    <definedName name="FAMERangeraw_dataB60">#REF!</definedName>
    <definedName name="FAMERangeraw_dataB62">#REF!</definedName>
    <definedName name="FAMERangeraw_dataB63">#REF!</definedName>
    <definedName name="FAMERangeraw_dataB64">#REF!</definedName>
    <definedName name="FAMERangeraw_dataB65">#REF!</definedName>
    <definedName name="FAMERangeraw_dataB68">#REF!</definedName>
    <definedName name="FAMERangeraw_dataC34">#REF!</definedName>
    <definedName name="FAMERangeraw_dataC44">#REF!</definedName>
    <definedName name="FAMERangeraw_dataC45">#REF!</definedName>
    <definedName name="FAMERangeraw_dataC51">#REF!</definedName>
    <definedName name="FAMERangeraw_dataC52">#REF!</definedName>
    <definedName name="FAMERangeraw_dataC54">#REF!</definedName>
    <definedName name="FAMERangeraw_dataC55">#REF!</definedName>
    <definedName name="FAMERangeraw_dataC57">#REF!</definedName>
    <definedName name="FAMERangeraw_dataC58">#REF!</definedName>
    <definedName name="FAMERangeraw_dataC59">#REF!</definedName>
    <definedName name="FAMERangeraw_dataC60">#REF!</definedName>
    <definedName name="FAMERangeraw_dataC62">#REF!</definedName>
    <definedName name="FAMERangeraw_dataC63">#REF!</definedName>
    <definedName name="FAMERangeraw_dataC71">#REF!</definedName>
    <definedName name="FAMERangeraw_dataD34">#REF!</definedName>
    <definedName name="FAMERangeraw_dataD44">#REF!</definedName>
    <definedName name="FAMERangeraw_dataD45">#REF!</definedName>
    <definedName name="FAMERangeraw_dataD62">#REF!</definedName>
    <definedName name="FAMERangeraw_dataD71">#REF!</definedName>
    <definedName name="FAMERangeraw_dataE44">#REF!</definedName>
    <definedName name="FAMERangeraw_dataE45">#REF!</definedName>
    <definedName name="FAMERangeraw_dataE63">#REF!</definedName>
    <definedName name="FAMERangeraw_dataE64">#REF!</definedName>
    <definedName name="FAMERangeraw_dataE65">#REF!</definedName>
    <definedName name="FAMERangeraw_dataE71">#REF!</definedName>
    <definedName name="FAMERangeraw_dataG40">#REF!</definedName>
    <definedName name="FAMERangeraw_dataG41">#REF!</definedName>
    <definedName name="FAMERangeraw_dataH40">#REF!</definedName>
    <definedName name="FAMERangeraw_dataH41">#REF!</definedName>
    <definedName name="FAMERangeraw_dataI40">#REF!</definedName>
    <definedName name="FAMERangeROEBVEPSC4">#REF!</definedName>
    <definedName name="FAMERangeSheet2B2">#REF!</definedName>
    <definedName name="FAMERangeSheet2C2">#REF!</definedName>
    <definedName name="FAMERangeSheet2D2">#REF!</definedName>
    <definedName name="FAMERangeValuationC8">#REF!</definedName>
    <definedName name="FAMERangeValuationO13">#REF!</definedName>
    <definedName name="FAMERangeValuationS13">#REF!</definedName>
    <definedName name="FAMERangeYTD_PriceD16">#REF!</definedName>
    <definedName name="Fax">#REF!</definedName>
    <definedName name="fcc00">#REF!</definedName>
    <definedName name="FCCY01">#REF!</definedName>
    <definedName name="FCCY02">#REF!</definedName>
    <definedName name="FCCY03">#REF!</definedName>
    <definedName name="FCF">#REF!</definedName>
    <definedName name="fcfps00">#REF!</definedName>
    <definedName name="fcfps96">#REF!</definedName>
    <definedName name="fcfps97">#REF!</definedName>
    <definedName name="fcfps98">#REF!</definedName>
    <definedName name="fcfps99">#REF!</definedName>
    <definedName name="FCHBA">#REF!</definedName>
    <definedName name="FCHBA_Mode">#REF!</definedName>
    <definedName name="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fdryavg">#REF!</definedName>
    <definedName name="fdryavgffq">#REF!</definedName>
    <definedName name="fdrychg">#REF!</definedName>
    <definedName name="fdrycurr">#REF!</definedName>
    <definedName name="fdrycurrffq">#REF!</definedName>
    <definedName name="fdrypegrelavg">#REF!</definedName>
    <definedName name="fdrypegrelcurr">#REF!</definedName>
    <definedName name="fdrypegrowthavg">#REF!</definedName>
    <definedName name="fdrypegrowthcurr">#REF!</definedName>
    <definedName name="fdryshares">#REF!</definedName>
    <definedName name="fdsa" hidden="1">{"'Standalone List Price Trends'!$A$1:$X$56"}</definedName>
    <definedName name="fdso">#REF!</definedName>
    <definedName name="fee_rev_06">#REF!</definedName>
    <definedName name="fffffffffff" hidden="1">{"'Standalone List Price Trends'!$A$1:$X$56"}</definedName>
    <definedName name="fiber_upgrade">#REF!</definedName>
    <definedName name="field_headings">#REF!</definedName>
    <definedName name="figures">#REF!</definedName>
    <definedName name="FileLocation">#REF!</definedName>
    <definedName name="FilingPriceIncrement">#REF!</definedName>
    <definedName name="Fin_Const_Costs">#REF!</definedName>
    <definedName name="financial_data">#REF!</definedName>
    <definedName name="financial_data2">#REF!</definedName>
    <definedName name="financial_data3">#REF!</definedName>
    <definedName name="financial_data4">#REF!</definedName>
    <definedName name="FinancialData">#REF!</definedName>
    <definedName name="FINCopyDirection">1</definedName>
    <definedName name="FINCriteriaRange">#REF!</definedName>
    <definedName name="FINCriteriaType">1</definedName>
    <definedName name="FINExtractRange">#REF!</definedName>
    <definedName name="Finish">#REF!</definedName>
    <definedName name="FINOptions">"0,0,1,1,1,0,0,-1,0,0,2,0,"</definedName>
    <definedName name="FirstCall">#REF!</definedName>
    <definedName name="FirstSummaryQuarter">#REF!</definedName>
    <definedName name="FirstYear">#REF!</definedName>
    <definedName name="five_year_growth">#REF!</definedName>
    <definedName name="fixed">#REF!</definedName>
    <definedName name="Fixed_asset_turns">#REF!</definedName>
    <definedName name="Fixed_asset_turns_DCF">#REF!</definedName>
    <definedName name="Fixed_asset_turns_fore">#REF!</definedName>
    <definedName name="Fixed_assets">#REF!</definedName>
    <definedName name="Fixed_assets_DCF">#REF!</definedName>
    <definedName name="flexchg">#REF!</definedName>
    <definedName name="flexcrpe">#REF!</definedName>
    <definedName name="flexcurr">#REF!</definedName>
    <definedName name="flexdate">#REF!</definedName>
    <definedName name="flexdown">#REF!</definedName>
    <definedName name="flexdownsup">#REF!</definedName>
    <definedName name="flexeps99">#REF!</definedName>
    <definedName name="flexfy1cons">#REF!</definedName>
    <definedName name="flexfy2cons">#REF!</definedName>
    <definedName name="flexhi">#REF!</definedName>
    <definedName name="flexhilo">#REF!</definedName>
    <definedName name="flexlow">#REF!</definedName>
    <definedName name="flexmax">#REF!</definedName>
    <definedName name="flexmin">#REF!</definedName>
    <definedName name="flexmktcap">#REF!</definedName>
    <definedName name="flexpegrowthavg">#REF!</definedName>
    <definedName name="flexpegrowthcurr">#REF!</definedName>
    <definedName name="flexpegrowthhi">#REF!</definedName>
    <definedName name="flexpegrowthlow">#REF!</definedName>
    <definedName name="flexprice">#REF!</definedName>
    <definedName name="flexrpe">#REF!</definedName>
    <definedName name="flexshares">#REF!</definedName>
    <definedName name="flextprice">#REF!</definedName>
    <definedName name="flexttmavg">#REF!</definedName>
    <definedName name="flexttmcurr">#REF!</definedName>
    <definedName name="flexttmhi">#REF!</definedName>
    <definedName name="flexttmlow">#REF!</definedName>
    <definedName name="flexttmrelavg">#REF!</definedName>
    <definedName name="flexttmrelcurr">#REF!</definedName>
    <definedName name="flexttmrelhi">#REF!</definedName>
    <definedName name="flexttmrellow">#REF!</definedName>
    <definedName name="flexup">#REF!</definedName>
    <definedName name="flexupsup">#REF!</definedName>
    <definedName name="flexvol">#REF!</definedName>
    <definedName name="flexyield">#REF!</definedName>
    <definedName name="flows">#REF!</definedName>
    <definedName name="footnote">#REF!</definedName>
    <definedName name="ForcePrice">#REF!</definedName>
    <definedName name="Forecast__IT_Services_with_Currency_Converter__2013_2019__Millions_of_U.S._Dollars">#REF!</definedName>
    <definedName name="Forex_Adjustment">#REF!</definedName>
    <definedName name="FQE_range">#REF!</definedName>
    <definedName name="fratios">#REF!</definedName>
    <definedName name="frcfnetinc">#REF!</definedName>
    <definedName name="free">#REF!</definedName>
    <definedName name="Free_Cash_Flow">#REF!</definedName>
    <definedName name="FRF_X">#REF!</definedName>
    <definedName name="Fujitsu">#REF!</definedName>
    <definedName name="fwd2axe">#REF!</definedName>
    <definedName name="fwd2bwc">#REF!</definedName>
    <definedName name="fwd2cdt">#REF!</definedName>
    <definedName name="fwd2cien">#REF!</definedName>
    <definedName name="fwd2cls">#REF!</definedName>
    <definedName name="fwd2etek">#REF!</definedName>
    <definedName name="fwd2glw">#REF!</definedName>
    <definedName name="fwd2jds">#REF!</definedName>
    <definedName name="fwd2jdsu">#REF!</definedName>
    <definedName name="fwd2knt">#REF!</definedName>
    <definedName name="fwd2molx">#REF!</definedName>
    <definedName name="fwd2oak">#REF!</definedName>
    <definedName name="fwd2sanm">#REF!</definedName>
    <definedName name="fwd2scmr">#REF!</definedName>
    <definedName name="fwd2sdli">#REF!</definedName>
    <definedName name="fwd2unph">#REF!</definedName>
    <definedName name="fwd2vsh">#REF!</definedName>
    <definedName name="fwdebitda">#REF!</definedName>
    <definedName name="fwdebitdagr">#REF!</definedName>
    <definedName name="fwdebitdaps">#REF!</definedName>
    <definedName name="fwdfrcf">#REF!</definedName>
    <definedName name="fwdfrcfch">#REF!</definedName>
    <definedName name="fwdfrcfmktcap">#REF!</definedName>
    <definedName name="fwdfrcfpct">#REF!</definedName>
    <definedName name="fwdfrcfps">#REF!</definedName>
    <definedName name="fx">120</definedName>
    <definedName name="FX_Gains">#REF!</definedName>
    <definedName name="FXRate">#REF!</definedName>
    <definedName name="fy.00">#REF!</definedName>
    <definedName name="fy.01">#REF!</definedName>
    <definedName name="fy.02">#REF!</definedName>
    <definedName name="fy.95">#REF!</definedName>
    <definedName name="fy.96">#REF!</definedName>
    <definedName name="fy.97">#REF!</definedName>
    <definedName name="fy.98">#REF!</definedName>
    <definedName name="fy.99">#REF!</definedName>
    <definedName name="fy_00">#REF!</definedName>
    <definedName name="fy_01">#REF!</definedName>
    <definedName name="fy_02">#REF!</definedName>
    <definedName name="FY_03">#REF!</definedName>
    <definedName name="FY_1GrossMargin">#REF!</definedName>
    <definedName name="FY_1NetIncome">#REF!</definedName>
    <definedName name="FY_1OpsIncome">#REF!</definedName>
    <definedName name="FY_1OpsMargin">#REF!</definedName>
    <definedName name="FY_1Rev">#REF!</definedName>
    <definedName name="FY_2GrossMargin">#REF!</definedName>
    <definedName name="FY_2NetIncome">#REF!</definedName>
    <definedName name="FY_2OpsIncome">#REF!</definedName>
    <definedName name="FY_2OpsMargin">#REF!</definedName>
    <definedName name="FY_2Rev">#REF!</definedName>
    <definedName name="FY_3GrossMargin">#REF!</definedName>
    <definedName name="FY_3NetIncome">#REF!</definedName>
    <definedName name="FY_3OpsIncome">#REF!</definedName>
    <definedName name="FY_3OpsMargin">#REF!</definedName>
    <definedName name="FY_3Rev">#REF!</definedName>
    <definedName name="FY_4GrossMargin">#REF!</definedName>
    <definedName name="FY_4NetIncome">#REF!</definedName>
    <definedName name="FY_4OpsIncome">#REF!</definedName>
    <definedName name="FY_4OpsMargin">#REF!</definedName>
    <definedName name="FY_4Rev">#REF!</definedName>
    <definedName name="FY_87">#REF!</definedName>
    <definedName name="FY_88">#REF!</definedName>
    <definedName name="FY_89">#REF!</definedName>
    <definedName name="FY_90">#REF!</definedName>
    <definedName name="FY_91">#REF!</definedName>
    <definedName name="FY_92">#REF!</definedName>
    <definedName name="FY_93">#REF!</definedName>
    <definedName name="FY_94">#REF!</definedName>
    <definedName name="FY_95">#REF!</definedName>
    <definedName name="FY_96">#REF!</definedName>
    <definedName name="fy_97">#REF!</definedName>
    <definedName name="fy_98">#REF!</definedName>
    <definedName name="fy_99">#REF!</definedName>
    <definedName name="fy00_eps">#REF!</definedName>
    <definedName name="fy00_rev">#REF!</definedName>
    <definedName name="FY0GrossMargin">#REF!</definedName>
    <definedName name="FY0NetIncome">#REF!</definedName>
    <definedName name="FY0OpsIncome">#REF!</definedName>
    <definedName name="FY0OpsMargin">#REF!</definedName>
    <definedName name="FY0Rev">#REF!</definedName>
    <definedName name="FY1GrossMargin">#REF!</definedName>
    <definedName name="FY1NetIncome">#REF!</definedName>
    <definedName name="FY1OpsIncome">#REF!</definedName>
    <definedName name="FY1OpsMargin">#REF!</definedName>
    <definedName name="FY1Rev">#REF!</definedName>
    <definedName name="FY2GrossMargin">#REF!</definedName>
    <definedName name="FY2NetIncome">#REF!</definedName>
    <definedName name="FY2OpsIncome">#REF!</definedName>
    <definedName name="FY2OpsMargin">#REF!</definedName>
    <definedName name="FY2Rev">#REF!</definedName>
    <definedName name="FY3GrossMargin">#REF!</definedName>
    <definedName name="FY3NetIncome">#REF!</definedName>
    <definedName name="FY3OpsIncome">#REF!</definedName>
    <definedName name="FY3OpsMargin">#REF!</definedName>
    <definedName name="FY3Rev">#REF!</definedName>
    <definedName name="fy95_r">#REF!</definedName>
    <definedName name="fy95_rev">#REF!</definedName>
    <definedName name="fy96_rev">#REF!</definedName>
    <definedName name="fy96_shares">#REF!</definedName>
    <definedName name="fy97_ni">#REF!</definedName>
    <definedName name="fy97_rev">#REF!</definedName>
    <definedName name="fy97_shares">#REF!</definedName>
    <definedName name="fy98_eps">#REF!</definedName>
    <definedName name="fy98_ni">#REF!</definedName>
    <definedName name="fy98_rev">#REF!</definedName>
    <definedName name="fy98_shares">#REF!</definedName>
    <definedName name="fy99_eps">#REF!</definedName>
    <definedName name="fy99_ni">#REF!</definedName>
    <definedName name="fy99_rev">#REF!</definedName>
    <definedName name="fy99_shares">#REF!</definedName>
    <definedName name="FYE">#REF!</definedName>
    <definedName name="fye.00">#REF!</definedName>
    <definedName name="fye.98">#REF!</definedName>
    <definedName name="fye.99">#REF!</definedName>
    <definedName name="FYERef">#REF!</definedName>
    <definedName name="g" hidden="1">{"IS",#N/A,FALSE,"IS";"RPTIS",#N/A,FALSE,"RPTIS";"STATS",#N/A,FALSE,"STATS";"BS",#N/A,FALSE,"BS"}</definedName>
    <definedName name="GA_Expense">#REF!</definedName>
    <definedName name="GAAP">#REF!</definedName>
    <definedName name="gains">#REF!</definedName>
    <definedName name="GalliumArsenide">#REF!</definedName>
    <definedName name="gallon">#REF!</definedName>
    <definedName name="gallprice">#REF!</definedName>
    <definedName name="GBL_Depreciation">#REF!</definedName>
    <definedName name="GBL_EBIT">#REF!</definedName>
    <definedName name="GBL_Increase_Net_Debt">#REF!</definedName>
    <definedName name="GBL_Minority_Interests_Balance_Sheet">#REF!</definedName>
    <definedName name="GBL_Operating_Cash_Flow">#REF!</definedName>
    <definedName name="GBL_Other_Operating">#REF!</definedName>
    <definedName name="GBL_Working_Capital_Increase">#REF!</definedName>
    <definedName name="GBP_X">#REF!</definedName>
    <definedName name="gcnavg">#REF!</definedName>
    <definedName name="gcnchg">#REF!</definedName>
    <definedName name="gcncrpe">#REF!</definedName>
    <definedName name="gcncurr">#REF!</definedName>
    <definedName name="gcndate">#REF!</definedName>
    <definedName name="gcndown">#REF!</definedName>
    <definedName name="gcndownsup">#REF!</definedName>
    <definedName name="gcneps98">#REF!</definedName>
    <definedName name="gcneps99">#REF!</definedName>
    <definedName name="gcnfy1cons">#REF!</definedName>
    <definedName name="gcnfy2cons">#REF!</definedName>
    <definedName name="gcnhi">#REF!</definedName>
    <definedName name="gcnhilo">#REF!</definedName>
    <definedName name="gcnlow">#REF!</definedName>
    <definedName name="gcnmktcap">#REF!</definedName>
    <definedName name="gcnpegrowthavg">#REF!</definedName>
    <definedName name="gcnpegrowthcurr">#REF!</definedName>
    <definedName name="gcnpegrowthhi">#REF!</definedName>
    <definedName name="gcnpegrowthlow">#REF!</definedName>
    <definedName name="gcnprice">#REF!</definedName>
    <definedName name="gcnrpe">#REF!</definedName>
    <definedName name="gcnshares">#REF!</definedName>
    <definedName name="gcntprice">#REF!</definedName>
    <definedName name="gcnttmavg">#REF!</definedName>
    <definedName name="gcnttmcurr">#REF!</definedName>
    <definedName name="gcnttmhi">#REF!</definedName>
    <definedName name="gcnttmlow">#REF!</definedName>
    <definedName name="gcnttmrelavg">#REF!</definedName>
    <definedName name="gcnttmrelcurr">#REF!</definedName>
    <definedName name="gcnttmrelhi">#REF!</definedName>
    <definedName name="gcnttmrellow">#REF!</definedName>
    <definedName name="gcnup">#REF!</definedName>
    <definedName name="gcnupsup">#REF!</definedName>
    <definedName name="gcnvol">#REF!</definedName>
    <definedName name="gcnyield">#REF!</definedName>
    <definedName name="GD">#REF!</definedName>
    <definedName name="GDP">#REF!</definedName>
    <definedName name="gdp00">#REF!</definedName>
    <definedName name="gdpgr00">#REF!</definedName>
    <definedName name="gdpgr01">#REF!</definedName>
    <definedName name="gdpgr02">#REF!</definedName>
    <definedName name="gdpgr03">#REF!</definedName>
    <definedName name="gdpgr96">#REF!</definedName>
    <definedName name="gdpgr97">#REF!</definedName>
    <definedName name="gdpgr98">#REF!</definedName>
    <definedName name="gdpgr99">#REF!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AC">#REF!</definedName>
    <definedName name="gemsavg">#REF!</definedName>
    <definedName name="gemsavgffq">#REF!</definedName>
    <definedName name="gemschg">#REF!</definedName>
    <definedName name="gemscurr">#REF!</definedName>
    <definedName name="gemscurrffq">#REF!</definedName>
    <definedName name="gemspegrelavg">#REF!</definedName>
    <definedName name="gemspegrelcurr">#REF!</definedName>
    <definedName name="gemspegrowthavg">#REF!</definedName>
    <definedName name="gemspegrowthcurr">#REF!</definedName>
    <definedName name="GeneralCompanyName">#REF!</definedName>
    <definedName name="Geographical">#REF!</definedName>
    <definedName name="Geography">#REF!</definedName>
    <definedName name="ghj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icfy1cons">#REF!</definedName>
    <definedName name="gicfy2cons">#REF!</definedName>
    <definedName name="gichi">#REF!</definedName>
    <definedName name="giclow">#REF!</definedName>
    <definedName name="gicpegrowthavg">#REF!</definedName>
    <definedName name="gicpegrowthcurr">#REF!</definedName>
    <definedName name="gicpegrowthhi">#REF!</definedName>
    <definedName name="gicpegrowthlow">#REF!</definedName>
    <definedName name="gicprice">#REF!</definedName>
    <definedName name="gicshares">#REF!</definedName>
    <definedName name="gicttmavg">#REF!</definedName>
    <definedName name="gicttmcurr">#REF!</definedName>
    <definedName name="gicttmhi">#REF!</definedName>
    <definedName name="gicttmlow">#REF!</definedName>
    <definedName name="gicttmrelavg">#REF!</definedName>
    <definedName name="gicttmrelcurr">#REF!</definedName>
    <definedName name="gicttmrelhi">#REF!</definedName>
    <definedName name="gicttmrellow">#REF!</definedName>
    <definedName name="gig_conversion">#REF!</definedName>
    <definedName name="Global_Sector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glwavg">#REF!</definedName>
    <definedName name="glwchg">#REF!</definedName>
    <definedName name="glwcrpe">#REF!</definedName>
    <definedName name="glwcurr">#REF!</definedName>
    <definedName name="glwdate">#REF!</definedName>
    <definedName name="glwdown">#REF!</definedName>
    <definedName name="glwdownsup">#REF!</definedName>
    <definedName name="glwevebitda">#REF!</definedName>
    <definedName name="glwffqpeavg">#REF!</definedName>
    <definedName name="glwffqpecurr">#REF!</definedName>
    <definedName name="glwFY1cons">#REF!</definedName>
    <definedName name="glwFY2cons">#REF!</definedName>
    <definedName name="glwhi">#REF!</definedName>
    <definedName name="glwhilo">#REF!</definedName>
    <definedName name="glwlo">#REF!</definedName>
    <definedName name="glwmktcap">#REF!</definedName>
    <definedName name="glwpe1">#REF!</definedName>
    <definedName name="glwpe2">#REF!</definedName>
    <definedName name="glwpegrowthavg">#REF!</definedName>
    <definedName name="glwpegrowthcurr">#REF!</definedName>
    <definedName name="glwpegrowthmax">#REF!</definedName>
    <definedName name="glwpegrowthmin">#REF!</definedName>
    <definedName name="glwperelavg">#REF!</definedName>
    <definedName name="glwperelcurr">#REF!</definedName>
    <definedName name="glwprice">#REF!</definedName>
    <definedName name="glwqv">#REF!</definedName>
    <definedName name="glwrating">#REF!</definedName>
    <definedName name="glwrpe">#REF!</definedName>
    <definedName name="glwshares">#REF!</definedName>
    <definedName name="glwtech">#REF!</definedName>
    <definedName name="glwtprice">#REF!</definedName>
    <definedName name="glwttmavg">#REF!</definedName>
    <definedName name="glwttmcurr">#REF!</definedName>
    <definedName name="glwttmhi">#REF!</definedName>
    <definedName name="glwttmlo">#REF!</definedName>
    <definedName name="glwttmrelavg">#REF!</definedName>
    <definedName name="glwttmrelcurr">#REF!</definedName>
    <definedName name="glwttmrelhi">#REF!</definedName>
    <definedName name="glwttmrello">#REF!</definedName>
    <definedName name="glwup">#REF!</definedName>
    <definedName name="glwupsup">#REF!</definedName>
    <definedName name="glwvol">#REF!</definedName>
    <definedName name="glwyield">#REF!</definedName>
    <definedName name="GM">#REF!</definedName>
    <definedName name="Goodwill">#REF!</definedName>
    <definedName name="Goodwill_Amort">#REF!</definedName>
    <definedName name="Goodwill_growth_fore">#REF!</definedName>
    <definedName name="Goodwill1998">#REF!</definedName>
    <definedName name="Goodwill1999">#REF!</definedName>
    <definedName name="Goodwill2000">#REF!</definedName>
    <definedName name="Goodwill2001">#REF!</definedName>
    <definedName name="GotoMenu">#REF!</definedName>
    <definedName name="GotoTab">#REF!</definedName>
    <definedName name="GQ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rm00">#REF!</definedName>
    <definedName name="gross.marg">[0]!IS pro #REF!</definedName>
    <definedName name="Gross_inc_growth">#REF!</definedName>
    <definedName name="Gross_income">#REF!</definedName>
    <definedName name="Gross_income_fore">#REF!</definedName>
    <definedName name="Gross_income_growth_avg">#REF!</definedName>
    <definedName name="Gross_Margin">#REF!</definedName>
    <definedName name="Gross_margin_fore">#REF!</definedName>
    <definedName name="GrossMargin">#REF!</definedName>
    <definedName name="Group1">#REF!</definedName>
    <definedName name="Growth">#REF!</definedName>
    <definedName name="Growth_97">#REF!</definedName>
    <definedName name="Growth_98">#REF!</definedName>
    <definedName name="Growth_99">#REF!</definedName>
    <definedName name="h" hidden="1">{"'Standalone List Price Trends'!$A$1:$X$56"}</definedName>
    <definedName name="HANDHELDS">#REF!</definedName>
    <definedName name="HannStar">#REF!</definedName>
    <definedName name="HB_email">"hbellini@isigrp.com"</definedName>
    <definedName name="HB_phone">"(XXX) XXX-XXXX"</definedName>
    <definedName name="HBAASP">#REF!</definedName>
    <definedName name="HBAinfo">#REF!</definedName>
    <definedName name="Headcount">#REF!</definedName>
    <definedName name="HeadlineCell">#REF!</definedName>
    <definedName name="HEASP">#REF!</definedName>
    <definedName name="hello">#REF!</definedName>
    <definedName name="HelpCaption">#REF!</definedName>
    <definedName name="HERAID">#REF!</definedName>
    <definedName name="HERELSHARE">#REF!</definedName>
    <definedName name="HESeq.">#REF!</definedName>
    <definedName name="HETBSeq.">#REF!</definedName>
    <definedName name="HETBShipped">#REF!</definedName>
    <definedName name="HETBYoY">#REF!</definedName>
    <definedName name="HEYoY">#REF!</definedName>
    <definedName name="Hicks_Convert">#REF!</definedName>
    <definedName name="hide">#REF!</definedName>
    <definedName name="hidebs">#REF!</definedName>
    <definedName name="HighestAllowedPE">#REF!</definedName>
    <definedName name="hist3atsn">#REF!</definedName>
    <definedName name="hist3avx">#REF!</definedName>
    <definedName name="hist3axe">#REF!</definedName>
    <definedName name="hist3bwc">#REF!</definedName>
    <definedName name="hist3cdt">#REF!</definedName>
    <definedName name="hist3cien">#REF!</definedName>
    <definedName name="hist3cls">#REF!</definedName>
    <definedName name="hist3etek">#REF!</definedName>
    <definedName name="hist3glw">#REF!</definedName>
    <definedName name="hist3jds">#REF!</definedName>
    <definedName name="hist3jdsu">#REF!</definedName>
    <definedName name="hist3knt">#REF!</definedName>
    <definedName name="hist3molx">#REF!</definedName>
    <definedName name="hist3oak">#REF!</definedName>
    <definedName name="hist3sanm">#REF!</definedName>
    <definedName name="hist3sci">#REF!</definedName>
    <definedName name="hist3scmr">#REF!</definedName>
    <definedName name="hist3sdli">#REF!</definedName>
    <definedName name="hist3unph">#REF!</definedName>
    <definedName name="hist3vsh">#REF!</definedName>
    <definedName name="historic_prices">#REF!</definedName>
    <definedName name="historic_prices_new">#REF!</definedName>
    <definedName name="historical_date_Range">#REF!</definedName>
    <definedName name="Historical_Incremental_ROIC">#REF!</definedName>
    <definedName name="Hitachi">#REF!</definedName>
    <definedName name="hlitavg">#REF!</definedName>
    <definedName name="hlitchg">#REF!</definedName>
    <definedName name="hlitcurr">#REF!</definedName>
    <definedName name="hlitfy1cons">#REF!</definedName>
    <definedName name="hlitfy2cons">#REF!</definedName>
    <definedName name="hlithi">#REF!</definedName>
    <definedName name="hlitlow">#REF!</definedName>
    <definedName name="hlitpegrowthavg">#REF!</definedName>
    <definedName name="hlitpegrowthcurr">#REF!</definedName>
    <definedName name="hlitpegrowthhi">#REF!</definedName>
    <definedName name="hlitpegrowthlow">#REF!</definedName>
    <definedName name="hlitprice">#REF!</definedName>
    <definedName name="hlitshares">#REF!</definedName>
    <definedName name="hlitttmavg">#REF!</definedName>
    <definedName name="hlitttmcurr">#REF!</definedName>
    <definedName name="hlitttmhi">#REF!</definedName>
    <definedName name="hlitttmlow">#REF!</definedName>
    <definedName name="hlitttmrelavg">#REF!</definedName>
    <definedName name="hlitttmrelcurr">#REF!</definedName>
    <definedName name="hlitttmrelhi">#REF!</definedName>
    <definedName name="hlitttmrellow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me_Market_EBIT_Incl_Above">#REF!</definedName>
    <definedName name="Home_Market_Turnover_Incl_Above">#REF!</definedName>
    <definedName name="HOST_DEAL">#REF!</definedName>
    <definedName name="HTML_CodePage" hidden="1">1252</definedName>
    <definedName name="HTML_Control" hidden="1">{"'Standalone List Price Trends'!$A$1:$X$56"}</definedName>
    <definedName name="HTML_Description" hidden="1">""</definedName>
    <definedName name="HTML_Email" hidden="1">""</definedName>
    <definedName name="HTML_Header" hidden="1">"Standalone List Price Trends"</definedName>
    <definedName name="HTML_LastUpdate" hidden="1">"3/5/98"</definedName>
    <definedName name="HTML_LineAfter" hidden="1">FALSE</definedName>
    <definedName name="HTML_LineBefore" hidden="1">FALSE</definedName>
    <definedName name="HTML_Name" hidden="1">"Kevin Mitchell"</definedName>
    <definedName name="HTML_OBDlg2" hidden="1">TRUE</definedName>
    <definedName name="HTML_OBDlg4" hidden="1">TRUE</definedName>
    <definedName name="HTML_OS" hidden="1">0</definedName>
    <definedName name="HTML_PathFile" hidden="1">"C:\Kevin's Data\SW$\SW$SVC HTML\Strends.htm"</definedName>
    <definedName name="HTML_Title" hidden="1">"Switch Prices 03-98 xl97"</definedName>
    <definedName name="HUh" hidden="1">{"'Standalone List Price Trends'!$A$1:$X$56"}</definedName>
    <definedName name="hw_maint_rev">#REF!</definedName>
    <definedName name="Hw_rev">#REF!</definedName>
    <definedName name="HYSL">#REF!</definedName>
    <definedName name="hysl_pe">#REF!</definedName>
    <definedName name="hysl_price">#REF!</definedName>
    <definedName name="i_an_new_business">#REF!</definedName>
    <definedName name="i_claims_ratio">#REF!</definedName>
    <definedName name="i_combined_ratio">#REF!</definedName>
    <definedName name="i_embedded_value">#REF!</definedName>
    <definedName name="i_expense_ratio">#REF!</definedName>
    <definedName name="i_solvency_ratio">#REF!</definedName>
    <definedName name="Iasp">#REF!</definedName>
    <definedName name="ibesd">#REF!</definedName>
    <definedName name="IBM_softwareRevs">#REF!</definedName>
    <definedName name="IBPEVA">#REF!</definedName>
    <definedName name="IC_1">#REF!</definedName>
    <definedName name="IC_10">#REF!</definedName>
    <definedName name="IC_11">#REF!</definedName>
    <definedName name="IC_12">#REF!</definedName>
    <definedName name="IC_13">#REF!</definedName>
    <definedName name="IC_14">#REF!</definedName>
    <definedName name="IC_2">#REF!</definedName>
    <definedName name="IC_3">#REF!</definedName>
    <definedName name="IC_4">#REF!</definedName>
    <definedName name="IC_5">#REF!</definedName>
    <definedName name="IC_6">#REF!</definedName>
    <definedName name="IC_7">#REF!</definedName>
    <definedName name="IC_8">#REF!</definedName>
    <definedName name="IC_9">#REF!</definedName>
    <definedName name="IC_P">#REF!</definedName>
    <definedName name="IC_P1">#REF!</definedName>
    <definedName name="IC_P2">#REF!</definedName>
    <definedName name="IC_P3">#REF!</definedName>
    <definedName name="IDC">#REF!</definedName>
    <definedName name="IFLX">#REF!</definedName>
    <definedName name="in">#REF!</definedName>
    <definedName name="IN_g">#REF!</definedName>
    <definedName name="IN_is">#REF!</definedName>
    <definedName name="Inc.Mrgn">#REF!</definedName>
    <definedName name="Inc_cap_RnD_fore">#REF!</definedName>
    <definedName name="INcome">#REF!</definedName>
    <definedName name="Income_before_taxes">#REF!</definedName>
    <definedName name="Income_equivalents">#REF!</definedName>
    <definedName name="Income_equivalents_fore">#REF!</definedName>
    <definedName name="Income_form_uncons_subs_fore">#REF!</definedName>
    <definedName name="Income_from_Unconsolidated_Subs">#REF!</definedName>
    <definedName name="Income_Statement">#REF!</definedName>
    <definedName name="Income_tax">#REF!</definedName>
    <definedName name="Income_tax_fore">#REF!</definedName>
    <definedName name="Income_tax_growth_fore">#REF!</definedName>
    <definedName name="Income_tax_rate">#REF!</definedName>
    <definedName name="Income_taxes_payable">#REF!</definedName>
    <definedName name="Income_taxes_payable_growth_fore">#REF!</definedName>
    <definedName name="Increase_cap_RnD_fore">#REF!</definedName>
    <definedName name="Increase_Capitalized_R_D_net">#REF!</definedName>
    <definedName name="Increase_Deferred_Taxes">#REF!</definedName>
    <definedName name="Increase_In_Cash">#REF!</definedName>
    <definedName name="Increase_In_Equity">#REF!</definedName>
    <definedName name="Increase_In_Long_Term_Debt">#REF!</definedName>
    <definedName name="Increase_in_other_liabilities">#REF!</definedName>
    <definedName name="Increase_in_other_reserves">#REF!</definedName>
    <definedName name="Increase_In_Short_Term_Debt">#REF!</definedName>
    <definedName name="Increase_LIFO_Reserve">#REF!</definedName>
    <definedName name="Incremental_investment">#REF!</definedName>
    <definedName name="Incremental_ROIC">#REF!</definedName>
    <definedName name="Incremental_ROIC_DCF">#REF!</definedName>
    <definedName name="IncSt">#REF!</definedName>
    <definedName name="IncStItem">#REF!</definedName>
    <definedName name="IncStQuarter">#REF!</definedName>
    <definedName name="inct">#REF!</definedName>
    <definedName name="InfoNext">#N/A</definedName>
    <definedName name="InfoPrev">#N/A</definedName>
    <definedName name="INFOR">#REF!</definedName>
    <definedName name="initial_fiber_miles">#REF!</definedName>
    <definedName name="initial_trans_rev">#REF!</definedName>
    <definedName name="Innolux">#REF!</definedName>
    <definedName name="INPUT">#REF!</definedName>
    <definedName name="input_data">#REF!</definedName>
    <definedName name="INPUTS">#REF!</definedName>
    <definedName name="Inputs2">#REF!,#REF!,#REF!,#REF!</definedName>
    <definedName name="Institutions">#REF!</definedName>
    <definedName name="int_calc">#REF!</definedName>
    <definedName name="Int_exp_OL">#REF!</definedName>
    <definedName name="int_income">#REF!</definedName>
    <definedName name="intcap">#REF!</definedName>
    <definedName name="Interest_exp_growth_fore">#REF!</definedName>
    <definedName name="Interest_exp_inc_fore">#REF!</definedName>
    <definedName name="Interest_expense_after_taxes">#REF!</definedName>
    <definedName name="Interest_expense_income">#REF!</definedName>
    <definedName name="Interest_expense_oper_leases">#REF!</definedName>
    <definedName name="interest_expense_pretelstra">#REF!</definedName>
    <definedName name="interest_income_pretelstra">#REF!</definedName>
    <definedName name="Interest_oper_lease">#REF!</definedName>
    <definedName name="Interest_Paid">#REF!</definedName>
    <definedName name="interl">#REF!</definedName>
    <definedName name="internl">#REF!</definedName>
    <definedName name="intl">#REF!</definedName>
    <definedName name="Intra_1Q98">#REF!</definedName>
    <definedName name="Inventories">#REF!</definedName>
    <definedName name="Inventory">#REF!</definedName>
    <definedName name="Inventory_growth_fore">#REF!</definedName>
    <definedName name="Inventory_turns">#REF!</definedName>
    <definedName name="Invested_capital">#REF!</definedName>
    <definedName name="Invested_capital_DCF">#REF!</definedName>
    <definedName name="Invested_capital_growth_fore">#REF!</definedName>
    <definedName name="Invested_capital_turns">#REF!</definedName>
    <definedName name="Invested_capital_turns_DCF">#REF!</definedName>
    <definedName name="Invested_capital_turns_fore">#REF!</definedName>
    <definedName name="Investment_In_Affiliates">#REF!</definedName>
    <definedName name="Investments_in_Unconsolidated_Subs">#REF!</definedName>
    <definedName name="Investments_Other_Assets">#REF!</definedName>
    <definedName name="ION">#REF!</definedName>
    <definedName name="IPOTRIG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GW_ACT_OR_EST" hidden="1">"c4320"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GW_ACT_OR_EST" hidden="1">"c4354"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ST_REUT" hidden="1">"c5453"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EST_REUT" hidden="1">"c5389"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GW_ACT_OR_EST" hidden="1">"c4380"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FFO" hidden="1">"c1666"</definedName>
    <definedName name="IQ_EST_ACT_FFO_THOM" hidden="1">"c4005"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ACT_REV_CIQ" hidden="1">"c3666"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EQ_GROWTH_Q" hidden="1">"c1764"</definedName>
    <definedName name="IQ_EST_EPS_SEQ_GROWTH_Q_CIQ" hidden="1">"c3690"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NAV_DIFF" hidden="1">"c1895"</definedName>
    <definedName name="IQ_EST_NAV_SURPRISE_PERCENT" hidden="1">"c1896"</definedName>
    <definedName name="IQ_EST_NEXT_EARNINGS_DATE" hidden="1">"c13591"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" hidden="1">"c418"</definedName>
    <definedName name="IQ_FFO_EST_CIQ" hidden="1">"c4970"</definedName>
    <definedName name="IQ_FFO_EST_THOM" hidden="1">"c3999"</definedName>
    <definedName name="IQ_FFO_HIGH_EST" hidden="1">"c419"</definedName>
    <definedName name="IQ_FFO_HIGH_EST_CIQ" hidden="1">"c4977"</definedName>
    <definedName name="IQ_FFO_HIGH_EST_THOM" hidden="1">"c4001"</definedName>
    <definedName name="IQ_FFO_LOW_EST" hidden="1">"c420"</definedName>
    <definedName name="IQ_FFO_LOW_EST_CIQ" hidden="1">"c4978"</definedName>
    <definedName name="IQ_FFO_LOW_EST_THOM" hidden="1">"c4002"</definedName>
    <definedName name="IQ_FFO_MEDIAN_EST" hidden="1">"c1665"</definedName>
    <definedName name="IQ_FFO_MEDIAN_EST_CIQ" hidden="1">"c4979"</definedName>
    <definedName name="IQ_FFO_MEDIAN_EST_THOM" hidden="1">"c4000"</definedName>
    <definedName name="IQ_FFO_NUM_EST" hidden="1">"c421"</definedName>
    <definedName name="IQ_FFO_NUM_EST_CIQ" hidden="1">"c4980"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TDDEV_EST" hidden="1">"c422"</definedName>
    <definedName name="IQ_FFO_STDDEV_EST_CIQ" hidden="1">"c4981"</definedName>
    <definedName name="IQ_FFO_STDDEV_EST_THOM" hidden="1">"c4004"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>15000</definedName>
    <definedName name="IQ_MOODYS_ACTION_LT" hidden="1">"c5660"</definedName>
    <definedName name="IQ_MOODYS_ACTION_ST" hidden="1">"c5663"</definedName>
    <definedName name="IQ_MOODYS_BANK_FIN_STRENGTH_ACTION_LT" hidden="1">"c5669"</definedName>
    <definedName name="IQ_MOODYS_BANK_FIN_STRENGTH_DATE_LT" hidden="1">"c5668"</definedName>
    <definedName name="IQ_MOODYS_BANK_FIN_STRENGTH_LT" hidden="1">"c5670"</definedName>
    <definedName name="IQ_MOODYS_CORP_FAMILY_ACTION_LT" hidden="1">"c5666"</definedName>
    <definedName name="IQ_MOODYS_CORP_FAMILY_DATE_LT" hidden="1">"c5665"</definedName>
    <definedName name="IQ_MOODYS_CORP_FAMILY_LT" hidden="1">"c5667"</definedName>
    <definedName name="IQ_MOODYS_DATE_LT" hidden="1">"c5659"</definedName>
    <definedName name="IQ_MOODYS_DATE_ST" hidden="1">"c5662"</definedName>
    <definedName name="IQ_MOODYS_INS_FIN_STRENGTH_ACTION_LT" hidden="1">"c5672"</definedName>
    <definedName name="IQ_MOODYS_INS_FIN_STRENGTH_ACTION_ST" hidden="1">"c5675"</definedName>
    <definedName name="IQ_MOODYS_INS_FIN_STRENGTH_DATE_LT" hidden="1">"c5671"</definedName>
    <definedName name="IQ_MOODYS_INS_FIN_STRENGTH_DATE_ST" hidden="1">"c5674"</definedName>
    <definedName name="IQ_MOODYS_INS_FIN_STRENGTH_LT" hidden="1">"c5673"</definedName>
    <definedName name="IQ_MOODYS_INS_FIN_STRENGTH_ST" hidden="1">"c5676"</definedName>
    <definedName name="IQ_MOODYS_ISSUE_ACTION_LT" hidden="1">"c5683"</definedName>
    <definedName name="IQ_MOODYS_ISSUE_ACTION_ST" hidden="1">"c6784"</definedName>
    <definedName name="IQ_MOODYS_ISSUE_DATE_LT" hidden="1">"c5682"</definedName>
    <definedName name="IQ_MOODYS_ISSUE_DATE_ST" hidden="1">"c6783"</definedName>
    <definedName name="IQ_MOODYS_ISSUE_LT" hidden="1">"c5684"</definedName>
    <definedName name="IQ_MOODYS_ISSUE_ST" hidden="1">"c6785"</definedName>
    <definedName name="IQ_MOODYS_ISSUE_WATCHLIST_DATE" hidden="1">"c5685"</definedName>
    <definedName name="IQ_MOODYS_ISSUE_WATCHLIST_INDICATOR" hidden="1">"c5687"</definedName>
    <definedName name="IQ_MOODYS_ISSUE_WATCHLIST_REASON" hidden="1">"c5686"</definedName>
    <definedName name="IQ_MOODYS_JR_SUB_ACTION_LT" hidden="1">"c13537"</definedName>
    <definedName name="IQ_MOODYS_JR_SUB_DATE_LT" hidden="1">"c13536"</definedName>
    <definedName name="IQ_MOODYS_JR_SUB_LT" hidden="1">"c13535"</definedName>
    <definedName name="IQ_MOODYS_JR_SUB_TYPE_LT" hidden="1">"c13538"</definedName>
    <definedName name="IQ_MOODYS_LATEST_DATE_LT" hidden="1">"c12711"</definedName>
    <definedName name="IQ_MOODYS_LATEST_DATE_ST" hidden="1">"c12715"</definedName>
    <definedName name="IQ_MOODYS_LATEST_LT" hidden="1">"c12710"</definedName>
    <definedName name="IQ_MOODYS_LATEST_ST" hidden="1">"c12714"</definedName>
    <definedName name="IQ_MOODYS_LATEST_TYPE_LT" hidden="1">"c12713"</definedName>
    <definedName name="IQ_MOODYS_LATEST_TYPE_ST" hidden="1">"c12717"</definedName>
    <definedName name="IQ_MOODYS_LT" hidden="1">"c5661"</definedName>
    <definedName name="IQ_MOODYS_OTHER_ACTION_LT" hidden="1">"c13545"</definedName>
    <definedName name="IQ_MOODYS_OTHER_ACTION_ST" hidden="1">"c13569"</definedName>
    <definedName name="IQ_MOODYS_OTHER_DATE_LT" hidden="1">"c13544"</definedName>
    <definedName name="IQ_MOODYS_OTHER_DATE_ST" hidden="1">"c13568"</definedName>
    <definedName name="IQ_MOODYS_OTHER_LT" hidden="1">"c13543"</definedName>
    <definedName name="IQ_MOODYS_OTHER_ST" hidden="1">"c13567"</definedName>
    <definedName name="IQ_MOODYS_OTHER_TYPE_LT" hidden="1">"c13546"</definedName>
    <definedName name="IQ_MOODYS_OTHER_TYPE_ST" hidden="1">"c13570"</definedName>
    <definedName name="IQ_MOODYS_OUTLOOK" hidden="1">"c5678"</definedName>
    <definedName name="IQ_MOODYS_OUTLOOK_DATE" hidden="1">"c5677"</definedName>
    <definedName name="IQ_MOODYS_PREF_ACTION_LT" hidden="1">"c13541"</definedName>
    <definedName name="IQ_MOODYS_PREF_DATE_LT" hidden="1">"c13540"</definedName>
    <definedName name="IQ_MOODYS_PREF_LT" hidden="1">"c13539"</definedName>
    <definedName name="IQ_MOODYS_PREF_TYPE_LT" hidden="1">"c13542"</definedName>
    <definedName name="IQ_MOODYS_SERVICER_QUALITY_ACTION_LT" hidden="1">"c13549"</definedName>
    <definedName name="IQ_MOODYS_SERVICER_QUALITY_DATE_LT" hidden="1">"c13548"</definedName>
    <definedName name="IQ_MOODYS_SERVICER_QUALITY_LT" hidden="1">"c13547"</definedName>
    <definedName name="IQ_MOODYS_SERVICER_QUALITY_TYPE_LT" hidden="1">"c13550"</definedName>
    <definedName name="IQ_MOODYS_SR_SECURED_ACTION_LT" hidden="1">"c13521"</definedName>
    <definedName name="IQ_MOODYS_SR_SECURED_ACTION_ST" hidden="1">"c13553"</definedName>
    <definedName name="IQ_MOODYS_SR_SECURED_DATE_LT" hidden="1">"c13520"</definedName>
    <definedName name="IQ_MOODYS_SR_SECURED_DATE_ST" hidden="1">"c13552"</definedName>
    <definedName name="IQ_MOODYS_SR_SECURED_LT" hidden="1">"c13519"</definedName>
    <definedName name="IQ_MOODYS_SR_SECURED_ST" hidden="1">"c13551"</definedName>
    <definedName name="IQ_MOODYS_SR_SECURED_TYPE_LT" hidden="1">"c13522"</definedName>
    <definedName name="IQ_MOODYS_SR_SECURED_TYPE_ST" hidden="1">"c13554"</definedName>
    <definedName name="IQ_MOODYS_SR_SUB_ACTION_LT" hidden="1">"c13529"</definedName>
    <definedName name="IQ_MOODYS_SR_SUB_ACTION_ST" hidden="1">"c13561"</definedName>
    <definedName name="IQ_MOODYS_SR_SUB_DATE_LT" hidden="1">"c13528"</definedName>
    <definedName name="IQ_MOODYS_SR_SUB_DATE_ST" hidden="1">"c13560"</definedName>
    <definedName name="IQ_MOODYS_SR_SUB_LT" hidden="1">"c13527"</definedName>
    <definedName name="IQ_MOODYS_SR_SUB_ST" hidden="1">"c13559"</definedName>
    <definedName name="IQ_MOODYS_SR_SUB_TYPE_LT" hidden="1">"c13530"</definedName>
    <definedName name="IQ_MOODYS_SR_SUB_TYPE_ST" hidden="1">"c13562"</definedName>
    <definedName name="IQ_MOODYS_SR_UNSECURED_ACTION_LT" hidden="1">"c13525"</definedName>
    <definedName name="IQ_MOODYS_SR_UNSECURED_ACTION_ST" hidden="1">"c13557"</definedName>
    <definedName name="IQ_MOODYS_SR_UNSECURED_DATE_LT" hidden="1">"c13524"</definedName>
    <definedName name="IQ_MOODYS_SR_UNSECURED_DATE_ST" hidden="1">"c13556"</definedName>
    <definedName name="IQ_MOODYS_SR_UNSECURED_LT" hidden="1">"c13523"</definedName>
    <definedName name="IQ_MOODYS_SR_UNSECURED_ST" hidden="1">"c13555"</definedName>
    <definedName name="IQ_MOODYS_SR_UNSECURED_TYPE_LT" hidden="1">"c13526"</definedName>
    <definedName name="IQ_MOODYS_SR_UNSECURED_TYPE_ST" hidden="1">"c13558"</definedName>
    <definedName name="IQ_MOODYS_ST" hidden="1">"c5664"</definedName>
    <definedName name="IQ_MOODYS_SUB_ACTION_LT" hidden="1">"c13533"</definedName>
    <definedName name="IQ_MOODYS_SUB_ACTION_ST" hidden="1">"c13565"</definedName>
    <definedName name="IQ_MOODYS_SUB_DATE_LT" hidden="1">"c13532"</definedName>
    <definedName name="IQ_MOODYS_SUB_DATE_ST" hidden="1">"c13564"</definedName>
    <definedName name="IQ_MOODYS_SUB_LT" hidden="1">"c13531"</definedName>
    <definedName name="IQ_MOODYS_SUB_ST" hidden="1">"c13563"</definedName>
    <definedName name="IQ_MOODYS_SUB_TYPE_LT" hidden="1">"c13534"</definedName>
    <definedName name="IQ_MOODYS_SUB_TYPE_ST" hidden="1">"c13566"</definedName>
    <definedName name="IQ_MOODYS_WATCHLIST_DATE" hidden="1">"c5679"</definedName>
    <definedName name="IQ_MOODYS_WATCHLIST_INDICATOR" hidden="1">"c5681"</definedName>
    <definedName name="IQ_MOODYS_WATCHLIST_REASON" hidden="1">"c5680"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44767.465462963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FFIEC" hidden="1">"c13034"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GW_ACT_OR_EST" hidden="1">"c4478"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SHARE_ACT_OR_EST" hidden="1">"c4508"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39384.8344907407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rev">#REF!</definedName>
    <definedName name="irpeg_rate">#REF!</definedName>
    <definedName name="IS">#REF!</definedName>
    <definedName name="IS_1">#REF!</definedName>
    <definedName name="IS_10">#REF!</definedName>
    <definedName name="IS_11">#REF!</definedName>
    <definedName name="IS_12">#REF!</definedName>
    <definedName name="IS_13">#REF!</definedName>
    <definedName name="IS_14">#REF!</definedName>
    <definedName name="IS_2">#REF!</definedName>
    <definedName name="IS_3">#REF!</definedName>
    <definedName name="IS_4">#REF!</definedName>
    <definedName name="IS_5">#REF!</definedName>
    <definedName name="IS_6">#REF!</definedName>
    <definedName name="IS_7">#REF!</definedName>
    <definedName name="IS_8">#REF!</definedName>
    <definedName name="IS_9">#REF!</definedName>
    <definedName name="is_active">#REF!</definedName>
    <definedName name="is_holdbin">#REF!</definedName>
    <definedName name="IS_p">#REF!</definedName>
    <definedName name="IS_print">#REF!</definedName>
    <definedName name="is_restricted">#REF!</definedName>
    <definedName name="is_restricted_ext">#REF!</definedName>
    <definedName name="is_restricted_over">#REF!</definedName>
    <definedName name="is_restricted_use_over">#REF!</definedName>
    <definedName name="is_week_of_next_release_date">#REF!</definedName>
    <definedName name="IsColHidden" hidden="1">FALSE</definedName>
    <definedName name="ISitem">#REF!</definedName>
    <definedName name="IsLTMColHidden" hidden="1">FALSE</definedName>
    <definedName name="iso_country_code">#REF!</definedName>
    <definedName name="iso_currency_code">#REF!</definedName>
    <definedName name="ISQuarter">#REF!</definedName>
    <definedName name="Issue_Id_Primary">#REF!</definedName>
    <definedName name="Issue_Id_Secondary">#REF!</definedName>
    <definedName name="Issue_Id_Tertiary">#REF!</definedName>
    <definedName name="IssueData">#REF!</definedName>
    <definedName name="itc">#REF!</definedName>
    <definedName name="itc_g">#REF!</definedName>
    <definedName name="itc_is">#REF!</definedName>
    <definedName name="Item_1">#REF!</definedName>
    <definedName name="Item_10">#REF!</definedName>
    <definedName name="Item_11">#REF!</definedName>
    <definedName name="Item_12">#REF!</definedName>
    <definedName name="Item_13">#REF!</definedName>
    <definedName name="Item_14">#REF!</definedName>
    <definedName name="Item_15">#REF!</definedName>
    <definedName name="Item_16">#REF!</definedName>
    <definedName name="Item_17">#REF!</definedName>
    <definedName name="Item_18">#REF!</definedName>
    <definedName name="Item_19">#REF!</definedName>
    <definedName name="Item_2">#REF!</definedName>
    <definedName name="Item_20">#REF!</definedName>
    <definedName name="Item_3">#REF!</definedName>
    <definedName name="Item_4">#REF!</definedName>
    <definedName name="Item_5">#REF!</definedName>
    <definedName name="Item_6">#REF!</definedName>
    <definedName name="Item_7">#REF!</definedName>
    <definedName name="Item_8">#REF!</definedName>
    <definedName name="Item_9">#REF!</definedName>
    <definedName name="ITL_X">#REF!</definedName>
    <definedName name="ITLBLN_X">#REF!</definedName>
    <definedName name="itlpta">#REF!</definedName>
    <definedName name="ITLPTARATE_X">#REF!</definedName>
    <definedName name="ITLTRL_X">#REF!</definedName>
    <definedName name="ITSCurrecnyRange">#REF!</definedName>
    <definedName name="Japan">#REF!</definedName>
    <definedName name="Java_rev">#REF!</definedName>
    <definedName name="jblavg">#REF!</definedName>
    <definedName name="jblchg">#REF!</definedName>
    <definedName name="jblcrpe">#REF!</definedName>
    <definedName name="jblcurr">#REF!</definedName>
    <definedName name="jbldate">#REF!</definedName>
    <definedName name="jbldown">#REF!</definedName>
    <definedName name="jbldownsup">#REF!</definedName>
    <definedName name="jbleps99">#REF!</definedName>
    <definedName name="jblfy1cons">#REF!</definedName>
    <definedName name="jblfy2cons">#REF!</definedName>
    <definedName name="jblhi">#REF!</definedName>
    <definedName name="jblhilo">#REF!</definedName>
    <definedName name="jbllow">#REF!</definedName>
    <definedName name="jblmktcap">#REF!</definedName>
    <definedName name="jblpegrowthavg">#REF!</definedName>
    <definedName name="jblpegrowthcurr">#REF!</definedName>
    <definedName name="jblpegrowthhi">#REF!</definedName>
    <definedName name="jblpegrowthlow">#REF!</definedName>
    <definedName name="jblprice">#REF!</definedName>
    <definedName name="jblrpe">#REF!</definedName>
    <definedName name="jblshares">#REF!</definedName>
    <definedName name="jbltprice">#REF!</definedName>
    <definedName name="jblttmavg">#REF!</definedName>
    <definedName name="jblttmcurr">#REF!</definedName>
    <definedName name="jblttmhi">#REF!</definedName>
    <definedName name="jblttmlow">#REF!</definedName>
    <definedName name="jblttmrelavg">#REF!</definedName>
    <definedName name="jblttmrelcurr">#REF!</definedName>
    <definedName name="jblttmrelhi">#REF!</definedName>
    <definedName name="jblttmrellow">#REF!</definedName>
    <definedName name="jblup">#REF!</definedName>
    <definedName name="jblupsup">#REF!</definedName>
    <definedName name="jblvol">#REF!</definedName>
    <definedName name="jblyield">#REF!</definedName>
    <definedName name="JDSU_1Pager">#REF!</definedName>
    <definedName name="JDSU_BS">#REF!</definedName>
    <definedName name="JDSU_CF">#REF!</definedName>
    <definedName name="JDSU_IS">#REF!</definedName>
    <definedName name="jdsucurr">#REF!</definedName>
    <definedName name="jdsudate">#REF!</definedName>
    <definedName name="jdsudown">#REF!</definedName>
    <definedName name="jdsudownsup">#REF!</definedName>
    <definedName name="jdsuevebitda">#REF!</definedName>
    <definedName name="jdsuffqpeavg">#REF!</definedName>
    <definedName name="jdsuffqpecurr">#REF!</definedName>
    <definedName name="jdsufy1cons">#REF!</definedName>
    <definedName name="jdsufy2cons">#REF!</definedName>
    <definedName name="jdsuhi">#REF!</definedName>
    <definedName name="jdsuhilo">#REF!</definedName>
    <definedName name="jdsulow">#REF!</definedName>
    <definedName name="jdsumktcap">#REF!</definedName>
    <definedName name="jdsupe1">#REF!</definedName>
    <definedName name="jdsupe2">#REF!</definedName>
    <definedName name="jdsupegrowthavg">#REF!</definedName>
    <definedName name="jdsupegrowthcurr">#REF!</definedName>
    <definedName name="jdsupegrowthhi">#REF!</definedName>
    <definedName name="jdsupegrowthlow">#REF!</definedName>
    <definedName name="jdsuperelavg">#REF!</definedName>
    <definedName name="jdsuperelcurr">#REF!</definedName>
    <definedName name="jdsuprice">#REF!</definedName>
    <definedName name="jdsupsup">#REF!</definedName>
    <definedName name="jdsurpe">#REF!</definedName>
    <definedName name="jdsushares">#REF!</definedName>
    <definedName name="jdsutprice">#REF!</definedName>
    <definedName name="jdsuttmavg">#REF!</definedName>
    <definedName name="jdsuttmcurr">#REF!</definedName>
    <definedName name="jdsuttmhi">#REF!</definedName>
    <definedName name="jdsuttmlow">#REF!</definedName>
    <definedName name="jdsuttmrelavg">#REF!</definedName>
    <definedName name="jdsuttmrelcurr">#REF!</definedName>
    <definedName name="jdsuttmrelhi">#REF!</definedName>
    <definedName name="jdsuttmrellow">#REF!</definedName>
    <definedName name="jdsuup">#REF!</definedName>
    <definedName name="jdsuupsup">#REF!</definedName>
    <definedName name="jdsuvol">#REF!</definedName>
    <definedName name="jdsuyield">#REF!</definedName>
    <definedName name="jdsvol">#REF!</definedName>
    <definedName name="jdsyield">#REF!</definedName>
    <definedName name="jnpravg">#REF!</definedName>
    <definedName name="jnpravgffq">#REF!</definedName>
    <definedName name="jnprchg">#REF!</definedName>
    <definedName name="jnprcurr">#REF!</definedName>
    <definedName name="jnprcurrffq">#REF!</definedName>
    <definedName name="jnprpegrelavg">#REF!</definedName>
    <definedName name="jnprpegrelcurr">#REF!</definedName>
    <definedName name="jnprpegrowthavg">#REF!</definedName>
    <definedName name="jnprpegrowthcurr">#REF!</definedName>
    <definedName name="jnprshares">#REF!</definedName>
    <definedName name="Joan30YrBond">#REF!</definedName>
    <definedName name="JoanYield">#REF!</definedName>
    <definedName name="JPMSCY01">#REF!</definedName>
    <definedName name="JPMSCY02">#REF!</definedName>
    <definedName name="JPMSCY03">#REF!</definedName>
    <definedName name="JPMSNTM3">#REF!</definedName>
    <definedName name="junk">#REF!</definedName>
    <definedName name="Kd">#REF!</definedName>
    <definedName name="Ke">#REF!</definedName>
    <definedName name="KerberosID">#REF!</definedName>
    <definedName name="KerberosPwd">#REF!</definedName>
    <definedName name="KEVA">#REF!</definedName>
    <definedName name="key_driv">#REF!</definedName>
    <definedName name="keycustomers">#REF!</definedName>
    <definedName name="kirchmedia">#REF!</definedName>
    <definedName name="KM_Metric">OFFSET(#REF!,0,0,COUNTA(#REF!)-1)</definedName>
    <definedName name="kmetavg">#REF!</definedName>
    <definedName name="kmetchg">#REF!</definedName>
    <definedName name="kmetcrpe">#REF!</definedName>
    <definedName name="kmetcurr">#REF!</definedName>
    <definedName name="kmetdate">#REF!</definedName>
    <definedName name="kmetdown">#REF!</definedName>
    <definedName name="kmetdownsup">#REF!</definedName>
    <definedName name="kmeteps98">#REF!</definedName>
    <definedName name="kmeteps99">#REF!</definedName>
    <definedName name="kmetfy1cons">#REF!</definedName>
    <definedName name="kmetfy2cons">#REF!</definedName>
    <definedName name="kmethi">#REF!</definedName>
    <definedName name="kmethilo">#REF!</definedName>
    <definedName name="kmetlow">#REF!</definedName>
    <definedName name="kmetmktcap">#REF!</definedName>
    <definedName name="kmetpegrowthavg">#REF!</definedName>
    <definedName name="kmetpegrowthcurr">#REF!</definedName>
    <definedName name="kmetpegrowthhi">#REF!</definedName>
    <definedName name="kmetpegrowthlow">#REF!</definedName>
    <definedName name="kmetprice">#REF!</definedName>
    <definedName name="kmetrpe">#REF!</definedName>
    <definedName name="kmetshares">#REF!</definedName>
    <definedName name="kmettprice">#REF!</definedName>
    <definedName name="kmetttmavg">#REF!</definedName>
    <definedName name="kmetttmcurr">#REF!</definedName>
    <definedName name="kmetttmhi">#REF!</definedName>
    <definedName name="kmetttmlow">#REF!</definedName>
    <definedName name="kmetttmrelavg">#REF!</definedName>
    <definedName name="kmetttmrelcurr">#REF!</definedName>
    <definedName name="kmetttmrelhi">#REF!</definedName>
    <definedName name="kmetttmrellow">#REF!</definedName>
    <definedName name="kmetup">#REF!</definedName>
    <definedName name="kmetupsup">#REF!</definedName>
    <definedName name="kmetvol">#REF!</definedName>
    <definedName name="kmetyield">#REF!</definedName>
    <definedName name="kntavg">#REF!</definedName>
    <definedName name="kntchg">#REF!</definedName>
    <definedName name="kntcrpe">#REF!</definedName>
    <definedName name="kntcurr">#REF!</definedName>
    <definedName name="kntdate">#REF!</definedName>
    <definedName name="kntdown">#REF!</definedName>
    <definedName name="kntdownsup">#REF!</definedName>
    <definedName name="kntevebitda">#REF!</definedName>
    <definedName name="kntffqpeavg">#REF!</definedName>
    <definedName name="kntffqpecurr">#REF!</definedName>
    <definedName name="kntfy1cons">#REF!</definedName>
    <definedName name="kntfy2cons">#REF!</definedName>
    <definedName name="knthi">#REF!</definedName>
    <definedName name="knthilo">#REF!</definedName>
    <definedName name="kntlow">#REF!</definedName>
    <definedName name="kntmktcap">#REF!</definedName>
    <definedName name="kntpe1">#REF!</definedName>
    <definedName name="kntpe2">#REF!</definedName>
    <definedName name="kntpegrowthavg">#REF!</definedName>
    <definedName name="kntpegrowthcurr">#REF!</definedName>
    <definedName name="kntpegrowthhi">#REF!</definedName>
    <definedName name="kntpegrowthlow">#REF!</definedName>
    <definedName name="kntperelavg">#REF!</definedName>
    <definedName name="kntperelcurr">#REF!</definedName>
    <definedName name="kntprice">#REF!</definedName>
    <definedName name="kntrpe">#REF!</definedName>
    <definedName name="kntshares">#REF!</definedName>
    <definedName name="knttprice">#REF!</definedName>
    <definedName name="kntttmavg">#REF!</definedName>
    <definedName name="kntttmcurr">#REF!</definedName>
    <definedName name="kntttmhi">#REF!</definedName>
    <definedName name="kntttmlow">#REF!</definedName>
    <definedName name="kntttmrelavg">#REF!</definedName>
    <definedName name="kntttmrelcurr">#REF!</definedName>
    <definedName name="kntttmrelhi">#REF!</definedName>
    <definedName name="kntttmrellow">#REF!</definedName>
    <definedName name="kntup">#REF!</definedName>
    <definedName name="kntupsup">#REF!</definedName>
    <definedName name="kntvol">#REF!</definedName>
    <definedName name="kntyield">#REF!</definedName>
    <definedName name="kpw">#REF!</definedName>
    <definedName name="l" hidden="1">{"IS",#N/A,FALSE,"IS";"RPTIS",#N/A,FALSE,"RPTIS";"STATS",#N/A,FALSE,"STATS";"CELL",#N/A,FALSE,"CELL";"BS",#N/A,FALSE,"BS"}</definedName>
    <definedName name="L_ALL_ACN">#REF!</definedName>
    <definedName name="L_ALL_ADI">#REF!</definedName>
    <definedName name="L_ALL_ADI_">#REF!</definedName>
    <definedName name="L_ALL_ALTR">#REF!</definedName>
    <definedName name="L_ALL_AMAT">#REF!</definedName>
    <definedName name="L_ALL_AMAT_">#REF!</definedName>
    <definedName name="L_ALL_AMD">#REF!</definedName>
    <definedName name="L_ALL_AMD_">#REF!</definedName>
    <definedName name="L_ALL_AMT">#REF!</definedName>
    <definedName name="L_ALL_APXT">#REF!</definedName>
    <definedName name="L_ALL_ARM">#REF!</definedName>
    <definedName name="L_ALL_ARW">#REF!</definedName>
    <definedName name="L_ALL_ARW_">#REF!</definedName>
    <definedName name="L_ALL_ARX">#REF!</definedName>
    <definedName name="L_ALL_AVGO">#REF!</definedName>
    <definedName name="L_ALL_AVGO_">#REF!</definedName>
    <definedName name="L_ALL_BCE">#REF!</definedName>
    <definedName name="L_ALL_BRCM">#REF!</definedName>
    <definedName name="L_ALL_BRCM_">#REF!</definedName>
    <definedName name="L_ALL_BSY">#REF!</definedName>
    <definedName name="L_ALL_CCI">#REF!</definedName>
    <definedName name="L_ALL_CDNS">#REF!</definedName>
    <definedName name="L_ALL_CFG">#REF!</definedName>
    <definedName name="L_ALL_CHTR">#REF!</definedName>
    <definedName name="L_ALL_CMCSA">#REF!</definedName>
    <definedName name="L_ALL_CRWD">#REF!</definedName>
    <definedName name="L_ALL_CSAL">#REF!</definedName>
    <definedName name="L_ALL_CTL">#REF!</definedName>
    <definedName name="L_ALL_CTL_">#REF!</definedName>
    <definedName name="L_ALL_CTSH">#REF!</definedName>
    <definedName name="L_ALL_CYBR">#REF!</definedName>
    <definedName name="L_ALL_DBX">#REF!</definedName>
    <definedName name="L_ALL_DIS">#REF!</definedName>
    <definedName name="L_ALL_DTV">#REF!</definedName>
    <definedName name="L_ALL_DWRE">#REF!</definedName>
    <definedName name="L_ALL_ENTG">#REF!</definedName>
    <definedName name="L_ALL_EPAM">#REF!</definedName>
    <definedName name="L_ALL_EQIX">#REF!</definedName>
    <definedName name="L_ALL_FSL">#REF!</definedName>
    <definedName name="L_ALL_FTR">#REF!</definedName>
    <definedName name="L_ALL_FTRCQ">#REF!</definedName>
    <definedName name="L_ALL_FYBR">#REF!</definedName>
    <definedName name="L_ALL_GLOB">#REF!</definedName>
    <definedName name="L_ALL_I">#REF!</definedName>
    <definedName name="L_ALL_IBM">#REF!</definedName>
    <definedName name="L_ALL_INTC">#REF!</definedName>
    <definedName name="L_ALL_INTC_">#REF!</definedName>
    <definedName name="L_ALL_INTU">#REF!</definedName>
    <definedName name="L_ALL_INTU_">#REF!</definedName>
    <definedName name="L_ALL_JBL">#REF!</definedName>
    <definedName name="L_ALL_KEYWORDS_TYPE_Breakdown_EQTY_200001646">#REF!</definedName>
    <definedName name="L_ALL_KEYWORDS_TYPE_Breakdown_EQTY_200002831">#REF!</definedName>
    <definedName name="L_ALL_KEYWORDS_TYPE_Breakdown_EQTY_200004419">#REF!</definedName>
    <definedName name="L_ALL_KEYWORDS_TYPE_ScalarContributed_EQTY_200000304">#REF!,#REF!,#REF!,#REF!</definedName>
    <definedName name="L_ALL_KEYWORDS_TYPE_ScalarContributed_EQTY_200000813">#REF!,#REF!,#REF!,#REF!,#REF!</definedName>
    <definedName name="L_ALL_KEYWORDS_TYPE_ScalarContributed_EQTY_200001265">#REF!,#REF!,#REF!,#REF!</definedName>
    <definedName name="L_ALL_KEYWORDS_TYPE_ScalarContributed_EQTY_200001320">#REF!,#REF!,#REF!,#REF!</definedName>
    <definedName name="L_ALL_KEYWORDS_TYPE_ScalarContributed_EQTY_200001330">#REF!,#REF!,#REF!,#REF!</definedName>
    <definedName name="L_ALL_KEYWORDS_TYPE_ScalarContributed_EQTY_200001353">#REF!,#REF!</definedName>
    <definedName name="L_ALL_KEYWORDS_TYPE_ScalarContributed_EQTY_200001371">#REF!,#REF!</definedName>
    <definedName name="L_ALL_KEYWORDS_TYPE_ScalarContributed_EQTY_200001381">#REF!,#REF!,#REF!,#REF!,#REF!</definedName>
    <definedName name="L_ALL_KEYWORDS_TYPE_ScalarContributed_EQTY_200001646">#REF!,#REF!,#REF!,#REF!</definedName>
    <definedName name="L_ALL_KEYWORDS_TYPE_ScalarContributed_EQTY_200002282">#REF!,#REF!,#REF!,#REF!,#REF!</definedName>
    <definedName name="L_ALL_KEYWORDS_TYPE_ScalarContributed_EQTY_200002283">#REF!,#REF!,#REF!,#REF!,#REF!</definedName>
    <definedName name="L_ALL_KEYWORDS_TYPE_ScalarContributed_EQTY_200002309">#REF!,#REF!,#REF!,#REF!,#REF!</definedName>
    <definedName name="L_ALL_KEYWORDS_TYPE_ScalarContributed_EQTY_200002831">#REF!,#REF!,#REF!,#REF!,#REF!</definedName>
    <definedName name="L_ALL_KEYWORDS_TYPE_ScalarContributed_EQTY_200002833">#REF!,#REF!,#REF!,#REF!</definedName>
    <definedName name="L_ALL_KEYWORDS_TYPE_ScalarContributed_EQTY_200003036">#REF!,#REF!,#REF!,#REF!,#REF!</definedName>
    <definedName name="L_ALL_KEYWORDS_TYPE_ScalarContributed_EQTY_200003037">#REF!,#REF!,#REF!,#REF!</definedName>
    <definedName name="L_ALL_KEYWORDS_TYPE_ScalarContributed_EQTY_200003892">#REF!,#REF!,#REF!,#REF!</definedName>
    <definedName name="L_ALL_KEYWORDS_TYPE_ScalarContributed_EQTY_200004230">#REF!,#REF!,#REF!,#REF!,#REF!</definedName>
    <definedName name="L_ALL_KEYWORDS_TYPE_ScalarContributed_EQTY_200004419">#REF!,#REF!,#REF!,#REF!</definedName>
    <definedName name="L_ALL_KEYWORDS_TYPE_ScalarContributed_EQTY_200004906">#REF!,#REF!,#REF!,#REF!,#REF!</definedName>
    <definedName name="L_ALL_KEYWORDS_TYPE_ScalarContributed_EQTY_200005326">#REF!,#REF!,#REF!,#REF!</definedName>
    <definedName name="L_ALL_KEYWORDS_TYPE_ScalarContributed_EQTY_200005490">#REF!,#REF!,#REF!,#REF!,#REF!</definedName>
    <definedName name="L_ALL_KEYWORDS_TYPE_ScalarContributed_EQTY_200005674">#REF!,#REF!,#REF!,#REF!,#REF!</definedName>
    <definedName name="L_ALL_KEYWORDS_TYPE_ScalarContributed_EQTY_200005722">#REF!,#REF!,#REF!,#REF!,#REF!</definedName>
    <definedName name="L_ALL_KEYWORDS_TYPE_ScalarContributed_EQTY_200006232">#REF!,#REF!,#REF!,#REF!</definedName>
    <definedName name="L_ALL_KEYWORDS_TYPE_ScalarContributed_EQTY_200006333">#REF!,#REF!,#REF!,#REF!</definedName>
    <definedName name="L_ALL_KEYWORDS_TYPE_ScalarContributed_EQTY_200006384">#REF!,#REF!,#REF!,#REF!,#REF!</definedName>
    <definedName name="L_ALL_KEYWORDS_TYPE_ScalarContributed_EQTY_200007794">#REF!,#REF!,#REF!,#REF!,#REF!</definedName>
    <definedName name="L_ALL_KEYWORDS_TYPE_ScalarContributed_EQTY_200009556">#REF!,#REF!,#REF!,#REF!</definedName>
    <definedName name="L_ALL_KEYWORDS_TYPE_ScalarContributed_EQTY_200009677">#REF!,#REF!,#REF!,#REF!,#REF!</definedName>
    <definedName name="L_ALL_KEYWORDS_TYPE_ScalarContributed_EQTY_200010313">#REF!,#REF!,#REF!,#REF!</definedName>
    <definedName name="L_ALL_KEYWORDS_TYPE_ScalarContributed_EQTY_200011598">#REF!,#REF!,#REF!,#REF!,#REF!</definedName>
    <definedName name="L_ALL_KEYWORDS_TYPE_ScalarContributed_EQTY_200012393">#REF!,#REF!,#REF!,#REF!,#REF!</definedName>
    <definedName name="L_ALL_KEYWORDS_TYPE_ScalarContributed_EQTY_200012762">#REF!,#REF!,#REF!,#REF!</definedName>
    <definedName name="L_ALL_KEYWORDS_TYPE_ScalarContributed_EQTY_200014300">#REF!,#REF!,#REF!,#REF!</definedName>
    <definedName name="L_ALL_KEYWORDS_TYPE_ScalarContributed_EQTY_200014367">#REF!,#REF!,#REF!,#REF!,#REF!</definedName>
    <definedName name="L_ALL_KEYWORDS_TYPE_ScalarContributed_EQTY_200014493">#REF!,#REF!,#REF!,#REF!</definedName>
    <definedName name="L_ALL_KEYWORDS_TYPE_ScalarContributed_EQTY_200014750">#REF!,#REF!,#REF!,#REF!,#REF!</definedName>
    <definedName name="L_ALL_KEYWORDS_TYPE_ScalarContributed_EQTY_200015107">#REF!,#REF!,#REF!,#REF!</definedName>
    <definedName name="L_ALL_KEYWORDS_TYPE_ScalarContributed_EQTY_200015716">#REF!,#REF!,#REF!,#REF!</definedName>
    <definedName name="L_ALL_KEYWORDS_TYPE_ScalarContributed_EQTY_200015757">#REF!,#REF!,#REF!,#REF!</definedName>
    <definedName name="L_ALL_KEYWORDS_TYPE_ScalarContributed_EQTY_200016026">#REF!,#REF!,#REF!,#REF!</definedName>
    <definedName name="L_ALL_KEYWORDS_TYPE_ScalarContributed_EQTY_200017745">#REF!,#REF!,#REF!,#REF!,#REF!</definedName>
    <definedName name="L_ALL_KEYWORDS_TYPE_ScalarContributed_EQTY_200019587">#REF!,#REF!,#REF!,#REF!</definedName>
    <definedName name="L_ALL_KEYWORDS_TYPE_ScalarContributed_EQTY_200019588">#REF!,#REF!,#REF!,#REF!</definedName>
    <definedName name="L_ALL_KEYWORDS_TYPE_ScalarContributed_EQTY_200021484">#REF!,#REF!,#REF!,#REF!,#REF!</definedName>
    <definedName name="L_ALL_KEYWORDS_TYPE_ScalarContributed_ISSR_208000027">#REF!,#REF!</definedName>
    <definedName name="L_ALL_KEYWORDS_TYPE_ScalarContributed_ISSR_208000156">#REF!,#REF!</definedName>
    <definedName name="L_ALL_KEYWORDS_TYPE_ScalarContributed_ISSR_208000430">#REF!,#REF!,#REF!,#REF!,#REF!,#REF!,#REF!,#REF!,#REF!,#REF!,#REF!</definedName>
    <definedName name="L_ALL_KEYWORDS_TYPE_ScalarContributed_ISSR_208000435">#REF!,#REF!</definedName>
    <definedName name="L_ALL_KEYWORDS_TYPE_ScalarContributed_ISSR_208000468">#REF!,#REF!</definedName>
    <definedName name="L_ALL_KEYWORDS_TYPE_ScalarContributed_ISSR_208000603">#REF!</definedName>
    <definedName name="L_ALL_KEYWORDS_TYPE_ScalarContributed_ISSR_208000826">#REF!,#REF!,#REF!</definedName>
    <definedName name="L_ALL_KEYWORDS_TYPE_ScalarContributed_ISSR_208000827">#REF!,#REF!,#REF!</definedName>
    <definedName name="L_ALL_KEYWORDS_TYPE_ScalarContributed_ISSR_208000836">#REF!,#REF!,#REF!</definedName>
    <definedName name="L_ALL_KEYWORDS_TYPE_ScalarContributed_ISSR_208000976">#REF!,#REF!</definedName>
    <definedName name="L_ALL_KEYWORDS_TYPE_ScalarContributed_ISSR_208000977">#REF!,#REF!</definedName>
    <definedName name="L_ALL_KEYWORDS_TYPE_ScalarContributed_ISSR_208001048">#REF!,#REF!</definedName>
    <definedName name="L_ALL_KEYWORDS_TYPE_ScalarContributed_ISSR_208001204">#REF!,#REF!,#REF!</definedName>
    <definedName name="L_ALL_KEYWORDS_TYPE_ScalarContributed_ISSR_208001258">#REF!</definedName>
    <definedName name="L_ALL_KEYWORDS_TYPE_ScalarContributed_ISSR_208001370">#REF!,#REF!</definedName>
    <definedName name="L_ALL_KEYWORDS_TYPE_ScalarContributed_ISSR_208001515">#REF!,#REF!</definedName>
    <definedName name="L_ALL_KEYWORDS_TYPE_ScalarContributed_ISSR_208001562">#REF!,#REF!,#REF!</definedName>
    <definedName name="L_ALL_KEYWORDS_TYPE_ScalarContributed_ISSR_208001627">#REF!,#REF!,#REF!</definedName>
    <definedName name="L_ALL_KEYWORDS_TYPE_ScalarContributed_ISSR_208001640">#REF!,#REF!</definedName>
    <definedName name="L_ALL_KEYWORDS_TYPE_ScalarContributed_ISSR_208001765">#REF!,#REF!,#REF!</definedName>
    <definedName name="L_ALL_KEYWORDS_TYPE_ScalarContributed_ISSR_208001785">#REF!,#REF!</definedName>
    <definedName name="L_ALL_KEYWORDS_TYPE_ScalarContributed_ISSR_208002651">#REF!,#REF!</definedName>
    <definedName name="L_ALL_KEYWORDS_TYPE_ScalarContributed_ISSR_208005795">#REF!,#REF!</definedName>
    <definedName name="L_ALL_KEYWORDS_TYPE_ScalarContributed_ISSR_208007986">#REF!,#REF!,#REF!</definedName>
    <definedName name="L_ALL_KEYWORDS_TYPE_ScalarContributed_ISSR_208008030">#REF!,#REF!,#REF!</definedName>
    <definedName name="L_ALL_KEYWORDS_TYPE_ScalarContributed_ISSR_208008836">#REF!,#REF!</definedName>
    <definedName name="L_ALL_KEYWORDS_TYPE_ScalarContributed_ISSR_208009377">#REF!,#REF!</definedName>
    <definedName name="L_ALL_KEYWORDS_TYPE_ScalarContributed_ISSR_208009722">#REF!</definedName>
    <definedName name="L_ALL_KEYWORDS_TYPE_ScalarContributed_ISSR_208011028">#REF!,#REF!,#REF!</definedName>
    <definedName name="L_ALL_KEYWORDS_TYPE_ScalarContributed_ISSR_208011556">#REF!,#REF!</definedName>
    <definedName name="L_ALL_KEYWORDS_TYPE_ScalarContributed_ISSR_208011888">#REF!,#REF!,#REF!,#REF!,#REF!,#REF!,#REF!,#REF!,#REF!,#REF!,#REF!</definedName>
    <definedName name="L_ALL_KEYWORDS_TYPE_ScalarContributed_ISSR_208012959">#REF!,#REF!,#REF!</definedName>
    <definedName name="L_ALL_KEYWORDS_TYPE_ScalarContributed_ISSR_208015351">#REF!,#REF!</definedName>
    <definedName name="L_ALL_KEYWORDS_TYPE_ScalarContributed_ISSR_208018132">#REF!,#REF!,#REF!</definedName>
    <definedName name="L_ALL_KEYWORDS_TYPE_ScalarContributed_ISSR_208018133">#REF!,#REF!,#REF!,#REF!,#REF!,#REF!,#REF!,#REF!,#REF!,#REF!,#REF!,#REF!</definedName>
    <definedName name="L_ALL_KEYWORDS_TYPE_ScalarContributed_ISSR_208018253">#REF!,#REF!,#REF!</definedName>
    <definedName name="L_ALL_KEYWORDS_TYPE_ScalarContributed_ISSR_208020566">#REF!,#REF!,#REF!</definedName>
    <definedName name="L_ALL_KEYWORDS_TYPE_ScalarContributed_ISSR_208020919">#REF!,#REF!,#REF!</definedName>
    <definedName name="L_ALL_KEYWORDS_TYPE_ScalarReference_EQTY_200001646">#REF!</definedName>
    <definedName name="L_ALL_KEYWORDS_TYPE_ScalarReference_EQTY_200002831">#REF!</definedName>
    <definedName name="L_ALL_KEYWORDS_TYPE_ScalarReference_EQTY_200004419">#REF!</definedName>
    <definedName name="L_ALL_KEYWORDS_TYPE_ScalarReference_EQTY_200012762">#REF!</definedName>
    <definedName name="L_ALL_KEYWORDS_TYPE_ScalarReference_EQTY_200014750">#REF!</definedName>
    <definedName name="L_ALL_KEYWORDS_TYPE_ScalarReference_ISSR_208000603">#REF!</definedName>
    <definedName name="L_ALL_KEYWORDS_TYPE_ScalarReference_ISSR_208000976">#REF!</definedName>
    <definedName name="L_ALL_KEYWORDS_TYPE_ScalarReference_ISSR_208001258">#REF!</definedName>
    <definedName name="L_ALL_KEYWORDS_TYPE_ScalarReference_ISSR_208009722">#REF!</definedName>
    <definedName name="L_ALL_KEYWORDS_TYPE_ScalarReference_ISSR_208011556">#REF!</definedName>
    <definedName name="L_ALL_KEYWORDS_TYPE_Vector_EQTY_200000304">#REF!,#REF!,#REF!,#REF!,#REF!,#REF!,#REF!</definedName>
    <definedName name="L_ALL_KEYWORDS_TYPE_Vector_EQTY_200000813">#REF!,#REF!,#REF!,#REF!,#REF!,#REF!,#REF!</definedName>
    <definedName name="L_ALL_KEYWORDS_TYPE_Vector_EQTY_200001265">#REF!,#REF!,#REF!,#REF!,#REF!,#REF!,#REF!</definedName>
    <definedName name="L_ALL_KEYWORDS_TYPE_Vector_EQTY_200001320">#REF!,#REF!,#REF!,#REF!,#REF!,#REF!,#REF!</definedName>
    <definedName name="L_ALL_KEYWORDS_TYPE_Vector_EQTY_200001330">#REF!,#REF!,#REF!,#REF!,#REF!,#REF!,#REF!</definedName>
    <definedName name="L_ALL_KEYWORDS_TYPE_Vector_EQTY_200001353">#REF!,#REF!,#REF!,#REF!,#REF!</definedName>
    <definedName name="L_ALL_KEYWORDS_TYPE_Vector_EQTY_200001371">#REF!,#REF!,#REF!,#REF!,#REF!</definedName>
    <definedName name="L_ALL_KEYWORDS_TYPE_Vector_EQTY_200001381">#REF!,#REF!,#REF!,#REF!,#REF!,#REF!,#REF!</definedName>
    <definedName name="L_ALL_KEYWORDS_TYPE_Vector_EQTY_200001646">#REF!,#REF!,#REF!,#REF!,#REF!,#REF!,#REF!,#REF!</definedName>
    <definedName name="L_ALL_KEYWORDS_TYPE_Vector_EQTY_200002282">#REF!,#REF!,#REF!,#REF!,#REF!,#REF!,#REF!,#REF!</definedName>
    <definedName name="L_ALL_KEYWORDS_TYPE_Vector_EQTY_200002283">#REF!,#REF!,#REF!,#REF!,#REF!,#REF!,#REF!,#REF!</definedName>
    <definedName name="L_ALL_KEYWORDS_TYPE_Vector_EQTY_200002309">#REF!,#REF!,#REF!,#REF!,#REF!,#REF!,#REF!,#REF!</definedName>
    <definedName name="L_ALL_KEYWORDS_TYPE_Vector_EQTY_200002831">#REF!,#REF!,#REF!,#REF!,#REF!,#REF!,#REF!</definedName>
    <definedName name="L_ALL_KEYWORDS_TYPE_Vector_EQTY_200002833">#REF!,#REF!,#REF!,#REF!,#REF!,#REF!,#REF!</definedName>
    <definedName name="L_ALL_KEYWORDS_TYPE_Vector_EQTY_200003036">#REF!,#REF!,#REF!,#REF!,#REF!,#REF!,#REF!</definedName>
    <definedName name="L_ALL_KEYWORDS_TYPE_Vector_EQTY_200003037">#REF!,#REF!,#REF!,#REF!,#REF!,#REF!,#REF!</definedName>
    <definedName name="L_ALL_KEYWORDS_TYPE_Vector_EQTY_200003892">#REF!,#REF!,#REF!,#REF!,#REF!,#REF!,#REF!</definedName>
    <definedName name="L_ALL_KEYWORDS_TYPE_Vector_EQTY_200004230">#REF!,#REF!,#REF!,#REF!,#REF!,#REF!,#REF!,#REF!</definedName>
    <definedName name="L_ALL_KEYWORDS_TYPE_Vector_EQTY_200004419">#REF!,#REF!,#REF!,#REF!,#REF!,#REF!,#REF!</definedName>
    <definedName name="L_ALL_KEYWORDS_TYPE_Vector_EQTY_200004906">#REF!,#REF!,#REF!,#REF!,#REF!,#REF!,#REF!</definedName>
    <definedName name="L_ALL_KEYWORDS_TYPE_Vector_EQTY_200005184">#REF!,#REF!,#REF!,#REF!,#REF!,#REF!,#REF!</definedName>
    <definedName name="L_ALL_KEYWORDS_TYPE_Vector_EQTY_200005326">#REF!,#REF!,#REF!,#REF!,#REF!,#REF!,#REF!</definedName>
    <definedName name="L_ALL_KEYWORDS_TYPE_Vector_EQTY_200005490">#REF!,#REF!,#REF!,#REF!,#REF!,#REF!,#REF!,#REF!</definedName>
    <definedName name="L_ALL_KEYWORDS_TYPE_Vector_EQTY_200005722">#REF!,#REF!,#REF!,#REF!,#REF!,#REF!,#REF!</definedName>
    <definedName name="L_ALL_KEYWORDS_TYPE_Vector_EQTY_200006232">#REF!,#REF!,#REF!,#REF!,#REF!,#REF!,#REF!</definedName>
    <definedName name="L_ALL_KEYWORDS_TYPE_Vector_EQTY_200006333">#REF!,#REF!,#REF!,#REF!,#REF!,#REF!,#REF!,#REF!,#REF!</definedName>
    <definedName name="L_ALL_KEYWORDS_TYPE_Vector_EQTY_200006384">#REF!,#REF!,#REF!,#REF!,#REF!,#REF!,#REF!</definedName>
    <definedName name="L_ALL_KEYWORDS_TYPE_Vector_EQTY_200009556">#REF!,#REF!,#REF!,#REF!,#REF!,#REF!,#REF!</definedName>
    <definedName name="L_ALL_KEYWORDS_TYPE_Vector_EQTY_200010313">#REF!,#REF!,#REF!,#REF!,#REF!,#REF!,#REF!,#REF!</definedName>
    <definedName name="L_ALL_KEYWORDS_TYPE_Vector_EQTY_200011598">#REF!,#REF!,#REF!,#REF!,#REF!,#REF!,#REF!</definedName>
    <definedName name="L_ALL_KEYWORDS_TYPE_Vector_EQTY_200012393">#REF!,#REF!,#REF!,#REF!,#REF!,#REF!,#REF!</definedName>
    <definedName name="L_ALL_KEYWORDS_TYPE_Vector_EQTY_200012762">#REF!,#REF!,#REF!,#REF!,#REF!,#REF!,#REF!</definedName>
    <definedName name="L_ALL_KEYWORDS_TYPE_Vector_EQTY_200014300">#REF!,#REF!,#REF!,#REF!,#REF!,#REF!,#REF!</definedName>
    <definedName name="L_ALL_KEYWORDS_TYPE_Vector_EQTY_200014493">#REF!,#REF!,#REF!,#REF!,#REF!,#REF!,#REF!</definedName>
    <definedName name="L_ALL_KEYWORDS_TYPE_Vector_EQTY_200014750">#REF!,#REF!,#REF!,#REF!,#REF!,#REF!,#REF!</definedName>
    <definedName name="L_ALL_KEYWORDS_TYPE_Vector_EQTY_200015107">#REF!,#REF!,#REF!,#REF!,#REF!,#REF!,#REF!</definedName>
    <definedName name="L_ALL_KEYWORDS_TYPE_Vector_EQTY_200015716">#REF!,#REF!,#REF!,#REF!,#REF!,#REF!,#REF!</definedName>
    <definedName name="L_ALL_KEYWORDS_TYPE_Vector_EQTY_200015757">#REF!,#REF!,#REF!,#REF!,#REF!,#REF!,#REF!,#REF!</definedName>
    <definedName name="L_ALL_KEYWORDS_TYPE_Vector_EQTY_200016026">#REF!,#REF!,#REF!,#REF!,#REF!,#REF!,#REF!,#REF!</definedName>
    <definedName name="L_ALL_KEYWORDS_TYPE_Vector_EQTY_200017745">#REF!,#REF!,#REF!,#REF!,#REF!,#REF!,#REF!</definedName>
    <definedName name="L_ALL_KEYWORDS_TYPE_Vector_EQTY_200019588">#REF!,#REF!,#REF!,#REF!,#REF!,#REF!,#REF!</definedName>
    <definedName name="L_ALL_KEYWORDS_TYPE_Vector_EQTY_200021484">#REF!,#REF!,#REF!,#REF!,#REF!,#REF!,#REF!</definedName>
    <definedName name="L_ALL_KEYWORDS_TYPE_Vector_ISSR_208000027">#REF!,#REF!,#REF!,#REF!,#REF!,#REF!,#REF!,#REF!,#REF!,#REF!</definedName>
    <definedName name="L_ALL_KEYWORDS_TYPE_Vector_ISSR_208000156">#REF!,#REF!,#REF!,#REF!,#REF!,#REF!,#REF!,#REF!,#REF!,#REF!,#REF!,#REF!,#REF!</definedName>
    <definedName name="L_ALL_KEYWORDS_TYPE_Vector_ISSR_208000430">#REF!,#REF!,#REF!,#REF!,#REF!,#REF!,#REF!,#REF!,#REF!,#REF!,#REF!,#REF!,#REF!,#REF!</definedName>
    <definedName name="L_ALL_KEYWORDS_TYPE_Vector_ISSR_208000435">#REF!,#REF!,#REF!,#REF!,#REF!,#REF!,#REF!,#REF!,#REF!,#REF!</definedName>
    <definedName name="L_ALL_KEYWORDS_TYPE_Vector_ISSR_208000451">#REF!,#REF!,#REF!,#REF!,#REF!,#REF!,#REF!,#REF!,#REF!,#REF!,#REF!,#REF!,#REF!,#REF!,#REF!,#REF!,#REF!,#REF!,#REF!,#REF!,#REF!,#REF!,#REF!,#REF!,#REF!,#REF!</definedName>
    <definedName name="L_ALL_KEYWORDS_TYPE_Vector_ISSR_208000468">#REF!,#REF!,#REF!,#REF!,#REF!,#REF!,#REF!,#REF!,#REF!,#REF!,#REF!,#REF!,#REF!,#REF!</definedName>
    <definedName name="L_ALL_KEYWORDS_TYPE_Vector_ISSR_208000603">#REF!,#REF!,#REF!,#REF!,#REF!,#REF!,#REF!,#REF!,#REF!,#REF!</definedName>
    <definedName name="L_ALL_KEYWORDS_TYPE_Vector_ISSR_208000826">#REF!,#REF!,#REF!,#REF!,#REF!,#REF!,#REF!,#REF!,#REF!,#REF!,#REF!,#REF!,#REF!,#REF!,#REF!,#REF!</definedName>
    <definedName name="L_ALL_KEYWORDS_TYPE_Vector_ISSR_208000827">#REF!,#REF!,#REF!,#REF!,#REF!,#REF!,#REF!,#REF!,#REF!,#REF!,#REF!,#REF!,#REF!,#REF!,#REF!,#REF!</definedName>
    <definedName name="L_ALL_KEYWORDS_TYPE_Vector_ISSR_208000836">#REF!,#REF!,#REF!,#REF!,#REF!,#REF!,#REF!,#REF!,#REF!,#REF!,#REF!,#REF!,#REF!</definedName>
    <definedName name="L_ALL_KEYWORDS_TYPE_Vector_ISSR_208000976">#REF!,#REF!,#REF!,#REF!,#REF!,#REF!,#REF!,#REF!,#REF!,#REF!,#REF!,#REF!,#REF!</definedName>
    <definedName name="L_ALL_KEYWORDS_TYPE_Vector_ISSR_208000977">#REF!,#REF!,#REF!,#REF!,#REF!,#REF!,#REF!,#REF!,#REF!,#REF!,#REF!,#REF!,#REF!,#REF!,#REF!</definedName>
    <definedName name="L_ALL_KEYWORDS_TYPE_Vector_ISSR_208001018">#REF!,#REF!,#REF!,#REF!,#REF!,#REF!,#REF!,#REF!,#REF!,#REF!</definedName>
    <definedName name="L_ALL_KEYWORDS_TYPE_Vector_ISSR_208001048">#REF!,#REF!,#REF!,#REF!,#REF!,#REF!,#REF!,#REF!,#REF!,#REF!,#REF!,#REF!,#REF!</definedName>
    <definedName name="L_ALL_KEYWORDS_TYPE_Vector_ISSR_208001049">#REF!,#REF!,#REF!,#REF!,#REF!,#REF!,#REF!,#REF!,#REF!,#REF!,#REF!,#REF!,#REF!,#REF!,#REF!</definedName>
    <definedName name="L_ALL_KEYWORDS_TYPE_Vector_ISSR_208001137">#REF!,#REF!,#REF!,#REF!,#REF!,#REF!,#REF!,#REF!,#REF!,#REF!,#REF!,#REF!,#REF!,#REF!,#REF!</definedName>
    <definedName name="L_ALL_KEYWORDS_TYPE_Vector_ISSR_208001204">#REF!,#REF!,#REF!,#REF!,#REF!,#REF!,#REF!,#REF!,#REF!,#REF!,#REF!,#REF!,#REF!,#REF!</definedName>
    <definedName name="L_ALL_KEYWORDS_TYPE_Vector_ISSR_208001217">#REF!,#REF!,#REF!,#REF!,#REF!,#REF!,#REF!,#REF!,#REF!,#REF!,#REF!,#REF!,#REF!,#REF!,#REF!</definedName>
    <definedName name="L_ALL_KEYWORDS_TYPE_Vector_ISSR_208001258">#REF!,#REF!,#REF!,#REF!,#REF!,#REF!,#REF!,#REF!,#REF!,#REF!,#REF!,#REF!,#REF!,#REF!,#REF!</definedName>
    <definedName name="L_ALL_KEYWORDS_TYPE_Vector_ISSR_208001370">#REF!,#REF!,#REF!,#REF!,#REF!,#REF!,#REF!,#REF!,#REF!,#REF!,#REF!,#REF!</definedName>
    <definedName name="L_ALL_KEYWORDS_TYPE_Vector_ISSR_208001515">#REF!,#REF!,#REF!,#REF!,#REF!,#REF!,#REF!,#REF!,#REF!</definedName>
    <definedName name="L_ALL_KEYWORDS_TYPE_Vector_ISSR_208001562">#REF!,#REF!,#REF!,#REF!,#REF!,#REF!,#REF!,#REF!,#REF!,#REF!,#REF!,#REF!,#REF!</definedName>
    <definedName name="L_ALL_KEYWORDS_TYPE_Vector_ISSR_208001627">#REF!,#REF!,#REF!,#REF!,#REF!,#REF!,#REF!,#REF!,#REF!,#REF!,#REF!,#REF!,#REF!</definedName>
    <definedName name="L_ALL_KEYWORDS_TYPE_Vector_ISSR_208001640">#REF!,#REF!,#REF!,#REF!,#REF!,#REF!,#REF!,#REF!,#REF!,#REF!,#REF!,#REF!,#REF!,#REF!</definedName>
    <definedName name="L_ALL_KEYWORDS_TYPE_Vector_ISSR_208001765">#REF!,#REF!,#REF!,#REF!,#REF!,#REF!,#REF!,#REF!,#REF!,#REF!,#REF!,#REF!,#REF!,#REF!,#REF!</definedName>
    <definedName name="L_ALL_KEYWORDS_TYPE_Vector_ISSR_208001785">#REF!,#REF!,#REF!,#REF!,#REF!,#REF!,#REF!,#REF!,#REF!,#REF!,#REF!,#REF!,#REF!</definedName>
    <definedName name="L_ALL_KEYWORDS_TYPE_Vector_ISSR_208002651">#REF!,#REF!,#REF!,#REF!,#REF!,#REF!,#REF!,#REF!,#REF!,#REF!,#REF!,#REF!,#REF!</definedName>
    <definedName name="L_ALL_KEYWORDS_TYPE_Vector_ISSR_208005795">#REF!,#REF!,#REF!,#REF!,#REF!,#REF!,#REF!,#REF!,#REF!,#REF!</definedName>
    <definedName name="L_ALL_KEYWORDS_TYPE_Vector_ISSR_208007359">#REF!,#REF!,#REF!,#REF!,#REF!,#REF!,#REF!,#REF!,#REF!</definedName>
    <definedName name="L_ALL_KEYWORDS_TYPE_Vector_ISSR_208007452">#REF!,#REF!,#REF!,#REF!,#REF!,#REF!,#REF!,#REF!,#REF!,#REF!,#REF!,#REF!,#REF!,#REF!,#REF!,#REF!,#REF!,#REF!,#REF!,#REF!,#REF!,#REF!,#REF!,#REF!,#REF!</definedName>
    <definedName name="L_ALL_KEYWORDS_TYPE_Vector_ISSR_208007986">#REF!,#REF!,#REF!,#REF!,#REF!,#REF!,#REF!,#REF!,#REF!,#REF!,#REF!,#REF!,#REF!,#REF!,#REF!</definedName>
    <definedName name="L_ALL_KEYWORDS_TYPE_Vector_ISSR_208008030">#REF!,#REF!,#REF!,#REF!,#REF!,#REF!,#REF!,#REF!,#REF!,#REF!,#REF!,#REF!,#REF!,#REF!,#REF!,#REF!,#REF!,#REF!,#REF!,#REF!</definedName>
    <definedName name="L_ALL_KEYWORDS_TYPE_Vector_ISSR_208008836">#REF!,#REF!,#REF!,#REF!,#REF!,#REF!,#REF!,#REF!,#REF!,#REF!</definedName>
    <definedName name="L_ALL_KEYWORDS_TYPE_Vector_ISSR_208009377">#REF!,#REF!,#REF!,#REF!,#REF!,#REF!,#REF!,#REF!,#REF!,#REF!,#REF!,#REF!,#REF!</definedName>
    <definedName name="L_ALL_KEYWORDS_TYPE_Vector_ISSR_208009722">#REF!,#REF!,#REF!,#REF!,#REF!,#REF!,#REF!,#REF!,#REF!</definedName>
    <definedName name="L_ALL_KEYWORDS_TYPE_Vector_ISSR_208010209">#REF!,#REF!,#REF!,#REF!,#REF!,#REF!,#REF!,#REF!,#REF!,#REF!,#REF!,#REF!,#REF!,#REF!,#REF!</definedName>
    <definedName name="L_ALL_KEYWORDS_TYPE_Vector_ISSR_208011028">#REF!,#REF!,#REF!,#REF!,#REF!,#REF!,#REF!,#REF!,#REF!,#REF!,#REF!,#REF!,#REF!</definedName>
    <definedName name="L_ALL_KEYWORDS_TYPE_Vector_ISSR_208011072">#REF!,#REF!,#REF!,#REF!,#REF!,#REF!,#REF!,#REF!,#REF!,#REF!,#REF!,#REF!,#REF!,#REF!</definedName>
    <definedName name="L_ALL_KEYWORDS_TYPE_Vector_ISSR_208011212">#REF!,#REF!,#REF!,#REF!,#REF!,#REF!,#REF!,#REF!,#REF!,#REF!,#REF!,#REF!,#REF!,#REF!</definedName>
    <definedName name="L_ALL_KEYWORDS_TYPE_Vector_ISSR_208011556">#REF!,#REF!,#REF!,#REF!,#REF!,#REF!,#REF!,#REF!,#REF!,#REF!</definedName>
    <definedName name="L_ALL_KEYWORDS_TYPE_Vector_ISSR_208011888">#REF!,#REF!,#REF!,#REF!,#REF!,#REF!,#REF!,#REF!,#REF!,#REF!,#REF!,#REF!,#REF!,#REF!,#REF!,#REF!,#REF!,#REF!,#REF!</definedName>
    <definedName name="L_ALL_KEYWORDS_TYPE_Vector_ISSR_208012959">#REF!,#REF!,#REF!,#REF!,#REF!,#REF!,#REF!,#REF!,#REF!,#REF!,#REF!,#REF!,#REF!,#REF!,#REF!,#REF!</definedName>
    <definedName name="L_ALL_KEYWORDS_TYPE_Vector_ISSR_208013278">#REF!,#REF!,#REF!,#REF!,#REF!,#REF!,#REF!,#REF!,#REF!,#REF!,#REF!,#REF!</definedName>
    <definedName name="L_ALL_KEYWORDS_TYPE_Vector_ISSR_208015351">#REF!,#REF!,#REF!,#REF!,#REF!,#REF!,#REF!,#REF!,#REF!,#REF!,#REF!,#REF!</definedName>
    <definedName name="L_ALL_KEYWORDS_TYPE_Vector_ISSR_208017249">#REF!,#REF!,#REF!,#REF!,#REF!,#REF!,#REF!,#REF!,#REF!,#REF!,#REF!,#REF!</definedName>
    <definedName name="L_ALL_KEYWORDS_TYPE_Vector_ISSR_208018132">#REF!,#REF!,#REF!,#REF!,#REF!,#REF!,#REF!,#REF!,#REF!,#REF!,#REF!,#REF!,#REF!</definedName>
    <definedName name="L_ALL_KEYWORDS_TYPE_Vector_ISSR_208018133">#REF!,#REF!,#REF!,#REF!,#REF!,#REF!,#REF!,#REF!,#REF!,#REF!,#REF!,#REF!,#REF!,#REF!,#REF!,#REF!,#REF!,#REF!,#REF!,#REF!,#REF!,#REF!,#REF!</definedName>
    <definedName name="L_ALL_KEYWORDS_TYPE_Vector_ISSR_208018253">#REF!,#REF!,#REF!,#REF!,#REF!,#REF!,#REF!,#REF!,#REF!,#REF!,#REF!,#REF!,#REF!</definedName>
    <definedName name="L_ALL_KEYWORDS_TYPE_Vector_ISSR_208020566">#REF!,#REF!,#REF!,#REF!,#REF!,#REF!,#REF!,#REF!,#REF!,#REF!,#REF!,#REF!,#REF!</definedName>
    <definedName name="L_ALL_KEYWORDS_TYPE_Vector_ISSR_208020919">#REF!,#REF!,#REF!,#REF!,#REF!,#REF!,#REF!,#REF!,#REF!,#REF!,#REF!,#REF!,#REF!</definedName>
    <definedName name="L_ALL_KEYWORDS_TYPE_Vector_ISSR_208021926">#REF!,#REF!,#REF!,#REF!,#REF!,#REF!,#REF!,#REF!,#REF!,#REF!,#REF!,#REF!,#REF!</definedName>
    <definedName name="L_ALL_KNBE">#REF!</definedName>
    <definedName name="L_ALL_LLTC">#REF!</definedName>
    <definedName name="L_ALL_LUMN">#REF!</definedName>
    <definedName name="L_ALL_LVLT">#REF!</definedName>
    <definedName name="L_ALL_MCFE">#REF!</definedName>
    <definedName name="L_ALL_MCHP">#REF!</definedName>
    <definedName name="L_ALL_MCHP_">#REF!</definedName>
    <definedName name="L_ALL_MDB">#REF!</definedName>
    <definedName name="L_ALL_MIME">#REF!</definedName>
    <definedName name="L_ALL_MKTO">#REF!</definedName>
    <definedName name="L_ALL_MRVL">#REF!</definedName>
    <definedName name="L_ALL_MRVL_">#REF!</definedName>
    <definedName name="L_ALL_MSFT">#REF!</definedName>
    <definedName name="L_ALL_MXIM">#REF!</definedName>
    <definedName name="L_ALL_NOK1V.HE">#REF!</definedName>
    <definedName name="L_ALL_NVDA">#REF!</definedName>
    <definedName name="L_ALL_NVDA_">#REF!</definedName>
    <definedName name="L_ALL_NXPI">#REF!</definedName>
    <definedName name="L_ALL_NXPI_">#REF!</definedName>
    <definedName name="L_ALL_ON">#REF!</definedName>
    <definedName name="L_ALL_PANW">#REF!</definedName>
    <definedName name="L_ALL_PERIODS_ARX">#REF!</definedName>
    <definedName name="L_ALL_PERIODS_T">#REF!</definedName>
    <definedName name="L_ALL_PFPT">#REF!</definedName>
    <definedName name="L_ALL_QRVO">#REF!</definedName>
    <definedName name="L_ALL_QTS">#REF!</definedName>
    <definedName name="L_ALL_RCI">#REF!</definedName>
    <definedName name="L_ALL_RPD">#REF!</definedName>
    <definedName name="L_ALL_S">#REF!</definedName>
    <definedName name="L_ALL_SBAC">#REF!</definedName>
    <definedName name="L_ALL_SECTION_KEYWORDS_EQTY_200001646_1314">#REF!</definedName>
    <definedName name="L_ALL_SECTION_KEYWORDS_EQTY_200001646_1319">#REF!</definedName>
    <definedName name="L_ALL_SECTION_KEYWORDS_EQTY_200001646_131E">#REF!</definedName>
    <definedName name="L_ALL_SECTION_KEYWORDS_EQTY_200001646_131O">#REF!</definedName>
    <definedName name="L_ALL_SECTION_KEYWORDS_EQTY_200001646_131P">#REF!</definedName>
    <definedName name="L_ALL_SECTION_KEYWORDS_EQTY_200001646_13A">#REF!</definedName>
    <definedName name="L_ALL_SECTION_KEYWORDS_EQTY_200001646_13K">#REF!</definedName>
    <definedName name="L_ALL_SECTION_KEYWORDS_EQTY_200001646_13U">#REF!</definedName>
    <definedName name="L_ALL_SECTION_KEYWORDS_EQTY_200001646_13V">#REF!</definedName>
    <definedName name="L_ALL_SECTION_KEYWORDS_EQTY_200001646_13W">#REF!</definedName>
    <definedName name="L_ALL_SECTION_KEYWORDS_EQTY_200001646_Reference_Data">#REF!</definedName>
    <definedName name="L_ALL_SECTION_KEYWORDS_EQTY_200002831_1314">#REF!</definedName>
    <definedName name="L_ALL_SECTION_KEYWORDS_EQTY_200002831_1319">#REF!</definedName>
    <definedName name="L_ALL_SECTION_KEYWORDS_EQTY_200002831_131E">#REF!</definedName>
    <definedName name="L_ALL_SECTION_KEYWORDS_EQTY_200002831_131O">#REF!</definedName>
    <definedName name="L_ALL_SECTION_KEYWORDS_EQTY_200002831_13A">#REF!</definedName>
    <definedName name="L_ALL_SECTION_KEYWORDS_EQTY_200002831_13K">#REF!</definedName>
    <definedName name="L_ALL_SECTION_KEYWORDS_EQTY_200002831_13U">#REF!</definedName>
    <definedName name="L_ALL_SECTION_KEYWORDS_EQTY_200002831_13V">#REF!</definedName>
    <definedName name="L_ALL_SECTION_KEYWORDS_EQTY_200002831_13W">#REF!</definedName>
    <definedName name="L_ALL_SECTION_KEYWORDS_EQTY_200002831_Reference_Data">#REF!</definedName>
    <definedName name="L_ALL_SECTION_KEYWORDS_EQTY_200003036_13A">#REF!</definedName>
    <definedName name="L_ALL_SECTION_KEYWORDS_EQTY_200003036_13K">#REF!</definedName>
    <definedName name="L_ALL_SECTION_KEYWORDS_EQTY_200004230_13A">#REF!</definedName>
    <definedName name="L_ALL_SECTION_KEYWORDS_EQTY_200004230_13K">#REF!</definedName>
    <definedName name="L_ALL_SECTION_KEYWORDS_EQTY_200004419_1314">#REF!</definedName>
    <definedName name="L_ALL_SECTION_KEYWORDS_EQTY_200004419_1319">#REF!</definedName>
    <definedName name="L_ALL_SECTION_KEYWORDS_EQTY_200004419_131E">#REF!</definedName>
    <definedName name="L_ALL_SECTION_KEYWORDS_EQTY_200004419_131O">#REF!</definedName>
    <definedName name="L_ALL_SECTION_KEYWORDS_EQTY_200004419_13A">#REF!</definedName>
    <definedName name="L_ALL_SECTION_KEYWORDS_EQTY_200004419_13K">#REF!</definedName>
    <definedName name="L_ALL_SECTION_KEYWORDS_EQTY_200004419_13U">#REF!</definedName>
    <definedName name="L_ALL_SECTION_KEYWORDS_EQTY_200004419_13V">#REF!</definedName>
    <definedName name="L_ALL_SECTION_KEYWORDS_EQTY_200004419_13W">#REF!</definedName>
    <definedName name="L_ALL_SECTION_KEYWORDS_EQTY_200004419_Reference_Data">#REF!</definedName>
    <definedName name="L_ALL_SECTION_KEYWORDS_EQTY_200004906_13A">#REF!</definedName>
    <definedName name="L_ALL_SECTION_KEYWORDS_EQTY_200004906_13K">#REF!</definedName>
    <definedName name="L_ALL_SECTION_KEYWORDS_EQTY_200005326_13A">#REF!</definedName>
    <definedName name="L_ALL_SECTION_KEYWORDS_EQTY_200005326_13K">#REF!</definedName>
    <definedName name="L_ALL_SECTION_KEYWORDS_EQTY_200006333_13A">#REF!</definedName>
    <definedName name="L_ALL_SECTION_KEYWORDS_EQTY_200006333_13K">#REF!</definedName>
    <definedName name="L_ALL_SECTION_KEYWORDS_EQTY_200012762_1314">#REF!</definedName>
    <definedName name="L_ALL_SECTION_KEYWORDS_EQTY_200012762_1319">#REF!</definedName>
    <definedName name="L_ALL_SECTION_KEYWORDS_EQTY_200012762_131E">#REF!</definedName>
    <definedName name="L_ALL_SECTION_KEYWORDS_EQTY_200012762_131O">#REF!</definedName>
    <definedName name="L_ALL_SECTION_KEYWORDS_EQTY_200012762_13A">#REF!</definedName>
    <definedName name="L_ALL_SECTION_KEYWORDS_EQTY_200012762_13K">#REF!</definedName>
    <definedName name="L_ALL_SECTION_KEYWORDS_EQTY_200012762_13U">#REF!</definedName>
    <definedName name="L_ALL_SECTION_KEYWORDS_EQTY_200012762_13V">#REF!</definedName>
    <definedName name="L_ALL_SECTION_KEYWORDS_EQTY_200012762_13W">#REF!</definedName>
    <definedName name="L_ALL_SECTION_KEYWORDS_EQTY_200012762_Reference_Data">#REF!</definedName>
    <definedName name="L_ALL_SECTION_KEYWORDS_EQTY_200014750_1314">#REF!</definedName>
    <definedName name="L_ALL_SECTION_KEYWORDS_EQTY_200014750_1319">#REF!</definedName>
    <definedName name="L_ALL_SECTION_KEYWORDS_EQTY_200014750_131E">#REF!</definedName>
    <definedName name="L_ALL_SECTION_KEYWORDS_EQTY_200014750_131O">#REF!</definedName>
    <definedName name="L_ALL_SECTION_KEYWORDS_EQTY_200014750_13A">#REF!</definedName>
    <definedName name="L_ALL_SECTION_KEYWORDS_EQTY_200014750_13K">#REF!</definedName>
    <definedName name="L_ALL_SECTION_KEYWORDS_EQTY_200014750_13U">#REF!</definedName>
    <definedName name="L_ALL_SECTION_KEYWORDS_EQTY_200014750_13V">#REF!</definedName>
    <definedName name="L_ALL_SECTION_KEYWORDS_EQTY_200014750_13W">#REF!</definedName>
    <definedName name="L_ALL_SECTION_KEYWORDS_EQTY_200014750_Reference_Data">#REF!</definedName>
    <definedName name="L_ALL_SECTION_KEYWORDS_EQTY_200019587_13A">#REF!</definedName>
    <definedName name="L_ALL_SECTION_KEYWORDS_EQTY_200019588_13A">#REF!</definedName>
    <definedName name="L_ALL_SECTION_KEYWORDS_EQTY_200019588_13K">#REF!</definedName>
    <definedName name="L_ALL_SECTION_KEYWORDS_EQTY_200021484_13A">#REF!</definedName>
    <definedName name="L_ALL_SECTION_KEYWORDS_EQTY_200021484_13K">#REF!</definedName>
    <definedName name="L_ALL_SECTION_KEYWORDS_ISSR_208000027_136E">#REF!,#REF!</definedName>
    <definedName name="L_ALL_SECTION_KEYWORDS_ISSR_208000402_136J">#REF!,#REF!</definedName>
    <definedName name="L_ALL_SECTION_KEYWORDS_ISSR_208000430_136E">#REF!,#REF!</definedName>
    <definedName name="L_ALL_SECTION_KEYWORDS_ISSR_208000435_136E">#REF!,#REF!</definedName>
    <definedName name="L_ALL_SECTION_KEYWORDS_ISSR_208000435_136J">#REF!,#REF!</definedName>
    <definedName name="L_ALL_SECTION_KEYWORDS_ISSR_208000468_13V">#REF!,#REF!</definedName>
    <definedName name="L_ALL_SECTION_KEYWORDS_ISSR_208000603_1314">#REF!</definedName>
    <definedName name="L_ALL_SECTION_KEYWORDS_ISSR_208000603_13168">#REF!</definedName>
    <definedName name="L_ALL_SECTION_KEYWORDS_ISSR_208000603_1319">#REF!</definedName>
    <definedName name="L_ALL_SECTION_KEYWORDS_ISSR_208000603_131E">#REF!</definedName>
    <definedName name="L_ALL_SECTION_KEYWORDS_ISSR_208000603_131J">#REF!</definedName>
    <definedName name="L_ALL_SECTION_KEYWORDS_ISSR_208000603_131O">#REF!</definedName>
    <definedName name="L_ALL_SECTION_KEYWORDS_ISSR_208000603_131P">#REF!</definedName>
    <definedName name="L_ALL_SECTION_KEYWORDS_ISSR_208000603_13A">#REF!</definedName>
    <definedName name="L_ALL_SECTION_KEYWORDS_ISSR_208000603_13U">#REF!</definedName>
    <definedName name="L_ALL_SECTION_KEYWORDS_ISSR_208000603_13V">#REF!</definedName>
    <definedName name="L_ALL_SECTION_KEYWORDS_ISSR_208000603_Reference_Data">#REF!</definedName>
    <definedName name="L_ALL_SECTION_KEYWORDS_ISSR_208000826_136J">#REF!,#REF!</definedName>
    <definedName name="L_ALL_SECTION_KEYWORDS_ISSR_208000826_13V">#REF!,#REF!</definedName>
    <definedName name="L_ALL_SECTION_KEYWORDS_ISSR_208000827_136J">#REF!,#REF!</definedName>
    <definedName name="L_ALL_SECTION_KEYWORDS_ISSR_208000836_131O">#REF!,#REF!</definedName>
    <definedName name="L_ALL_SECTION_KEYWORDS_ISSR_208000976_1314">#REF!</definedName>
    <definedName name="L_ALL_SECTION_KEYWORDS_ISSR_208000976_13168">#REF!</definedName>
    <definedName name="L_ALL_SECTION_KEYWORDS_ISSR_208000976_1316T">#REF!</definedName>
    <definedName name="L_ALL_SECTION_KEYWORDS_ISSR_208000976_1316U">#REF!</definedName>
    <definedName name="L_ALL_SECTION_KEYWORDS_ISSR_208000976_1319">#REF!</definedName>
    <definedName name="L_ALL_SECTION_KEYWORDS_ISSR_208000976_131E">#REF!</definedName>
    <definedName name="L_ALL_SECTION_KEYWORDS_ISSR_208000976_131J">#REF!</definedName>
    <definedName name="L_ALL_SECTION_KEYWORDS_ISSR_208000976_131O">#REF!</definedName>
    <definedName name="L_ALL_SECTION_KEYWORDS_ISSR_208000976_136E">#REF!,#REF!</definedName>
    <definedName name="L_ALL_SECTION_KEYWORDS_ISSR_208000976_13A">#REF!</definedName>
    <definedName name="L_ALL_SECTION_KEYWORDS_ISSR_208000976_13U">#REF!</definedName>
    <definedName name="L_ALL_SECTION_KEYWORDS_ISSR_208000976_13V">#REF!,#REF!</definedName>
    <definedName name="L_ALL_SECTION_KEYWORDS_ISSR_208000976_Reference_Data">#REF!</definedName>
    <definedName name="L_ALL_SECTION_KEYWORDS_ISSR_208000977_136E">#REF!,#REF!</definedName>
    <definedName name="L_ALL_SECTION_KEYWORDS_ISSR_208001018_13168">#REF!</definedName>
    <definedName name="L_ALL_SECTION_KEYWORDS_ISSR_208001018_136E">#REF!,#REF!</definedName>
    <definedName name="L_ALL_SECTION_KEYWORDS_ISSR_208001018_13V">#REF!</definedName>
    <definedName name="L_ALL_SECTION_KEYWORDS_ISSR_208001048_1314">#REF!</definedName>
    <definedName name="L_ALL_SECTION_KEYWORDS_ISSR_208001048_1319">#REF!</definedName>
    <definedName name="L_ALL_SECTION_KEYWORDS_ISSR_208001048_131E">#REF!</definedName>
    <definedName name="L_ALL_SECTION_KEYWORDS_ISSR_208001048_13V">#REF!</definedName>
    <definedName name="L_ALL_SECTION_KEYWORDS_ISSR_208001204_136J">#REF!,#REF!</definedName>
    <definedName name="L_ALL_SECTION_KEYWORDS_ISSR_208001217_13168">#REF!,#REF!</definedName>
    <definedName name="L_ALL_SECTION_KEYWORDS_ISSR_208001217_136E">#REF!,#REF!</definedName>
    <definedName name="L_ALL_SECTION_KEYWORDS_ISSR_208001258_1314">#REF!</definedName>
    <definedName name="L_ALL_SECTION_KEYWORDS_ISSR_208001258_13168">#REF!</definedName>
    <definedName name="L_ALL_SECTION_KEYWORDS_ISSR_208001258_1316T">#REF!</definedName>
    <definedName name="L_ALL_SECTION_KEYWORDS_ISSR_208001258_1316U">#REF!</definedName>
    <definedName name="L_ALL_SECTION_KEYWORDS_ISSR_208001258_1319">#REF!</definedName>
    <definedName name="L_ALL_SECTION_KEYWORDS_ISSR_208001258_131E">#REF!</definedName>
    <definedName name="L_ALL_SECTION_KEYWORDS_ISSR_208001258_131J">#REF!</definedName>
    <definedName name="L_ALL_SECTION_KEYWORDS_ISSR_208001258_131O">#REF!</definedName>
    <definedName name="L_ALL_SECTION_KEYWORDS_ISSR_208001258_13A">#REF!</definedName>
    <definedName name="L_ALL_SECTION_KEYWORDS_ISSR_208001258_13U">#REF!</definedName>
    <definedName name="L_ALL_SECTION_KEYWORDS_ISSR_208001258_13V">#REF!</definedName>
    <definedName name="L_ALL_SECTION_KEYWORDS_ISSR_208001258_Reference_Data">#REF!</definedName>
    <definedName name="L_ALL_SECTION_KEYWORDS_ISSR_208001370_1314">#REF!</definedName>
    <definedName name="L_ALL_SECTION_KEYWORDS_ISSR_208001370_1319">#REF!</definedName>
    <definedName name="L_ALL_SECTION_KEYWORDS_ISSR_208001370_131E">#REF!</definedName>
    <definedName name="L_ALL_SECTION_KEYWORDS_ISSR_208001370_13V">#REF!</definedName>
    <definedName name="L_ALL_SECTION_KEYWORDS_ISSR_208001515_1314">#REF!</definedName>
    <definedName name="L_ALL_SECTION_KEYWORDS_ISSR_208001515_1319">#REF!</definedName>
    <definedName name="L_ALL_SECTION_KEYWORDS_ISSR_208001515_131E">#REF!</definedName>
    <definedName name="L_ALL_SECTION_KEYWORDS_ISSR_208001515_13V">#REF!</definedName>
    <definedName name="L_ALL_SECTION_KEYWORDS_ISSR_208001562_131O">#REF!,#REF!</definedName>
    <definedName name="L_ALL_SECTION_KEYWORDS_ISSR_208001627_131O">#REF!,#REF!</definedName>
    <definedName name="L_ALL_SECTION_KEYWORDS_ISSR_208001627_136J">#REF!</definedName>
    <definedName name="L_ALL_SECTION_KEYWORDS_ISSR_208001640_13V">#REF!,#REF!</definedName>
    <definedName name="L_ALL_SECTION_KEYWORDS_ISSR_208001765_1314">#REF!</definedName>
    <definedName name="L_ALL_SECTION_KEYWORDS_ISSR_208001765_13168">#REF!,#REF!</definedName>
    <definedName name="L_ALL_SECTION_KEYWORDS_ISSR_208001765_1316T">#REF!</definedName>
    <definedName name="L_ALL_SECTION_KEYWORDS_ISSR_208001765_1319">#REF!</definedName>
    <definedName name="L_ALL_SECTION_KEYWORDS_ISSR_208001765_131E">#REF!</definedName>
    <definedName name="L_ALL_SECTION_KEYWORDS_ISSR_208001765_136E">#REF!,#REF!</definedName>
    <definedName name="L_ALL_SECTION_KEYWORDS_ISSR_208001765_13V">#REF!,#REF!</definedName>
    <definedName name="L_ALL_SECTION_KEYWORDS_ISSR_208001785_13V">#REF!,#REF!</definedName>
    <definedName name="L_ALL_SECTION_KEYWORDS_ISSR_208002651_13V">#REF!,#REF!</definedName>
    <definedName name="L_ALL_SECTION_KEYWORDS_ISSR_208005795_136E">#REF!,#REF!</definedName>
    <definedName name="L_ALL_SECTION_KEYWORDS_ISSR_208006029_13V">#REF!,#REF!</definedName>
    <definedName name="L_ALL_SECTION_KEYWORDS_ISSR_208007452_136J">#REF!,#REF!</definedName>
    <definedName name="L_ALL_SECTION_KEYWORDS_ISSR_208007452_13V">#REF!,#REF!</definedName>
    <definedName name="L_ALL_SECTION_KEYWORDS_ISSR_208007986_13168">#REF!,#REF!</definedName>
    <definedName name="L_ALL_SECTION_KEYWORDS_ISSR_208007986_136E">#REF!,#REF!</definedName>
    <definedName name="L_ALL_SECTION_KEYWORDS_ISSR_208007986_13V">#REF!,#REF!</definedName>
    <definedName name="L_ALL_SECTION_KEYWORDS_ISSR_208008030_1316P">#REF!,#REF!</definedName>
    <definedName name="L_ALL_SECTION_KEYWORDS_ISSR_208008030_131Y">#REF!,#REF!</definedName>
    <definedName name="L_ALL_SECTION_KEYWORDS_ISSR_208008030_134L">#REF!,#REF!</definedName>
    <definedName name="L_ALL_SECTION_KEYWORDS_ISSR_208008836_136E">#REF!,#REF!</definedName>
    <definedName name="L_ALL_SECTION_KEYWORDS_ISSR_208009722_1314">#REF!</definedName>
    <definedName name="L_ALL_SECTION_KEYWORDS_ISSR_208009722_13168">#REF!</definedName>
    <definedName name="L_ALL_SECTION_KEYWORDS_ISSR_208009722_1319">#REF!</definedName>
    <definedName name="L_ALL_SECTION_KEYWORDS_ISSR_208009722_131E">#REF!</definedName>
    <definedName name="L_ALL_SECTION_KEYWORDS_ISSR_208009722_131J">#REF!</definedName>
    <definedName name="L_ALL_SECTION_KEYWORDS_ISSR_208009722_131O">#REF!</definedName>
    <definedName name="L_ALL_SECTION_KEYWORDS_ISSR_208009722_13A">#REF!</definedName>
    <definedName name="L_ALL_SECTION_KEYWORDS_ISSR_208009722_13U">#REF!</definedName>
    <definedName name="L_ALL_SECTION_KEYWORDS_ISSR_208009722_13V">#REF!</definedName>
    <definedName name="L_ALL_SECTION_KEYWORDS_ISSR_208009722_Reference_Data">#REF!</definedName>
    <definedName name="L_ALL_SECTION_KEYWORDS_ISSR_208011028_131O">#REF!,#REF!</definedName>
    <definedName name="L_ALL_SECTION_KEYWORDS_ISSR_208011556_1314">#REF!</definedName>
    <definedName name="L_ALL_SECTION_KEYWORDS_ISSR_208011556_13168">#REF!</definedName>
    <definedName name="L_ALL_SECTION_KEYWORDS_ISSR_208011556_1316T">#REF!</definedName>
    <definedName name="L_ALL_SECTION_KEYWORDS_ISSR_208011556_1316U">#REF!</definedName>
    <definedName name="L_ALL_SECTION_KEYWORDS_ISSR_208011556_1319">#REF!</definedName>
    <definedName name="L_ALL_SECTION_KEYWORDS_ISSR_208011556_131E">#REF!</definedName>
    <definedName name="L_ALL_SECTION_KEYWORDS_ISSR_208011556_131J">#REF!</definedName>
    <definedName name="L_ALL_SECTION_KEYWORDS_ISSR_208011556_131O">#REF!</definedName>
    <definedName name="L_ALL_SECTION_KEYWORDS_ISSR_208011556_136E">#REF!,#REF!</definedName>
    <definedName name="L_ALL_SECTION_KEYWORDS_ISSR_208011556_13A">#REF!</definedName>
    <definedName name="L_ALL_SECTION_KEYWORDS_ISSR_208011556_13U">#REF!</definedName>
    <definedName name="L_ALL_SECTION_KEYWORDS_ISSR_208011556_13V">#REF!</definedName>
    <definedName name="L_ALL_SECTION_KEYWORDS_ISSR_208011556_Reference_Data">#REF!</definedName>
    <definedName name="L_ALL_SECTION_KEYWORDS_ISSR_208011888_136E">#REF!,#REF!</definedName>
    <definedName name="L_ALL_SECTION_KEYWORDS_ISSR_208012959_13V">#REF!,#REF!</definedName>
    <definedName name="L_ALL_SECTION_KEYWORDS_ISSR_208013278_136E">#REF!,#REF!</definedName>
    <definedName name="L_ALL_SECTION_KEYWORDS_ISSR_208015351_13168">#REF!,#REF!</definedName>
    <definedName name="L_ALL_SECTION_KEYWORDS_ISSR_208015351_136E">#REF!,#REF!</definedName>
    <definedName name="L_ALL_SECTION_KEYWORDS_ISSR_208017249_13168">#REF!</definedName>
    <definedName name="L_ALL_SECTION_KEYWORDS_ISSR_208017249_1319">#REF!</definedName>
    <definedName name="L_ALL_SECTION_KEYWORDS_ISSR_208018132_131O">#REF!,#REF!</definedName>
    <definedName name="L_ALL_SECTION_KEYWORDS_ISSR_208018133_1314">#REF!</definedName>
    <definedName name="L_ALL_SECTION_KEYWORDS_ISSR_208018133_1319">#REF!</definedName>
    <definedName name="L_ALL_SECTION_KEYWORDS_ISSR_208018133_131E">#REF!</definedName>
    <definedName name="L_ALL_SECTION_KEYWORDS_ISSR_208018133_13V">#REF!,#REF!</definedName>
    <definedName name="L_ALL_SECTION_KEYWORDS_ISSR_208018253_131O">#REF!,#REF!</definedName>
    <definedName name="L_ALL_SECTION_KEYWORDS_ISSR_208020566_131O">#REF!,#REF!</definedName>
    <definedName name="L_ALL_SECTION_KEYWORDS_ISSR_208020919_131O">#REF!,#REF!</definedName>
    <definedName name="L_ALL_SECTION_KEYWORDS_ISSR_208020919_136J">#REF!,#REF!</definedName>
    <definedName name="L_ALL_SECTIONS_EQTY_200000304">#REF!,#REF!,#REF!,#REF!,#REF!,#REF!,#REF!,#REF!,#REF!,#REF!</definedName>
    <definedName name="L_ALL_SECTIONS_EQTY_200001265">#REF!,#REF!,#REF!,#REF!,#REF!,#REF!,#REF!,#REF!,#REF!,#REF!</definedName>
    <definedName name="L_ALL_SECTIONS_EQTY_200001320">#REF!,#REF!,#REF!,#REF!,#REF!,#REF!,#REF!,#REF!,#REF!,#REF!</definedName>
    <definedName name="L_ALL_SECTIONS_EQTY_200001330">#REF!,#REF!,#REF!,#REF!,#REF!,#REF!,#REF!,#REF!,#REF!,#REF!</definedName>
    <definedName name="L_ALL_SECTIONS_EQTY_200001353">#REF!,#REF!,#REF!,#REF!,#REF!,#REF!,#REF!,#REF!</definedName>
    <definedName name="L_ALL_SECTIONS_EQTY_200001371">#REF!,#REF!,#REF!,#REF!,#REF!,#REF!,#REF!,#REF!</definedName>
    <definedName name="L_ALL_SECTIONS_EQTY_200001381">#REF!,#REF!,#REF!,#REF!,#REF!,#REF!,#REF!,#REF!,#REF!,#REF!</definedName>
    <definedName name="L_ALL_SECTIONS_EQTY_200001646">#REF!,#REF!,#REF!,#REF!,#REF!,#REF!,#REF!,#REF!,#REF!,#REF!,#REF!</definedName>
    <definedName name="L_ALL_SECTIONS_EQTY_200002831">#REF!,#REF!,#REF!,#REF!,#REF!,#REF!,#REF!,#REF!,#REF!,#REF!</definedName>
    <definedName name="L_ALL_SECTIONS_EQTY_200002833">#REF!,#REF!,#REF!,#REF!,#REF!,#REF!,#REF!,#REF!,#REF!,#REF!</definedName>
    <definedName name="L_ALL_SECTIONS_EQTY_200003037">#REF!,#REF!,#REF!,#REF!,#REF!,#REF!,#REF!,#REF!,#REF!,#REF!</definedName>
    <definedName name="L_ALL_SECTIONS_EQTY_200003892">#REF!,#REF!,#REF!,#REF!,#REF!,#REF!,#REF!,#REF!,#REF!,#REF!</definedName>
    <definedName name="L_ALL_SECTIONS_EQTY_200004419">#REF!,#REF!,#REF!,#REF!,#REF!,#REF!,#REF!,#REF!,#REF!,#REF!</definedName>
    <definedName name="L_ALL_SECTIONS_EQTY_200005326">#REF!,#REF!,#REF!,#REF!,#REF!,#REF!,#REF!,#REF!,#REF!,#REF!</definedName>
    <definedName name="L_ALL_SECTIONS_EQTY_200006232">#REF!,#REF!,#REF!,#REF!,#REF!,#REF!,#REF!,#REF!,#REF!,#REF!</definedName>
    <definedName name="L_ALL_SECTIONS_EQTY_200009556">#REF!,#REF!,#REF!,#REF!,#REF!,#REF!,#REF!,#REF!,#REF!,#REF!</definedName>
    <definedName name="L_ALL_SECTIONS_EQTY_200011598">#REF!,#REF!,#REF!,#REF!,#REF!,#REF!,#REF!,#REF!,#REF!,#REF!</definedName>
    <definedName name="L_ALL_SECTIONS_EQTY_200012762">#REF!,#REF!,#REF!,#REF!,#REF!,#REF!,#REF!,#REF!,#REF!,#REF!</definedName>
    <definedName name="L_ALL_SECTIONS_EQTY_200014300">#REF!,#REF!,#REF!,#REF!,#REF!,#REF!,#REF!,#REF!,#REF!,#REF!</definedName>
    <definedName name="L_ALL_SECTIONS_EQTY_200014493">#REF!,#REF!,#REF!,#REF!,#REF!,#REF!,#REF!,#REF!,#REF!,#REF!</definedName>
    <definedName name="L_ALL_SECTIONS_EQTY_200014750">#REF!,#REF!,#REF!,#REF!,#REF!,#REF!,#REF!,#REF!,#REF!,#REF!</definedName>
    <definedName name="L_ALL_SECTIONS_EQTY_200015107">#REF!,#REF!,#REF!,#REF!,#REF!,#REF!,#REF!,#REF!,#REF!,#REF!</definedName>
    <definedName name="L_ALL_SECTIONS_EQTY_200015716">#REF!,#REF!,#REF!,#REF!,#REF!,#REF!,#REF!,#REF!,#REF!,#REF!</definedName>
    <definedName name="L_ALL_SECTIONS_EQTY_200015757">#REF!,#REF!,#REF!,#REF!,#REF!,#REF!,#REF!,#REF!,#REF!,#REF!,#REF!</definedName>
    <definedName name="L_ALL_SECTIONS_EQTY_200016026">#REF!,#REF!,#REF!,#REF!,#REF!,#REF!,#REF!,#REF!,#REF!,#REF!,#REF!</definedName>
    <definedName name="L_ALL_SECTIONS_EQTY_200017745">#REF!,#REF!,#REF!,#REF!,#REF!,#REF!,#REF!,#REF!,#REF!,#REF!</definedName>
    <definedName name="L_ALL_SECTIONS_ISSR_208000430">#REF!,#REF!,#REF!,#REF!,#REF!,#REF!,#REF!,#REF!,#REF!,#REF!,#REF!</definedName>
    <definedName name="L_ALL_SECTIONS_ISSR_208000451">#REF!,#REF!,#REF!,#REF!,#REF!,#REF!,#REF!,#REF!,#REF!,#REF!</definedName>
    <definedName name="L_ALL_SECTIONS_ISSR_208000603">#REF!,#REF!,#REF!,#REF!,#REF!,#REF!,#REF!,#REF!,#REF!,#REF!,#REF!</definedName>
    <definedName name="L_ALL_SECTIONS_ISSR_208000977">#REF!,#REF!,#REF!,#REF!,#REF!,#REF!,#REF!,#REF!,#REF!,#REF!,#REF!</definedName>
    <definedName name="L_ALL_SECTIONS_ISSR_208001049">#REF!,#REF!,#REF!,#REF!,#REF!,#REF!,#REF!,#REF!,#REF!,#REF!,#REF!</definedName>
    <definedName name="L_ALL_SECTIONS_ISSR_208001137">#REF!,#REF!,#REF!,#REF!,#REF!,#REF!,#REF!,#REF!,#REF!,#REF!,#REF!</definedName>
    <definedName name="L_ALL_SECTIONS_ISSR_208001258">#REF!,#REF!,#REF!,#REF!,#REF!,#REF!,#REF!,#REF!,#REF!,#REF!,#REF!</definedName>
    <definedName name="L_ALL_SECTIONS_ISSR_208001515">#REF!,#REF!,#REF!,#REF!,#REF!,#REF!,#REF!,#REF!,#REF!,#REF!</definedName>
    <definedName name="L_ALL_SECTIONS_ISSR_208005795">#REF!,#REF!,#REF!,#REF!,#REF!,#REF!,#REF!,#REF!,#REF!,#REF!,#REF!</definedName>
    <definedName name="L_ALL_SECTIONS_ISSR_208007359">#REF!,#REF!,#REF!,#REF!,#REF!,#REF!,#REF!,#REF!,#REF!,#REF!</definedName>
    <definedName name="L_ALL_SECTIONS_ISSR_208009722">#REF!,#REF!,#REF!,#REF!,#REF!,#REF!,#REF!,#REF!,#REF!,#REF!</definedName>
    <definedName name="L_ALL_SECTIONS_ISSR_208010209">#REF!,#REF!,#REF!,#REF!,#REF!,#REF!,#REF!,#REF!,#REF!,#REF!,#REF!</definedName>
    <definedName name="L_ALL_SECTIONS_ISSR_208011072">#REF!,#REF!,#REF!,#REF!,#REF!,#REF!,#REF!,#REF!,#REF!,#REF!,#REF!</definedName>
    <definedName name="L_ALL_SECTIONS_ISSR_208011212">#REF!,#REF!,#REF!,#REF!,#REF!,#REF!,#REF!,#REF!,#REF!,#REF!,#REF!</definedName>
    <definedName name="L_ALL_SECTIONS_ISSR_208012959">#REF!,#REF!,#REF!,#REF!,#REF!,#REF!,#REF!,#REF!,#REF!,#REF!,#REF!,#REF!,#REF!</definedName>
    <definedName name="L_ALL_SECTIONS_ISSR_208015351">#REF!,#REF!,#REF!,#REF!,#REF!,#REF!,#REF!,#REF!,#REF!,#REF!,#REF!</definedName>
    <definedName name="L_ALL_SEMI">#REF!</definedName>
    <definedName name="L_ALL_SIRI">#REF!</definedName>
    <definedName name="L_ALL_SWKS">#REF!</definedName>
    <definedName name="L_ALL_T">#REF!</definedName>
    <definedName name="L_ALL_TEL">#REF!</definedName>
    <definedName name="L_ALL_TENB">#REF!</definedName>
    <definedName name="L_ALL_TER">#REF!</definedName>
    <definedName name="L_ALL_TGT">#REF!</definedName>
    <definedName name="L_ALL_TMUS">#REF!</definedName>
    <definedName name="L_ALL_TWC">#REF!</definedName>
    <definedName name="L_ALL_TWKS">#REF!</definedName>
    <definedName name="L_ALL_TXN">#REF!</definedName>
    <definedName name="L_ALL_VMW">#REF!</definedName>
    <definedName name="L_ALL_VMW_">#REF!</definedName>
    <definedName name="L_ALL_VSM">#REF!</definedName>
    <definedName name="L_ALL_VZ">#REF!</definedName>
    <definedName name="L_ALL_WDAY">#REF!</definedName>
    <definedName name="L_ALL_WIN">#REF!</definedName>
    <definedName name="L_ALL_WIN_">#REF!</definedName>
    <definedName name="L_ALL_ZAYO">#REF!</definedName>
    <definedName name="L_ALL_ZS">#REF!</definedName>
    <definedName name="L_ALL_ZS_OLD">#REF!</definedName>
    <definedName name="L_CURRENCY_EQTY_200000304_PRI">#REF!</definedName>
    <definedName name="L_CURRENCY_EQTY_200000304_PUB">#REF!</definedName>
    <definedName name="L_CURRENCY_EQTY_200000304_REP">#REF!</definedName>
    <definedName name="L_CURRENCY_EQTY_200001265_PRI">#REF!</definedName>
    <definedName name="L_CURRENCY_EQTY_200001265_PUB">#REF!</definedName>
    <definedName name="L_CURRENCY_EQTY_200001265_REP">#REF!</definedName>
    <definedName name="L_CURRENCY_EQTY_200001320_PRI">#REF!</definedName>
    <definedName name="L_CURRENCY_EQTY_200001320_PUB">#REF!</definedName>
    <definedName name="L_CURRENCY_EQTY_200001320_REP">#REF!</definedName>
    <definedName name="L_CURRENCY_EQTY_200001330_PRI">#REF!</definedName>
    <definedName name="L_CURRENCY_EQTY_200001330_PUB">#REF!</definedName>
    <definedName name="L_CURRENCY_EQTY_200001330_REP">#REF!</definedName>
    <definedName name="L_CURRENCY_EQTY_200001353_PRI">#REF!</definedName>
    <definedName name="L_CURRENCY_EQTY_200001353_PUB">#REF!</definedName>
    <definedName name="L_CURRENCY_EQTY_200001353_REP">#REF!</definedName>
    <definedName name="L_CURRENCY_EQTY_200001371_PRI">#REF!</definedName>
    <definedName name="L_CURRENCY_EQTY_200001371_PUB">#REF!</definedName>
    <definedName name="L_CURRENCY_EQTY_200001371_REP">#REF!</definedName>
    <definedName name="L_CURRENCY_EQTY_200001381_PRI">#REF!</definedName>
    <definedName name="L_CURRENCY_EQTY_200001381_PUB">#REF!</definedName>
    <definedName name="L_CURRENCY_EQTY_200001381_REP">#REF!</definedName>
    <definedName name="L_CURRENCY_EQTY_200001646_PRI">#REF!</definedName>
    <definedName name="L_CURRENCY_EQTY_200001646_PUB">#REF!</definedName>
    <definedName name="L_CURRENCY_EQTY_200001646_REP">#REF!</definedName>
    <definedName name="L_CURRENCY_EQTY_200002831_PRI">#REF!</definedName>
    <definedName name="L_CURRENCY_EQTY_200002831_PUB">#REF!</definedName>
    <definedName name="L_CURRENCY_EQTY_200002831_REP">#REF!</definedName>
    <definedName name="L_CURRENCY_EQTY_200002833_PRI">#REF!</definedName>
    <definedName name="L_CURRENCY_EQTY_200002833_PUB">#REF!</definedName>
    <definedName name="L_CURRENCY_EQTY_200002833_REP">#REF!</definedName>
    <definedName name="L_CURRENCY_EQTY_200003037_PRI">#REF!</definedName>
    <definedName name="L_CURRENCY_EQTY_200003037_PUB">#REF!</definedName>
    <definedName name="L_CURRENCY_EQTY_200003037_REP">#REF!</definedName>
    <definedName name="L_CURRENCY_EQTY_200003892_PRI">#REF!</definedName>
    <definedName name="L_CURRENCY_EQTY_200003892_PUB">#REF!</definedName>
    <definedName name="L_CURRENCY_EQTY_200003892_REP">#REF!</definedName>
    <definedName name="L_CURRENCY_EQTY_200004419_PRI">#REF!</definedName>
    <definedName name="L_CURRENCY_EQTY_200004419_PUB">#REF!</definedName>
    <definedName name="L_CURRENCY_EQTY_200004419_REP">#REF!</definedName>
    <definedName name="L_CURRENCY_EQTY_200005326_PRI">#REF!</definedName>
    <definedName name="L_CURRENCY_EQTY_200005326_PUB">#REF!</definedName>
    <definedName name="L_CURRENCY_EQTY_200005326_REP">#REF!</definedName>
    <definedName name="L_CURRENCY_EQTY_200006232_PRI">#REF!</definedName>
    <definedName name="L_CURRENCY_EQTY_200006232_PUB">#REF!</definedName>
    <definedName name="L_CURRENCY_EQTY_200006232_REP">#REF!</definedName>
    <definedName name="L_CURRENCY_EQTY_200009556_PRI">#REF!</definedName>
    <definedName name="L_CURRENCY_EQTY_200009556_PUB">#REF!</definedName>
    <definedName name="L_CURRENCY_EQTY_200009556_REP">#REF!</definedName>
    <definedName name="L_CURRENCY_EQTY_200011598_PRI">#REF!</definedName>
    <definedName name="L_CURRENCY_EQTY_200011598_PUB">#REF!</definedName>
    <definedName name="L_CURRENCY_EQTY_200011598_REP">#REF!</definedName>
    <definedName name="L_CURRENCY_EQTY_200012762_PRI">#REF!</definedName>
    <definedName name="L_CURRENCY_EQTY_200012762_PUB">#REF!</definedName>
    <definedName name="L_CURRENCY_EQTY_200012762_REP">#REF!</definedName>
    <definedName name="L_CURRENCY_EQTY_200014300_PRI">#REF!</definedName>
    <definedName name="L_CURRENCY_EQTY_200014300_PUB">#REF!</definedName>
    <definedName name="L_CURRENCY_EQTY_200014300_REP">#REF!</definedName>
    <definedName name="L_CURRENCY_EQTY_200014493_PRI">#REF!</definedName>
    <definedName name="L_CURRENCY_EQTY_200014493_PUB">#REF!</definedName>
    <definedName name="L_CURRENCY_EQTY_200014493_REP">#REF!</definedName>
    <definedName name="L_CURRENCY_EQTY_200014750_PRI">#REF!</definedName>
    <definedName name="L_CURRENCY_EQTY_200014750_PUB">#REF!</definedName>
    <definedName name="L_CURRENCY_EQTY_200014750_REP">#REF!</definedName>
    <definedName name="L_CURRENCY_EQTY_200015107_PRI">#REF!</definedName>
    <definedName name="L_CURRENCY_EQTY_200015107_PUB">#REF!</definedName>
    <definedName name="L_CURRENCY_EQTY_200015107_REP">#REF!</definedName>
    <definedName name="L_CURRENCY_EQTY_200015716_PRI">#REF!</definedName>
    <definedName name="L_CURRENCY_EQTY_200015716_PUB">#REF!</definedName>
    <definedName name="L_CURRENCY_EQTY_200015716_REP">#REF!</definedName>
    <definedName name="L_CURRENCY_EQTY_200015757_PRI">#REF!</definedName>
    <definedName name="L_CURRENCY_EQTY_200015757_PUB">#REF!</definedName>
    <definedName name="L_CURRENCY_EQTY_200015757_REP">#REF!</definedName>
    <definedName name="L_CURRENCY_EQTY_200016026_PRI">#REF!</definedName>
    <definedName name="L_CURRENCY_EQTY_200016026_PUB">#REF!</definedName>
    <definedName name="L_CURRENCY_EQTY_200016026_REP">#REF!</definedName>
    <definedName name="L_CURRENCY_EQTY_200017745_PRI">#REF!</definedName>
    <definedName name="L_CURRENCY_EQTY_200017745_PUB">#REF!</definedName>
    <definedName name="L_CURRENCY_EQTY_200017745_REP">#REF!</definedName>
    <definedName name="L_CURRENCY_ISSR_208000027_REP">#REF!</definedName>
    <definedName name="L_CURRENCY_ISSR_208000402_REP">#REF!</definedName>
    <definedName name="L_CURRENCY_ISSR_208000430_REP">#REF!</definedName>
    <definedName name="L_CURRENCY_ISSR_208000435_REP">#REF!</definedName>
    <definedName name="L_CURRENCY_ISSR_208000451_REP">#REF!</definedName>
    <definedName name="L_CURRENCY_ISSR_208000468_REP">#REF!</definedName>
    <definedName name="L_CURRENCY_ISSR_208000603_REP">#REF!</definedName>
    <definedName name="L_CURRENCY_ISSR_208000976_REP">#REF!</definedName>
    <definedName name="L_CURRENCY_ISSR_208000977_REP">#REF!</definedName>
    <definedName name="L_CURRENCY_ISSR_208001049_REP">#REF!</definedName>
    <definedName name="L_CURRENCY_ISSR_208001137_REP">#REF!</definedName>
    <definedName name="L_CURRENCY_ISSR_208001258_REP">#REF!</definedName>
    <definedName name="L_CURRENCY_ISSR_208001515_REP">#REF!</definedName>
    <definedName name="L_CURRENCY_ISSR_208005795_REP">#REF!</definedName>
    <definedName name="L_CURRENCY_ISSR_208007359_REP">#REF!</definedName>
    <definedName name="L_CURRENCY_ISSR_208008030_REP">#REF!</definedName>
    <definedName name="L_CURRENCY_ISSR_208008836_REP">#REF!</definedName>
    <definedName name="L_CURRENCY_ISSR_208009722_REP">#REF!</definedName>
    <definedName name="L_CURRENCY_ISSR_208010209_REP">#REF!</definedName>
    <definedName name="L_CURRENCY_ISSR_208011072_REP">#REF!</definedName>
    <definedName name="L_CURRENCY_ISSR_208011212_REP">#REF!</definedName>
    <definedName name="L_CURRENCY_ISSR_208011556_REP">#REF!</definedName>
    <definedName name="L_CURRENCY_ISSR_208011888_REP">#REF!</definedName>
    <definedName name="L_CURRENCY_ISSR_208012959_REP">#REF!</definedName>
    <definedName name="L_CURRENCY_ISSR_208015351_REP">#REF!</definedName>
    <definedName name="L_ENTITY_DATA_EQTY_200001646">#REF!</definedName>
    <definedName name="L_ENTITY_DATA_EQTY_200012762">#REF!</definedName>
    <definedName name="L_ENTITY_DATA_ISSR_208000603">#REF!</definedName>
    <definedName name="L_ENTITY_DATA_ISSR_208009722">#REF!</definedName>
    <definedName name="L_KEYWORD_EQTY_200001646_ACT1">#REF!</definedName>
    <definedName name="L_KEYWORD_EQTY_200001646_AMER_CONVICTION">#REF!</definedName>
    <definedName name="L_KEYWORD_EQTY_200001646_AMER_LIST">#REF!</definedName>
    <definedName name="L_KEYWORD_EQTY_200001646_BETA_ANALYST">#REF!</definedName>
    <definedName name="L_KEYWORD_EQTY_200001646_BVPS">#REF!</definedName>
    <definedName name="L_KEYWORD_EQTY_200001646_BVPS_PUB">#REF!</definedName>
    <definedName name="L_KEYWORD_EQTY_200001646_CF_NI_PRE_PREF">#REF!</definedName>
    <definedName name="L_KEYWORD_EQTY_200001646_COMMON_DIV_PAID">#REF!</definedName>
    <definedName name="L_KEYWORD_EQTY_200001646_CURRENCY_ISO">#REF!</definedName>
    <definedName name="L_KEYWORD_EQTY_200001646_DILUTE_SHARES">#REF!</definedName>
    <definedName name="L_KEYWORD_EQTY_200001646_DPS">#REF!</definedName>
    <definedName name="L_KEYWORD_EQTY_200001646_DPS_PUB">#REF!</definedName>
    <definedName name="L_KEYWORD_EQTY_200001646_EBIT_PUB">#REF!</definedName>
    <definedName name="L_KEYWORD_EQTY_200001646_EBITDA_PUB">#REF!</definedName>
    <definedName name="L_KEYWORD_EQTY_200001646_EPS">#REF!</definedName>
    <definedName name="L_KEYWORD_EQTY_200001646_EPS_EX_ESO_B">#REF!</definedName>
    <definedName name="L_KEYWORD_EQTY_200001646_EPS_EX_ESO_D">#REF!</definedName>
    <definedName name="L_KEYWORD_EQTY_200001646_EPS_FUL_DIL">#REF!</definedName>
    <definedName name="L_KEYWORD_EQTY_200001646_EPS_POST_BASIC">#REF!</definedName>
    <definedName name="L_KEYWORD_EQTY_200001646_EPS_PUB">#REF!</definedName>
    <definedName name="L_KEYWORD_EQTY_200001646_EPS_PUB_EX_ESO">#REF!</definedName>
    <definedName name="L_KEYWORD_EQTY_200001646_EQ_PUB">#REF!</definedName>
    <definedName name="L_KEYWORD_EQTY_200001646_ESO_POST_TAX">#REF!</definedName>
    <definedName name="L_KEYWORD_EQTY_200001646_ESO_YEAR">#REF!</definedName>
    <definedName name="L_KEYWORD_EQTY_200001646_EV_ADJ_PUB">#REF!</definedName>
    <definedName name="L_KEYWORD_EQTY_200001646_FREE_FLOAT">#REF!</definedName>
    <definedName name="L_KEYWORD_EQTY_200001646_FULLY_DIL_EPS">#REF!</definedName>
    <definedName name="L_KEYWORD_EQTY_200001646_FV_GRANT">#REF!</definedName>
    <definedName name="L_KEYWORD_EQTY_200001646_GT_BETA">#REF!</definedName>
    <definedName name="L_KEYWORD_EQTY_200001646_INC_MINORITY">#REF!</definedName>
    <definedName name="L_KEYWORD_EQTY_200001646_Interim_Type">#REF!</definedName>
    <definedName name="L_KEYWORD_EQTY_200001646_LEGAL_RATING">#REF!</definedName>
    <definedName name="L_KEYWORD_EQTY_200001646_MARGIN_TAX_RATE">#REF!</definedName>
    <definedName name="L_KEYWORD_EQTY_200001646_MKT_EQ_RISK_PREM">#REF!</definedName>
    <definedName name="L_KEYWORD_EQTY_200001646_NET_DEBT_PUB">#REF!</definedName>
    <definedName name="L_KEYWORD_EQTY_200001646_NET_EARNING">#REF!</definedName>
    <definedName name="L_KEYWORD_EQTY_200001646_NET_INC">#REF!</definedName>
    <definedName name="L_KEYWORD_EQTY_200001646_NI_PRE_PREF">#REF!</definedName>
    <definedName name="L_KEYWORD_EQTY_200001646_NI_PUB">#REF!</definedName>
    <definedName name="L_KEYWORD_EQTY_200001646_NON_OP_ADD">#REF!</definedName>
    <definedName name="L_KEYWORD_EQTY_200001646_NUM_SH">#REF!</definedName>
    <definedName name="L_KEYWORD_EQTY_200001646_PREF_DIV">#REF!</definedName>
    <definedName name="L_KEYWORD_EQTY_200001646_PRICE_CURRENCY_ISO">#REF!</definedName>
    <definedName name="L_KEYWORD_EQTY_200001646_PROV_INC_TAX">#REF!</definedName>
    <definedName name="L_KEYWORD_EQTY_200001646_PTP_PUB">#REF!</definedName>
    <definedName name="L_KEYWORD_EQTY_200001646_PUB_CURRENCY_ISO">#REF!</definedName>
    <definedName name="L_KEYWORD_EQTY_200001646_REPUR_ACTUAL">#REF!</definedName>
    <definedName name="L_KEYWORD_EQTY_200001646_REPUR_REMAINING">#REF!</definedName>
    <definedName name="L_KEYWORD_EQTY_200001646_REPUR_SUSPENDED">#REF!</definedName>
    <definedName name="L_KEYWORD_EQTY_200001646_REPUR_TOT_AUTH">#REF!</definedName>
    <definedName name="L_KEYWORD_EQTY_200001646_REVS_PUB">#REF!</definedName>
    <definedName name="L_KEYWORD_EQTY_200001646_RISK_FR_RATE">#REF!</definedName>
    <definedName name="L_KEYWORD_EQTY_200001646_Security_Name">#REF!</definedName>
    <definedName name="L_KEYWORD_EQTY_200001646_SH">#REF!</definedName>
    <definedName name="L_KEYWORD_EQTY_200001646_TARGET_PRICE">#REF!</definedName>
    <definedName name="L_KEYWORD_EQTY_200001646_TAX_EXC">#REF!</definedName>
    <definedName name="L_KEYWORD_EQTY_200001646_Ticker">#REF!</definedName>
    <definedName name="L_KEYWORD_EQTY_200001646_TP_PERIOD">#REF!</definedName>
    <definedName name="L_KEYWORD_EQTY_200002831_ACT1">#REF!</definedName>
    <definedName name="L_KEYWORD_EQTY_200002831_ACT2">#REF!</definedName>
    <definedName name="L_KEYWORD_EQTY_200002831_ACT3">#REF!</definedName>
    <definedName name="L_KEYWORD_EQTY_200002831_ACT4">#REF!</definedName>
    <definedName name="L_KEYWORD_EQTY_200002831_ACT5">#REF!</definedName>
    <definedName name="L_KEYWORD_EQTY_200002831_ACT6">#REF!</definedName>
    <definedName name="L_KEYWORD_EQTY_200002831_ACT7">#REF!</definedName>
    <definedName name="L_KEYWORD_EQTY_200002831_ACT8">#REF!</definedName>
    <definedName name="L_KEYWORD_EQTY_200002831_ACT9">#REF!</definedName>
    <definedName name="L_KEYWORD_EQTY_200002831_AMER_CONVICTION">#REF!</definedName>
    <definedName name="L_KEYWORD_EQTY_200002831_AMER_LIST">#REF!</definedName>
    <definedName name="L_KEYWORD_EQTY_200002831_BETA_ANALYST">#REF!</definedName>
    <definedName name="L_KEYWORD_EQTY_200002831_BVPS">#REF!</definedName>
    <definedName name="L_KEYWORD_EQTY_200002831_BVPS_PUB">#REF!</definedName>
    <definedName name="L_KEYWORD_EQTY_200002831_CF_NI_PRE_PREF">#REF!</definedName>
    <definedName name="L_KEYWORD_EQTY_200002831_COMMON_DIV_PAID">#REF!</definedName>
    <definedName name="L_KEYWORD_EQTY_200002831_CURRENCY_ISO">#REF!</definedName>
    <definedName name="L_KEYWORD_EQTY_200002831_DILUTE_SHARES">#REF!</definedName>
    <definedName name="L_KEYWORD_EQTY_200002831_DPS">#REF!</definedName>
    <definedName name="L_KEYWORD_EQTY_200002831_DPS_PUB">#REF!</definedName>
    <definedName name="L_KEYWORD_EQTY_200002831_EBIT_PUB">#REF!</definedName>
    <definedName name="L_KEYWORD_EQTY_200002831_EBITDA_PUB">#REF!</definedName>
    <definedName name="L_KEYWORD_EQTY_200002831_EPS">#REF!</definedName>
    <definedName name="L_KEYWORD_EQTY_200002831_EPS_EX_ESO_B">#REF!</definedName>
    <definedName name="L_KEYWORD_EQTY_200002831_EPS_EX_ESO_D">#REF!</definedName>
    <definedName name="L_KEYWORD_EQTY_200002831_EPS_FUL_DIL">#REF!</definedName>
    <definedName name="L_KEYWORD_EQTY_200002831_EPS_POST_BASIC">#REF!</definedName>
    <definedName name="L_KEYWORD_EQTY_200002831_EPS_PUB">#REF!</definedName>
    <definedName name="L_KEYWORD_EQTY_200002831_EPS_PUB_EX_ESO">#REF!</definedName>
    <definedName name="L_KEYWORD_EQTY_200002831_EQ_PUB">#REF!</definedName>
    <definedName name="L_KEYWORD_EQTY_200002831_ESO_POST_TAX">#REF!</definedName>
    <definedName name="L_KEYWORD_EQTY_200002831_ESO_YEAR">#REF!</definedName>
    <definedName name="L_KEYWORD_EQTY_200002831_EV_ADJ_PUB">#REF!</definedName>
    <definedName name="L_KEYWORD_EQTY_200002831_FREE_FLOAT">#REF!</definedName>
    <definedName name="L_KEYWORD_EQTY_200002831_FULLY_DIL_EPS">#REF!</definedName>
    <definedName name="L_KEYWORD_EQTY_200002831_FV_GRANT">#REF!</definedName>
    <definedName name="L_KEYWORD_EQTY_200002831_INC_MINORITY">#REF!</definedName>
    <definedName name="L_KEYWORD_EQTY_200002831_Interim_Type">#REF!</definedName>
    <definedName name="L_KEYWORD_EQTY_200002831_LEGAL_RATING">#REF!</definedName>
    <definedName name="L_KEYWORD_EQTY_200002831_MARGIN_TAX_RATE">#REF!</definedName>
    <definedName name="L_KEYWORD_EQTY_200002831_MKT_EQ_RISK_PREM">#REF!</definedName>
    <definedName name="L_KEYWORD_EQTY_200002831_NET_DEBT_PUB">#REF!</definedName>
    <definedName name="L_KEYWORD_EQTY_200002831_NET_EARNING">#REF!</definedName>
    <definedName name="L_KEYWORD_EQTY_200002831_NET_INC">#REF!</definedName>
    <definedName name="L_KEYWORD_EQTY_200002831_NI_PRE_PREF">#REF!</definedName>
    <definedName name="L_KEYWORD_EQTY_200002831_NI_PUB">#REF!</definedName>
    <definedName name="L_KEYWORD_EQTY_200002831_NON_OP_ADD">#REF!</definedName>
    <definedName name="L_KEYWORD_EQTY_200002831_NUM_SH">#REF!</definedName>
    <definedName name="L_KEYWORD_EQTY_200002831_PREF_DIV">#REF!</definedName>
    <definedName name="L_KEYWORD_EQTY_200002831_PRICE_CURRENCY_ISO">#REF!</definedName>
    <definedName name="L_KEYWORD_EQTY_200002831_PROV_INC_TAX">#REF!</definedName>
    <definedName name="L_KEYWORD_EQTY_200002831_PTP_PUB">#REF!</definedName>
    <definedName name="L_KEYWORD_EQTY_200002831_PUB_CURRENCY_ISO">#REF!</definedName>
    <definedName name="L_KEYWORD_EQTY_200002831_REPUR_ACTUAL">#REF!</definedName>
    <definedName name="L_KEYWORD_EQTY_200002831_REPUR_REMAINING">#REF!</definedName>
    <definedName name="L_KEYWORD_EQTY_200002831_REPUR_SUSPENDED">#REF!</definedName>
    <definedName name="L_KEYWORD_EQTY_200002831_REPUR_TOT_AUTH">#REF!</definedName>
    <definedName name="L_KEYWORD_EQTY_200002831_REVS_PUB">#REF!</definedName>
    <definedName name="L_KEYWORD_EQTY_200002831_RISK_FR_RATE">#REF!</definedName>
    <definedName name="L_KEYWORD_EQTY_200002831_Security_Name">#REF!</definedName>
    <definedName name="L_KEYWORD_EQTY_200002831_SH">#REF!</definedName>
    <definedName name="L_KEYWORD_EQTY_200002831_TARGET_PRICE">#REF!</definedName>
    <definedName name="L_KEYWORD_EQTY_200002831_TAX_EXC">#REF!</definedName>
    <definedName name="L_KEYWORD_EQTY_200002831_Ticker">#REF!</definedName>
    <definedName name="L_KEYWORD_EQTY_200002831_TP_PERIOD">#REF!</definedName>
    <definedName name="L_KEYWORD_EQTY_200004419_ACT1">#REF!</definedName>
    <definedName name="L_KEYWORD_EQTY_200004419_ACT2">#REF!</definedName>
    <definedName name="L_KEYWORD_EQTY_200004419_ACT3">#REF!</definedName>
    <definedName name="L_KEYWORD_EQTY_200004419_ACT4">#REF!</definedName>
    <definedName name="L_KEYWORD_EQTY_200004419_ACT5">#REF!</definedName>
    <definedName name="L_KEYWORD_EQTY_200004419_ACT6">#REF!</definedName>
    <definedName name="L_KEYWORD_EQTY_200004419_ACT7">#REF!</definedName>
    <definedName name="L_KEYWORD_EQTY_200004419_ACT8">#REF!</definedName>
    <definedName name="L_KEYWORD_EQTY_200004419_ACT9">#REF!</definedName>
    <definedName name="L_KEYWORD_EQTY_200004419_AMER_CONVICTION">#REF!</definedName>
    <definedName name="L_KEYWORD_EQTY_200004419_AMER_LIST">#REF!</definedName>
    <definedName name="L_KEYWORD_EQTY_200004419_BETA_ANALYST">#REF!</definedName>
    <definedName name="L_KEYWORD_EQTY_200004419_BVPS">#REF!</definedName>
    <definedName name="L_KEYWORD_EQTY_200004419_BVPS_PUB">#REF!</definedName>
    <definedName name="L_KEYWORD_EQTY_200004419_CEEE_EPS">#REF!</definedName>
    <definedName name="L_KEYWORD_EQTY_200004419_CF_NI_PRE_PREF">#REF!</definedName>
    <definedName name="L_KEYWORD_EQTY_200004419_COMMON_DIV_PAID">#REF!</definedName>
    <definedName name="L_KEYWORD_EQTY_200004419_CURRENCY_ISO">#REF!</definedName>
    <definedName name="L_KEYWORD_EQTY_200004419_DILUTE_SHARES">#REF!</definedName>
    <definedName name="L_KEYWORD_EQTY_200004419_DPS">#REF!</definedName>
    <definedName name="L_KEYWORD_EQTY_200004419_DPS_PUB">#REF!</definedName>
    <definedName name="L_KEYWORD_EQTY_200004419_EBIT_PUB">#REF!</definedName>
    <definedName name="L_KEYWORD_EQTY_200004419_EBITDA_PUB">#REF!</definedName>
    <definedName name="L_KEYWORD_EQTY_200004419_EPS">#REF!</definedName>
    <definedName name="L_KEYWORD_EQTY_200004419_EPS_EX_ESO_B">#REF!</definedName>
    <definedName name="L_KEYWORD_EQTY_200004419_EPS_EX_ESO_D">#REF!</definedName>
    <definedName name="L_KEYWORD_EQTY_200004419_EPS_FUL_DIL">#REF!</definedName>
    <definedName name="L_KEYWORD_EQTY_200004419_EPS_POST_BASIC">#REF!</definedName>
    <definedName name="L_KEYWORD_EQTY_200004419_EPS_PUB">#REF!</definedName>
    <definedName name="L_KEYWORD_EQTY_200004419_EPS_PUB_EX_ESO">#REF!</definedName>
    <definedName name="L_KEYWORD_EQTY_200004419_EQ_PUB">#REF!</definedName>
    <definedName name="L_KEYWORD_EQTY_200004419_ESO_POST_TAX">#REF!</definedName>
    <definedName name="L_KEYWORD_EQTY_200004419_ESO_YEAR">#REF!</definedName>
    <definedName name="L_KEYWORD_EQTY_200004419_EV_ADJ_PUB">#REF!</definedName>
    <definedName name="L_KEYWORD_EQTY_200004419_FREE_FLOAT">#REF!</definedName>
    <definedName name="L_KEYWORD_EQTY_200004419_FULLY_DIL_EPS">#REF!</definedName>
    <definedName name="L_KEYWORD_EQTY_200004419_FV_GRANT">#REF!</definedName>
    <definedName name="L_KEYWORD_EQTY_200004419_INC_MINORITY">#REF!</definedName>
    <definedName name="L_KEYWORD_EQTY_200004419_Interim_Type">#REF!</definedName>
    <definedName name="L_KEYWORD_EQTY_200004419_LEGAL_RATING">#REF!</definedName>
    <definedName name="L_KEYWORD_EQTY_200004419_MARGIN_TAX_RATE">#REF!</definedName>
    <definedName name="L_KEYWORD_EQTY_200004419_MKT_EQ_RISK_PREM">#REF!</definedName>
    <definedName name="L_KEYWORD_EQTY_200004419_NET_DEBT_PUB">#REF!</definedName>
    <definedName name="L_KEYWORD_EQTY_200004419_NET_EARNING">#REF!</definedName>
    <definedName name="L_KEYWORD_EQTY_200004419_NET_INC">#REF!</definedName>
    <definedName name="L_KEYWORD_EQTY_200004419_NI_PRE_PREF">#REF!</definedName>
    <definedName name="L_KEYWORD_EQTY_200004419_NI_PUB">#REF!</definedName>
    <definedName name="L_KEYWORD_EQTY_200004419_NON_OP_ADD">#REF!</definedName>
    <definedName name="L_KEYWORD_EQTY_200004419_NUM_SH">#REF!</definedName>
    <definedName name="L_KEYWORD_EQTY_200004419_PREF_DIV">#REF!</definedName>
    <definedName name="L_KEYWORD_EQTY_200004419_PRICE_CURRENCY_ISO">#REF!</definedName>
    <definedName name="L_KEYWORD_EQTY_200004419_PROV_INC_TAX">#REF!</definedName>
    <definedName name="L_KEYWORD_EQTY_200004419_PTP_PUB">#REF!</definedName>
    <definedName name="L_KEYWORD_EQTY_200004419_PUB_CURRENCY_ISO">#REF!</definedName>
    <definedName name="L_KEYWORD_EQTY_200004419_REPUR_ACTUAL">#REF!</definedName>
    <definedName name="L_KEYWORD_EQTY_200004419_REPUR_REMAINING">#REF!</definedName>
    <definedName name="L_KEYWORD_EQTY_200004419_REPUR_SUSPENDED">#REF!</definedName>
    <definedName name="L_KEYWORD_EQTY_200004419_REPUR_TOT_AUTH">#REF!</definedName>
    <definedName name="L_KEYWORD_EQTY_200004419_REVS_PUB">#REF!</definedName>
    <definedName name="L_KEYWORD_EQTY_200004419_RISK_FR_RATE">#REF!</definedName>
    <definedName name="L_KEYWORD_EQTY_200004419_Security_Name">#REF!</definedName>
    <definedName name="L_KEYWORD_EQTY_200004419_SH">#REF!</definedName>
    <definedName name="L_KEYWORD_EQTY_200004419_TARGET_PRICE">#REF!</definedName>
    <definedName name="L_KEYWORD_EQTY_200004419_TAX_EXC">#REF!</definedName>
    <definedName name="L_KEYWORD_EQTY_200004419_Ticker">#REF!</definedName>
    <definedName name="L_KEYWORD_EQTY_200004419_TP_PERIOD">#REF!</definedName>
    <definedName name="L_KEYWORD_EQTY_200012762_AMER_CONVICTION">#REF!</definedName>
    <definedName name="L_KEYWORD_EQTY_200012762_AMER_LIST">#REF!</definedName>
    <definedName name="L_KEYWORD_EQTY_200012762_BETA_ANALYST">#REF!</definedName>
    <definedName name="L_KEYWORD_EQTY_200012762_BVPS">#REF!</definedName>
    <definedName name="L_KEYWORD_EQTY_200012762_BVPS_PUB">#REF!</definedName>
    <definedName name="L_KEYWORD_EQTY_200012762_CEEE_EPS">#REF!</definedName>
    <definedName name="L_KEYWORD_EQTY_200012762_CF_NI_PRE_PREF">#REF!</definedName>
    <definedName name="L_KEYWORD_EQTY_200012762_COMMON_DIV_PAID">#REF!</definedName>
    <definedName name="L_KEYWORD_EQTY_200012762_CURRENCY_ISO">#REF!</definedName>
    <definedName name="L_KEYWORD_EQTY_200012762_DILUTE_SHARES">#REF!</definedName>
    <definedName name="L_KEYWORD_EQTY_200012762_DPS">#REF!</definedName>
    <definedName name="L_KEYWORD_EQTY_200012762_DPS_PUB">#REF!</definedName>
    <definedName name="L_KEYWORD_EQTY_200012762_EBIT_PUB">#REF!</definedName>
    <definedName name="L_KEYWORD_EQTY_200012762_EBITDA_PUB">#REF!</definedName>
    <definedName name="L_KEYWORD_EQTY_200012762_EPS">#REF!</definedName>
    <definedName name="L_KEYWORD_EQTY_200012762_EPS_EX_ESO_B">#REF!</definedName>
    <definedName name="L_KEYWORD_EQTY_200012762_EPS_EX_ESO_D">#REF!</definedName>
    <definedName name="L_KEYWORD_EQTY_200012762_EPS_FUL_DIL">#REF!</definedName>
    <definedName name="L_KEYWORD_EQTY_200012762_EPS_POST_BASIC">#REF!</definedName>
    <definedName name="L_KEYWORD_EQTY_200012762_EPS_PUB">#REF!</definedName>
    <definedName name="L_KEYWORD_EQTY_200012762_EPS_PUB_EX_ESO">#REF!</definedName>
    <definedName name="L_KEYWORD_EQTY_200012762_EQ_PUB">#REF!</definedName>
    <definedName name="L_KEYWORD_EQTY_200012762_ESO_POST_TAX">#REF!</definedName>
    <definedName name="L_KEYWORD_EQTY_200012762_ESO_YEAR">#REF!</definedName>
    <definedName name="L_KEYWORD_EQTY_200012762_EV_ADJ_PUB">#REF!</definedName>
    <definedName name="L_KEYWORD_EQTY_200012762_FREE_FLOAT">#REF!</definedName>
    <definedName name="L_KEYWORD_EQTY_200012762_FULLY_DIL_EPS">#REF!</definedName>
    <definedName name="L_KEYWORD_EQTY_200012762_FV_GRANT">#REF!</definedName>
    <definedName name="L_KEYWORD_EQTY_200012762_INC_MINORITY">#REF!</definedName>
    <definedName name="L_KEYWORD_EQTY_200012762_Interim_Type">#REF!</definedName>
    <definedName name="L_KEYWORD_EQTY_200012762_LEGAL_RATING">#REF!</definedName>
    <definedName name="L_KEYWORD_EQTY_200012762_MARGIN_TAX_RATE">#REF!</definedName>
    <definedName name="L_KEYWORD_EQTY_200012762_MKT_EQ_RISK_PREM">#REF!</definedName>
    <definedName name="L_KEYWORD_EQTY_200012762_NET_DEBT_PUB">#REF!</definedName>
    <definedName name="L_KEYWORD_EQTY_200012762_NET_EARNING">#REF!</definedName>
    <definedName name="L_KEYWORD_EQTY_200012762_NET_INC">#REF!</definedName>
    <definedName name="L_KEYWORD_EQTY_200012762_NI_PRE_PREF">#REF!</definedName>
    <definedName name="L_KEYWORD_EQTY_200012762_NI_PUB">#REF!</definedName>
    <definedName name="L_KEYWORD_EQTY_200012762_NON_OP_ADD">#REF!</definedName>
    <definedName name="L_KEYWORD_EQTY_200012762_NUM_SH">#REF!</definedName>
    <definedName name="L_KEYWORD_EQTY_200012762_PREF_DIV">#REF!</definedName>
    <definedName name="L_KEYWORD_EQTY_200012762_PRICE_CURRENCY_ISO">#REF!</definedName>
    <definedName name="L_KEYWORD_EQTY_200012762_PROV_INC_TAX">#REF!</definedName>
    <definedName name="L_KEYWORD_EQTY_200012762_PTP_PUB">#REF!</definedName>
    <definedName name="L_KEYWORD_EQTY_200012762_PUB_CURRENCY_ISO">#REF!</definedName>
    <definedName name="L_KEYWORD_EQTY_200012762_REPUR_ACTUAL">#REF!</definedName>
    <definedName name="L_KEYWORD_EQTY_200012762_REPUR_REMAINING">#REF!</definedName>
    <definedName name="L_KEYWORD_EQTY_200012762_REPUR_SUSPENDED">#REF!</definedName>
    <definedName name="L_KEYWORD_EQTY_200012762_REPUR_TOT_AUTH">#REF!</definedName>
    <definedName name="L_KEYWORD_EQTY_200012762_REVS_PUB">#REF!</definedName>
    <definedName name="L_KEYWORD_EQTY_200012762_RISK_FR_RATE">#REF!</definedName>
    <definedName name="L_KEYWORD_EQTY_200012762_Security_Name">#REF!</definedName>
    <definedName name="L_KEYWORD_EQTY_200012762_SH">#REF!</definedName>
    <definedName name="L_KEYWORD_EQTY_200012762_TARGET_PRICE">#REF!</definedName>
    <definedName name="L_KEYWORD_EQTY_200012762_TAX_EXC">#REF!</definedName>
    <definedName name="L_KEYWORD_EQTY_200012762_Ticker">#REF!</definedName>
    <definedName name="L_KEYWORD_EQTY_200012762_TP_PERIOD">#REF!</definedName>
    <definedName name="L_KEYWORD_EQTY_200014750_AMER_CONVICTION">#REF!</definedName>
    <definedName name="L_KEYWORD_EQTY_200014750_AMER_LIST">#REF!</definedName>
    <definedName name="L_KEYWORD_EQTY_200014750_BETA_ANALYST">#REF!</definedName>
    <definedName name="L_KEYWORD_EQTY_200014750_BVPS">#REF!</definedName>
    <definedName name="L_KEYWORD_EQTY_200014750_BVPS_PUB">#REF!</definedName>
    <definedName name="L_KEYWORD_EQTY_200014750_CEEE_EPS">#REF!</definedName>
    <definedName name="L_KEYWORD_EQTY_200014750_CF_NI_PRE_PREF">#REF!</definedName>
    <definedName name="L_KEYWORD_EQTY_200014750_COMMON_DIV_PAID">#REF!</definedName>
    <definedName name="L_KEYWORD_EQTY_200014750_CURRENCY_ISO">#REF!</definedName>
    <definedName name="L_KEYWORD_EQTY_200014750_DILUTE_SHARES">#REF!</definedName>
    <definedName name="L_KEYWORD_EQTY_200014750_DPS">#REF!</definedName>
    <definedName name="L_KEYWORD_EQTY_200014750_DPS_PUB">#REF!</definedName>
    <definedName name="L_KEYWORD_EQTY_200014750_EBIT_PUB">#REF!</definedName>
    <definedName name="L_KEYWORD_EQTY_200014750_EBITDA_PUB">#REF!</definedName>
    <definedName name="L_KEYWORD_EQTY_200014750_EPS">#REF!</definedName>
    <definedName name="L_KEYWORD_EQTY_200014750_EPS_CONS_PUB">#REF!</definedName>
    <definedName name="L_KEYWORD_EQTY_200014750_EPS_EX_ESO_B">#REF!</definedName>
    <definedName name="L_KEYWORD_EQTY_200014750_EPS_EX_ESO_D">#REF!</definedName>
    <definedName name="L_KEYWORD_EQTY_200014750_EPS_FUL_DIL">#REF!</definedName>
    <definedName name="L_KEYWORD_EQTY_200014750_EPS_POST_BASIC">#REF!</definedName>
    <definedName name="L_KEYWORD_EQTY_200014750_EPS_PUB">#REF!</definedName>
    <definedName name="L_KEYWORD_EQTY_200014750_EPS_PUB_EX_ESO">#REF!</definedName>
    <definedName name="L_KEYWORD_EQTY_200014750_EQ_PUB">#REF!</definedName>
    <definedName name="L_KEYWORD_EQTY_200014750_ESO_POST_TAX">#REF!</definedName>
    <definedName name="L_KEYWORD_EQTY_200014750_ESO_YEAR">#REF!</definedName>
    <definedName name="L_KEYWORD_EQTY_200014750_EV_ADJ_PUB">#REF!</definedName>
    <definedName name="L_KEYWORD_EQTY_200014750_FOREIGN_HOLDNG">#REF!</definedName>
    <definedName name="L_KEYWORD_EQTY_200014750_FREE_FLOAT">#REF!</definedName>
    <definedName name="L_KEYWORD_EQTY_200014750_FULLY_DIL_EPS">#REF!</definedName>
    <definedName name="L_KEYWORD_EQTY_200014750_FV_GRANT">#REF!</definedName>
    <definedName name="L_KEYWORD_EQTY_200014750_INC_MINORITY">#REF!</definedName>
    <definedName name="L_KEYWORD_EQTY_200014750_Interim_Type">#REF!</definedName>
    <definedName name="L_KEYWORD_EQTY_200014750_LEGAL_RATING">#REF!</definedName>
    <definedName name="L_KEYWORD_EQTY_200014750_MARGIN_TAX_RATE">#REF!</definedName>
    <definedName name="L_KEYWORD_EQTY_200014750_MKT_EQ_RISK_PREM">#REF!</definedName>
    <definedName name="L_KEYWORD_EQTY_200014750_NET_DEBT_PUB">#REF!</definedName>
    <definedName name="L_KEYWORD_EQTY_200014750_NET_EARNING">#REF!</definedName>
    <definedName name="L_KEYWORD_EQTY_200014750_NET_INC">#REF!</definedName>
    <definedName name="L_KEYWORD_EQTY_200014750_NI_CONS">#REF!</definedName>
    <definedName name="L_KEYWORD_EQTY_200014750_NI_PRE_PREF">#REF!</definedName>
    <definedName name="L_KEYWORD_EQTY_200014750_NI_PUB">#REF!</definedName>
    <definedName name="L_KEYWORD_EQTY_200014750_NON_OP_ADD">#REF!</definedName>
    <definedName name="L_KEYWORD_EQTY_200014750_NUM_SH">#REF!</definedName>
    <definedName name="L_KEYWORD_EQTY_200014750_PREF_DIV">#REF!</definedName>
    <definedName name="L_KEYWORD_EQTY_200014750_PRI_TARG_METH">#REF!</definedName>
    <definedName name="L_KEYWORD_EQTY_200014750_PRI_TARG_MULT">#REF!</definedName>
    <definedName name="L_KEYWORD_EQTY_200014750_PRICE_CURRENCY_ISO">#REF!</definedName>
    <definedName name="L_KEYWORD_EQTY_200014750_PROV_INC_TAX">#REF!</definedName>
    <definedName name="L_KEYWORD_EQTY_200014750_PTP_PUB">#REF!</definedName>
    <definedName name="L_KEYWORD_EQTY_200014750_PUB_CURRENCY_ISO">#REF!</definedName>
    <definedName name="L_KEYWORD_EQTY_200014750_REPUR_ACTUAL">#REF!</definedName>
    <definedName name="L_KEYWORD_EQTY_200014750_REPUR_REMAINING">#REF!</definedName>
    <definedName name="L_KEYWORD_EQTY_200014750_REPUR_SUSPENDED">#REF!</definedName>
    <definedName name="L_KEYWORD_EQTY_200014750_REPUR_TOT_AUTH">#REF!</definedName>
    <definedName name="L_KEYWORD_EQTY_200014750_REVS_PUB">#REF!</definedName>
    <definedName name="L_KEYWORD_EQTY_200014750_RISK_FR_RATE">#REF!</definedName>
    <definedName name="L_KEYWORD_EQTY_200014750_Security_Name">#REF!</definedName>
    <definedName name="L_KEYWORD_EQTY_200014750_SH">#REF!</definedName>
    <definedName name="L_KEYWORD_EQTY_200014750_TARGET_PRICE">#REF!</definedName>
    <definedName name="L_KEYWORD_EQTY_200014750_TAX_EXC">#REF!</definedName>
    <definedName name="L_KEYWORD_EQTY_200014750_Ticker">#REF!</definedName>
    <definedName name="L_KEYWORD_EQTY_200014750_TP_PERIOD">#REF!</definedName>
    <definedName name="L_KEYWORD_ISSR_208000603_ACC_AMORT">#REF!</definedName>
    <definedName name="L_KEYWORD_ISSR_208000603_ACC_DDA">#REF!</definedName>
    <definedName name="L_KEYWORD_ISSR_208000603_ACC_END_DATE">#REF!</definedName>
    <definedName name="L_KEYWORD_ISSR_208000603_ACC_GW_AM">#REF!</definedName>
    <definedName name="L_KEYWORD_ISSR_208000603_ACC_PAY_GQ">#REF!</definedName>
    <definedName name="L_KEYWORD_ISSR_208000603_ACCUM_AMORT">#REF!</definedName>
    <definedName name="L_KEYWORD_ISSR_208000603_ACQ">#REF!</definedName>
    <definedName name="L_KEYWORD_ISSR_208000603_ADJ_UNF_PENS_GOOD">#REF!</definedName>
    <definedName name="L_KEYWORD_ISSR_208000603_ASSOC_JV_ADDBK">#REF!</definedName>
    <definedName name="L_KEYWORD_ISSR_208000603_ASSOCIATE">#REF!</definedName>
    <definedName name="L_KEYWORD_ISSR_208000603_ASSOCIATE_OP">#REF!</definedName>
    <definedName name="L_KEYWORD_ISSR_208000603_BAL_MINO_INT">#REF!</definedName>
    <definedName name="L_KEYWORD_ISSR_208000603_CAP_LEASES">#REF!</definedName>
    <definedName name="L_KEYWORD_ISSR_208000603_CAPEX">#REF!</definedName>
    <definedName name="L_KEYWORD_ISSR_208000603_CAPEX_EXPANSION">#REF!</definedName>
    <definedName name="L_KEYWORD_ISSR_208000603_CAPEX_MAINTENANCE">#REF!</definedName>
    <definedName name="L_KEYWORD_ISSR_208000603_CASH_EQ">#REF!</definedName>
    <definedName name="L_KEYWORD_ISSR_208000603_CASH_INT_EXP">#REF!</definedName>
    <definedName name="L_KEYWORD_ISSR_208000603_CASH_TAX_EXP">#REF!</definedName>
    <definedName name="L_KEYWORD_ISSR_208000603_CF_FIN">#REF!</definedName>
    <definedName name="L_KEYWORD_ISSR_208000603_CF_INC_MINORITY">#REF!</definedName>
    <definedName name="L_KEYWORD_ISSR_208000603_CF_INV">#REF!</definedName>
    <definedName name="L_KEYWORD_ISSR_208000603_CF_OPS">#REF!</definedName>
    <definedName name="L_KEYWORD_ISSR_208000603_CHG_LT_DEBT">#REF!</definedName>
    <definedName name="L_KEYWORD_ISSR_208000603_CO_BOR_MARGIN">#REF!</definedName>
    <definedName name="L_KEYWORD_ISSR_208000603_COST_GD_SD">#REF!</definedName>
    <definedName name="L_KEYWORD_ISSR_208000603_CUR_ASS">#REF!</definedName>
    <definedName name="L_KEYWORD_ISSR_208000603_CURRENCY_ISO">#REF!</definedName>
    <definedName name="L_KEYWORD_ISSR_208000603_DEBTORS">#REF!</definedName>
    <definedName name="L_KEYWORD_ISSR_208000603_DEF_INC_TAX">#REF!</definedName>
    <definedName name="L_KEYWORD_ISSR_208000603_DEPR_AMORT">#REF!</definedName>
    <definedName name="L_KEYWORD_ISSR_208000603_DEPREC">#REF!</definedName>
    <definedName name="L_KEYWORD_ISSR_208000603_DIV_PAID">#REF!</definedName>
    <definedName name="L_KEYWORD_ISSR_208000603_DIVDS_ASSOC_JV">#REF!</definedName>
    <definedName name="L_KEYWORD_ISSR_208000603_DIVDS_PD_MINORITIES">#REF!</definedName>
    <definedName name="L_KEYWORD_ISSR_208000603_DIVEST">#REF!</definedName>
    <definedName name="L_KEYWORD_ISSR_208000603_EBIT">#REF!</definedName>
    <definedName name="L_KEYWORD_ISSR_208000603_EBIT_FIN_SEGMENT">#REF!</definedName>
    <definedName name="L_KEYWORD_ISSR_208000603_EBITDA_CALC">#REF!</definedName>
    <definedName name="L_KEYWORD_ISSR_208000603_EMPLOYEES">#REF!</definedName>
    <definedName name="L_KEYWORD_ISSR_208000603_EQ">#REF!</definedName>
    <definedName name="L_KEYWORD_ISSR_208000603_ESO_PRE_TAX">#REF!</definedName>
    <definedName name="L_KEYWORD_ISSR_208000603_FIX_ASS_INV">#REF!</definedName>
    <definedName name="L_KEYWORD_ISSR_208000603_GCI_INFL">#REF!</definedName>
    <definedName name="L_KEYWORD_ISSR_208000603_GOODWILL_AMORT">#REF!</definedName>
    <definedName name="L_KEYWORD_ISSR_208000603_GR_FIX_ASS">#REF!</definedName>
    <definedName name="L_KEYWORD_ISSR_208000603_GR_INTANG">#REF!</definedName>
    <definedName name="L_KEYWORD_ISSR_208000603_GROSS_GW">#REF!</definedName>
    <definedName name="L_KEYWORD_ISSR_208000603_GROSS_OTH_INTANG">#REF!</definedName>
    <definedName name="L_KEYWORD_ISSR_208000603_GT_BLEND_ARPU_PC">#REF!</definedName>
    <definedName name="L_KEYWORD_ISSR_208000603_GT_BLEND_MOU">#REF!</definedName>
    <definedName name="L_KEYWORD_ISSR_208000603_GT_CAPEX_MOU">#REF!</definedName>
    <definedName name="L_KEYWORD_ISSR_208000603_GT_DSL_SUB">#REF!</definedName>
    <definedName name="L_KEYWORD_ISSR_208000603_GT_FIX_DATA_REV">#REF!</definedName>
    <definedName name="L_KEYWORD_ISSR_208000603_GT_FIX_VOICE_REV">#REF!</definedName>
    <definedName name="L_KEYWORD_ISSR_208000603_GT_LD_SUB">#REF!</definedName>
    <definedName name="L_KEYWORD_ISSR_208000603_GT_MOB_DATA_REV">#REF!</definedName>
    <definedName name="L_KEYWORD_ISSR_208000603_GT_MOB_VOICE_REV">#REF!</definedName>
    <definedName name="L_KEYWORD_ISSR_208000603_GT_OTH_CAPEX">#REF!</definedName>
    <definedName name="L_KEYWORD_ISSR_208000603_GT_OTH_REV">#REF!</definedName>
    <definedName name="L_KEYWORD_ISSR_208000603_GT_OTHER_REV">#REF!</definedName>
    <definedName name="L_KEYWORD_ISSR_208000603_GT_PAY_TV_REV">#REF!</definedName>
    <definedName name="L_KEYWORD_ISSR_208000603_GT_SERVC_REV">#REF!</definedName>
    <definedName name="L_KEYWORD_ISSR_208000603_GT_TOT_ACC_LINE">#REF!</definedName>
    <definedName name="L_KEYWORD_ISSR_208000603_GT_TOT_BUS_LINE">#REF!</definedName>
    <definedName name="L_KEYWORD_ISSR_208000603_GT_TOT_MINS">#REF!</definedName>
    <definedName name="L_KEYWORD_ISSR_208000603_GT_TOT_PPD_SUB_PC">#REF!</definedName>
    <definedName name="L_KEYWORD_ISSR_208000603_GT_TOT_RES_LINE">#REF!</definedName>
    <definedName name="L_KEYWORD_ISSR_208000603_GT_TOT_RET_LINE">#REF!</definedName>
    <definedName name="L_KEYWORD_ISSR_208000603_GT_WRLN_CAPEX">#REF!</definedName>
    <definedName name="L_KEYWORD_ISSR_208000603_GT_WRLN_REV">#REF!</definedName>
    <definedName name="L_KEYWORD_ISSR_208000603_GT_WRLS_ARPU">#REF!</definedName>
    <definedName name="L_KEYWORD_ISSR_208000603_GT_WRLS_CAPEX">#REF!</definedName>
    <definedName name="L_KEYWORD_ISSR_208000603_GT_WRLS_CHURN">#REF!</definedName>
    <definedName name="L_KEYWORD_ISSR_208000603_GT_WRLS_REV">#REF!</definedName>
    <definedName name="L_KEYWORD_ISSR_208000603_GT_WRLS_SUB">#REF!</definedName>
    <definedName name="L_KEYWORD_ISSR_208000603_INT_EXP_IND">#REF!</definedName>
    <definedName name="L_KEYWORD_ISSR_208000603_INT_INC_IND">#REF!</definedName>
    <definedName name="L_KEYWORD_ISSR_208000603_INT_PAID_CF">#REF!</definedName>
    <definedName name="L_KEYWORD_ISSR_208000603_INTANG_CAPEX">#REF!</definedName>
    <definedName name="L_KEYWORD_ISSR_208000603_INV_SECUR">#REF!</definedName>
    <definedName name="L_KEYWORD_ISSR_208000603_Issuer_Name">#REF!</definedName>
    <definedName name="L_KEYWORD_ISSR_208000603_LEASE_DEEM_DEPR">#REF!</definedName>
    <definedName name="L_KEYWORD_ISSR_208000603_LEASE_DEEM_INT">#REF!</definedName>
    <definedName name="L_KEYWORD_ISSR_208000603_LEASE_PAY">#REF!</definedName>
    <definedName name="L_KEYWORD_ISSR_208000603_LT_DEBT">#REF!</definedName>
    <definedName name="L_KEYWORD_ISSR_208000603_MA_PROB">#REF!</definedName>
    <definedName name="L_KEYWORD_ISSR_208000603_MINORITIES">#REF!</definedName>
    <definedName name="L_KEYWORD_ISSR_208000603_MV_ASSOCIATES">#REF!</definedName>
    <definedName name="L_KEYWORD_ISSR_208000603_NET_DEBT">#REF!</definedName>
    <definedName name="L_KEYWORD_ISSR_208000603_NET_DEBT_ADJ">#REF!</definedName>
    <definedName name="L_KEYWORD_ISSR_208000603_NET_FIX_ASS">#REF!</definedName>
    <definedName name="L_KEYWORD_ISSR_208000603_NET_GW">#REF!</definedName>
    <definedName name="L_KEYWORD_ISSR_208000603_NET_INT_CH">#REF!</definedName>
    <definedName name="L_KEYWORD_ISSR_208000603_NET_INT_EXP">#REF!</definedName>
    <definedName name="L_KEYWORD_ISSR_208000603_NET_INTANG">#REF!</definedName>
    <definedName name="L_KEYWORD_ISSR_208000603_NET_OTH_INTANG">#REF!</definedName>
    <definedName name="L_KEYWORD_ISSR_208000603_NONPPE_CAPEX">#REF!</definedName>
    <definedName name="L_KEYWORD_ISSR_208000603_OP_AUSTRA">#REF!</definedName>
    <definedName name="L_KEYWORD_ISSR_208000603_OP_AUSTRIA">#REF!</definedName>
    <definedName name="L_KEYWORD_ISSR_208000603_OP_BEL">#REF!</definedName>
    <definedName name="L_KEYWORD_ISSR_208000603_OP_BRAZIL">#REF!</definedName>
    <definedName name="L_KEYWORD_ISSR_208000603_OP_CANADA">#REF!</definedName>
    <definedName name="L_KEYWORD_ISSR_208000603_OP_CEE">#REF!</definedName>
    <definedName name="L_KEYWORD_ISSR_208000603_OP_CHINA">#REF!</definedName>
    <definedName name="L_KEYWORD_ISSR_208000603_OP_CONS">#REF!</definedName>
    <definedName name="L_KEYWORD_ISSR_208000603_OP_COST">#REF!</definedName>
    <definedName name="L_KEYWORD_ISSR_208000603_OP_DEN">#REF!</definedName>
    <definedName name="L_KEYWORD_ISSR_208000603_OP_EU_EX_UK">#REF!</definedName>
    <definedName name="L_KEYWORD_ISSR_208000603_OP_FIN">#REF!</definedName>
    <definedName name="L_KEYWORD_ISSR_208000603_OP_FRA">#REF!</definedName>
    <definedName name="L_KEYWORD_ISSR_208000603_OP_GER">#REF!</definedName>
    <definedName name="L_KEYWORD_ISSR_208000603_OP_GOV">#REF!</definedName>
    <definedName name="L_KEYWORD_ISSR_208000603_OP_GRE">#REF!</definedName>
    <definedName name="L_KEYWORD_ISSR_208000603_OP_ICE">#REF!</definedName>
    <definedName name="L_KEYWORD_ISSR_208000603_OP_IND">#REF!</definedName>
    <definedName name="L_KEYWORD_ISSR_208000603_OP_INDIA">#REF!</definedName>
    <definedName name="L_KEYWORD_ISSR_208000603_OP_IRE">#REF!</definedName>
    <definedName name="L_KEYWORD_ISSR_208000603_OP_ITA">#REF!</definedName>
    <definedName name="L_KEYWORD_ISSR_208000603_OP_JAPAN">#REF!</definedName>
    <definedName name="L_KEYWORD_ISSR_208000603_OP_ME">#REF!</definedName>
    <definedName name="L_KEYWORD_ISSR_208000603_OP_NETH">#REF!</definedName>
    <definedName name="L_KEYWORD_ISSR_208000603_OP_NOR">#REF!</definedName>
    <definedName name="L_KEYWORD_ISSR_208000603_OP_NZ">#REF!</definedName>
    <definedName name="L_KEYWORD_ISSR_208000603_OP_OTH_AEJ">#REF!</definedName>
    <definedName name="L_KEYWORD_ISSR_208000603_OP_OTH_AM">#REF!</definedName>
    <definedName name="L_KEYWORD_ISSR_208000603_OP_OTH_EMEA">#REF!</definedName>
    <definedName name="L_KEYWORD_ISSR_208000603_OP_OTHER">#REF!</definedName>
    <definedName name="L_KEYWORD_ISSR_208000603_OP_POR">#REF!</definedName>
    <definedName name="L_KEYWORD_ISSR_208000603_OP_RUSSIA">#REF!</definedName>
    <definedName name="L_KEYWORD_ISSR_208000603_OP_SK">#REF!</definedName>
    <definedName name="L_KEYWORD_ISSR_208000603_OP_SPA">#REF!</definedName>
    <definedName name="L_KEYWORD_ISSR_208000603_OP_SWE">#REF!</definedName>
    <definedName name="L_KEYWORD_ISSR_208000603_OP_SWIT">#REF!</definedName>
    <definedName name="L_KEYWORD_ISSR_208000603_OP_TOT_AM">#REF!</definedName>
    <definedName name="L_KEYWORD_ISSR_208000603_OP_TOT_ASIA">#REF!</definedName>
    <definedName name="L_KEYWORD_ISSR_208000603_OP_TOT_EMEA">#REF!</definedName>
    <definedName name="L_KEYWORD_ISSR_208000603_OP_UK">#REF!</definedName>
    <definedName name="L_KEYWORD_ISSR_208000603_OP_US">#REF!</definedName>
    <definedName name="L_KEYWORD_ISSR_208000603_ORD_SH_FUND">#REF!</definedName>
    <definedName name="L_KEYWORD_ISSR_208000603_OTH_COST_INC">#REF!</definedName>
    <definedName name="L_KEYWORD_ISSR_208000603_OTH_CUR_ASS">#REF!</definedName>
    <definedName name="L_KEYWORD_ISSR_208000603_OTH_CUR_LIABS">#REF!</definedName>
    <definedName name="L_KEYWORD_ISSR_208000603_OTH_DACF_ADJ">#REF!</definedName>
    <definedName name="L_KEYWORD_ISSR_208000603_OTH_FIN_CF">#REF!</definedName>
    <definedName name="L_KEYWORD_ISSR_208000603_OTH_GCI_ADJ">#REF!</definedName>
    <definedName name="L_KEYWORD_ISSR_208000603_OTH_INV_CF">#REF!</definedName>
    <definedName name="L_KEYWORD_ISSR_208000603_OTH_LT_ASS">#REF!</definedName>
    <definedName name="L_KEYWORD_ISSR_208000603_OTH_LT_CRED_GQ">#REF!</definedName>
    <definedName name="L_KEYWORD_ISSR_208000603_OTH_NONCASH_ADJ">#REF!</definedName>
    <definedName name="L_KEYWORD_ISSR_208000603_OTH_OP_CF">#REF!</definedName>
    <definedName name="L_KEYWORD_ISSR_208000603_OTH_OP_INC_EXP">#REF!</definedName>
    <definedName name="L_KEYWORD_ISSR_208000603_PERIOD_MILESTONE">#REF!</definedName>
    <definedName name="L_KEYWORD_ISSR_208000603_PL_SALE_ASSETS">#REF!</definedName>
    <definedName name="L_KEYWORD_ISSR_208000603_PPNT_FCF">#REF!</definedName>
    <definedName name="L_KEYWORD_ISSR_208000603_PREF_SH">#REF!</definedName>
    <definedName name="L_KEYWORD_ISSR_208000603_PROFIT_ON_DISP">#REF!</definedName>
    <definedName name="L_KEYWORD_ISSR_208000603_PT_PROF">#REF!</definedName>
    <definedName name="L_KEYWORD_ISSR_208000603_RD_EXP">#REF!</definedName>
    <definedName name="L_KEYWORD_ISSR_208000603_REV_FIN_SEGMENT">#REF!</definedName>
    <definedName name="L_KEYWORD_ISSR_208000603_SALES">#REF!</definedName>
    <definedName name="L_KEYWORD_ISSR_208000603_SALES_AUSTRA">#REF!</definedName>
    <definedName name="L_KEYWORD_ISSR_208000603_SALES_AUSTRIA">#REF!</definedName>
    <definedName name="L_KEYWORD_ISSR_208000603_SALES_BEL">#REF!</definedName>
    <definedName name="L_KEYWORD_ISSR_208000603_SALES_BRAZIL">#REF!</definedName>
    <definedName name="L_KEYWORD_ISSR_208000603_SALES_CANADA">#REF!</definedName>
    <definedName name="L_KEYWORD_ISSR_208000603_SALES_CEE">#REF!</definedName>
    <definedName name="L_KEYWORD_ISSR_208000603_SALES_CHINA">#REF!</definedName>
    <definedName name="L_KEYWORD_ISSR_208000603_SALES_CONS">#REF!</definedName>
    <definedName name="L_KEYWORD_ISSR_208000603_SALES_DEN">#REF!</definedName>
    <definedName name="L_KEYWORD_ISSR_208000603_SALES_EU_EX_UK">#REF!</definedName>
    <definedName name="L_KEYWORD_ISSR_208000603_SALES_FIN">#REF!</definedName>
    <definedName name="L_KEYWORD_ISSR_208000603_SALES_FINAN">#REF!</definedName>
    <definedName name="L_KEYWORD_ISSR_208000603_SALES_FRA">#REF!</definedName>
    <definedName name="L_KEYWORD_ISSR_208000603_SALES_GER">#REF!</definedName>
    <definedName name="L_KEYWORD_ISSR_208000603_SALES_GOV">#REF!</definedName>
    <definedName name="L_KEYWORD_ISSR_208000603_SALES_GRE">#REF!</definedName>
    <definedName name="L_KEYWORD_ISSR_208000603_SALES_ICE">#REF!</definedName>
    <definedName name="L_KEYWORD_ISSR_208000603_SALES_IND">#REF!</definedName>
    <definedName name="L_KEYWORD_ISSR_208000603_SALES_INDIA">#REF!</definedName>
    <definedName name="L_KEYWORD_ISSR_208000603_SALES_IRE">#REF!</definedName>
    <definedName name="L_KEYWORD_ISSR_208000603_SALES_ITA">#REF!</definedName>
    <definedName name="L_KEYWORD_ISSR_208000603_SALES_JAPAN">#REF!</definedName>
    <definedName name="L_KEYWORD_ISSR_208000603_SALES_ME">#REF!</definedName>
    <definedName name="L_KEYWORD_ISSR_208000603_SALES_NETH">#REF!</definedName>
    <definedName name="L_KEYWORD_ISSR_208000603_SALES_NOR">#REF!</definedName>
    <definedName name="L_KEYWORD_ISSR_208000603_SALES_NZ">#REF!</definedName>
    <definedName name="L_KEYWORD_ISSR_208000603_SALES_OTH_AEJ">#REF!</definedName>
    <definedName name="L_KEYWORD_ISSR_208000603_SALES_OTH_AM">#REF!</definedName>
    <definedName name="L_KEYWORD_ISSR_208000603_SALES_OTH_EMEA">#REF!</definedName>
    <definedName name="L_KEYWORD_ISSR_208000603_SALES_OTHER">#REF!</definedName>
    <definedName name="L_KEYWORD_ISSR_208000603_SALES_POR">#REF!</definedName>
    <definedName name="L_KEYWORD_ISSR_208000603_SALES_RUSSIA">#REF!</definedName>
    <definedName name="L_KEYWORD_ISSR_208000603_SALES_SK">#REF!</definedName>
    <definedName name="L_KEYWORD_ISSR_208000603_SALES_SMB">#REF!</definedName>
    <definedName name="L_KEYWORD_ISSR_208000603_SALES_SPA">#REF!</definedName>
    <definedName name="L_KEYWORD_ISSR_208000603_SALES_SWE">#REF!</definedName>
    <definedName name="L_KEYWORD_ISSR_208000603_SALES_SWIT">#REF!</definedName>
    <definedName name="L_KEYWORD_ISSR_208000603_SALES_TOT_AM">#REF!</definedName>
    <definedName name="L_KEYWORD_ISSR_208000603_SALES_TOT_ASIA">#REF!</definedName>
    <definedName name="L_KEYWORD_ISSR_208000603_SALES_TOT_EMEA">#REF!</definedName>
    <definedName name="L_KEYWORD_ISSR_208000603_SALES_UK">#REF!</definedName>
    <definedName name="L_KEYWORD_ISSR_208000603_SALES_US">#REF!</definedName>
    <definedName name="L_KEYWORD_ISSR_208000603_SEL_GL_AD">#REF!</definedName>
    <definedName name="L_KEYWORD_ISSR_208000603_SH_REPUR">#REF!</definedName>
    <definedName name="L_KEYWORD_ISSR_208000603_SHORT_T_DEBT">#REF!</definedName>
    <definedName name="L_KEYWORD_ISSR_208000603_SHORT_TERM_LIABS">#REF!</definedName>
    <definedName name="L_KEYWORD_ISSR_208000603_STOCKS">#REF!</definedName>
    <definedName name="L_KEYWORD_ISSR_208000603_TANG_CAPEX">#REF!</definedName>
    <definedName name="L_KEYWORD_ISSR_208000603_TAX_PAID_CF">#REF!</definedName>
    <definedName name="L_KEYWORD_ISSR_208000603_TOT_ASSET">#REF!</definedName>
    <definedName name="L_KEYWORD_ISSR_208000603_TOT_CF">#REF!</definedName>
    <definedName name="L_KEYWORD_ISSR_208000603_TOT_LIAB">#REF!</definedName>
    <definedName name="L_KEYWORD_ISSR_208000603_TOT_LIAB_EQ">#REF!</definedName>
    <definedName name="L_KEYWORD_ISSR_208000603_TOT_LT_LIAB">#REF!</definedName>
    <definedName name="L_KEYWORD_ISSR_208000603_TOT_OPS_EXP">#REF!</definedName>
    <definedName name="L_KEYWORD_ISSR_208000603_TOT_OPS_EXP_DDA">#REF!</definedName>
    <definedName name="L_KEYWORD_ISSR_208000603_UNF_PENS">#REF!</definedName>
    <definedName name="L_KEYWORD_ISSR_208000603_UNF_PENS_LIAB_OTH">#REF!</definedName>
    <definedName name="L_KEYWORD_ISSR_208000603_UNF_PENS_OFF">#REF!</definedName>
    <definedName name="L_KEYWORD_ISSR_208000603_WORK_CAP">#REF!</definedName>
    <definedName name="L_KEYWORD_ISSR_208000976_ACC_AMORT">#REF!</definedName>
    <definedName name="L_KEYWORD_ISSR_208000976_ACC_DDA">#REF!</definedName>
    <definedName name="L_KEYWORD_ISSR_208000976_ACC_END_DATE">#REF!</definedName>
    <definedName name="L_KEYWORD_ISSR_208000976_ACC_PAY_GQ">#REF!</definedName>
    <definedName name="L_KEYWORD_ISSR_208000976_ACQ">#REF!</definedName>
    <definedName name="L_KEYWORD_ISSR_208000976_ADJ_UNF_PENS_GOOD">#REF!</definedName>
    <definedName name="L_KEYWORD_ISSR_208000976_ASSOC_JV_ADDBK">#REF!</definedName>
    <definedName name="L_KEYWORD_ISSR_208000976_ASSOCIATE">#REF!</definedName>
    <definedName name="L_KEYWORD_ISSR_208000976_ASSOCIATE_OP">#REF!</definedName>
    <definedName name="L_KEYWORD_ISSR_208000976_BAL_MINO_INT">#REF!</definedName>
    <definedName name="L_KEYWORD_ISSR_208000976_CAP_LEASES">#REF!</definedName>
    <definedName name="L_KEYWORD_ISSR_208000976_CAPEX">#REF!</definedName>
    <definedName name="L_KEYWORD_ISSR_208000976_CAPEX_EXPANSION">#REF!</definedName>
    <definedName name="L_KEYWORD_ISSR_208000976_CAPEX_MAINTENANCE">#REF!</definedName>
    <definedName name="L_KEYWORD_ISSR_208000976_CASH_EQ">#REF!</definedName>
    <definedName name="L_KEYWORD_ISSR_208000976_CASH_INT_EXP">#REF!</definedName>
    <definedName name="L_KEYWORD_ISSR_208000976_CASH_PCT_OS_US">#REF!</definedName>
    <definedName name="L_KEYWORD_ISSR_208000976_CASH_TAX_EXP">#REF!</definedName>
    <definedName name="L_KEYWORD_ISSR_208000976_CF_FIN">#REF!</definedName>
    <definedName name="L_KEYWORD_ISSR_208000976_CF_INC_MINORITY">#REF!</definedName>
    <definedName name="L_KEYWORD_ISSR_208000976_CF_INV">#REF!</definedName>
    <definedName name="L_KEYWORD_ISSR_208000976_CF_OPS">#REF!</definedName>
    <definedName name="L_KEYWORD_ISSR_208000976_CHG_LT_DEBT">#REF!</definedName>
    <definedName name="L_KEYWORD_ISSR_208000976_CO_BOR_MARGIN">#REF!</definedName>
    <definedName name="L_KEYWORD_ISSR_208000976_COST_GD_SD">#REF!</definedName>
    <definedName name="L_KEYWORD_ISSR_208000976_CUR_ASS">#REF!</definedName>
    <definedName name="L_KEYWORD_ISSR_208000976_CURRENCY_ISO">#REF!</definedName>
    <definedName name="L_KEYWORD_ISSR_208000976_DEBTORS">#REF!</definedName>
    <definedName name="L_KEYWORD_ISSR_208000976_DEF_INC_TAX">#REF!</definedName>
    <definedName name="L_KEYWORD_ISSR_208000976_DEPR_AMORT">#REF!</definedName>
    <definedName name="L_KEYWORD_ISSR_208000976_DEPREC">#REF!</definedName>
    <definedName name="L_KEYWORD_ISSR_208000976_DIV_PAID">#REF!</definedName>
    <definedName name="L_KEYWORD_ISSR_208000976_DIVDS_ASSOC_JV">#REF!</definedName>
    <definedName name="L_KEYWORD_ISSR_208000976_DIVDS_PD_MINORITIES">#REF!</definedName>
    <definedName name="L_KEYWORD_ISSR_208000976_DIVEST">#REF!</definedName>
    <definedName name="L_KEYWORD_ISSR_208000976_EBIT">#REF!</definedName>
    <definedName name="L_KEYWORD_ISSR_208000976_EBIT_FIN_SEGMENT">#REF!</definedName>
    <definedName name="L_KEYWORD_ISSR_208000976_EBITDA_CALC">#REF!</definedName>
    <definedName name="L_KEYWORD_ISSR_208000976_EMPLOYEES">#REF!</definedName>
    <definedName name="L_KEYWORD_ISSR_208000976_EQ">#REF!</definedName>
    <definedName name="L_KEYWORD_ISSR_208000976_ESO_PRE_TAX">#REF!</definedName>
    <definedName name="L_KEYWORD_ISSR_208000976_EXP_ALUMINIUM">#REF!</definedName>
    <definedName name="L_KEYWORD_ISSR_208000976_EXP_COPPER">#REF!</definedName>
    <definedName name="L_KEYWORD_ISSR_208000976_EXP_GLASS">#REF!</definedName>
    <definedName name="L_KEYWORD_ISSR_208000976_EXP_GOLD">#REF!</definedName>
    <definedName name="L_KEYWORD_ISSR_208000976_EXP_NICKEL">#REF!</definedName>
    <definedName name="L_KEYWORD_ISSR_208000976_EXP_OIL_DERIV_NGLS_PLASTICS">#REF!</definedName>
    <definedName name="L_KEYWORD_ISSR_208000976_EXP_OIL_PETRO_FUEL">#REF!</definedName>
    <definedName name="L_KEYWORD_ISSR_208000976_EXP_OTH_COMMODITY">#REF!</definedName>
    <definedName name="L_KEYWORD_ISSR_208000976_EXP_OTH_COST">#REF!</definedName>
    <definedName name="L_KEYWORD_ISSR_208000976_EXP_PALLADIUM">#REF!</definedName>
    <definedName name="L_KEYWORD_ISSR_208000976_EXP_PAPER_PULP">#REF!</definedName>
    <definedName name="L_KEYWORD_ISSR_208000976_EXP_PLATINUM">#REF!</definedName>
    <definedName name="L_KEYWORD_ISSR_208000976_EXP_SILVER">#REF!</definedName>
    <definedName name="L_KEYWORD_ISSR_208000976_EXP_WATER">#REF!</definedName>
    <definedName name="L_KEYWORD_ISSR_208000976_EXP_ZINC">#REF!</definedName>
    <definedName name="L_KEYWORD_ISSR_208000976_FIX_ASS_INV">#REF!</definedName>
    <definedName name="L_KEYWORD_ISSR_208000976_GCI_INFL">#REF!</definedName>
    <definedName name="L_KEYWORD_ISSR_208000976_GOODWILL_AMORT">#REF!</definedName>
    <definedName name="L_KEYWORD_ISSR_208000976_GR_FIX_ASS">#REF!</definedName>
    <definedName name="L_KEYWORD_ISSR_208000976_GR_INTANG">#REF!</definedName>
    <definedName name="L_KEYWORD_ISSR_208000976_INT_EXP_IND">#REF!</definedName>
    <definedName name="L_KEYWORD_ISSR_208000976_INT_INC_IND">#REF!</definedName>
    <definedName name="L_KEYWORD_ISSR_208000976_INV_SECUR">#REF!</definedName>
    <definedName name="L_KEYWORD_ISSR_208000976_Issuer_Name">#REF!</definedName>
    <definedName name="L_KEYWORD_ISSR_208000976_LEASE_DEEM_DEPR">#REF!</definedName>
    <definedName name="L_KEYWORD_ISSR_208000976_LEASE_DEEM_INT">#REF!</definedName>
    <definedName name="L_KEYWORD_ISSR_208000976_LEASE_PAY">#REF!</definedName>
    <definedName name="L_KEYWORD_ISSR_208000976_LT_DEBT">#REF!</definedName>
    <definedName name="L_KEYWORD_ISSR_208000976_MA_PROB">#REF!</definedName>
    <definedName name="L_KEYWORD_ISSR_208000976_MINORITIES">#REF!</definedName>
    <definedName name="L_KEYWORD_ISSR_208000976_MV_ASSOCIATES">#REF!</definedName>
    <definedName name="L_KEYWORD_ISSR_208000976_NET_DEBT">#REF!</definedName>
    <definedName name="L_KEYWORD_ISSR_208000976_NET_DEBT_ADJ">#REF!</definedName>
    <definedName name="L_KEYWORD_ISSR_208000976_NET_FIX_ASS">#REF!</definedName>
    <definedName name="L_KEYWORD_ISSR_208000976_NET_INT_CH">#REF!</definedName>
    <definedName name="L_KEYWORD_ISSR_208000976_NET_INT_EXP">#REF!</definedName>
    <definedName name="L_KEYWORD_ISSR_208000976_NET_INTANG">#REF!</definedName>
    <definedName name="L_KEYWORD_ISSR_208000976_NONPPE_CAPEX">#REF!</definedName>
    <definedName name="L_KEYWORD_ISSR_208000976_OP_COST">#REF!</definedName>
    <definedName name="L_KEYWORD_ISSR_208000976_ORD_SH_FUND">#REF!</definedName>
    <definedName name="L_KEYWORD_ISSR_208000976_ORG_REV_GRTH">#REF!</definedName>
    <definedName name="L_KEYWORD_ISSR_208000976_OTH_COST_INC">#REF!</definedName>
    <definedName name="L_KEYWORD_ISSR_208000976_OTH_CUR_ASS">#REF!</definedName>
    <definedName name="L_KEYWORD_ISSR_208000976_OTH_CUR_LIABS">#REF!</definedName>
    <definedName name="L_KEYWORD_ISSR_208000976_OTH_DACF_ADJ">#REF!</definedName>
    <definedName name="L_KEYWORD_ISSR_208000976_OTH_FIN_CF">#REF!</definedName>
    <definedName name="L_KEYWORD_ISSR_208000976_OTH_GCI_ADJ">#REF!</definedName>
    <definedName name="L_KEYWORD_ISSR_208000976_OTH_INV_CF">#REF!</definedName>
    <definedName name="L_KEYWORD_ISSR_208000976_OTH_LT_ASS">#REF!</definedName>
    <definedName name="L_KEYWORD_ISSR_208000976_OTH_LT_CRED_GQ">#REF!</definedName>
    <definedName name="L_KEYWORD_ISSR_208000976_OTH_NONCASH_ADJ">#REF!</definedName>
    <definedName name="L_KEYWORD_ISSR_208000976_OTH_OP_CF">#REF!</definedName>
    <definedName name="L_KEYWORD_ISSR_208000976_OTH_OP_INC_EXP">#REF!</definedName>
    <definedName name="L_KEYWORD_ISSR_208000976_PERIOD_MILESTONE">#REF!</definedName>
    <definedName name="L_KEYWORD_ISSR_208000976_PL_SALE_ASSETS">#REF!</definedName>
    <definedName name="L_KEYWORD_ISSR_208000976_PREF_SH">#REF!</definedName>
    <definedName name="L_KEYWORD_ISSR_208000976_PROFIT_ON_DISP">#REF!</definedName>
    <definedName name="L_KEYWORD_ISSR_208000976_PT_PROF">#REF!</definedName>
    <definedName name="L_KEYWORD_ISSR_208000976_RD_EXP">#REF!</definedName>
    <definedName name="L_KEYWORD_ISSR_208000976_REV_FIN_SEGMENT">#REF!</definedName>
    <definedName name="L_KEYWORD_ISSR_208000976_SALES">#REF!</definedName>
    <definedName name="L_KEYWORD_ISSR_208000976_SALES_ARGENTINA">#REF!</definedName>
    <definedName name="L_KEYWORD_ISSR_208000976_SALES_BRAZIL">#REF!</definedName>
    <definedName name="L_KEYWORD_ISSR_208000976_SALES_CANADA">#REF!</definedName>
    <definedName name="L_KEYWORD_ISSR_208000976_SALES_CEE">#REF!</definedName>
    <definedName name="L_KEYWORD_ISSR_208000976_SALES_CHILE">#REF!</definedName>
    <definedName name="L_KEYWORD_ISSR_208000976_SALES_CHINA">#REF!</definedName>
    <definedName name="L_KEYWORD_ISSR_208000976_SALES_COLOMBIA">#REF!</definedName>
    <definedName name="L_KEYWORD_ISSR_208000976_SALES_CONS">#REF!</definedName>
    <definedName name="L_KEYWORD_ISSR_208000976_SALES_EU_EX_UK">#REF!</definedName>
    <definedName name="L_KEYWORD_ISSR_208000976_SALES_FINAN">#REF!</definedName>
    <definedName name="L_KEYWORD_ISSR_208000976_SALES_FX_ARS">#REF!</definedName>
    <definedName name="L_KEYWORD_ISSR_208000976_SALES_FX_BRL">#REF!</definedName>
    <definedName name="L_KEYWORD_ISSR_208000976_SALES_FX_CAD">#REF!</definedName>
    <definedName name="L_KEYWORD_ISSR_208000976_SALES_FX_CLP">#REF!</definedName>
    <definedName name="L_KEYWORD_ISSR_208000976_SALES_FX_CNY">#REF!</definedName>
    <definedName name="L_KEYWORD_ISSR_208000976_SALES_FX_COP">#REF!</definedName>
    <definedName name="L_KEYWORD_ISSR_208000976_SALES_FX_EUR">#REF!</definedName>
    <definedName name="L_KEYWORD_ISSR_208000976_SALES_FX_GPB">#REF!</definedName>
    <definedName name="L_KEYWORD_ISSR_208000976_SALES_FX_INR">#REF!</definedName>
    <definedName name="L_KEYWORD_ISSR_208000976_SALES_FX_MXN">#REF!</definedName>
    <definedName name="L_KEYWORD_ISSR_208000976_SALES_FX_OTH">#REF!</definedName>
    <definedName name="L_KEYWORD_ISSR_208000976_SALES_FX_RUB">#REF!</definedName>
    <definedName name="L_KEYWORD_ISSR_208000976_SALES_FX_USD">#REF!</definedName>
    <definedName name="L_KEYWORD_ISSR_208000976_SALES_FX_VEF">#REF!</definedName>
    <definedName name="L_KEYWORD_ISSR_208000976_SALES_FX_YEN">#REF!</definedName>
    <definedName name="L_KEYWORD_ISSR_208000976_SALES_GOV">#REF!</definedName>
    <definedName name="L_KEYWORD_ISSR_208000976_SALES_IND">#REF!</definedName>
    <definedName name="L_KEYWORD_ISSR_208000976_SALES_INDIA">#REF!</definedName>
    <definedName name="L_KEYWORD_ISSR_208000976_SALES_JAPAN">#REF!</definedName>
    <definedName name="L_KEYWORD_ISSR_208000976_SALES_ME">#REF!</definedName>
    <definedName name="L_KEYWORD_ISSR_208000976_SALES_MEXICO">#REF!</definedName>
    <definedName name="L_KEYWORD_ISSR_208000976_SALES_OTH_AEJ">#REF!</definedName>
    <definedName name="L_KEYWORD_ISSR_208000976_SALES_OTH_AM">#REF!</definedName>
    <definedName name="L_KEYWORD_ISSR_208000976_SALES_OTH_EMEA">#REF!</definedName>
    <definedName name="L_KEYWORD_ISSR_208000976_SALES_OTHER">#REF!</definedName>
    <definedName name="L_KEYWORD_ISSR_208000976_SALES_RUSSIA">#REF!</definedName>
    <definedName name="L_KEYWORD_ISSR_208000976_SALES_SMB">#REF!</definedName>
    <definedName name="L_KEYWORD_ISSR_208000976_SALES_TOT_AFRICA">#REF!</definedName>
    <definedName name="L_KEYWORD_ISSR_208000976_SALES_TOT_AM">#REF!</definedName>
    <definedName name="L_KEYWORD_ISSR_208000976_SALES_TOT_ASIA">#REF!</definedName>
    <definedName name="L_KEYWORD_ISSR_208000976_SALES_TOT_EMEA">#REF!</definedName>
    <definedName name="L_KEYWORD_ISSR_208000976_SALES_UK">#REF!</definedName>
    <definedName name="L_KEYWORD_ISSR_208000976_SALES_US">#REF!</definedName>
    <definedName name="L_KEYWORD_ISSR_208000976_SALES_VENEZUELA">#REF!</definedName>
    <definedName name="L_KEYWORD_ISSR_208000976_SEL_GL_AD">#REF!</definedName>
    <definedName name="L_KEYWORD_ISSR_208000976_SH_REPUR">#REF!</definedName>
    <definedName name="L_KEYWORD_ISSR_208000976_SHORT_T_DEBT">#REF!</definedName>
    <definedName name="L_KEYWORD_ISSR_208000976_SHORT_TERM_LIABS">#REF!</definedName>
    <definedName name="L_KEYWORD_ISSR_208000976_STOCKS">#REF!</definedName>
    <definedName name="L_KEYWORD_ISSR_208000976_TOT_ASSET">#REF!</definedName>
    <definedName name="L_KEYWORD_ISSR_208000976_TOT_CF">#REF!</definedName>
    <definedName name="L_KEYWORD_ISSR_208000976_TOT_LIAB">#REF!</definedName>
    <definedName name="L_KEYWORD_ISSR_208000976_TOT_LIAB_EQ">#REF!</definedName>
    <definedName name="L_KEYWORD_ISSR_208000976_TOT_LT_LIAB">#REF!</definedName>
    <definedName name="L_KEYWORD_ISSR_208000976_TOT_OPS_EXP">#REF!</definedName>
    <definedName name="L_KEYWORD_ISSR_208000976_TOT_OPS_EXP_DDA">#REF!</definedName>
    <definedName name="L_KEYWORD_ISSR_208000976_UNF_PENS">#REF!</definedName>
    <definedName name="L_KEYWORD_ISSR_208000976_UNF_PENS_LIAB_OTH">#REF!</definedName>
    <definedName name="L_KEYWORD_ISSR_208000976_UNF_PENS_OFF">#REF!</definedName>
    <definedName name="L_KEYWORD_ISSR_208000976_WORK_CAP">#REF!</definedName>
    <definedName name="L_KEYWORD_ISSR_208001048_ORG_REV_GRTH">#REF!</definedName>
    <definedName name="L_KEYWORD_ISSR_208001258_ACC_AMORT">#REF!</definedName>
    <definedName name="L_KEYWORD_ISSR_208001258_ACC_DDA">#REF!</definedName>
    <definedName name="L_KEYWORD_ISSR_208001258_ACC_END_DATE">#REF!</definedName>
    <definedName name="L_KEYWORD_ISSR_208001258_ACC_PAY_GQ">#REF!</definedName>
    <definedName name="L_KEYWORD_ISSR_208001258_ACQ">#REF!</definedName>
    <definedName name="L_KEYWORD_ISSR_208001258_ADJ_UNF_PENS_GOOD">#REF!</definedName>
    <definedName name="L_KEYWORD_ISSR_208001258_ASSOC_JV_ADDBK">#REF!</definedName>
    <definedName name="L_KEYWORD_ISSR_208001258_ASSOCIATE">#REF!</definedName>
    <definedName name="L_KEYWORD_ISSR_208001258_ASSOCIATE_OP">#REF!</definedName>
    <definedName name="L_KEYWORD_ISSR_208001258_BAL_MINO_INT">#REF!</definedName>
    <definedName name="L_KEYWORD_ISSR_208001258_CAP_LEASES">#REF!</definedName>
    <definedName name="L_KEYWORD_ISSR_208001258_CAPEX">#REF!</definedName>
    <definedName name="L_KEYWORD_ISSR_208001258_CAPEX_EXPANSION">#REF!</definedName>
    <definedName name="L_KEYWORD_ISSR_208001258_CAPEX_MAINTENANCE">#REF!</definedName>
    <definedName name="L_KEYWORD_ISSR_208001258_CASH_EQ">#REF!</definedName>
    <definedName name="L_KEYWORD_ISSR_208001258_CASH_INT_EXP">#REF!</definedName>
    <definedName name="L_KEYWORD_ISSR_208001258_CASH_PCT_OS_US">#REF!</definedName>
    <definedName name="L_KEYWORD_ISSR_208001258_CASH_TAX_EXP">#REF!</definedName>
    <definedName name="L_KEYWORD_ISSR_208001258_CF_FIN">#REF!</definedName>
    <definedName name="L_KEYWORD_ISSR_208001258_CF_INC_MINORITY">#REF!</definedName>
    <definedName name="L_KEYWORD_ISSR_208001258_CF_INV">#REF!</definedName>
    <definedName name="L_KEYWORD_ISSR_208001258_CF_OPS">#REF!</definedName>
    <definedName name="L_KEYWORD_ISSR_208001258_CHG_LT_DEBT">#REF!</definedName>
    <definedName name="L_KEYWORD_ISSR_208001258_CO_BOR_MARGIN">#REF!</definedName>
    <definedName name="L_KEYWORD_ISSR_208001258_COST_GD_SD">#REF!</definedName>
    <definedName name="L_KEYWORD_ISSR_208001258_CUR_ASS">#REF!</definedName>
    <definedName name="L_KEYWORD_ISSR_208001258_CURRENCY_ISO">#REF!</definedName>
    <definedName name="L_KEYWORD_ISSR_208001258_DEBTORS">#REF!</definedName>
    <definedName name="L_KEYWORD_ISSR_208001258_DEF_INC_TAX">#REF!</definedName>
    <definedName name="L_KEYWORD_ISSR_208001258_DEPR_AMORT">#REF!</definedName>
    <definedName name="L_KEYWORD_ISSR_208001258_DEPREC">#REF!</definedName>
    <definedName name="L_KEYWORD_ISSR_208001258_DIV_PAID">#REF!</definedName>
    <definedName name="L_KEYWORD_ISSR_208001258_DIVDS_ASSOC_JV">#REF!</definedName>
    <definedName name="L_KEYWORD_ISSR_208001258_DIVDS_PD_MINORITIES">#REF!</definedName>
    <definedName name="L_KEYWORD_ISSR_208001258_DIVEST">#REF!</definedName>
    <definedName name="L_KEYWORD_ISSR_208001258_EBIT">#REF!</definedName>
    <definedName name="L_KEYWORD_ISSR_208001258_EBIT_FIN_SEGMENT">#REF!</definedName>
    <definedName name="L_KEYWORD_ISSR_208001258_EBITDA_CALC">#REF!</definedName>
    <definedName name="L_KEYWORD_ISSR_208001258_EMPLOYEES">#REF!</definedName>
    <definedName name="L_KEYWORD_ISSR_208001258_EQ">#REF!</definedName>
    <definedName name="L_KEYWORD_ISSR_208001258_ESO_PRE_TAX">#REF!</definedName>
    <definedName name="L_KEYWORD_ISSR_208001258_EXP_ALUMINIUM">#REF!</definedName>
    <definedName name="L_KEYWORD_ISSR_208001258_EXP_COPPER">#REF!</definedName>
    <definedName name="L_KEYWORD_ISSR_208001258_EXP_GLASS">#REF!</definedName>
    <definedName name="L_KEYWORD_ISSR_208001258_EXP_GOLD">#REF!</definedName>
    <definedName name="L_KEYWORD_ISSR_208001258_EXP_NICKEL">#REF!</definedName>
    <definedName name="L_KEYWORD_ISSR_208001258_EXP_OIL_DERIV_NGLS_PLASTICS">#REF!</definedName>
    <definedName name="L_KEYWORD_ISSR_208001258_EXP_OIL_PETRO_FUEL">#REF!</definedName>
    <definedName name="L_KEYWORD_ISSR_208001258_EXP_OTH_COMMODITY">#REF!</definedName>
    <definedName name="L_KEYWORD_ISSR_208001258_EXP_OTH_COST">#REF!</definedName>
    <definedName name="L_KEYWORD_ISSR_208001258_EXP_PALLADIUM">#REF!</definedName>
    <definedName name="L_KEYWORD_ISSR_208001258_EXP_PAPER_PULP">#REF!</definedName>
    <definedName name="L_KEYWORD_ISSR_208001258_EXP_PLATINUM">#REF!</definedName>
    <definedName name="L_KEYWORD_ISSR_208001258_EXP_SILVER">#REF!</definedName>
    <definedName name="L_KEYWORD_ISSR_208001258_EXP_WATER">#REF!</definedName>
    <definedName name="L_KEYWORD_ISSR_208001258_EXP_ZINC">#REF!</definedName>
    <definedName name="L_KEYWORD_ISSR_208001258_FIX_ASS_INV">#REF!</definedName>
    <definedName name="L_KEYWORD_ISSR_208001258_GCI_INFL">#REF!</definedName>
    <definedName name="L_KEYWORD_ISSR_208001258_GOODWILL_AMORT">#REF!</definedName>
    <definedName name="L_KEYWORD_ISSR_208001258_GR_FIX_ASS">#REF!</definedName>
    <definedName name="L_KEYWORD_ISSR_208001258_GR_INTANG">#REF!</definedName>
    <definedName name="L_KEYWORD_ISSR_208001258_INT_EXP_IND">#REF!</definedName>
    <definedName name="L_KEYWORD_ISSR_208001258_INT_INC_IND">#REF!</definedName>
    <definedName name="L_KEYWORD_ISSR_208001258_INV_SECUR">#REF!</definedName>
    <definedName name="L_KEYWORD_ISSR_208001258_Issuer_Name">#REF!</definedName>
    <definedName name="L_KEYWORD_ISSR_208001258_LEASE_DEEM_DEPR">#REF!</definedName>
    <definedName name="L_KEYWORD_ISSR_208001258_LEASE_DEEM_INT">#REF!</definedName>
    <definedName name="L_KEYWORD_ISSR_208001258_LEASE_PAY">#REF!</definedName>
    <definedName name="L_KEYWORD_ISSR_208001258_LT_DEBT">#REF!</definedName>
    <definedName name="L_KEYWORD_ISSR_208001258_MA_PROB">#REF!</definedName>
    <definedName name="L_KEYWORD_ISSR_208001258_MINORITIES">#REF!</definedName>
    <definedName name="L_KEYWORD_ISSR_208001258_MV_ASSOCIATES">#REF!</definedName>
    <definedName name="L_KEYWORD_ISSR_208001258_NET_DEBT">#REF!</definedName>
    <definedName name="L_KEYWORD_ISSR_208001258_NET_DEBT_ADJ">#REF!</definedName>
    <definedName name="L_KEYWORD_ISSR_208001258_NET_FIX_ASS">#REF!</definedName>
    <definedName name="L_KEYWORD_ISSR_208001258_NET_INT_CH">#REF!</definedName>
    <definedName name="L_KEYWORD_ISSR_208001258_NET_INT_EXP">#REF!</definedName>
    <definedName name="L_KEYWORD_ISSR_208001258_NET_INTANG">#REF!</definedName>
    <definedName name="L_KEYWORD_ISSR_208001258_NONPPE_CAPEX">#REF!</definedName>
    <definedName name="L_KEYWORD_ISSR_208001258_OP_COST">#REF!</definedName>
    <definedName name="L_KEYWORD_ISSR_208001258_ORD_SH_FUND">#REF!</definedName>
    <definedName name="L_KEYWORD_ISSR_208001258_ORG_REV_GRTH">#REF!</definedName>
    <definedName name="L_KEYWORD_ISSR_208001258_OTH_COST_INC">#REF!</definedName>
    <definedName name="L_KEYWORD_ISSR_208001258_OTH_CUR_ASS">#REF!</definedName>
    <definedName name="L_KEYWORD_ISSR_208001258_OTH_CUR_LIABS">#REF!</definedName>
    <definedName name="L_KEYWORD_ISSR_208001258_OTH_DACF_ADJ">#REF!</definedName>
    <definedName name="L_KEYWORD_ISSR_208001258_OTH_FIN_CF">#REF!</definedName>
    <definedName name="L_KEYWORD_ISSR_208001258_OTH_GCI_ADJ">#REF!</definedName>
    <definedName name="L_KEYWORD_ISSR_208001258_OTH_INV_CF">#REF!</definedName>
    <definedName name="L_KEYWORD_ISSR_208001258_OTH_LT_ASS">#REF!</definedName>
    <definedName name="L_KEYWORD_ISSR_208001258_OTH_LT_CRED_GQ">#REF!</definedName>
    <definedName name="L_KEYWORD_ISSR_208001258_OTH_NONCASH_ADJ">#REF!</definedName>
    <definedName name="L_KEYWORD_ISSR_208001258_OTH_OP_CF">#REF!</definedName>
    <definedName name="L_KEYWORD_ISSR_208001258_OTH_OP_INC_EXP">#REF!</definedName>
    <definedName name="L_KEYWORD_ISSR_208001258_PERIOD_MILESTONE">#REF!</definedName>
    <definedName name="L_KEYWORD_ISSR_208001258_PL_SALE_ASSETS">#REF!</definedName>
    <definedName name="L_KEYWORD_ISSR_208001258_PREF_SH">#REF!</definedName>
    <definedName name="L_KEYWORD_ISSR_208001258_PROFIT_ON_DISP">#REF!</definedName>
    <definedName name="L_KEYWORD_ISSR_208001258_PT_PROF">#REF!</definedName>
    <definedName name="L_KEYWORD_ISSR_208001258_RD_EXP">#REF!</definedName>
    <definedName name="L_KEYWORD_ISSR_208001258_REV_FIN_SEGMENT">#REF!</definedName>
    <definedName name="L_KEYWORD_ISSR_208001258_SALES">#REF!</definedName>
    <definedName name="L_KEYWORD_ISSR_208001258_SALES_ARGENTINA">#REF!</definedName>
    <definedName name="L_KEYWORD_ISSR_208001258_SALES_BRAZIL">#REF!</definedName>
    <definedName name="L_KEYWORD_ISSR_208001258_SALES_CANADA">#REF!</definedName>
    <definedName name="L_KEYWORD_ISSR_208001258_SALES_CEE">#REF!</definedName>
    <definedName name="L_KEYWORD_ISSR_208001258_SALES_CHILE">#REF!</definedName>
    <definedName name="L_KEYWORD_ISSR_208001258_SALES_CHINA">#REF!</definedName>
    <definedName name="L_KEYWORD_ISSR_208001258_SALES_COLOMBIA">#REF!</definedName>
    <definedName name="L_KEYWORD_ISSR_208001258_SALES_CONS">#REF!</definedName>
    <definedName name="L_KEYWORD_ISSR_208001258_SALES_EU_EX_UK">#REF!</definedName>
    <definedName name="L_KEYWORD_ISSR_208001258_SALES_FINAN">#REF!</definedName>
    <definedName name="L_KEYWORD_ISSR_208001258_SALES_FX_ARS">#REF!</definedName>
    <definedName name="L_KEYWORD_ISSR_208001258_SALES_FX_BRL">#REF!</definedName>
    <definedName name="L_KEYWORD_ISSR_208001258_SALES_FX_CAD">#REF!</definedName>
    <definedName name="L_KEYWORD_ISSR_208001258_SALES_FX_CLP">#REF!</definedName>
    <definedName name="L_KEYWORD_ISSR_208001258_SALES_FX_CNY">#REF!</definedName>
    <definedName name="L_KEYWORD_ISSR_208001258_SALES_FX_COP">#REF!</definedName>
    <definedName name="L_KEYWORD_ISSR_208001258_SALES_FX_EUR">#REF!</definedName>
    <definedName name="L_KEYWORD_ISSR_208001258_SALES_FX_GPB">#REF!</definedName>
    <definedName name="L_KEYWORD_ISSR_208001258_SALES_FX_INR">#REF!</definedName>
    <definedName name="L_KEYWORD_ISSR_208001258_SALES_FX_MXN">#REF!</definedName>
    <definedName name="L_KEYWORD_ISSR_208001258_SALES_FX_OTH">#REF!</definedName>
    <definedName name="L_KEYWORD_ISSR_208001258_SALES_FX_RUB">#REF!</definedName>
    <definedName name="L_KEYWORD_ISSR_208001258_SALES_FX_USD">#REF!</definedName>
    <definedName name="L_KEYWORD_ISSR_208001258_SALES_FX_VEF">#REF!</definedName>
    <definedName name="L_KEYWORD_ISSR_208001258_SALES_FX_YEN">#REF!</definedName>
    <definedName name="L_KEYWORD_ISSR_208001258_SALES_GOV">#REF!</definedName>
    <definedName name="L_KEYWORD_ISSR_208001258_SALES_IND">#REF!</definedName>
    <definedName name="L_KEYWORD_ISSR_208001258_SALES_INDIA">#REF!</definedName>
    <definedName name="L_KEYWORD_ISSR_208001258_SALES_JAPAN">#REF!</definedName>
    <definedName name="L_KEYWORD_ISSR_208001258_SALES_ME">#REF!</definedName>
    <definedName name="L_KEYWORD_ISSR_208001258_SALES_MEXICO">#REF!</definedName>
    <definedName name="L_KEYWORD_ISSR_208001258_SALES_OTH_AEJ">#REF!</definedName>
    <definedName name="L_KEYWORD_ISSR_208001258_SALES_OTH_AM">#REF!</definedName>
    <definedName name="L_KEYWORD_ISSR_208001258_SALES_OTH_EMEA">#REF!</definedName>
    <definedName name="L_KEYWORD_ISSR_208001258_SALES_OTHER">#REF!</definedName>
    <definedName name="L_KEYWORD_ISSR_208001258_SALES_RUSSIA">#REF!</definedName>
    <definedName name="L_KEYWORD_ISSR_208001258_SALES_SMB">#REF!</definedName>
    <definedName name="L_KEYWORD_ISSR_208001258_SALES_TOT_AFRICA">#REF!</definedName>
    <definedName name="L_KEYWORD_ISSR_208001258_SALES_TOT_AM">#REF!</definedName>
    <definedName name="L_KEYWORD_ISSR_208001258_SALES_TOT_ASIA">#REF!</definedName>
    <definedName name="L_KEYWORD_ISSR_208001258_SALES_TOT_EMEA">#REF!</definedName>
    <definedName name="L_KEYWORD_ISSR_208001258_SALES_UK">#REF!</definedName>
    <definedName name="L_KEYWORD_ISSR_208001258_SALES_US">#REF!</definedName>
    <definedName name="L_KEYWORD_ISSR_208001258_SALES_VENEZUELA">#REF!</definedName>
    <definedName name="L_KEYWORD_ISSR_208001258_SEL_GL_AD">#REF!</definedName>
    <definedName name="L_KEYWORD_ISSR_208001258_SH_REPUR">#REF!</definedName>
    <definedName name="L_KEYWORD_ISSR_208001258_SHORT_T_DEBT">#REF!</definedName>
    <definedName name="L_KEYWORD_ISSR_208001258_SHORT_TERM_LIABS">#REF!</definedName>
    <definedName name="L_KEYWORD_ISSR_208001258_STOCKS">#REF!</definedName>
    <definedName name="L_KEYWORD_ISSR_208001258_TOT_ASSET">#REF!</definedName>
    <definedName name="L_KEYWORD_ISSR_208001258_TOT_CF">#REF!</definedName>
    <definedName name="L_KEYWORD_ISSR_208001258_TOT_LIAB">#REF!</definedName>
    <definedName name="L_KEYWORD_ISSR_208001258_TOT_LIAB_EQ">#REF!</definedName>
    <definedName name="L_KEYWORD_ISSR_208001258_TOT_LT_LIAB">#REF!</definedName>
    <definedName name="L_KEYWORD_ISSR_208001258_TOT_OPS_EXP">#REF!</definedName>
    <definedName name="L_KEYWORD_ISSR_208001258_TOT_OPS_EXP_DDA">#REF!</definedName>
    <definedName name="L_KEYWORD_ISSR_208001258_UNF_PENS">#REF!</definedName>
    <definedName name="L_KEYWORD_ISSR_208001258_UNF_PENS_LIAB_OTH">#REF!</definedName>
    <definedName name="L_KEYWORD_ISSR_208001258_UNF_PENS_OFF">#REF!</definedName>
    <definedName name="L_KEYWORD_ISSR_208001258_WORK_CAP">#REF!</definedName>
    <definedName name="L_KEYWORD_ISSR_208009722_ACC_AMORT">#REF!</definedName>
    <definedName name="L_KEYWORD_ISSR_208009722_ACC_DDA">#REF!</definedName>
    <definedName name="L_KEYWORD_ISSR_208009722_ACC_END_DATE">#REF!</definedName>
    <definedName name="L_KEYWORD_ISSR_208009722_ACC_PAY_GQ">#REF!</definedName>
    <definedName name="L_KEYWORD_ISSR_208009722_ACQ">#REF!</definedName>
    <definedName name="L_KEYWORD_ISSR_208009722_ADJ_UNF_PENS_GOOD">#REF!</definedName>
    <definedName name="L_KEYWORD_ISSR_208009722_ASSOC_JV_ADDBK">#REF!</definedName>
    <definedName name="L_KEYWORD_ISSR_208009722_ASSOCIATE">#REF!</definedName>
    <definedName name="L_KEYWORD_ISSR_208009722_ASSOCIATE_OP">#REF!</definedName>
    <definedName name="L_KEYWORD_ISSR_208009722_BAL_MINO_INT">#REF!</definedName>
    <definedName name="L_KEYWORD_ISSR_208009722_CAP_LEASES">#REF!</definedName>
    <definedName name="L_KEYWORD_ISSR_208009722_CAPEX">#REF!</definedName>
    <definedName name="L_KEYWORD_ISSR_208009722_CAPEX_EXPANSION">#REF!</definedName>
    <definedName name="L_KEYWORD_ISSR_208009722_CAPEX_MAINTENANCE">#REF!</definedName>
    <definedName name="L_KEYWORD_ISSR_208009722_CASH_EQ">#REF!</definedName>
    <definedName name="L_KEYWORD_ISSR_208009722_CASH_INT_EXP">#REF!</definedName>
    <definedName name="L_KEYWORD_ISSR_208009722_CASH_TAX_EXP">#REF!</definedName>
    <definedName name="L_KEYWORD_ISSR_208009722_CF_FIN">#REF!</definedName>
    <definedName name="L_KEYWORD_ISSR_208009722_CF_INC_MINORITY">#REF!</definedName>
    <definedName name="L_KEYWORD_ISSR_208009722_CF_INV">#REF!</definedName>
    <definedName name="L_KEYWORD_ISSR_208009722_CF_OPS">#REF!</definedName>
    <definedName name="L_KEYWORD_ISSR_208009722_CHG_LT_DEBT">#REF!</definedName>
    <definedName name="L_KEYWORD_ISSR_208009722_CO_BOR_MARGIN">#REF!</definedName>
    <definedName name="L_KEYWORD_ISSR_208009722_COST_GD_SD">#REF!</definedName>
    <definedName name="L_KEYWORD_ISSR_208009722_CUR_ASS">#REF!</definedName>
    <definedName name="L_KEYWORD_ISSR_208009722_CURRENCY_ISO">#REF!</definedName>
    <definedName name="L_KEYWORD_ISSR_208009722_DEBTORS">#REF!</definedName>
    <definedName name="L_KEYWORD_ISSR_208009722_DEF_INC_TAX">#REF!</definedName>
    <definedName name="L_KEYWORD_ISSR_208009722_DEPR_AMORT">#REF!</definedName>
    <definedName name="L_KEYWORD_ISSR_208009722_DEPREC">#REF!</definedName>
    <definedName name="L_KEYWORD_ISSR_208009722_DIV_PAID">#REF!</definedName>
    <definedName name="L_KEYWORD_ISSR_208009722_DIVDS_ASSOC_JV">#REF!</definedName>
    <definedName name="L_KEYWORD_ISSR_208009722_DIVDS_PD_MINORITIES">#REF!</definedName>
    <definedName name="L_KEYWORD_ISSR_208009722_DIVEST">#REF!</definedName>
    <definedName name="L_KEYWORD_ISSR_208009722_EBIT">#REF!</definedName>
    <definedName name="L_KEYWORD_ISSR_208009722_EBIT_FIN_SEGMENT">#REF!</definedName>
    <definedName name="L_KEYWORD_ISSR_208009722_EBITDA_CALC">#REF!</definedName>
    <definedName name="L_KEYWORD_ISSR_208009722_EMPLOYEES">#REF!</definedName>
    <definedName name="L_KEYWORD_ISSR_208009722_EQ">#REF!</definedName>
    <definedName name="L_KEYWORD_ISSR_208009722_ESO_PRE_TAX">#REF!</definedName>
    <definedName name="L_KEYWORD_ISSR_208009722_FIX_ASS_INV">#REF!</definedName>
    <definedName name="L_KEYWORD_ISSR_208009722_GCI_INFL">#REF!</definedName>
    <definedName name="L_KEYWORD_ISSR_208009722_GOODWILL_AMORT">#REF!</definedName>
    <definedName name="L_KEYWORD_ISSR_208009722_GR_FIX_ASS">#REF!</definedName>
    <definedName name="L_KEYWORD_ISSR_208009722_GR_INTANG">#REF!</definedName>
    <definedName name="L_KEYWORD_ISSR_208009722_INT_EXP_IND">#REF!</definedName>
    <definedName name="L_KEYWORD_ISSR_208009722_INT_INC_IND">#REF!</definedName>
    <definedName name="L_KEYWORD_ISSR_208009722_INV_SECUR">#REF!</definedName>
    <definedName name="L_KEYWORD_ISSR_208009722_Issuer_Name">#REF!</definedName>
    <definedName name="L_KEYWORD_ISSR_208009722_LEASE_DEEM_DEPR">#REF!</definedName>
    <definedName name="L_KEYWORD_ISSR_208009722_LEASE_DEEM_INT">#REF!</definedName>
    <definedName name="L_KEYWORD_ISSR_208009722_LEASE_PAY">#REF!</definedName>
    <definedName name="L_KEYWORD_ISSR_208009722_LT_DEBT">#REF!</definedName>
    <definedName name="L_KEYWORD_ISSR_208009722_MA_PROB">#REF!</definedName>
    <definedName name="L_KEYWORD_ISSR_208009722_MINORITIES">#REF!</definedName>
    <definedName name="L_KEYWORD_ISSR_208009722_MV_ASSOCIATES">#REF!</definedName>
    <definedName name="L_KEYWORD_ISSR_208009722_NET_DEBT">#REF!</definedName>
    <definedName name="L_KEYWORD_ISSR_208009722_NET_DEBT_ADJ">#REF!</definedName>
    <definedName name="L_KEYWORD_ISSR_208009722_NET_FIX_ASS">#REF!</definedName>
    <definedName name="L_KEYWORD_ISSR_208009722_NET_INT_CH">#REF!</definedName>
    <definedName name="L_KEYWORD_ISSR_208009722_NET_INT_EXP">#REF!</definedName>
    <definedName name="L_KEYWORD_ISSR_208009722_NET_INTANG">#REF!</definedName>
    <definedName name="L_KEYWORD_ISSR_208009722_NONPPE_CAPEX">#REF!</definedName>
    <definedName name="L_KEYWORD_ISSR_208009722_OP_AUSTRA">#REF!</definedName>
    <definedName name="L_KEYWORD_ISSR_208009722_OP_AUSTRIA">#REF!</definedName>
    <definedName name="L_KEYWORD_ISSR_208009722_OP_BEL">#REF!</definedName>
    <definedName name="L_KEYWORD_ISSR_208009722_OP_BRAZIL">#REF!</definedName>
    <definedName name="L_KEYWORD_ISSR_208009722_OP_CANADA">#REF!</definedName>
    <definedName name="L_KEYWORD_ISSR_208009722_OP_CEE">#REF!</definedName>
    <definedName name="L_KEYWORD_ISSR_208009722_OP_CHINA">#REF!</definedName>
    <definedName name="L_KEYWORD_ISSR_208009722_OP_CONS">#REF!</definedName>
    <definedName name="L_KEYWORD_ISSR_208009722_OP_COST">#REF!</definedName>
    <definedName name="L_KEYWORD_ISSR_208009722_OP_DEN">#REF!</definedName>
    <definedName name="L_KEYWORD_ISSR_208009722_OP_EU_EX_UK">#REF!</definedName>
    <definedName name="L_KEYWORD_ISSR_208009722_OP_FIN">#REF!</definedName>
    <definedName name="L_KEYWORD_ISSR_208009722_OP_FRA">#REF!</definedName>
    <definedName name="L_KEYWORD_ISSR_208009722_OP_GER">#REF!</definedName>
    <definedName name="L_KEYWORD_ISSR_208009722_OP_GOV">#REF!</definedName>
    <definedName name="L_KEYWORD_ISSR_208009722_OP_GRE">#REF!</definedName>
    <definedName name="L_KEYWORD_ISSR_208009722_OP_ICE">#REF!</definedName>
    <definedName name="L_KEYWORD_ISSR_208009722_OP_IND">#REF!</definedName>
    <definedName name="L_KEYWORD_ISSR_208009722_OP_INDIA">#REF!</definedName>
    <definedName name="L_KEYWORD_ISSR_208009722_OP_IRE">#REF!</definedName>
    <definedName name="L_KEYWORD_ISSR_208009722_OP_ITA">#REF!</definedName>
    <definedName name="L_KEYWORD_ISSR_208009722_OP_JAPAN">#REF!</definedName>
    <definedName name="L_KEYWORD_ISSR_208009722_OP_ME">#REF!</definedName>
    <definedName name="L_KEYWORD_ISSR_208009722_OP_NETH">#REF!</definedName>
    <definedName name="L_KEYWORD_ISSR_208009722_OP_NOR">#REF!</definedName>
    <definedName name="L_KEYWORD_ISSR_208009722_OP_NZ">#REF!</definedName>
    <definedName name="L_KEYWORD_ISSR_208009722_OP_OTH_AEJ">#REF!</definedName>
    <definedName name="L_KEYWORD_ISSR_208009722_OP_OTH_AM">#REF!</definedName>
    <definedName name="L_KEYWORD_ISSR_208009722_OP_OTH_EMEA">#REF!</definedName>
    <definedName name="L_KEYWORD_ISSR_208009722_OP_OTHER">#REF!</definedName>
    <definedName name="L_KEYWORD_ISSR_208009722_OP_POR">#REF!</definedName>
    <definedName name="L_KEYWORD_ISSR_208009722_OP_RUSSIA">#REF!</definedName>
    <definedName name="L_KEYWORD_ISSR_208009722_OP_SK">#REF!</definedName>
    <definedName name="L_KEYWORD_ISSR_208009722_OP_SPA">#REF!</definedName>
    <definedName name="L_KEYWORD_ISSR_208009722_OP_SWE">#REF!</definedName>
    <definedName name="L_KEYWORD_ISSR_208009722_OP_SWIT">#REF!</definedName>
    <definedName name="L_KEYWORD_ISSR_208009722_OP_TOT_AM">#REF!</definedName>
    <definedName name="L_KEYWORD_ISSR_208009722_OP_TOT_ASIA">#REF!</definedName>
    <definedName name="L_KEYWORD_ISSR_208009722_OP_TOT_EMEA">#REF!</definedName>
    <definedName name="L_KEYWORD_ISSR_208009722_OP_UK">#REF!</definedName>
    <definedName name="L_KEYWORD_ISSR_208009722_OP_US">#REF!</definedName>
    <definedName name="L_KEYWORD_ISSR_208009722_ORD_SH_FUND">#REF!</definedName>
    <definedName name="L_KEYWORD_ISSR_208009722_ORG_REV_GRTH">#REF!</definedName>
    <definedName name="L_KEYWORD_ISSR_208009722_OTH_COST_INC">#REF!</definedName>
    <definedName name="L_KEYWORD_ISSR_208009722_OTH_CUR_ASS">#REF!</definedName>
    <definedName name="L_KEYWORD_ISSR_208009722_OTH_CUR_LIABS">#REF!</definedName>
    <definedName name="L_KEYWORD_ISSR_208009722_OTH_DACF_ADJ">#REF!</definedName>
    <definedName name="L_KEYWORD_ISSR_208009722_OTH_FIN_CF">#REF!</definedName>
    <definedName name="L_KEYWORD_ISSR_208009722_OTH_GCI_ADJ">#REF!</definedName>
    <definedName name="L_KEYWORD_ISSR_208009722_OTH_INV_CF">#REF!</definedName>
    <definedName name="L_KEYWORD_ISSR_208009722_OTH_LT_ASS">#REF!</definedName>
    <definedName name="L_KEYWORD_ISSR_208009722_OTH_LT_CRED_GQ">#REF!</definedName>
    <definedName name="L_KEYWORD_ISSR_208009722_OTH_NONCASH_ADJ">#REF!</definedName>
    <definedName name="L_KEYWORD_ISSR_208009722_OTH_OP_CF">#REF!</definedName>
    <definedName name="L_KEYWORD_ISSR_208009722_OTH_OP_INC_EXP">#REF!</definedName>
    <definedName name="L_KEYWORD_ISSR_208009722_PERIOD_MILESTONE">#REF!</definedName>
    <definedName name="L_KEYWORD_ISSR_208009722_PL_SALE_ASSETS">#REF!</definedName>
    <definedName name="L_KEYWORD_ISSR_208009722_PREF_SH">#REF!</definedName>
    <definedName name="L_KEYWORD_ISSR_208009722_PROFIT_ON_DISP">#REF!</definedName>
    <definedName name="L_KEYWORD_ISSR_208009722_PT_PROF">#REF!</definedName>
    <definedName name="L_KEYWORD_ISSR_208009722_RD_EXP">#REF!</definedName>
    <definedName name="L_KEYWORD_ISSR_208009722_REV_FIN_SEGMENT">#REF!</definedName>
    <definedName name="L_KEYWORD_ISSR_208009722_SALES">#REF!</definedName>
    <definedName name="L_KEYWORD_ISSR_208009722_SALES_AUSTRA">#REF!</definedName>
    <definedName name="L_KEYWORD_ISSR_208009722_SALES_AUSTRIA">#REF!</definedName>
    <definedName name="L_KEYWORD_ISSR_208009722_SALES_BEL">#REF!</definedName>
    <definedName name="L_KEYWORD_ISSR_208009722_SALES_BRAZIL">#REF!</definedName>
    <definedName name="L_KEYWORD_ISSR_208009722_SALES_CANADA">#REF!</definedName>
    <definedName name="L_KEYWORD_ISSR_208009722_SALES_CEE">#REF!</definedName>
    <definedName name="L_KEYWORD_ISSR_208009722_SALES_CHINA">#REF!</definedName>
    <definedName name="L_KEYWORD_ISSR_208009722_SALES_CONS">#REF!</definedName>
    <definedName name="L_KEYWORD_ISSR_208009722_SALES_DEN">#REF!</definedName>
    <definedName name="L_KEYWORD_ISSR_208009722_SALES_EU_EX_UK">#REF!</definedName>
    <definedName name="L_KEYWORD_ISSR_208009722_SALES_FIN">#REF!</definedName>
    <definedName name="L_KEYWORD_ISSR_208009722_SALES_FINAN">#REF!</definedName>
    <definedName name="L_KEYWORD_ISSR_208009722_SALES_FRA">#REF!</definedName>
    <definedName name="L_KEYWORD_ISSR_208009722_SALES_GER">#REF!</definedName>
    <definedName name="L_KEYWORD_ISSR_208009722_SALES_GOV">#REF!</definedName>
    <definedName name="L_KEYWORD_ISSR_208009722_SALES_GRE">#REF!</definedName>
    <definedName name="L_KEYWORD_ISSR_208009722_SALES_ICE">#REF!</definedName>
    <definedName name="L_KEYWORD_ISSR_208009722_SALES_IND">#REF!</definedName>
    <definedName name="L_KEYWORD_ISSR_208009722_SALES_INDIA">#REF!</definedName>
    <definedName name="L_KEYWORD_ISSR_208009722_SALES_IRE">#REF!</definedName>
    <definedName name="L_KEYWORD_ISSR_208009722_SALES_ITA">#REF!</definedName>
    <definedName name="L_KEYWORD_ISSR_208009722_SALES_JAPAN">#REF!</definedName>
    <definedName name="L_KEYWORD_ISSR_208009722_SALES_ME">#REF!</definedName>
    <definedName name="L_KEYWORD_ISSR_208009722_SALES_NETH">#REF!</definedName>
    <definedName name="L_KEYWORD_ISSR_208009722_SALES_NOR">#REF!</definedName>
    <definedName name="L_KEYWORD_ISSR_208009722_SALES_NZ">#REF!</definedName>
    <definedName name="L_KEYWORD_ISSR_208009722_SALES_OTH_AEJ">#REF!</definedName>
    <definedName name="L_KEYWORD_ISSR_208009722_SALES_OTH_AM">#REF!</definedName>
    <definedName name="L_KEYWORD_ISSR_208009722_SALES_OTH_EMEA">#REF!</definedName>
    <definedName name="L_KEYWORD_ISSR_208009722_SALES_OTHER">#REF!</definedName>
    <definedName name="L_KEYWORD_ISSR_208009722_SALES_POR">#REF!</definedName>
    <definedName name="L_KEYWORD_ISSR_208009722_SALES_RUSSIA">#REF!</definedName>
    <definedName name="L_KEYWORD_ISSR_208009722_SALES_SK">#REF!</definedName>
    <definedName name="L_KEYWORD_ISSR_208009722_SALES_SMB">#REF!</definedName>
    <definedName name="L_KEYWORD_ISSR_208009722_SALES_SPA">#REF!</definedName>
    <definedName name="L_KEYWORD_ISSR_208009722_SALES_SWE">#REF!</definedName>
    <definedName name="L_KEYWORD_ISSR_208009722_SALES_SWIT">#REF!</definedName>
    <definedName name="L_KEYWORD_ISSR_208009722_SALES_TOT_AM">#REF!</definedName>
    <definedName name="L_KEYWORD_ISSR_208009722_SALES_TOT_ASIA">#REF!</definedName>
    <definedName name="L_KEYWORD_ISSR_208009722_SALES_TOT_EMEA">#REF!</definedName>
    <definedName name="L_KEYWORD_ISSR_208009722_SALES_UK">#REF!</definedName>
    <definedName name="L_KEYWORD_ISSR_208009722_SALES_US">#REF!</definedName>
    <definedName name="L_KEYWORD_ISSR_208009722_SEL_GL_AD">#REF!</definedName>
    <definedName name="L_KEYWORD_ISSR_208009722_SH_REPUR">#REF!</definedName>
    <definedName name="L_KEYWORD_ISSR_208009722_SHORT_T_DEBT">#REF!</definedName>
    <definedName name="L_KEYWORD_ISSR_208009722_SHORT_TERM_LIABS">#REF!</definedName>
    <definedName name="L_KEYWORD_ISSR_208009722_STOCKS">#REF!</definedName>
    <definedName name="L_KEYWORD_ISSR_208009722_TOT_ASSET">#REF!</definedName>
    <definedName name="L_KEYWORD_ISSR_208009722_TOT_CF">#REF!</definedName>
    <definedName name="L_KEYWORD_ISSR_208009722_TOT_LIAB">#REF!</definedName>
    <definedName name="L_KEYWORD_ISSR_208009722_TOT_LIAB_EQ">#REF!</definedName>
    <definedName name="L_KEYWORD_ISSR_208009722_TOT_LT_LIAB">#REF!</definedName>
    <definedName name="L_KEYWORD_ISSR_208009722_TOT_OPS_EXP">#REF!</definedName>
    <definedName name="L_KEYWORD_ISSR_208009722_TOT_OPS_EXP_DDA">#REF!</definedName>
    <definedName name="L_KEYWORD_ISSR_208009722_UNF_PENS">#REF!</definedName>
    <definedName name="L_KEYWORD_ISSR_208009722_UNF_PENS_LIAB_OTH">#REF!</definedName>
    <definedName name="L_KEYWORD_ISSR_208009722_UNF_PENS_OFF">#REF!</definedName>
    <definedName name="L_KEYWORD_ISSR_208009722_WORK_CAP">#REF!</definedName>
    <definedName name="L_KEYWORD_ISSR_208011556_ACC_AMORT">#REF!</definedName>
    <definedName name="L_KEYWORD_ISSR_208011556_ACC_DDA">#REF!</definedName>
    <definedName name="L_KEYWORD_ISSR_208011556_ACC_END_DATE">#REF!</definedName>
    <definedName name="L_KEYWORD_ISSR_208011556_ACC_PAY_GQ">#REF!</definedName>
    <definedName name="L_KEYWORD_ISSR_208011556_ACQ">#REF!</definedName>
    <definedName name="L_KEYWORD_ISSR_208011556_ADJ_UNF_PENS_GOOD">#REF!</definedName>
    <definedName name="L_KEYWORD_ISSR_208011556_ASSOC_JV_ADDBK">#REF!</definedName>
    <definedName name="L_KEYWORD_ISSR_208011556_ASSOCIATE">#REF!</definedName>
    <definedName name="L_KEYWORD_ISSR_208011556_ASSOCIATE_OP">#REF!</definedName>
    <definedName name="L_KEYWORD_ISSR_208011556_BAL_MINO_INT">#REF!</definedName>
    <definedName name="L_KEYWORD_ISSR_208011556_CAP_LEASES">#REF!</definedName>
    <definedName name="L_KEYWORD_ISSR_208011556_CAPEX">#REF!</definedName>
    <definedName name="L_KEYWORD_ISSR_208011556_CAPEX_EXPANSION">#REF!</definedName>
    <definedName name="L_KEYWORD_ISSR_208011556_CAPEX_MAINTENANCE">#REF!</definedName>
    <definedName name="L_KEYWORD_ISSR_208011556_CASH_EQ">#REF!</definedName>
    <definedName name="L_KEYWORD_ISSR_208011556_CASH_INT_EXP">#REF!</definedName>
    <definedName name="L_KEYWORD_ISSR_208011556_CASH_PCT_OS_US">#REF!</definedName>
    <definedName name="L_KEYWORD_ISSR_208011556_CASH_TAX_EXP">#REF!</definedName>
    <definedName name="L_KEYWORD_ISSR_208011556_CF_FIN">#REF!</definedName>
    <definedName name="L_KEYWORD_ISSR_208011556_CF_INC_MINORITY">#REF!</definedName>
    <definedName name="L_KEYWORD_ISSR_208011556_CF_INV">#REF!</definedName>
    <definedName name="L_KEYWORD_ISSR_208011556_CF_OPS">#REF!</definedName>
    <definedName name="L_KEYWORD_ISSR_208011556_CHG_LT_DEBT">#REF!</definedName>
    <definedName name="L_KEYWORD_ISSR_208011556_CO_BOR_MARGIN">#REF!</definedName>
    <definedName name="L_KEYWORD_ISSR_208011556_CONTRIB_MARGIN_RATIO">#REF!</definedName>
    <definedName name="L_KEYWORD_ISSR_208011556_COST_GD_SD">#REF!</definedName>
    <definedName name="L_KEYWORD_ISSR_208011556_CUR_ASS">#REF!</definedName>
    <definedName name="L_KEYWORD_ISSR_208011556_CURRENCY_ISO">#REF!</definedName>
    <definedName name="L_KEYWORD_ISSR_208011556_DEBTORS">#REF!</definedName>
    <definedName name="L_KEYWORD_ISSR_208011556_DEF_INC_TAX">#REF!</definedName>
    <definedName name="L_KEYWORD_ISSR_208011556_DEPR_AMORT">#REF!</definedName>
    <definedName name="L_KEYWORD_ISSR_208011556_DEPREC">#REF!</definedName>
    <definedName name="L_KEYWORD_ISSR_208011556_DIV_PAID">#REF!</definedName>
    <definedName name="L_KEYWORD_ISSR_208011556_DIVDS_ASSOC_JV">#REF!</definedName>
    <definedName name="L_KEYWORD_ISSR_208011556_DIVDS_PD_MINORITIES">#REF!</definedName>
    <definedName name="L_KEYWORD_ISSR_208011556_DIVEST">#REF!</definedName>
    <definedName name="L_KEYWORD_ISSR_208011556_EBIT">#REF!</definedName>
    <definedName name="L_KEYWORD_ISSR_208011556_EBIT_FIN_SEGMENT">#REF!</definedName>
    <definedName name="L_KEYWORD_ISSR_208011556_EBITDA_CALC">#REF!</definedName>
    <definedName name="L_KEYWORD_ISSR_208011556_EMPLOYEES">#REF!</definedName>
    <definedName name="L_KEYWORD_ISSR_208011556_EQ">#REF!</definedName>
    <definedName name="L_KEYWORD_ISSR_208011556_ESO_PRE_TAX">#REF!</definedName>
    <definedName name="L_KEYWORD_ISSR_208011556_EXP_ALUMINIUM">#REF!</definedName>
    <definedName name="L_KEYWORD_ISSR_208011556_EXP_COPPER">#REF!</definedName>
    <definedName name="L_KEYWORD_ISSR_208011556_EXP_GLASS">#REF!</definedName>
    <definedName name="L_KEYWORD_ISSR_208011556_EXP_GOLD">#REF!</definedName>
    <definedName name="L_KEYWORD_ISSR_208011556_EXP_NICKEL">#REF!</definedName>
    <definedName name="L_KEYWORD_ISSR_208011556_EXP_OIL_DERIV_NGLS_PLASTICS">#REF!</definedName>
    <definedName name="L_KEYWORD_ISSR_208011556_EXP_OIL_PETRO_FUEL">#REF!</definedName>
    <definedName name="L_KEYWORD_ISSR_208011556_EXP_OTH_COMMODITY">#REF!</definedName>
    <definedName name="L_KEYWORD_ISSR_208011556_EXP_OTH_COST">#REF!</definedName>
    <definedName name="L_KEYWORD_ISSR_208011556_EXP_PALLADIUM">#REF!</definedName>
    <definedName name="L_KEYWORD_ISSR_208011556_EXP_PAPER_PULP">#REF!</definedName>
    <definedName name="L_KEYWORD_ISSR_208011556_EXP_PLATINUM">#REF!</definedName>
    <definedName name="L_KEYWORD_ISSR_208011556_EXP_SILVER">#REF!</definedName>
    <definedName name="L_KEYWORD_ISSR_208011556_EXP_WATER">#REF!</definedName>
    <definedName name="L_KEYWORD_ISSR_208011556_EXP_ZINC">#REF!</definedName>
    <definedName name="L_KEYWORD_ISSR_208011556_FIX_ASS_INV">#REF!</definedName>
    <definedName name="L_KEYWORD_ISSR_208011556_GCI_INFL">#REF!</definedName>
    <definedName name="L_KEYWORD_ISSR_208011556_GOODWILL_AMORT">#REF!</definedName>
    <definedName name="L_KEYWORD_ISSR_208011556_GR_FIX_ASS">#REF!</definedName>
    <definedName name="L_KEYWORD_ISSR_208011556_GR_INTANG">#REF!</definedName>
    <definedName name="L_KEYWORD_ISSR_208011556_INT_EXP_IND">#REF!</definedName>
    <definedName name="L_KEYWORD_ISSR_208011556_INT_INC_IND">#REF!</definedName>
    <definedName name="L_KEYWORD_ISSR_208011556_INV_SECUR">#REF!</definedName>
    <definedName name="L_KEYWORD_ISSR_208011556_Issuer_Name">#REF!</definedName>
    <definedName name="L_KEYWORD_ISSR_208011556_LEASE_DEEM_DEPR">#REF!</definedName>
    <definedName name="L_KEYWORD_ISSR_208011556_LEASE_DEEM_INT">#REF!</definedName>
    <definedName name="L_KEYWORD_ISSR_208011556_LEASE_PAY">#REF!</definedName>
    <definedName name="L_KEYWORD_ISSR_208011556_LT_DEBT">#REF!</definedName>
    <definedName name="L_KEYWORD_ISSR_208011556_MA_PROB">#REF!</definedName>
    <definedName name="L_KEYWORD_ISSR_208011556_MINORITIES">#REF!</definedName>
    <definedName name="L_KEYWORD_ISSR_208011556_MV_ASSOCIATES">#REF!</definedName>
    <definedName name="L_KEYWORD_ISSR_208011556_NET_DEBT">#REF!</definedName>
    <definedName name="L_KEYWORD_ISSR_208011556_NET_DEBT_ADJ">#REF!</definedName>
    <definedName name="L_KEYWORD_ISSR_208011556_NET_FIX_ASS">#REF!</definedName>
    <definedName name="L_KEYWORD_ISSR_208011556_NET_INT_CH">#REF!</definedName>
    <definedName name="L_KEYWORD_ISSR_208011556_NET_INT_EXP">#REF!</definedName>
    <definedName name="L_KEYWORD_ISSR_208011556_NET_INTANG">#REF!</definedName>
    <definedName name="L_KEYWORD_ISSR_208011556_NONPPE_CAPEX">#REF!</definedName>
    <definedName name="L_KEYWORD_ISSR_208011556_OP_COST">#REF!</definedName>
    <definedName name="L_KEYWORD_ISSR_208011556_ORD_SH_FUND">#REF!</definedName>
    <definedName name="L_KEYWORD_ISSR_208011556_OTH_COST_INC">#REF!</definedName>
    <definedName name="L_KEYWORD_ISSR_208011556_OTH_CUR_ASS">#REF!</definedName>
    <definedName name="L_KEYWORD_ISSR_208011556_OTH_CUR_LIABS">#REF!</definedName>
    <definedName name="L_KEYWORD_ISSR_208011556_OTH_DACF_ADJ">#REF!</definedName>
    <definedName name="L_KEYWORD_ISSR_208011556_OTH_FIN_CF">#REF!</definedName>
    <definedName name="L_KEYWORD_ISSR_208011556_OTH_GCI_ADJ">#REF!</definedName>
    <definedName name="L_KEYWORD_ISSR_208011556_OTH_INV_CF">#REF!</definedName>
    <definedName name="L_KEYWORD_ISSR_208011556_OTH_LT_ASS">#REF!</definedName>
    <definedName name="L_KEYWORD_ISSR_208011556_OTH_LT_CRED_GQ">#REF!</definedName>
    <definedName name="L_KEYWORD_ISSR_208011556_OTH_NONCASH_ADJ">#REF!</definedName>
    <definedName name="L_KEYWORD_ISSR_208011556_OTH_OP_CF">#REF!</definedName>
    <definedName name="L_KEYWORD_ISSR_208011556_OTH_OP_INC_EXP">#REF!</definedName>
    <definedName name="L_KEYWORD_ISSR_208011556_PERIOD_MILESTONE">#REF!</definedName>
    <definedName name="L_KEYWORD_ISSR_208011556_PL_SALE_ASSETS">#REF!</definedName>
    <definedName name="L_KEYWORD_ISSR_208011556_PREF_SH">#REF!</definedName>
    <definedName name="L_KEYWORD_ISSR_208011556_PROFIT_ON_DISP">#REF!</definedName>
    <definedName name="L_KEYWORD_ISSR_208011556_PT_PROF">#REF!</definedName>
    <definedName name="L_KEYWORD_ISSR_208011556_RD_EXP">#REF!</definedName>
    <definedName name="L_KEYWORD_ISSR_208011556_REV_FIN_SEGMENT">#REF!</definedName>
    <definedName name="L_KEYWORD_ISSR_208011556_SALES">#REF!</definedName>
    <definedName name="L_KEYWORD_ISSR_208011556_SALES_ARGENTINA">#REF!</definedName>
    <definedName name="L_KEYWORD_ISSR_208011556_SALES_BRAZIL">#REF!</definedName>
    <definedName name="L_KEYWORD_ISSR_208011556_SALES_CANADA">#REF!</definedName>
    <definedName name="L_KEYWORD_ISSR_208011556_SALES_CEE">#REF!</definedName>
    <definedName name="L_KEYWORD_ISSR_208011556_SALES_CHILE">#REF!</definedName>
    <definedName name="L_KEYWORD_ISSR_208011556_SALES_CHINA">#REF!</definedName>
    <definedName name="L_KEYWORD_ISSR_208011556_SALES_COLOMBIA">#REF!</definedName>
    <definedName name="L_KEYWORD_ISSR_208011556_SALES_CONS">#REF!</definedName>
    <definedName name="L_KEYWORD_ISSR_208011556_SALES_EU_EX_UK">#REF!</definedName>
    <definedName name="L_KEYWORD_ISSR_208011556_SALES_FINAN">#REF!</definedName>
    <definedName name="L_KEYWORD_ISSR_208011556_SALES_FX_ARS">#REF!</definedName>
    <definedName name="L_KEYWORD_ISSR_208011556_SALES_FX_BRL">#REF!</definedName>
    <definedName name="L_KEYWORD_ISSR_208011556_SALES_FX_CAD">#REF!</definedName>
    <definedName name="L_KEYWORD_ISSR_208011556_SALES_FX_CLP">#REF!</definedName>
    <definedName name="L_KEYWORD_ISSR_208011556_SALES_FX_CNY">#REF!</definedName>
    <definedName name="L_KEYWORD_ISSR_208011556_SALES_FX_COP">#REF!</definedName>
    <definedName name="L_KEYWORD_ISSR_208011556_SALES_FX_EUR">#REF!</definedName>
    <definedName name="L_KEYWORD_ISSR_208011556_SALES_FX_GPB">#REF!</definedName>
    <definedName name="L_KEYWORD_ISSR_208011556_SALES_FX_INR">#REF!</definedName>
    <definedName name="L_KEYWORD_ISSR_208011556_SALES_FX_MXN">#REF!</definedName>
    <definedName name="L_KEYWORD_ISSR_208011556_SALES_FX_OTH">#REF!</definedName>
    <definedName name="L_KEYWORD_ISSR_208011556_SALES_FX_RUB">#REF!</definedName>
    <definedName name="L_KEYWORD_ISSR_208011556_SALES_FX_USD">#REF!</definedName>
    <definedName name="L_KEYWORD_ISSR_208011556_SALES_FX_VEF">#REF!</definedName>
    <definedName name="L_KEYWORD_ISSR_208011556_SALES_FX_YEN">#REF!</definedName>
    <definedName name="L_KEYWORD_ISSR_208011556_SALES_GOV">#REF!</definedName>
    <definedName name="L_KEYWORD_ISSR_208011556_SALES_IND">#REF!</definedName>
    <definedName name="L_KEYWORD_ISSR_208011556_SALES_INDIA">#REF!</definedName>
    <definedName name="L_KEYWORD_ISSR_208011556_SALES_JAPAN">#REF!</definedName>
    <definedName name="L_KEYWORD_ISSR_208011556_SALES_ME">#REF!</definedName>
    <definedName name="L_KEYWORD_ISSR_208011556_SALES_MEXICO">#REF!</definedName>
    <definedName name="L_KEYWORD_ISSR_208011556_SALES_OTH_AEJ">#REF!</definedName>
    <definedName name="L_KEYWORD_ISSR_208011556_SALES_OTH_AM">#REF!</definedName>
    <definedName name="L_KEYWORD_ISSR_208011556_SALES_OTH_EMEA">#REF!</definedName>
    <definedName name="L_KEYWORD_ISSR_208011556_SALES_OTHER">#REF!</definedName>
    <definedName name="L_KEYWORD_ISSR_208011556_SALES_RUSSIA">#REF!</definedName>
    <definedName name="L_KEYWORD_ISSR_208011556_SALES_SMB">#REF!</definedName>
    <definedName name="L_KEYWORD_ISSR_208011556_SALES_TOT_AFRICA">#REF!</definedName>
    <definedName name="L_KEYWORD_ISSR_208011556_SALES_TOT_AM">#REF!</definedName>
    <definedName name="L_KEYWORD_ISSR_208011556_SALES_TOT_ASIA">#REF!</definedName>
    <definedName name="L_KEYWORD_ISSR_208011556_SALES_TOT_EMEA">#REF!</definedName>
    <definedName name="L_KEYWORD_ISSR_208011556_SALES_UK">#REF!</definedName>
    <definedName name="L_KEYWORD_ISSR_208011556_SALES_US">#REF!</definedName>
    <definedName name="L_KEYWORD_ISSR_208011556_SALES_VENEZUELA">#REF!</definedName>
    <definedName name="L_KEYWORD_ISSR_208011556_SEL_GL_AD">#REF!</definedName>
    <definedName name="L_KEYWORD_ISSR_208011556_SH_REPUR">#REF!</definedName>
    <definedName name="L_KEYWORD_ISSR_208011556_SHORT_T_DEBT">#REF!</definedName>
    <definedName name="L_KEYWORD_ISSR_208011556_SHORT_TERM_LIABS">#REF!</definedName>
    <definedName name="L_KEYWORD_ISSR_208011556_STOCKS">#REF!</definedName>
    <definedName name="L_KEYWORD_ISSR_208011556_TOT_ASSET">#REF!</definedName>
    <definedName name="L_KEYWORD_ISSR_208011556_TOT_CF">#REF!</definedName>
    <definedName name="L_KEYWORD_ISSR_208011556_TOT_LIAB">#REF!</definedName>
    <definedName name="L_KEYWORD_ISSR_208011556_TOT_LIAB_EQ">#REF!</definedName>
    <definedName name="L_KEYWORD_ISSR_208011556_TOT_LT_LIAB">#REF!</definedName>
    <definedName name="L_KEYWORD_ISSR_208011556_TOT_OPS_EXP">#REF!</definedName>
    <definedName name="L_KEYWORD_ISSR_208011556_TOT_OPS_EXP_DDA">#REF!</definedName>
    <definedName name="L_KEYWORD_ISSR_208011556_UNF_PENS">#REF!</definedName>
    <definedName name="L_KEYWORD_ISSR_208011556_UNF_PENS_LIAB_OTH">#REF!</definedName>
    <definedName name="L_KEYWORD_ISSR_208011556_UNF_PENS_OFF">#REF!</definedName>
    <definedName name="L_KEYWORD_ISSR_208011556_WORK_CAP">#REF!</definedName>
    <definedName name="L_LIVEDATA_EQTY_200001646">#REF!</definedName>
    <definedName name="L_LIVEDATA_EQTY_200002831">#REF!</definedName>
    <definedName name="L_LIVEDATA_EQTY_200004419">#REF!</definedName>
    <definedName name="L_LIVEDATA_EQTY_200012762">#REF!</definedName>
    <definedName name="L_LIVEDATA_EQTY_200014750">#REF!</definedName>
    <definedName name="L_LIVEDATA_ISSR_208000603">#REF!</definedName>
    <definedName name="L_LIVEDATA_ISSR_208000976">#REF!</definedName>
    <definedName name="L_LIVEDATA_ISSR_208001258">#REF!</definedName>
    <definedName name="L_LIVEDATA_ISSR_208009722">#REF!</definedName>
    <definedName name="L_LIVEDATA_ISSR_208011556">#REF!</definedName>
    <definedName name="L_PERIOD_2002">#REF!</definedName>
    <definedName name="L_PERIOD_2003">#REF!</definedName>
    <definedName name="L_PERIOD_2003_Q1">#REF!</definedName>
    <definedName name="L_PERIOD_2003_Q2">#REF!</definedName>
    <definedName name="L_PERIOD_2003_Q3">#REF!</definedName>
    <definedName name="L_PERIOD_2003_Q4">#REF!</definedName>
    <definedName name="L_PERIOD_2004">#REF!</definedName>
    <definedName name="L_PERIOD_2004_Q1">#REF!</definedName>
    <definedName name="L_PERIOD_2004_Q2">#REF!</definedName>
    <definedName name="L_PERIOD_2004_Q3">#REF!</definedName>
    <definedName name="L_PERIOD_2004_Q4">#REF!</definedName>
    <definedName name="L_PERIOD_2005">#REF!</definedName>
    <definedName name="L_PERIOD_2005_Q1">#REF!</definedName>
    <definedName name="L_PERIOD_2005_Q2">#REF!</definedName>
    <definedName name="L_PERIOD_2005_Q3">#REF!</definedName>
    <definedName name="L_PERIOD_2005_Q4">#REF!</definedName>
    <definedName name="L_PERIOD_2006_Q1">#REF!</definedName>
    <definedName name="L_PERIOD_2006_Q2">#REF!</definedName>
    <definedName name="L_PERIOD_2006_Q3">#REF!</definedName>
    <definedName name="L_PERIOD_2006_Q4">#REF!</definedName>
    <definedName name="L_SECTION_EQTY_200001646_1314">#REF!</definedName>
    <definedName name="L_SECTION_EQTY_200001646_1319">#REF!</definedName>
    <definedName name="L_SECTION_EQTY_200001646_131E">#REF!</definedName>
    <definedName name="L_SECTION_EQTY_200001646_131O">#REF!</definedName>
    <definedName name="L_SECTION_EQTY_200001646_131P">#REF!</definedName>
    <definedName name="L_SECTION_EQTY_200001646_13A">#REF!</definedName>
    <definedName name="L_SECTION_EQTY_200001646_13K">#REF!</definedName>
    <definedName name="L_SECTION_EQTY_200001646_13U">#REF!</definedName>
    <definedName name="L_SECTION_EQTY_200001646_13V">#REF!</definedName>
    <definedName name="L_SECTION_EQTY_200001646_13W">#REF!</definedName>
    <definedName name="L_SECTION_EQTY_200001646_Reference_Data">#REF!</definedName>
    <definedName name="L_SECTION_EQTY_200002831_1314">#REF!</definedName>
    <definedName name="L_SECTION_EQTY_200002831_1319">#REF!</definedName>
    <definedName name="L_SECTION_EQTY_200002831_131E">#REF!</definedName>
    <definedName name="L_SECTION_EQTY_200002831_131O">#REF!</definedName>
    <definedName name="L_SECTION_EQTY_200002831_13A">#REF!</definedName>
    <definedName name="L_SECTION_EQTY_200002831_13K">#REF!</definedName>
    <definedName name="L_SECTION_EQTY_200002831_13U">#REF!</definedName>
    <definedName name="L_SECTION_EQTY_200002831_13V">#REF!</definedName>
    <definedName name="L_SECTION_EQTY_200002831_13W">#REF!</definedName>
    <definedName name="L_SECTION_EQTY_200002831_Reference_Data">#REF!</definedName>
    <definedName name="L_SECTION_EQTY_200004419_1314">#REF!</definedName>
    <definedName name="L_SECTION_EQTY_200004419_1319">#REF!</definedName>
    <definedName name="L_SECTION_EQTY_200004419_131E">#REF!</definedName>
    <definedName name="L_SECTION_EQTY_200004419_131O">#REF!</definedName>
    <definedName name="L_SECTION_EQTY_200004419_13A">#REF!</definedName>
    <definedName name="L_SECTION_EQTY_200004419_13K">#REF!</definedName>
    <definedName name="L_SECTION_EQTY_200004419_13U">#REF!</definedName>
    <definedName name="L_SECTION_EQTY_200004419_13V">#REF!</definedName>
    <definedName name="L_SECTION_EQTY_200004419_13W">#REF!</definedName>
    <definedName name="L_SECTION_EQTY_200004419_Reference_Data">#REF!</definedName>
    <definedName name="L_SECTION_EQTY_200012762_1314">#REF!</definedName>
    <definedName name="L_SECTION_EQTY_200012762_1319">#REF!</definedName>
    <definedName name="L_SECTION_EQTY_200012762_131E">#REF!</definedName>
    <definedName name="L_SECTION_EQTY_200012762_131O">#REF!</definedName>
    <definedName name="L_SECTION_EQTY_200012762_13A">#REF!</definedName>
    <definedName name="L_SECTION_EQTY_200012762_13K">#REF!</definedName>
    <definedName name="L_SECTION_EQTY_200012762_13U">#REF!</definedName>
    <definedName name="L_SECTION_EQTY_200012762_13V">#REF!</definedName>
    <definedName name="L_SECTION_EQTY_200012762_13W">#REF!</definedName>
    <definedName name="L_SECTION_EQTY_200012762_Reference_Data">#REF!</definedName>
    <definedName name="L_SECTION_EQTY_200014750_1314">#REF!</definedName>
    <definedName name="L_SECTION_EQTY_200014750_1319">#REF!</definedName>
    <definedName name="L_SECTION_EQTY_200014750_131E">#REF!</definedName>
    <definedName name="L_SECTION_EQTY_200014750_131O">#REF!</definedName>
    <definedName name="L_SECTION_EQTY_200014750_13A">#REF!</definedName>
    <definedName name="L_SECTION_EQTY_200014750_13K">#REF!</definedName>
    <definedName name="L_SECTION_EQTY_200014750_13U">#REF!</definedName>
    <definedName name="L_SECTION_EQTY_200014750_13V">#REF!</definedName>
    <definedName name="L_SECTION_EQTY_200014750_13W">#REF!</definedName>
    <definedName name="L_SECTION_EQTY_200014750_Reference_Data">#REF!</definedName>
    <definedName name="L_SECTION_ISSR_208000603_1314">#REF!</definedName>
    <definedName name="L_SECTION_ISSR_208000603_13168">#REF!</definedName>
    <definedName name="L_SECTION_ISSR_208000603_1319">#REF!</definedName>
    <definedName name="L_SECTION_ISSR_208000603_131E">#REF!</definedName>
    <definedName name="L_SECTION_ISSR_208000603_131J">#REF!</definedName>
    <definedName name="L_SECTION_ISSR_208000603_131O">#REF!</definedName>
    <definedName name="L_SECTION_ISSR_208000603_131P">#REF!</definedName>
    <definedName name="L_SECTION_ISSR_208000603_13A">#REF!</definedName>
    <definedName name="L_SECTION_ISSR_208000603_13U">#REF!</definedName>
    <definedName name="L_SECTION_ISSR_208000603_13V">#REF!</definedName>
    <definedName name="L_SECTION_ISSR_208000603_Reference_Data">#REF!</definedName>
    <definedName name="L_SECTION_ISSR_208000976_1314">#REF!</definedName>
    <definedName name="L_SECTION_ISSR_208000976_13168">#REF!</definedName>
    <definedName name="L_SECTION_ISSR_208000976_1316T">#REF!</definedName>
    <definedName name="L_SECTION_ISSR_208000976_1316U">#REF!</definedName>
    <definedName name="L_SECTION_ISSR_208000976_1319">#REF!</definedName>
    <definedName name="L_SECTION_ISSR_208000976_131E">#REF!</definedName>
    <definedName name="L_SECTION_ISSR_208000976_131J">#REF!</definedName>
    <definedName name="L_SECTION_ISSR_208000976_131O">#REF!</definedName>
    <definedName name="L_SECTION_ISSR_208000976_13A">#REF!</definedName>
    <definedName name="L_SECTION_ISSR_208000976_13U">#REF!</definedName>
    <definedName name="L_SECTION_ISSR_208000976_13V">#REF!</definedName>
    <definedName name="L_SECTION_ISSR_208000976_Reference_Data">#REF!</definedName>
    <definedName name="L_SECTION_ISSR_208001258_1314">#REF!</definedName>
    <definedName name="L_SECTION_ISSR_208001258_13168">#REF!</definedName>
    <definedName name="L_SECTION_ISSR_208001258_1316T">#REF!</definedName>
    <definedName name="L_SECTION_ISSR_208001258_1316U">#REF!</definedName>
    <definedName name="L_SECTION_ISSR_208001258_1319">#REF!</definedName>
    <definedName name="L_SECTION_ISSR_208001258_131E">#REF!</definedName>
    <definedName name="L_SECTION_ISSR_208001258_131J">#REF!</definedName>
    <definedName name="L_SECTION_ISSR_208001258_131O">#REF!</definedName>
    <definedName name="L_SECTION_ISSR_208001258_13A">#REF!</definedName>
    <definedName name="L_SECTION_ISSR_208001258_13U">#REF!</definedName>
    <definedName name="L_SECTION_ISSR_208001258_13V">#REF!</definedName>
    <definedName name="L_SECTION_ISSR_208001258_Reference_Data">#REF!</definedName>
    <definedName name="L_SECTION_ISSR_208009722_1314">#REF!</definedName>
    <definedName name="L_SECTION_ISSR_208009722_13168">#REF!</definedName>
    <definedName name="L_SECTION_ISSR_208009722_1319">#REF!</definedName>
    <definedName name="L_SECTION_ISSR_208009722_131E">#REF!</definedName>
    <definedName name="L_SECTION_ISSR_208009722_131J">#REF!</definedName>
    <definedName name="L_SECTION_ISSR_208009722_131O">#REF!</definedName>
    <definedName name="L_SECTION_ISSR_208009722_13A">#REF!</definedName>
    <definedName name="L_SECTION_ISSR_208009722_13U">#REF!</definedName>
    <definedName name="L_SECTION_ISSR_208009722_13V">#REF!</definedName>
    <definedName name="L_SECTION_ISSR_208009722_Reference_Data">#REF!</definedName>
    <definedName name="L_SECTION_ISSR_208011556_1314">#REF!</definedName>
    <definedName name="L_SECTION_ISSR_208011556_13168">#REF!</definedName>
    <definedName name="L_SECTION_ISSR_208011556_1316T">#REF!</definedName>
    <definedName name="L_SECTION_ISSR_208011556_1316U">#REF!</definedName>
    <definedName name="L_SECTION_ISSR_208011556_1319">#REF!</definedName>
    <definedName name="L_SECTION_ISSR_208011556_131E">#REF!</definedName>
    <definedName name="L_SECTION_ISSR_208011556_131J">#REF!</definedName>
    <definedName name="L_SECTION_ISSR_208011556_131O">#REF!</definedName>
    <definedName name="L_SECTION_ISSR_208011556_13A">#REF!</definedName>
    <definedName name="L_SECTION_ISSR_208011556_13U">#REF!</definedName>
    <definedName name="L_SECTION_ISSR_208011556_13V">#REF!</definedName>
    <definedName name="L_SECTION_ISSR_208011556_Reference_Data">#REF!</definedName>
    <definedName name="L_T_obligations_under_cap_leases">#REF!</definedName>
    <definedName name="LA_Add">#REF!</definedName>
    <definedName name="LA_Bank">#REF!</definedName>
    <definedName name="LA_Date">#REF!</definedName>
    <definedName name="LA_Sell">#REF!</definedName>
    <definedName name="Labor">#REF!</definedName>
    <definedName name="last">#REF!</definedName>
    <definedName name="last_earnings_release_date">#REF!</definedName>
    <definedName name="last_reported_qtr">#REF!</definedName>
    <definedName name="last_reported_year">#REF!</definedName>
    <definedName name="Last_Results">#REF!</definedName>
    <definedName name="Last_Results_Quarter">#REF!</definedName>
    <definedName name="Last_Results_Year">#REF!</definedName>
    <definedName name="LastListUpdate">0</definedName>
    <definedName name="lastq">#REF!</definedName>
    <definedName name="lastqy">#REF!</definedName>
    <definedName name="LastRefreshed">#REF!</definedName>
    <definedName name="LastSummaryQuarter">#REF!</definedName>
    <definedName name="Latin_American_Domestic_Revenues">#REF!</definedName>
    <definedName name="Latin_American_Non_Domestic_Revenues">#REF!</definedName>
    <definedName name="Latin_American_Total_Revenues">#REF!</definedName>
    <definedName name="LCCY_Find">#REF!</definedName>
    <definedName name="LCI_5YRGROWTH">#REF!</definedName>
    <definedName name="lease_disc">#REF!</definedName>
    <definedName name="lease_disc05">#REF!</definedName>
    <definedName name="lease_perc">#REF!</definedName>
    <definedName name="Lease_thereafter">#REF!</definedName>
    <definedName name="Lease_years">#REF!</definedName>
    <definedName name="Lease_yr_1">#REF!</definedName>
    <definedName name="Lease_yr_2">#REF!</definedName>
    <definedName name="Lease_yr_3">#REF!</definedName>
    <definedName name="Lease_yr_4">#REF!</definedName>
    <definedName name="Lease_yr_5">#REF!</definedName>
    <definedName name="leftcol">#REF!</definedName>
    <definedName name="Lehigh_Add">#REF!</definedName>
    <definedName name="Lehigh_Bank">#REF!</definedName>
    <definedName name="Lehigh_Date">#REF!</definedName>
    <definedName name="Lehigh_Sell">#REF!</definedName>
    <definedName name="LGPhillips">#REF!</definedName>
    <definedName name="Libor_2002">#REF!</definedName>
    <definedName name="Libor_2003">#REF!</definedName>
    <definedName name="License_Rev">#REF!</definedName>
    <definedName name="License_Revenue">#REF!</definedName>
    <definedName name="License_Revenue_Existing_Customers">#REF!</definedName>
    <definedName name="License_Revenue_New_Customers">#REF!</definedName>
    <definedName name="LicenseGrowth">#REF!</definedName>
    <definedName name="life">#REF!</definedName>
    <definedName name="life2">#REF!</definedName>
    <definedName name="LIFO_Reserve">#REF!</definedName>
    <definedName name="linetable">#REF!</definedName>
    <definedName name="Linking_1">#REF!</definedName>
    <definedName name="Linking_2">#REF!</definedName>
    <definedName name="list">#REF!</definedName>
    <definedName name="LIST1">#REF!</definedName>
    <definedName name="listone">#REF!</definedName>
    <definedName name="Loan_Loss_Provision_fore">#REF!</definedName>
    <definedName name="Local_Sector">#REF!</definedName>
    <definedName name="Logic">#REF!</definedName>
    <definedName name="Long_Term_Debt">#REF!</definedName>
    <definedName name="Long_Term_Growth">#REF!</definedName>
    <definedName name="LongTerm">#REF!</definedName>
    <definedName name="Longterm_Deferred_Revenue">#REF!</definedName>
    <definedName name="LookupGartnerXrates">#REF!</definedName>
    <definedName name="LosDatos">#REF!</definedName>
    <definedName name="Loss_On_Fixed_Asset_Sales">#REF!</definedName>
    <definedName name="LowestAllowedPE">#REF!</definedName>
    <definedName name="LT_debt">#REF!</definedName>
    <definedName name="LT_debt_growth_fore">#REF!</definedName>
    <definedName name="LT_Deferred_Rev">#REF!</definedName>
    <definedName name="LT_EPS">#REF!</definedName>
    <definedName name="ltdebt">#REF!</definedName>
    <definedName name="LTEL_AdjustedEV">#REF!</definedName>
    <definedName name="LTEL_AssociatesMinorities">#REF!</definedName>
    <definedName name="LTEL_UnleveredFCF">#REF!</definedName>
    <definedName name="ltmax">#REF!</definedName>
    <definedName name="ltmcapexdepr">#REF!</definedName>
    <definedName name="ltmcapexopcf">#REF!</definedName>
    <definedName name="ltmcapexpct">#REF!</definedName>
    <definedName name="ltmebitda">#REF!</definedName>
    <definedName name="ltmebitdagr">#REF!</definedName>
    <definedName name="ltmebitdam">#REF!</definedName>
    <definedName name="ltmebitdaps">#REF!</definedName>
    <definedName name="ltmeps">#REF!</definedName>
    <definedName name="ltmepsgr">#REF!</definedName>
    <definedName name="ltmfax">#REF!</definedName>
    <definedName name="ltmfrcf">#REF!</definedName>
    <definedName name="ltmfrcfgr">#REF!</definedName>
    <definedName name="ltmfrcfps">#REF!</definedName>
    <definedName name="ltmgm">#REF!</definedName>
    <definedName name="ltminvx">#REF!</definedName>
    <definedName name="ltmom">#REF!</definedName>
    <definedName name="ltmomch">#REF!</definedName>
    <definedName name="ltmrev">#REF!</definedName>
    <definedName name="ltmrevgr">#REF!</definedName>
    <definedName name="ltmrndpct">#REF!</definedName>
    <definedName name="ltmroa">#REF!</definedName>
    <definedName name="ltmroe">#REF!</definedName>
    <definedName name="ltmspe">#REF!</definedName>
    <definedName name="ltmspegr">#REF!</definedName>
    <definedName name="ltmspsqft">#REF!</definedName>
    <definedName name="ltmspsqftgr">#REF!</definedName>
    <definedName name="ltmwcx">#REF!</definedName>
    <definedName name="lucurr">#REF!</definedName>
    <definedName name="lucurrffq">#REF!</definedName>
    <definedName name="luhi">#REF!</definedName>
    <definedName name="lulow">#REF!</definedName>
    <definedName name="lupegrelavg">#REF!</definedName>
    <definedName name="lupegrelcurr">#REF!</definedName>
    <definedName name="lupegrowthavg">#REF!</definedName>
    <definedName name="lupegrowthcurr">#REF!</definedName>
    <definedName name="lupegrowthhi">#REF!</definedName>
    <definedName name="lupegrowthlow">#REF!</definedName>
    <definedName name="lushares">#REF!</definedName>
    <definedName name="luttmavg">#REF!</definedName>
    <definedName name="luttmcurr">#REF!</definedName>
    <definedName name="luttmhi">#REF!</definedName>
    <definedName name="luttmlow">#REF!</definedName>
    <definedName name="luttmrelavg">#REF!</definedName>
    <definedName name="luttmrelcurr">#REF!</definedName>
    <definedName name="luttmrelhi">#REF!</definedName>
    <definedName name="luttmrellow">#REF!</definedName>
    <definedName name="luvprice">#REF!</definedName>
    <definedName name="luvshares">#REF!</definedName>
    <definedName name="LWSN">#REF!</definedName>
    <definedName name="LYN">#REF!</definedName>
    <definedName name="m">1000</definedName>
    <definedName name="M1_Seasonality">0.3</definedName>
    <definedName name="M2_Seasonality">0.3</definedName>
    <definedName name="M3_Seasonality">0.4</definedName>
    <definedName name="ma">#REF!</definedName>
    <definedName name="Macro1">#REF!</definedName>
    <definedName name="Main_ConvR_FileMode">#REF!</definedName>
    <definedName name="Main_Toolbar">#REF!</definedName>
    <definedName name="maincust.">#REF!</definedName>
    <definedName name="MainDialog.Auto_Open">#N/A</definedName>
    <definedName name="Maint_Rev">#REF!</definedName>
    <definedName name="Maintenance_Capital_Expenditure">#REF!</definedName>
    <definedName name="Maintenance_Revenue">#REF!</definedName>
    <definedName name="Maintenance_Writedown_Acquisitions">#REF!</definedName>
    <definedName name="Management">#REF!</definedName>
    <definedName name="Manhattan_Add">#REF!</definedName>
    <definedName name="MANUAL" hidden="1">#REF!</definedName>
    <definedName name="margin">#REF!</definedName>
    <definedName name="margin_adjustment02">#REF!</definedName>
    <definedName name="Market">#REF!</definedName>
    <definedName name="Market_Capital">#REF!</definedName>
    <definedName name="Market_capitalization">#REF!</definedName>
    <definedName name="Market_Index">#REF!</definedName>
    <definedName name="marketcap">#REF!</definedName>
    <definedName name="MATRIX">#REF!</definedName>
    <definedName name="MB">#REF!</definedName>
    <definedName name="MCCRKEVA">#REF!</definedName>
    <definedName name="mci_growth">#REF!</definedName>
    <definedName name="mci_tab">#REF!</definedName>
    <definedName name="mci_tracker">#REF!</definedName>
    <definedName name="MDCE">#REF!</definedName>
    <definedName name="med_value">#REF!</definedName>
    <definedName name="MediaList">#REF!</definedName>
    <definedName name="Mega_Bank">#REF!</definedName>
    <definedName name="Mega_Date">#REF!</definedName>
    <definedName name="Mega_Sell">#REF!</definedName>
    <definedName name="MegMode">#REF!</definedName>
    <definedName name="MerrillPrintIt" hidden="1">#REF!</definedName>
    <definedName name="methacurr">#REF!</definedName>
    <definedName name="methadate">#REF!</definedName>
    <definedName name="methadown">#REF!</definedName>
    <definedName name="methadownsup">#REF!</definedName>
    <definedName name="methaeps98">#REF!</definedName>
    <definedName name="methaeps99">#REF!</definedName>
    <definedName name="methafy1cons">#REF!</definedName>
    <definedName name="methafy2cons">#REF!</definedName>
    <definedName name="methahi">#REF!</definedName>
    <definedName name="methahilo">#REF!</definedName>
    <definedName name="methalow">#REF!</definedName>
    <definedName name="methamktcap">#REF!</definedName>
    <definedName name="methapegrowthavg">#REF!</definedName>
    <definedName name="methapegrowthcurr">#REF!</definedName>
    <definedName name="methapegrowthhi">#REF!</definedName>
    <definedName name="methapegrowthlow">#REF!</definedName>
    <definedName name="methaprice">#REF!</definedName>
    <definedName name="metharpe">#REF!</definedName>
    <definedName name="methashares">#REF!</definedName>
    <definedName name="methatprice">#REF!</definedName>
    <definedName name="methattmavg">#REF!</definedName>
    <definedName name="methattmcurr">#REF!</definedName>
    <definedName name="methattmhi">#REF!</definedName>
    <definedName name="methattmlow">#REF!</definedName>
    <definedName name="methattmrelavg">#REF!</definedName>
    <definedName name="methattmrelcurr">#REF!</definedName>
    <definedName name="methattmrelhi">#REF!</definedName>
    <definedName name="methattmrellow">#REF!</definedName>
    <definedName name="methaup">#REF!</definedName>
    <definedName name="methaupsup">#REF!</definedName>
    <definedName name="methavol">#REF!</definedName>
    <definedName name="methayield">#REF!</definedName>
    <definedName name="Metric_Type">OFFSET(#REF!,0,0,COUNTA(#REF!)-1)</definedName>
    <definedName name="metric1">#REF!</definedName>
    <definedName name="Metric2">#REF!</definedName>
    <definedName name="Metric3">#REF!</definedName>
    <definedName name="Metric4">#REF!</definedName>
    <definedName name="Metric5">#REF!</definedName>
    <definedName name="Metric6">#REF!</definedName>
    <definedName name="Metric7">#REF!</definedName>
    <definedName name="Metric8">#REF!</definedName>
    <definedName name="metrics1">#REF!</definedName>
    <definedName name="metrics2">#REF!</definedName>
    <definedName name="metrics3">#REF!</definedName>
    <definedName name="Mexico1">#REF!</definedName>
    <definedName name="Mexico2">#REF!</definedName>
    <definedName name="mfnx">#REF!</definedName>
    <definedName name="mfnx_g">#REF!</definedName>
    <definedName name="mfnx_is">#REF!</definedName>
    <definedName name="mgmtown">#REF!</definedName>
    <definedName name="MGN">#REF!</definedName>
    <definedName name="miavg">#REF!</definedName>
    <definedName name="michg">#REF!</definedName>
    <definedName name="Microperipherals">#REF!</definedName>
    <definedName name="Microprocessors">#REF!</definedName>
    <definedName name="Microsoft_FY_June">#REF!</definedName>
    <definedName name="micrpe">#REF!</definedName>
    <definedName name="micurr">#REF!</definedName>
    <definedName name="midate">#REF!</definedName>
    <definedName name="midown">#REF!</definedName>
    <definedName name="midownsup">#REF!</definedName>
    <definedName name="MidPoint">#REF!</definedName>
    <definedName name="mieps99">#REF!</definedName>
    <definedName name="mify1cons">#REF!</definedName>
    <definedName name="mify2cons">#REF!</definedName>
    <definedName name="mihi">#REF!</definedName>
    <definedName name="mihilo">#REF!</definedName>
    <definedName name="Millions_Or_Billions">#REF!</definedName>
    <definedName name="milow">#REF!</definedName>
    <definedName name="mimktcap">#REF!</definedName>
    <definedName name="Minority_Interests">#REF!</definedName>
    <definedName name="Minority_Interests_Balance_Sheet">#REF!</definedName>
    <definedName name="mipegrowthavg">#REF!</definedName>
    <definedName name="mipegrowthcurr">#REF!</definedName>
    <definedName name="mipegrowthhi">#REF!</definedName>
    <definedName name="mipegrowthlow">#REF!</definedName>
    <definedName name="miprice">#REF!</definedName>
    <definedName name="mirpe">#REF!</definedName>
    <definedName name="misc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mishares">#REF!</definedName>
    <definedName name="mitprice">#REF!</definedName>
    <definedName name="mittmavg">#REF!</definedName>
    <definedName name="mittmcurr">#REF!</definedName>
    <definedName name="mittmhi">#REF!</definedName>
    <definedName name="mittmlow">#REF!</definedName>
    <definedName name="mittmrelavg">#REF!</definedName>
    <definedName name="mittmrelcurr">#REF!</definedName>
    <definedName name="mittmrelhi">#REF!</definedName>
    <definedName name="mittmrellow">#REF!</definedName>
    <definedName name="miup">#REF!</definedName>
    <definedName name="miupsup">#REF!</definedName>
    <definedName name="mivol">#REF!</definedName>
    <definedName name="miyield">#REF!</definedName>
    <definedName name="mkt_cap">#REF!</definedName>
    <definedName name="MKT_PREM">#REF!</definedName>
    <definedName name="mktsh_1Q0">#REF!</definedName>
    <definedName name="mktsh_1Q00">#REF!</definedName>
    <definedName name="mktsh_1Q01">#REF!</definedName>
    <definedName name="mktsh_1Q02">#REF!</definedName>
    <definedName name="mktsh_1Q03">#REF!</definedName>
    <definedName name="mktsh_1Q04">#REF!</definedName>
    <definedName name="mktsh_1Q05">#REF!</definedName>
    <definedName name="mktsh_1Q06">#REF!</definedName>
    <definedName name="mktsh_1Q07">#REF!</definedName>
    <definedName name="mktsh_1Q98">#REF!</definedName>
    <definedName name="mktsh_1Q99">#REF!</definedName>
    <definedName name="mktsh_2Q00">#REF!</definedName>
    <definedName name="mktsh_2Q01">#REF!</definedName>
    <definedName name="mktsh_2Q02">#REF!</definedName>
    <definedName name="mktsh_2Q03">#REF!</definedName>
    <definedName name="mktsh_2Q04">#REF!</definedName>
    <definedName name="mktsh_2Q05">#REF!</definedName>
    <definedName name="mktsh_2Q06">#REF!</definedName>
    <definedName name="mktsh_2Q07">#REF!</definedName>
    <definedName name="mktsh_2Q98">#REF!</definedName>
    <definedName name="mktsh_2Q99">#REF!</definedName>
    <definedName name="mktsh_3Q00">#REF!</definedName>
    <definedName name="mktsh_3Q01">#REF!</definedName>
    <definedName name="mktsh_3Q02">#REF!</definedName>
    <definedName name="mktsh_3Q03">#REF!</definedName>
    <definedName name="mktsh_3Q04">#REF!</definedName>
    <definedName name="mktsh_3Q05">#REF!</definedName>
    <definedName name="mktsh_3Q06">#REF!</definedName>
    <definedName name="mktsh_3Q07">#REF!</definedName>
    <definedName name="mktsh_3Q98">#REF!</definedName>
    <definedName name="mktsh_3Q99">#REF!</definedName>
    <definedName name="mktsh_4Q00">#REF!</definedName>
    <definedName name="mktsh_4Q01">#REF!</definedName>
    <definedName name="mktsh_4Q02">#REF!</definedName>
    <definedName name="mktsh_4Q03">#REF!</definedName>
    <definedName name="mktsh_4Q04">#REF!</definedName>
    <definedName name="mktsh_4Q05">#REF!</definedName>
    <definedName name="mktsh_4Q06">#REF!</definedName>
    <definedName name="mktsh_4Q07">#REF!</definedName>
    <definedName name="mktsh_4Q98">#REF!</definedName>
    <definedName name="MktSum.">#REF!</definedName>
    <definedName name="mktvalue">#REF!</definedName>
    <definedName name="mktvalueuro">#REF!</definedName>
    <definedName name="mm" localSheetId="0" hidden="1">{#N/A,#N/A,FALSE,"Output";#N/A,#N/A,FALSE,"Cover Sheet";#N/A,#N/A,FALSE,"Current Mkt. Projections"}</definedName>
    <definedName name="mm" hidden="1">{#N/A,#N/A,FALSE,"Output";#N/A,#N/A,FALSE,"Cover Sheet";#N/A,#N/A,FALSE,"Current Mkt. Projections"}</definedName>
    <definedName name="MOBILEASP">#REF!</definedName>
    <definedName name="MOBILEREV">#REF!</definedName>
    <definedName name="MOBILESHIP.">#REF!</definedName>
    <definedName name="Model">#REF!</definedName>
    <definedName name="molxamktcap">#REF!</definedName>
    <definedName name="molxape1">#REF!</definedName>
    <definedName name="molxape2">#REF!</definedName>
    <definedName name="molxarating">#REF!</definedName>
    <definedName name="molxashares">#REF!</definedName>
    <definedName name="molxatprice">#REF!</definedName>
    <definedName name="molxavg">#REF!</definedName>
    <definedName name="molxchg">#REF!</definedName>
    <definedName name="molxcrpe">#REF!</definedName>
    <definedName name="molxcurr">#REF!</definedName>
    <definedName name="molxdate">#REF!</definedName>
    <definedName name="molxdown">#REF!</definedName>
    <definedName name="molxdownsup">#REF!</definedName>
    <definedName name="molxevebitda">#REF!</definedName>
    <definedName name="molxffqpeavg">#REF!</definedName>
    <definedName name="molxffqpecurr">#REF!</definedName>
    <definedName name="molxfy1cons">#REF!</definedName>
    <definedName name="molxfy2cons">#REF!</definedName>
    <definedName name="molxhi">#REF!</definedName>
    <definedName name="molxlo">#REF!</definedName>
    <definedName name="molxpegrowthavg">#REF!</definedName>
    <definedName name="molxpegrowthcurr">#REF!</definedName>
    <definedName name="molxpegrowthmax">#REF!</definedName>
    <definedName name="molxpegrowthmin">#REF!</definedName>
    <definedName name="molxperelavg">#REF!</definedName>
    <definedName name="molxperelcurr">#REF!</definedName>
    <definedName name="molxprice">#REF!</definedName>
    <definedName name="molxqv">#REF!</definedName>
    <definedName name="molxrpe">#REF!</definedName>
    <definedName name="molxtech">#REF!</definedName>
    <definedName name="molxttmavg">#REF!</definedName>
    <definedName name="molxttmcurr">#REF!</definedName>
    <definedName name="molxttmhi">#REF!</definedName>
    <definedName name="molxttmlo">#REF!</definedName>
    <definedName name="molxttmrelavg">#REF!</definedName>
    <definedName name="molxttmrelcurr">#REF!</definedName>
    <definedName name="molxttmrelhi">#REF!</definedName>
    <definedName name="molxttmrello">#REF!</definedName>
    <definedName name="molxup">#REF!</definedName>
    <definedName name="molxupsup">#REF!</definedName>
    <definedName name="molxvol">#REF!</definedName>
    <definedName name="molxyield">#REF!</definedName>
    <definedName name="Monetary_Gains">#REF!</definedName>
    <definedName name="month">#REF!</definedName>
    <definedName name="motchg">#REF!</definedName>
    <definedName name="motcurr">#REF!</definedName>
    <definedName name="motcurrffq">#REF!</definedName>
    <definedName name="motpegrelavg">#REF!</definedName>
    <definedName name="motpegrelcurr">#REF!</definedName>
    <definedName name="motpegrowthavg">#REF!</definedName>
    <definedName name="motpegrowthcurr">#REF!</definedName>
    <definedName name="motshares">#REF!</definedName>
    <definedName name="MRDisk">#REF!</definedName>
    <definedName name="MSFT">#REF!</definedName>
    <definedName name="MSTAR_AssociatesMinorities">#REF!</definedName>
    <definedName name="MusicMarket">#REF!</definedName>
    <definedName name="MYTDVOL">14</definedName>
    <definedName name="n" hidden="1">{"IS",#N/A,FALSE,"IS";"RPTIS",#N/A,FALSE,"RPTIS";"STATS",#N/A,FALSE,"STATS";"BS",#N/A,FALSE,"BS"}</definedName>
    <definedName name="N_A">#REF!</definedName>
    <definedName name="N601_">#N/A</definedName>
    <definedName name="NA">#REF!</definedName>
    <definedName name="NAEVA">#REF!</definedName>
    <definedName name="name">#REF!</definedName>
    <definedName name="NarrowedDataRange">#N/A</definedName>
    <definedName name="NarrowedDataRangeDates">#N/A</definedName>
    <definedName name="NAS">#REF!</definedName>
    <definedName name="nck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D00">#REF!</definedName>
    <definedName name="NDLit03">#REF!</definedName>
    <definedName name="NDLit04">#REF!</definedName>
    <definedName name="NEC">#REF!</definedName>
    <definedName name="net">#REF!</definedName>
    <definedName name="Net_Acquisitions">#REF!</definedName>
    <definedName name="Net_Adj_capitalized_expenses">#REF!</definedName>
    <definedName name="Net_adj_for_capitalized_expenses">#REF!</definedName>
    <definedName name="net_cash">#REF!</definedName>
    <definedName name="Net_Cash_From_Financing">#REF!</definedName>
    <definedName name="Net_Cash_From_Operations">#REF!</definedName>
    <definedName name="Net_Cash_Used_For_Investment">#REF!</definedName>
    <definedName name="Net_Change_In_Working_Capital">#REF!</definedName>
    <definedName name="net_debt">#REF!</definedName>
    <definedName name="Net_Income">#REF!</definedName>
    <definedName name="Net_income_adj_cap_expenses">#REF!</definedName>
    <definedName name="Net_Income_Adj_Earnings_PreAbnormal_Goodwill_Amort">#REF!</definedName>
    <definedName name="Net_Income_Common_Shareholders">#REF!</definedName>
    <definedName name="Net_income_fore">#REF!</definedName>
    <definedName name="Net_income_growth">#REF!</definedName>
    <definedName name="Net_income_growth_avg">#REF!</definedName>
    <definedName name="Net_Intangible_Fixed_Assets">#REF!</definedName>
    <definedName name="Net_Interest">#REF!</definedName>
    <definedName name="Net_Lit03">#REF!</definedName>
    <definedName name="Net_margin">#REF!</definedName>
    <definedName name="Net_margin_fore">#REF!</definedName>
    <definedName name="Net_PPE">#REF!</definedName>
    <definedName name="Net_PPE_DCF">#REF!</definedName>
    <definedName name="Net_PPE_growth_fore">#REF!</definedName>
    <definedName name="net_profit_postabs_pretelstra">#REF!</definedName>
    <definedName name="net_profit_pretelstra">#REF!</definedName>
    <definedName name="Net_property_under_capital_leases">#REF!</definedName>
    <definedName name="net_revenue_00">#REF!</definedName>
    <definedName name="net_revenue_06">#REF!</definedName>
    <definedName name="net_revenue_07">#REF!</definedName>
    <definedName name="net_revenue_08">#REF!</definedName>
    <definedName name="net_revenue_94">#REF!</definedName>
    <definedName name="Net_Revenues">#REF!</definedName>
    <definedName name="Net_sales">#REF!</definedName>
    <definedName name="Net_sales_DCF">#REF!</definedName>
    <definedName name="Net_sales_fore">#REF!</definedName>
    <definedName name="Net_sales_growth_fore">#REF!</definedName>
    <definedName name="Net_Tangible_Fixed_Assets">#REF!</definedName>
    <definedName name="Net_Tax_Benefit_of_Non_Op_Charges_Gains">#REF!</definedName>
    <definedName name="Net_Unrealized_Gains_Losses">#REF!</definedName>
    <definedName name="Net_working_capital">#REF!</definedName>
    <definedName name="Net_working_capital_DCF">#REF!</definedName>
    <definedName name="Net_Working_Capital_Inflation">#REF!</definedName>
    <definedName name="Net_working_capital_turns">#REF!</definedName>
    <definedName name="Net_working_capital_turns_DCF">#REF!</definedName>
    <definedName name="Net00">#REF!</definedName>
    <definedName name="netcash99">#REF!</definedName>
    <definedName name="netdebt">#REF!</definedName>
    <definedName name="NetDebt00">#REF!</definedName>
    <definedName name="NetDebt01">#REF!</definedName>
    <definedName name="NetDebt02">#REF!</definedName>
    <definedName name="NetDebt03">#REF!</definedName>
    <definedName name="NetDebt04">#REF!</definedName>
    <definedName name="NetDebt98">#REF!</definedName>
    <definedName name="NetDebt99">#REF!</definedName>
    <definedName name="NetDebtPerShare">#REF!</definedName>
    <definedName name="NetExEqtyCons1997">#REF!</definedName>
    <definedName name="NetExEqtyCons1998">#REF!</definedName>
    <definedName name="NetExEqtyCons1999">#REF!</definedName>
    <definedName name="NetExEqtyCons2000">#REF!</definedName>
    <definedName name="NetExEqtyCons2001">#REF!</definedName>
    <definedName name="NetIncome_Lit03">#REF!</definedName>
    <definedName name="NetIncome01">#REF!</definedName>
    <definedName name="NetIncome02">#REF!</definedName>
    <definedName name="NetIncome1997">#REF!</definedName>
    <definedName name="NetIncome1998">#REF!</definedName>
    <definedName name="NetIncome1999">#REF!</definedName>
    <definedName name="NetIncome2000">#REF!</definedName>
    <definedName name="NetIncome2001">#REF!</definedName>
    <definedName name="NetIncome96">#REF!</definedName>
    <definedName name="NetIncomeExEqtyAssets1997">#REF!</definedName>
    <definedName name="NetIncomeExEqtyAssets1998">#REF!</definedName>
    <definedName name="NetIncomeExEqtyAssets1999">#REF!</definedName>
    <definedName name="NetIncomeExEqtyAssets2000">#REF!</definedName>
    <definedName name="NetIncomeExEqtyAssets2001">#REF!</definedName>
    <definedName name="netint">#REF!</definedName>
    <definedName name="NetLit03">#REF!</definedName>
    <definedName name="NetLit04">#REF!</definedName>
    <definedName name="NetWC_turns_fore">#REF!</definedName>
    <definedName name="NETWORKING">#REF!</definedName>
    <definedName name="New_Customers">#REF!</definedName>
    <definedName name="NEW_GROWTH">#REF!</definedName>
    <definedName name="New_Options_Granted">#REF!</definedName>
    <definedName name="newbel" hidden="1">{"IS",#N/A,FALSE,"IS";"RPTIS",#N/A,FALSE,"RPTIS";"STATS",#N/A,FALSE,"STATS";"CELL",#N/A,FALSE,"CELL";"BS",#N/A,FALSE,"BS"}</definedName>
    <definedName name="Newmaterial">#REF!</definedName>
    <definedName name="NewRange" hidden="1">#REF!</definedName>
    <definedName name="NEWSPAPERS">#REF!</definedName>
    <definedName name="next">#REF!</definedName>
    <definedName name="next_earnings_release_date">#REF!</definedName>
    <definedName name="Next_Event">#REF!</definedName>
    <definedName name="Next_Event_Type">#REF!</definedName>
    <definedName name="next_qtr_eps">#REF!</definedName>
    <definedName name="next_qtr_rev">#REF!</definedName>
    <definedName name="next_results_type">#REF!</definedName>
    <definedName name="NextButton">"Button 18"</definedName>
    <definedName name="nextq">#REF!</definedName>
    <definedName name="nextqy">#REF!</definedName>
    <definedName name="NIBCLs">#REF!</definedName>
    <definedName name="nio_96">#REF!</definedName>
    <definedName name="nio_97">#REF!</definedName>
    <definedName name="nio_98">#REF!</definedName>
    <definedName name="NIS">#REF!</definedName>
    <definedName name="No_Options_Exercised">#REF!</definedName>
    <definedName name="no_shares">#REF!</definedName>
    <definedName name="No_Shares_Repurchased">#REF!</definedName>
    <definedName name="nokavg">#REF!</definedName>
    <definedName name="nokavgffq">#REF!</definedName>
    <definedName name="nokchg">#REF!</definedName>
    <definedName name="nokcurr">#REF!</definedName>
    <definedName name="nokcurrffq">#REF!</definedName>
    <definedName name="nokpegrelavg">#REF!</definedName>
    <definedName name="nokpegrelcurr">#REF!</definedName>
    <definedName name="nokpegrowthavg">#REF!</definedName>
    <definedName name="nokpegrowthcurr">#REF!</definedName>
    <definedName name="nokshares">#REF!</definedName>
    <definedName name="NOL">#REF!</definedName>
    <definedName name="Non_Recurring_loss_gain">#REF!</definedName>
    <definedName name="NonTVRev96">#REF!</definedName>
    <definedName name="NonTVRev97">#REF!</definedName>
    <definedName name="NonTVRev98">#REF!</definedName>
    <definedName name="NOPAT">#REF!</definedName>
    <definedName name="NOPAT_DCF">#REF!</definedName>
    <definedName name="NOPAT_fore">#REF!</definedName>
    <definedName name="NOPAT_growth">#REF!</definedName>
    <definedName name="NOPAT_growth_avg">#REF!</definedName>
    <definedName name="NOPAT_margin">#REF!</definedName>
    <definedName name="NOPAT_margin_fore">#REF!</definedName>
    <definedName name="NOPAT_Share">#REF!</definedName>
    <definedName name="NOPBT">#REF!</definedName>
    <definedName name="NOPBT_fore">#REF!</definedName>
    <definedName name="Norm_forecast_11_15">#REF!</definedName>
    <definedName name="Norm_forecast_16_25">#REF!</definedName>
    <definedName name="Norm_forecast_4_5">#REF!</definedName>
    <definedName name="Norm_forecast_6_10">#REF!</definedName>
    <definedName name="Normal" hidden="1">{"Annual_Income",#N/A,FALSE,"Report Page";"Balance_Cash_Flow",#N/A,FALSE,"Report Page";"Quarterly_Income",#N/A,FALSE,"Report Page"}</definedName>
    <definedName name="North_American_Revenues">#REF!</definedName>
    <definedName name="Notes">#REF!</definedName>
    <definedName name="Notes1">#REF!</definedName>
    <definedName name="NPT_1">#REF!</definedName>
    <definedName name="NPT_10">#REF!</definedName>
    <definedName name="NPT_11">#REF!</definedName>
    <definedName name="NPT_12">#REF!</definedName>
    <definedName name="NPT_13">#REF!</definedName>
    <definedName name="NPT_14">#REF!</definedName>
    <definedName name="NPT_2">#REF!</definedName>
    <definedName name="NPT_3">#REF!</definedName>
    <definedName name="NPT_4">#REF!</definedName>
    <definedName name="NPT_5">#REF!</definedName>
    <definedName name="NPT_6">#REF!</definedName>
    <definedName name="NPT_7">#REF!</definedName>
    <definedName name="NPT_8">#REF!</definedName>
    <definedName name="NPT_9">#REF!</definedName>
    <definedName name="NPT_EY1">#REF!</definedName>
    <definedName name="NPT_EY2">#REF!</definedName>
    <definedName name="NPT_EY3">#REF!</definedName>
    <definedName name="NPT_P">#REF!</definedName>
    <definedName name="NPV_calc">#REF!</definedName>
    <definedName name="ntavg">#REF!</definedName>
    <definedName name="ntavgffq">#REF!</definedName>
    <definedName name="ntchg">#REF!</definedName>
    <definedName name="ntcurr">#REF!</definedName>
    <definedName name="ntcurrffq">#REF!</definedName>
    <definedName name="ntpegrelavg">#REF!</definedName>
    <definedName name="ntpegrelcurr">#REF!</definedName>
    <definedName name="ntpegrowthavg">#REF!</definedName>
    <definedName name="ntpegrowthcurr">#REF!</definedName>
    <definedName name="ntroavg">#REF!</definedName>
    <definedName name="ntroavgffq">#REF!</definedName>
    <definedName name="ntrochg">#REF!</definedName>
    <definedName name="ntrocurr">#REF!</definedName>
    <definedName name="ntrocurrffq">#REF!</definedName>
    <definedName name="ntropegrelavg">#REF!</definedName>
    <definedName name="ntropegrelcurr">#REF!</definedName>
    <definedName name="ntropegrowthavg">#REF!</definedName>
    <definedName name="ntropegrowthcurr">#REF!</definedName>
    <definedName name="ntshares">#REF!</definedName>
    <definedName name="NUFO_1Pager">#REF!</definedName>
    <definedName name="Number_of_Shares">#REF!</definedName>
    <definedName name="NumberArea">#REF!</definedName>
    <definedName name="NvsASD">"V2000-06-30"</definedName>
    <definedName name="NvsAutoDrillOk">"VN"</definedName>
    <definedName name="NvsElapsedTime">0.0000983796271611936</definedName>
    <definedName name="NvsEndTime">36761.3950292824</definedName>
    <definedName name="NvsInstSpec">"%,FBUSINESS_UNIT,TBUSUNIT_ROLLUP,NINTRALINKS,FCURRENCY_CD,VUSD"</definedName>
    <definedName name="NvsLayoutType">"M3"</definedName>
    <definedName name="NvsNplSpec">"%,X,RZF..,CZF.."</definedName>
    <definedName name="NvsPanelEffdt">"V1900-01-01"</definedName>
    <definedName name="NvsPanelSetid">"VCORP1"</definedName>
    <definedName name="NvsReqBU">"VCORP1"</definedName>
    <definedName name="NvsReqBUOnly">"VN"</definedName>
    <definedName name="NvsSheetType">"M"</definedName>
    <definedName name="NvsTransLed">"VN"</definedName>
    <definedName name="NvsTreeASD">"V2000-06-30"</definedName>
    <definedName name="NvsValTbl.ACCOUNT">"GL_ACCOUNT_TBL"</definedName>
    <definedName name="nwacprice">#REF!</definedName>
    <definedName name="nwacshares">#REF!</definedName>
    <definedName name="nxtvavg">#REF!</definedName>
    <definedName name="nxtvavgffq">#REF!</definedName>
    <definedName name="nxtvchg">#REF!</definedName>
    <definedName name="nxtvcurr">#REF!</definedName>
    <definedName name="nxtvcurrffq">#REF!</definedName>
    <definedName name="nxtvpegrelavg">#REF!</definedName>
    <definedName name="nxtvpegrelcurr">#REF!</definedName>
    <definedName name="nxtvpegrowthavg">#REF!</definedName>
    <definedName name="nxtvpegrowthcurr">#REF!</definedName>
    <definedName name="oakavg">#REF!</definedName>
    <definedName name="oakchg">#REF!</definedName>
    <definedName name="oakcrpe">#REF!</definedName>
    <definedName name="oakcurr">#REF!</definedName>
    <definedName name="oakdate">#REF!</definedName>
    <definedName name="oakdown">#REF!</definedName>
    <definedName name="oakdownsup">#REF!</definedName>
    <definedName name="oakevebitda">#REF!</definedName>
    <definedName name="oakffqpeavg">#REF!</definedName>
    <definedName name="oakffqpecurr">#REF!</definedName>
    <definedName name="oakfy1cons">#REF!</definedName>
    <definedName name="oakfy2cons">#REF!</definedName>
    <definedName name="oakhi">#REF!</definedName>
    <definedName name="oakhilo">#REF!</definedName>
    <definedName name="oaklow">#REF!</definedName>
    <definedName name="oakmktcap">#REF!</definedName>
    <definedName name="oakpe1">#REF!</definedName>
    <definedName name="oakpe2">#REF!</definedName>
    <definedName name="oakpegrowthavg">#REF!</definedName>
    <definedName name="oakpegrowthcurr">#REF!</definedName>
    <definedName name="oakpegrowthhi">#REF!</definedName>
    <definedName name="oakpegrowthlow">#REF!</definedName>
    <definedName name="oakperelavg">#REF!</definedName>
    <definedName name="oakperelcurr">#REF!</definedName>
    <definedName name="oakprice">#REF!</definedName>
    <definedName name="oakrating">#REF!</definedName>
    <definedName name="oakrpe">#REF!</definedName>
    <definedName name="oakshares">#REF!</definedName>
    <definedName name="oaktprice">#REF!</definedName>
    <definedName name="oakttmavg">#REF!</definedName>
    <definedName name="oakttmcurr">#REF!</definedName>
    <definedName name="oakttmhi">#REF!</definedName>
    <definedName name="oakttmlow">#REF!</definedName>
    <definedName name="oakttmrelavg">#REF!</definedName>
    <definedName name="oakttmrelcurr">#REF!</definedName>
    <definedName name="oakttmrelhi">#REF!</definedName>
    <definedName name="oakttmrellow">#REF!</definedName>
    <definedName name="oakup">#REF!</definedName>
    <definedName name="oakupsup">#REF!</definedName>
    <definedName name="oakvol">#REF!</definedName>
    <definedName name="oakyield">#REF!</definedName>
    <definedName name="OEMDist">#REF!</definedName>
    <definedName name="OEMrev">#REF!</definedName>
    <definedName name="Off_B_S_Income">#REF!</definedName>
    <definedName name="Off_B_S_Income_DCF">#REF!</definedName>
    <definedName name="Off_B_S_Income_fore">#REF!</definedName>
    <definedName name="Off_B_S_Income_growth_fore">#REF!</definedName>
    <definedName name="Off_High_Cov">#REF!</definedName>
    <definedName name="offpr">#REF!</definedName>
    <definedName name="OFFSETREF">#REF!</definedName>
    <definedName name="OIM">#REF!</definedName>
    <definedName name="OL_1">#REF!</definedName>
    <definedName name="OL_10">#REF!</definedName>
    <definedName name="OL_11">#REF!</definedName>
    <definedName name="OL_12">#REF!</definedName>
    <definedName name="OL_13">#REF!</definedName>
    <definedName name="OL_14">#REF!</definedName>
    <definedName name="OL_2">#REF!</definedName>
    <definedName name="OL_3">#REF!</definedName>
    <definedName name="OL_4">#REF!</definedName>
    <definedName name="OL_5">#REF!</definedName>
    <definedName name="OL_6">#REF!</definedName>
    <definedName name="OL_7">#REF!</definedName>
    <definedName name="OL_8">#REF!</definedName>
    <definedName name="OL_9">#REF!</definedName>
    <definedName name="OL_P">#REF!</definedName>
    <definedName name="ONIS_BS">#REF!</definedName>
    <definedName name="ONIS_CF">#REF!</definedName>
    <definedName name="ONIS_IS">#REF!</definedName>
    <definedName name="OP_CF_GROWTH_RATE">#REF!</definedName>
    <definedName name="OP_CF_YIELD">#REF!</definedName>
    <definedName name="opcagr">#REF!</definedName>
    <definedName name="opcfnetinc">#REF!</definedName>
    <definedName name="Oper_Inc">#REF!</definedName>
    <definedName name="Operating_Expenses">#REF!</definedName>
    <definedName name="Operating_Free_Cash_Flow">#REF!</definedName>
    <definedName name="Operating_income">#REF!</definedName>
    <definedName name="Operating_Income_Division_1">#REF!</definedName>
    <definedName name="Operating_Income_Division_2">#REF!</definedName>
    <definedName name="Operating_Income_Division_3">#REF!</definedName>
    <definedName name="Operating_Income_Division_4">#REF!</definedName>
    <definedName name="Operating_Income_Division_5">#REF!</definedName>
    <definedName name="Operating_Income_Division_6">#REF!</definedName>
    <definedName name="Operating_income_fore">#REF!</definedName>
    <definedName name="Operating_Lease_Expense">#REF!</definedName>
    <definedName name="Operating_Lease_Expense_fore">#REF!</definedName>
    <definedName name="OperatingMargin">#REF!</definedName>
    <definedName name="Opex">#REF!</definedName>
    <definedName name="opexp">#REF!</definedName>
    <definedName name="opinc">#REF!</definedName>
    <definedName name="OPM">#REF!</definedName>
    <definedName name="opm00">#REF!</definedName>
    <definedName name="opmargin">#REF!</definedName>
    <definedName name="Option_Expiry_Period">#REF!</definedName>
    <definedName name="Options">#REF!</definedName>
    <definedName name="Options_Forfeited_Employee_Termination">#REF!</definedName>
    <definedName name="Options_Outstanding">#REF!</definedName>
    <definedName name="ORA_AdjustedEV">#REF!</definedName>
    <definedName name="ORA_AssociatesMinorities">#REF!</definedName>
    <definedName name="ORA_UnleveredFCF">#REF!</definedName>
    <definedName name="Oracle">#REF!</definedName>
    <definedName name="Oracle_geography">#REF!</definedName>
    <definedName name="Oracle_License_Chart">#REF!</definedName>
    <definedName name="ORCL">#REF!</definedName>
    <definedName name="ORCL_LargeDealSize">#REF!</definedName>
    <definedName name="ORCL_ProductPricing">#REF!</definedName>
    <definedName name="orctfy1cons">#REF!</definedName>
    <definedName name="orctfy2cons">#REF!</definedName>
    <definedName name="orcthi">#REF!</definedName>
    <definedName name="orctlow">#REF!</definedName>
    <definedName name="orctpegrowthavg">#REF!</definedName>
    <definedName name="orctpegrowthcurr">#REF!</definedName>
    <definedName name="orctpegrowthhi">#REF!</definedName>
    <definedName name="orctpegrowthlow">#REF!</definedName>
    <definedName name="orctprice">#REF!</definedName>
    <definedName name="orctshares">#REF!</definedName>
    <definedName name="orctttmavg">#REF!</definedName>
    <definedName name="orctttmcurr">#REF!</definedName>
    <definedName name="orctttmhi">#REF!</definedName>
    <definedName name="orctttmlow">#REF!</definedName>
    <definedName name="orctttmrelavg">#REF!</definedName>
    <definedName name="orctttmrelcurr">#REF!</definedName>
    <definedName name="orctttmrelhi">#REF!</definedName>
    <definedName name="orctttmrellow">#REF!</definedName>
    <definedName name="ord_price">#REF!</definedName>
    <definedName name="ord_shares">#REF!</definedName>
    <definedName name="ord_shares99">#REF!</definedName>
    <definedName name="ord_target99">#REF!</definedName>
    <definedName name="orddiv_99">#REF!</definedName>
    <definedName name="ordersBacklog">#REF!</definedName>
    <definedName name="ortlavg">#REF!</definedName>
    <definedName name="ortlchg">#REF!</definedName>
    <definedName name="ortlcrpe">#REF!</definedName>
    <definedName name="ortlcurr">#REF!</definedName>
    <definedName name="ortldown">#REF!</definedName>
    <definedName name="ortldownsup">#REF!</definedName>
    <definedName name="ortleps98">#REF!</definedName>
    <definedName name="ortleps99">#REF!</definedName>
    <definedName name="ortlfy1cons">#REF!</definedName>
    <definedName name="ortlfy2cons">#REF!</definedName>
    <definedName name="ortlhi">#REF!</definedName>
    <definedName name="ortlhilo">#REF!</definedName>
    <definedName name="ortllow">#REF!</definedName>
    <definedName name="ortlmktcap">#REF!</definedName>
    <definedName name="ortlpegrowthavg">#REF!</definedName>
    <definedName name="ortlpegrowthcurr">#REF!</definedName>
    <definedName name="ortlpegrowthhi">#REF!</definedName>
    <definedName name="ortlpegrowthlow">#REF!</definedName>
    <definedName name="ortlprice">#REF!</definedName>
    <definedName name="ortlrpe">#REF!</definedName>
    <definedName name="ortlshares">#REF!</definedName>
    <definedName name="ortltprice">#REF!</definedName>
    <definedName name="ortlttmavg">#REF!</definedName>
    <definedName name="ortlttmcurr">#REF!</definedName>
    <definedName name="ortlttmhi">#REF!</definedName>
    <definedName name="ortlttmlow">#REF!</definedName>
    <definedName name="ortlttmrelavg">#REF!</definedName>
    <definedName name="ortlttmrelcurr">#REF!</definedName>
    <definedName name="ortlttmrelhi">#REF!</definedName>
    <definedName name="ortlttmrellow">#REF!</definedName>
    <definedName name="ortlup">#REF!</definedName>
    <definedName name="ortlupsup">#REF!</definedName>
    <definedName name="ortlvol">#REF!</definedName>
    <definedName name="ortlyield">#REF!</definedName>
    <definedName name="oth_inv">#REF!</definedName>
    <definedName name="OTHER">#REF!</definedName>
    <definedName name="Other_asset_turns">#REF!</definedName>
    <definedName name="Other_asset_turns_DCF">#REF!</definedName>
    <definedName name="Other_asset_turns_fore">#REF!</definedName>
    <definedName name="Other_assets">#REF!</definedName>
    <definedName name="Other_assets_DCF">#REF!</definedName>
    <definedName name="Other_Assets2">#REF!</definedName>
    <definedName name="Other_Cash_Flow">#REF!</definedName>
    <definedName name="Other_Cash_From_Financing">#REF!</definedName>
    <definedName name="Other_current_assets">#REF!</definedName>
    <definedName name="Other_current_assets_growth_fore">#REF!</definedName>
    <definedName name="Other_Current_Assets2">#REF!</definedName>
    <definedName name="Other_current_liabilities">#REF!</definedName>
    <definedName name="Other_current_liabilities_growth_fore">#REF!</definedName>
    <definedName name="Other_Current_Liabilities2">#REF!</definedName>
    <definedName name="Other_DCF">#REF!</definedName>
    <definedName name="Other_dividends">#REF!</definedName>
    <definedName name="Other_Expenses">#REF!</definedName>
    <definedName name="Other_Expenses_fore">#REF!</definedName>
    <definedName name="Other_expenses_gains">#REF!</definedName>
    <definedName name="Other_expenses_gains_fore">#REF!</definedName>
    <definedName name="Other_expenses_growth_fore">#REF!</definedName>
    <definedName name="Other_fixed_asset_turns">#REF!</definedName>
    <definedName name="Other_fixed_asset_turns_fore">#REF!</definedName>
    <definedName name="Other_fixed_assets">#REF!</definedName>
    <definedName name="Other_fixed_assets_growth_fore">#REF!</definedName>
    <definedName name="Other_fixed_assets2">#REF!</definedName>
    <definedName name="Other_growth_fore">#REF!</definedName>
    <definedName name="Other_inc_exp_fore">#REF!</definedName>
    <definedName name="Other_Income">#REF!</definedName>
    <definedName name="Other_income_growth_fore">#REF!</definedName>
    <definedName name="Other_Intangible_Assets">#REF!</definedName>
    <definedName name="Other_Investment">#REF!</definedName>
    <definedName name="Other_Item_1">#REF!</definedName>
    <definedName name="Other_Item_10">#REF!</definedName>
    <definedName name="Other_Item_11">#REF!</definedName>
    <definedName name="Other_Item_12">#REF!</definedName>
    <definedName name="Other_Item_13">#REF!</definedName>
    <definedName name="Other_Item_14">#REF!</definedName>
    <definedName name="Other_Item_15">#REF!</definedName>
    <definedName name="Other_Item_16">#REF!</definedName>
    <definedName name="Other_Item_2">#REF!</definedName>
    <definedName name="Other_Item_3">#REF!</definedName>
    <definedName name="Other_Item_4">#REF!</definedName>
    <definedName name="Other_Item_5">#REF!</definedName>
    <definedName name="Other_Item_6">#REF!</definedName>
    <definedName name="Other_Item_7">#REF!</definedName>
    <definedName name="Other_Item_8">#REF!</definedName>
    <definedName name="Other_Item_9">#REF!</definedName>
    <definedName name="Other_liabilities">#REF!</definedName>
    <definedName name="Other_liabilities_growth_fore">#REF!</definedName>
    <definedName name="Other_liabilities2">#REF!</definedName>
    <definedName name="Other_Long_Term_Liabilities">#REF!</definedName>
    <definedName name="Other_LT_Debt">#REF!</definedName>
    <definedName name="Other_ncome_expenses">#REF!</definedName>
    <definedName name="other_Progcost_96">#REF!</definedName>
    <definedName name="Other_progcost_97">#REF!</definedName>
    <definedName name="Other_progcost_98">#REF!</definedName>
    <definedName name="Other_reserves">#REF!</definedName>
    <definedName name="Other_Segment_Revenues">#REF!</definedName>
    <definedName name="Other_ST_Debt">#REF!</definedName>
    <definedName name="Other1">#REF!</definedName>
    <definedName name="othernet">#REF!</definedName>
    <definedName name="OtherPCShipRank">#REF!</definedName>
    <definedName name="OtherPhoneShipRank">#REF!</definedName>
    <definedName name="otherrev">#REF!</definedName>
    <definedName name="Otherrev_96">#REF!</definedName>
    <definedName name="Otherrev97">#REF!</definedName>
    <definedName name="Otherrev98">#REF!</definedName>
    <definedName name="OtherUMTShipRank">#REF!</definedName>
    <definedName name="otto_ord">#REF!</definedName>
    <definedName name="otto_sav">#REF!</definedName>
    <definedName name="p" hidden="1">{"External_Annual_Income",#N/A,FALSE,"External";"External_Quarterly_Income",#N/A,FALSE,"External"}</definedName>
    <definedName name="p_am_good">#REF!</definedName>
    <definedName name="p_cost_of_sales">#REF!</definedName>
    <definedName name="p_ebit">#REF!</definedName>
    <definedName name="p_exep_items">#REF!</definedName>
    <definedName name="p_extr_items">#REF!</definedName>
    <definedName name="p_gross_profit">#REF!</definedName>
    <definedName name="P_Income1">#REF!</definedName>
    <definedName name="P_Income2">#REF!</definedName>
    <definedName name="p_interest">#REF!</definedName>
    <definedName name="p_min_intr">#REF!</definedName>
    <definedName name="p_n_op_prof">#REF!</definedName>
    <definedName name="p_net_prof">#REF!</definedName>
    <definedName name="p_net_sales">#REF!</definedName>
    <definedName name="p_op_prof">#REF!</definedName>
    <definedName name="p_oth_op_inc">#REF!</definedName>
    <definedName name="P_PL_BS">#REF!,#REF!</definedName>
    <definedName name="p_pre_tax_prof">#REF!</definedName>
    <definedName name="P_Product">#REF!</definedName>
    <definedName name="p_tax">#REF!</definedName>
    <definedName name="p_tax_percent">#REF!</definedName>
    <definedName name="P_Tear">#REF!</definedName>
    <definedName name="PACIFIC_NET">#REF!,#REF!,#REF!</definedName>
    <definedName name="Page1">#REF!</definedName>
    <definedName name="Page12">#REF!</definedName>
    <definedName name="Page2">#REF!</definedName>
    <definedName name="pairavg">#REF!</definedName>
    <definedName name="pairchg">#REF!</definedName>
    <definedName name="paircurr">#REF!</definedName>
    <definedName name="pairfy1cons">#REF!</definedName>
    <definedName name="pairfy2cons">#REF!</definedName>
    <definedName name="pairhi">#REF!</definedName>
    <definedName name="pairlow">#REF!</definedName>
    <definedName name="pairpegrowthavg">#REF!</definedName>
    <definedName name="pairpegrowthcurr">#REF!</definedName>
    <definedName name="pairpegrowthhi">#REF!</definedName>
    <definedName name="pairpegrowthlow">#REF!</definedName>
    <definedName name="pairprice">#REF!</definedName>
    <definedName name="pairshares">#REF!</definedName>
    <definedName name="pairttmavg">#REF!</definedName>
    <definedName name="pairttmcurr">#REF!</definedName>
    <definedName name="pairttmhi">#REF!</definedName>
    <definedName name="pairttmlow">#REF!</definedName>
    <definedName name="pairttmrelavg">#REF!</definedName>
    <definedName name="pairttmrelcurr">#REF!</definedName>
    <definedName name="pairttmrelhi">#REF!</definedName>
    <definedName name="pairttmrellow">#REF!</definedName>
    <definedName name="panamprice">#REF!</definedName>
    <definedName name="panamshares">#REF!</definedName>
    <definedName name="PANr_AdjustedEV">#REF!</definedName>
    <definedName name="PANr_AssociatesMinorities">#REF!</definedName>
    <definedName name="PANr_UnleveredFCF">#REF!</definedName>
    <definedName name="Partial_year">#REF!</definedName>
    <definedName name="passrev">#REF!</definedName>
    <definedName name="Paste1">#REF!</definedName>
    <definedName name="Paste2">#REF!</definedName>
    <definedName name="Paste3">#REF!</definedName>
    <definedName name="Paste4">#REF!</definedName>
    <definedName name="Paste5">#REF!</definedName>
    <definedName name="Paste6">#REF!</definedName>
    <definedName name="Paste7">#REF!</definedName>
    <definedName name="Paste8">#REF!</definedName>
    <definedName name="PAT_1Q98">#REF!</definedName>
    <definedName name="Payout_ratio_on_underlying">#REF!</definedName>
    <definedName name="pb_fee_comm">#REF!</definedName>
    <definedName name="pb_loan_loss_prov">#REF!</definedName>
    <definedName name="pb_tot_inc_banks">#REF!</definedName>
    <definedName name="pb_trad_inc">#REF!</definedName>
    <definedName name="pb_wd_sec">#REF!</definedName>
    <definedName name="PCS_share_price">#REF!</definedName>
    <definedName name="PCShipmentsPivot">#REF!</definedName>
    <definedName name="PCShipPosToRank">#REF!</definedName>
    <definedName name="PCVendorShipmentsList">#REF!</definedName>
    <definedName name="pdyncurr">#REF!</definedName>
    <definedName name="pdyncurrffq">#REF!</definedName>
    <definedName name="pdynpegrelavg">#REF!</definedName>
    <definedName name="pdynpegrelcurr">#REF!</definedName>
    <definedName name="pdynpegrowthavg">#REF!</definedName>
    <definedName name="pdynpegrowthcurr">#REF!</definedName>
    <definedName name="PE_2004">#REF!</definedName>
    <definedName name="PE_2005">#REF!</definedName>
    <definedName name="PE_2006">#REF!</definedName>
    <definedName name="peganic">#REF!</definedName>
    <definedName name="pegapcc">#REF!</definedName>
    <definedName name="pegaph">#REF!</definedName>
    <definedName name="pegarw">#REF!</definedName>
    <definedName name="pegatsn">#REF!</definedName>
    <definedName name="pegavt">#REF!</definedName>
    <definedName name="pegavx">#REF!</definedName>
    <definedName name="pegaxe">#REF!</definedName>
    <definedName name="pegbwc">#REF!</definedName>
    <definedName name="pegcdt">#REF!</definedName>
    <definedName name="pegcls">#REF!</definedName>
    <definedName name="pegctv">#REF!</definedName>
    <definedName name="pegetek">#REF!</definedName>
    <definedName name="pegflex">#REF!</definedName>
    <definedName name="peggcn">#REF!</definedName>
    <definedName name="pegglw">#REF!</definedName>
    <definedName name="pegjbl">#REF!</definedName>
    <definedName name="pegjds">#REF!</definedName>
    <definedName name="pegjdsu">#REF!</definedName>
    <definedName name="pegkmet">#REF!</definedName>
    <definedName name="pegknt">#REF!</definedName>
    <definedName name="pegmetha">#REF!</definedName>
    <definedName name="pegmi">#REF!</definedName>
    <definedName name="pegmolx">#REF!</definedName>
    <definedName name="pegoak">#REF!</definedName>
    <definedName name="pegortl">#REF!</definedName>
    <definedName name="pegryc">#REF!</definedName>
    <definedName name="pegsanm">#REF!</definedName>
    <definedName name="pegsci">#REF!</definedName>
    <definedName name="pegsdli">#REF!</definedName>
    <definedName name="pegslr">#REF!</definedName>
    <definedName name="pegsmod">#REF!</definedName>
    <definedName name="pegsut">#REF!</definedName>
    <definedName name="pegtnb">#REF!</definedName>
    <definedName name="pegunph">#REF!</definedName>
    <definedName name="pegvsh">#REF!</definedName>
    <definedName name="Penetration">#REF!</definedName>
    <definedName name="Pension_Provisions_Etc">#REF!</definedName>
    <definedName name="Peoplesoft__Inc.">#REF!</definedName>
    <definedName name="percent_change">#REF!</definedName>
    <definedName name="Percent_Employees_Eligible_For_Options">#REF!</definedName>
    <definedName name="Percent_Impact_FX_On_Earnings">#REF!</definedName>
    <definedName name="Percent_Impact_FX_On_Revenues">#REF!</definedName>
    <definedName name="percent_of_revenue">IF(ISBLANK(#REF!),"          NM",#REF!/#REF!)</definedName>
    <definedName name="PERCENT90_91">#REF!</definedName>
    <definedName name="Perf_97">#REF!</definedName>
    <definedName name="Perf_98">#REF!</definedName>
    <definedName name="Perf_99">#REF!</definedName>
    <definedName name="Performance">#REF!</definedName>
    <definedName name="Peripheral_Assets">#REF!</definedName>
    <definedName name="perpetmax">#REF!</definedName>
    <definedName name="perpetmed">#REF!</definedName>
    <definedName name="perpetmin">#REF!</definedName>
    <definedName name="Personnel96">#REF!</definedName>
    <definedName name="Personnel97">#REF!</definedName>
    <definedName name="pertax98">#REF!</definedName>
    <definedName name="PETicker">#REF!</definedName>
    <definedName name="PFPRICE">#REF!</definedName>
    <definedName name="PFPRICE2">#REF!</definedName>
    <definedName name="PG1_D">#REF!</definedName>
    <definedName name="PG1_S">#REF!</definedName>
    <definedName name="PG10_D">#REF!</definedName>
    <definedName name="PG10_S">#REF!</definedName>
    <definedName name="PG11A_S">#REF!</definedName>
    <definedName name="PG11B_S">#REF!</definedName>
    <definedName name="PG12_S">#REF!</definedName>
    <definedName name="PG13_S">#REF!</definedName>
    <definedName name="PG14_D">#REF!</definedName>
    <definedName name="PG14_O">#REF!</definedName>
    <definedName name="PG14_S">#REF!</definedName>
    <definedName name="PG15A_S">#REF!</definedName>
    <definedName name="PG15B_S">#REF!</definedName>
    <definedName name="PG16A_S">#REF!</definedName>
    <definedName name="PG16B_S">#REF!</definedName>
    <definedName name="PG17A_S">#REF!</definedName>
    <definedName name="PG17B_S">#REF!</definedName>
    <definedName name="PG18_S">#REF!</definedName>
    <definedName name="PG19_D">#REF!</definedName>
    <definedName name="PG19_O">#REF!</definedName>
    <definedName name="PG19_S">#REF!</definedName>
    <definedName name="PG2_D">#REF!</definedName>
    <definedName name="PG2_S">#REF!</definedName>
    <definedName name="PG20_D">#REF!</definedName>
    <definedName name="PG20_S">#REF!</definedName>
    <definedName name="PG21_D">#REF!</definedName>
    <definedName name="PG21_S">#REF!</definedName>
    <definedName name="PG22_D">#REF!</definedName>
    <definedName name="PG22_S">#REF!</definedName>
    <definedName name="PG23_D">#REF!</definedName>
    <definedName name="PG23_O">#REF!</definedName>
    <definedName name="PG23_S">#REF!</definedName>
    <definedName name="PG24_D">#REF!</definedName>
    <definedName name="PG24_O">#REF!</definedName>
    <definedName name="PG24_S">#REF!</definedName>
    <definedName name="PG25_D">#REF!</definedName>
    <definedName name="PG25_O">#REF!</definedName>
    <definedName name="PG25_S">#REF!</definedName>
    <definedName name="PG26_D">#REF!</definedName>
    <definedName name="PG26_O">#REF!</definedName>
    <definedName name="PG26_S">#REF!</definedName>
    <definedName name="PG27_O">#REF!</definedName>
    <definedName name="PG27_S">#REF!</definedName>
    <definedName name="PG28_D">#REF!</definedName>
    <definedName name="PG28_S">#REF!</definedName>
    <definedName name="PG29_D">#REF!</definedName>
    <definedName name="PG29_S">#REF!</definedName>
    <definedName name="PG3_D">#REF!</definedName>
    <definedName name="PG3_S">#REF!</definedName>
    <definedName name="PG30_D">#REF!</definedName>
    <definedName name="PG30_S">#REF!</definedName>
    <definedName name="PG31_D">#REF!</definedName>
    <definedName name="PG31_S">#REF!</definedName>
    <definedName name="PG32_S">#REF!</definedName>
    <definedName name="PG33_D">#REF!</definedName>
    <definedName name="PG33_O">#REF!</definedName>
    <definedName name="PG33_S">#REF!</definedName>
    <definedName name="PG34_O">#REF!</definedName>
    <definedName name="PG34_S">#REF!</definedName>
    <definedName name="PG35_0">#REF!</definedName>
    <definedName name="PG35_O">#REF!</definedName>
    <definedName name="PG35_S">#REF!</definedName>
    <definedName name="PG4_D">#REF!</definedName>
    <definedName name="PG4_S">#REF!</definedName>
    <definedName name="PG5_D">#REF!</definedName>
    <definedName name="PG5_S">#REF!</definedName>
    <definedName name="PG6_D">#REF!</definedName>
    <definedName name="PG6_S">#REF!</definedName>
    <definedName name="PG7_D">#REF!</definedName>
    <definedName name="PG7_S">#REF!</definedName>
    <definedName name="PG8_O">#REF!</definedName>
    <definedName name="PG8_S">#REF!</definedName>
    <definedName name="PG9A_S">#REF!</definedName>
    <definedName name="PG9B_S">#REF!</definedName>
    <definedName name="PGEX_5YRGROWTH">#REF!</definedName>
    <definedName name="PH_email">"phuang@isigrp.com"</definedName>
    <definedName name="PH_phone">"(212) 446-9467"</definedName>
    <definedName name="Philadelphia_Add">#REF!</definedName>
    <definedName name="PhoneShipmentsPivot">#REF!</definedName>
    <definedName name="PhoneShipPosToRank">#REF!</definedName>
    <definedName name="PhoneVendorShipmentList">#REF!</definedName>
    <definedName name="pi_inv_inc">#REF!</definedName>
    <definedName name="pi_life_prof">#REF!</definedName>
    <definedName name="pi_nl_claims">#REF!</definedName>
    <definedName name="pi_nl_prem_inc">#REF!</definedName>
    <definedName name="pi_nl_prof">#REF!</definedName>
    <definedName name="pi_nl_uw_res">#REF!</definedName>
    <definedName name="Pictur9">"Picture 9"</definedName>
    <definedName name="Picture1">"Picture 1"</definedName>
    <definedName name="Picture10">"Picture 10"</definedName>
    <definedName name="Picture11">"Picture 11"</definedName>
    <definedName name="Picture2">"Picture 2"</definedName>
    <definedName name="Picture4">"Picture 4"</definedName>
    <definedName name="Picture5">"Picture 5"</definedName>
    <definedName name="Picture6">"Picture 6"</definedName>
    <definedName name="piedmontprice">#REF!</definedName>
    <definedName name="piedmontshares">#REF!</definedName>
    <definedName name="PL">#REF!</definedName>
    <definedName name="PL_93_95">#REF!</definedName>
    <definedName name="PL_AM">#REF!</definedName>
    <definedName name="PL_BS">#REF!,#REF!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Metric">OFFSET(#REF!,0,0,COUNTA(#REF!)-1)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ant_table">#REF!</definedName>
    <definedName name="PNL_corp_ohead">#REF!</definedName>
    <definedName name="pops">#REF!</definedName>
    <definedName name="pops02">#REF!</definedName>
    <definedName name="Portable">#REF!</definedName>
    <definedName name="Post_Employment_Benefits">#REF!</definedName>
    <definedName name="Post_tax_stock_gains_losses">#REF!</definedName>
    <definedName name="PPnE_turns_fore">#REF!</definedName>
    <definedName name="PRDATA">#REF!</definedName>
    <definedName name="pre_or_net_profits">#REF!</definedName>
    <definedName name="Pre_Tax_Income">#REF!</definedName>
    <definedName name="Preference_Dividend">#REF!</definedName>
    <definedName name="Preferred_book_value">#REF!</definedName>
    <definedName name="Preferred_Dividends">#REF!</definedName>
    <definedName name="Preferred_stock">#REF!</definedName>
    <definedName name="Preferred_stock_growth_fore">#REF!</definedName>
    <definedName name="Prefix1">OFFSET(#REF!,0,0,COUNTA(#REF!)-1,1)</definedName>
    <definedName name="Prefix10">OFFSET(#REF!,0,0,COUNTA(#REF!)-1,1)</definedName>
    <definedName name="Prefix2">OFFSET(#REF!,0,0,COUNTA(#REF!)-1,1)</definedName>
    <definedName name="Prefix3">OFFSET(#REF!,0,0,COUNTA(#REF!)-1,1)</definedName>
    <definedName name="Prefix4">OFFSET(#REF!,0,0,COUNTA(#REF!)-1,1)</definedName>
    <definedName name="Prefix5">OFFSET(#REF!,0,0,COUNTA(#REF!)-1,1)</definedName>
    <definedName name="Prefix6">OFFSET(#REF!,0,0,COUNTA(#REF!)-1,1)</definedName>
    <definedName name="Prefix7">OFFSET(#REF!,0,0,COUNTA(#REF!)-1,1)</definedName>
    <definedName name="Prefix8">OFFSET(#REF!,0,0,COUNTA(#REF!)-1,1)</definedName>
    <definedName name="Prefix9">OFFSET(#REF!,0,0,COUNTA(#REF!)-1,1)</definedName>
    <definedName name="PrefixAnalyses">OFFSET(#REF!,0,0,COUNTA(#REF!)-1,1)</definedName>
    <definedName name="prefstock">#REF!</definedName>
    <definedName name="Prelim_10">#REF!</definedName>
    <definedName name="Prelim_102">#REF!</definedName>
    <definedName name="Present_Value_Oper_lease">#REF!</definedName>
    <definedName name="PresentationNormalA4">#REF!</definedName>
    <definedName name="pretax">#REF!</definedName>
    <definedName name="Pretax_income">#REF!</definedName>
    <definedName name="pretax_income_06">#REF!</definedName>
    <definedName name="PreTax_Income_Adj">#REF!</definedName>
    <definedName name="Pretax_income_fore">#REF!</definedName>
    <definedName name="pretax00">#REF!</definedName>
    <definedName name="pretax01">#REF!</definedName>
    <definedName name="pretax02">#REF!</definedName>
    <definedName name="pretax2000">#REF!</definedName>
    <definedName name="pretax2001">#REF!</definedName>
    <definedName name="pretax2002">#REF!</definedName>
    <definedName name="pretax2003">#REF!</definedName>
    <definedName name="pretax2004">#REF!</definedName>
    <definedName name="pretax98">#REF!</definedName>
    <definedName name="pretax99">#REF!</definedName>
    <definedName name="PreTaxIncome">#REF!</definedName>
    <definedName name="pretaxLit03">#REF!</definedName>
    <definedName name="pretaxLit04">#REF!</definedName>
    <definedName name="PreviousButton">"Button 19"</definedName>
    <definedName name="Pri_EPSGrowth">#REF!</definedName>
    <definedName name="pric">#REF!</definedName>
    <definedName name="price">#REF!</definedName>
    <definedName name="Price_AsAt">#REF!</definedName>
    <definedName name="price_euro">#REF!</definedName>
    <definedName name="price_history_table">#REF!</definedName>
    <definedName name="Price_Prim">#REF!</definedName>
    <definedName name="Price_Sec">#REF!</definedName>
    <definedName name="price_target_12m">#REF!</definedName>
    <definedName name="price_target_date">#REF!</definedName>
    <definedName name="Price_Tert">#REF!</definedName>
    <definedName name="pricebook">OFFSET(#REF!,0,0,COUNTA(#REF!),1)</definedName>
    <definedName name="PriceDate">#REF!</definedName>
    <definedName name="PriceRef">#REF!</definedName>
    <definedName name="PricesUsed">#REF!</definedName>
    <definedName name="priceuro">#REF!</definedName>
    <definedName name="pricext5">#REF!</definedName>
    <definedName name="PricingData">#REF!</definedName>
    <definedName name="PricingHomeCell1">#REF!</definedName>
    <definedName name="primary_source_id">#REF!</definedName>
    <definedName name="PRIMEVIEW">#REF!</definedName>
    <definedName name="PRIMTH">2</definedName>
    <definedName name="Print">#REF!</definedName>
    <definedName name="print_all_stat">#REF!,#REF!,#REF!</definedName>
    <definedName name="_xlnm.Print_Area" localSheetId="2">AMD!$EG$7:$EZ$365</definedName>
    <definedName name="_xlnm.Print_Area" localSheetId="1">Worksheet!$A$320:$GB$358</definedName>
    <definedName name="_xlnm.Print_Area">#REF!</definedName>
    <definedName name="Print_Area_MI">#REF!</definedName>
    <definedName name="print_pl">#REF!</definedName>
    <definedName name="_xlnm.Print_Titles">#REF!</definedName>
    <definedName name="PrintBS">#REF!</definedName>
    <definedName name="PrintConclusion">#REF!</definedName>
    <definedName name="PrintDCF">#REF!</definedName>
    <definedName name="PrintDCFAssumptions">#REF!</definedName>
    <definedName name="PrintDCFWorkingCap">#REF!</definedName>
    <definedName name="PrintGuideCoBS">#REF!</definedName>
    <definedName name="PrintGuideCoHistoryPage1">#REF!</definedName>
    <definedName name="PrintGuideCoHistoryPage2">#REF!</definedName>
    <definedName name="PrintGuideCoIS">#REF!</definedName>
    <definedName name="PrintGuideCoMultiples">#REF!</definedName>
    <definedName name="PrintGuideCoRatios">#REF!</definedName>
    <definedName name="PrintGuideCoValueSummary">#REF!</definedName>
    <definedName name="PrintGuideSummaryRange">#REF!</definedName>
    <definedName name="PRINTING">#REF!</definedName>
    <definedName name="PrintIS">#REF!</definedName>
    <definedName name="PrintMenu">#REF!</definedName>
    <definedName name="printrange">#REF!</definedName>
    <definedName name="PrintTab">#REF!</definedName>
    <definedName name="PrintTav">#REF!</definedName>
    <definedName name="PRIVOL">4</definedName>
    <definedName name="PRIWEEK">2</definedName>
    <definedName name="Prod.rev">#REF!</definedName>
    <definedName name="ProdPurposeSummaryPivot">#REF!</definedName>
    <definedName name="ProdTypeSummaryPivot">#REF!</definedName>
    <definedName name="ProductPricingORCL">#REF!</definedName>
    <definedName name="prof">#REF!</definedName>
    <definedName name="profitability">#REF!</definedName>
    <definedName name="ProgCosts">#REF!</definedName>
    <definedName name="progright_96">#REF!</definedName>
    <definedName name="progright_97">#REF!</definedName>
    <definedName name="progright_98">#REF!</definedName>
    <definedName name="PROINC1292">#REF!</definedName>
    <definedName name="Proj_Fin">#REF!</definedName>
    <definedName name="Promos_97">#REF!</definedName>
    <definedName name="Promos_98">#REF!</definedName>
    <definedName name="Promos_Euro97">#REF!</definedName>
    <definedName name="Promos_Euro98">#REF!</definedName>
    <definedName name="Promos_rev96">#REF!</definedName>
    <definedName name="Provisions">#REF!</definedName>
    <definedName name="PRTL_5YRGROWTH">#REF!</definedName>
    <definedName name="PSD_Period_End_Shares_In_Issue">#REF!</definedName>
    <definedName name="PSG">#REF!</definedName>
    <definedName name="PTA_X">#REF!</definedName>
    <definedName name="PTABLN_X">#REF!</definedName>
    <definedName name="pubtitle">#REF!</definedName>
    <definedName name="pubtitle3">#REF!</definedName>
    <definedName name="PV_of_Economic_Profit">#REF!</definedName>
    <definedName name="PV_of_FCF">#REF!</definedName>
    <definedName name="PV_of_Residual_Value">#REF!</definedName>
    <definedName name="PV_Oper_lease">#REF!</definedName>
    <definedName name="q">#REF!</definedName>
    <definedName name="Q.Q" hidden="1">{"Annual_Income",#N/A,FALSE,"Report Page";"Balance_Cash_Flow",#N/A,FALSE,"Report Page";"Quarterly_Income",#N/A,FALSE,"Report Page"}</definedName>
    <definedName name="Q_1GrossMargin">#REF!</definedName>
    <definedName name="Q_1NetIncome">#REF!</definedName>
    <definedName name="Q_1OpsIncome">#REF!</definedName>
    <definedName name="Q_1OpsMargin">#REF!</definedName>
    <definedName name="Q_1Rev">#REF!</definedName>
    <definedName name="Q_2GrossMargin">#REF!</definedName>
    <definedName name="Q_2NetIncome">#REF!</definedName>
    <definedName name="Q_2OpsIncome">#REF!</definedName>
    <definedName name="Q_2OpsMargin">#REF!</definedName>
    <definedName name="Q_2Rev">#REF!</definedName>
    <definedName name="Q_3GrossMargin">#REF!</definedName>
    <definedName name="Q_3NetIncome">#REF!</definedName>
    <definedName name="Q_3OpsIncome">#REF!</definedName>
    <definedName name="Q_3OpsMargin">#REF!</definedName>
    <definedName name="Q_3Rev">#REF!</definedName>
    <definedName name="Q_4GrossMargin">#REF!</definedName>
    <definedName name="Q_4NetIncome">#REF!</definedName>
    <definedName name="Q_4OpsIncome">#REF!</definedName>
    <definedName name="Q_4OpsMargin">#REF!</definedName>
    <definedName name="Q_4Rev">#REF!</definedName>
    <definedName name="q_access_lines">#REF!</definedName>
    <definedName name="Q_CON">#REF!,#REF!,#REF!,#REF!,#REF!,#REF!</definedName>
    <definedName name="Q_CON_CUM">#REF!,#REF!,#REF!,#REF!,#REF!,#REF!</definedName>
    <definedName name="Q_detail">#REF!,#REF!,#REF!,#REF!,#REF!,#REF!,#REF!</definedName>
    <definedName name="Q_NOM">#REF!,#REF!,#REF!,#REF!,#REF!,#REF!,#REF!,#REF!</definedName>
    <definedName name="Q_NOM_CUM">#REF!,#REF!,#REF!,#REF!,#REF!,#REF!</definedName>
    <definedName name="q_vge">#REF!</definedName>
    <definedName name="q_wireless_subs">#REF!</definedName>
    <definedName name="Q0GrossMargin">#REF!</definedName>
    <definedName name="Q0NetIncome">#REF!</definedName>
    <definedName name="Q0OpsIncome">#REF!</definedName>
    <definedName name="Q0OpsMargin">#REF!</definedName>
    <definedName name="Q0Rev">#REF!</definedName>
    <definedName name="q1.00">#REF!</definedName>
    <definedName name="q1.01">#REF!</definedName>
    <definedName name="Q1.1997.04">#REF!</definedName>
    <definedName name="Q1.1998.04">#REF!</definedName>
    <definedName name="Q1.1999.04">#REF!</definedName>
    <definedName name="Q1.2000.04">#REF!</definedName>
    <definedName name="Q1.2001.04">#REF!</definedName>
    <definedName name="Q1.2002.04">#REF!</definedName>
    <definedName name="Q1.2003.04">#REF!</definedName>
    <definedName name="Q1.2004.04">#REF!</definedName>
    <definedName name="Q1.2005.04">#REF!</definedName>
    <definedName name="Q1.2006.04">#REF!</definedName>
    <definedName name="Q1.2007.03">#REF!</definedName>
    <definedName name="Q1.2007.04">#REF!</definedName>
    <definedName name="Q1.2008.02">#REF!</definedName>
    <definedName name="Q1.2008.03">#REF!</definedName>
    <definedName name="Q1.2008.10">#REF!</definedName>
    <definedName name="Q1.2009.02">#REF!</definedName>
    <definedName name="Q1.2009.03">#REF!</definedName>
    <definedName name="Q1.2010.01">#REF!</definedName>
    <definedName name="Q1.2010.02">#REF!</definedName>
    <definedName name="Q1.2010.03">#REF!</definedName>
    <definedName name="Q1.2011.01">#REF!</definedName>
    <definedName name="Q1.2011.02">#REF!</definedName>
    <definedName name="Q1.2011.03">#REF!</definedName>
    <definedName name="Q1.2012.01">#REF!</definedName>
    <definedName name="Q1.2012.02">#REF!</definedName>
    <definedName name="Q1.2012.03">#REF!</definedName>
    <definedName name="Q1.2013.01">#REF!</definedName>
    <definedName name="Q1.2013.02">#REF!</definedName>
    <definedName name="Q1.2013.03">#REF!</definedName>
    <definedName name="Q1.2014.01">#REF!</definedName>
    <definedName name="Q1.2014.02">#REF!</definedName>
    <definedName name="q1.95">#REF!</definedName>
    <definedName name="q1.99">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row1">#REF!</definedName>
    <definedName name="q1_row2">#REF!</definedName>
    <definedName name="q1_row3">#REF!</definedName>
    <definedName name="q100_rev">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1GrossMargin">#REF!</definedName>
    <definedName name="Q1NetIncome">#REF!</definedName>
    <definedName name="Q1OpsIncome">#REF!</definedName>
    <definedName name="Q1OpsMargin">#REF!</definedName>
    <definedName name="Q1Rev">#REF!</definedName>
    <definedName name="q2.00">#REF!</definedName>
    <definedName name="q2.01">#REF!</definedName>
    <definedName name="Q2.1997.07">#REF!</definedName>
    <definedName name="Q2.1998.07">#REF!</definedName>
    <definedName name="Q2.1999.07">#REF!</definedName>
    <definedName name="Q2.2000.07">#REF!</definedName>
    <definedName name="Q2.2001.07">#REF!</definedName>
    <definedName name="Q2.2002.07">#REF!</definedName>
    <definedName name="Q2.2003.07">#REF!</definedName>
    <definedName name="Q2.2004.07">#REF!</definedName>
    <definedName name="Q2.2005.07">#REF!</definedName>
    <definedName name="Q2.2006.07">#REF!</definedName>
    <definedName name="Q2.2007.06">#REF!</definedName>
    <definedName name="Q2.2007.07">#REF!</definedName>
    <definedName name="Q2.2008.01">#REF!</definedName>
    <definedName name="Q2.2008.03">#REF!</definedName>
    <definedName name="Q2.2008.05">#REF!</definedName>
    <definedName name="Q2.2008.06">#REF!</definedName>
    <definedName name="Q2.2009.01">#REF!</definedName>
    <definedName name="Q2.2009.03">#REF!</definedName>
    <definedName name="Q2.2009.05">#REF!</definedName>
    <definedName name="Q2.2009.06">#REF!</definedName>
    <definedName name="Q2.2010.03">#REF!</definedName>
    <definedName name="Q2.2010.04">#REF!</definedName>
    <definedName name="Q2.2010.05">#REF!</definedName>
    <definedName name="Q2.2010.06">#REF!</definedName>
    <definedName name="Q2.2011.04">#REF!</definedName>
    <definedName name="Q2.2011.05">#REF!</definedName>
    <definedName name="Q2.2011.06">#REF!</definedName>
    <definedName name="Q2.2012.04">#REF!</definedName>
    <definedName name="Q2.2012.05">#REF!</definedName>
    <definedName name="Q2.2012.06">#REF!</definedName>
    <definedName name="Q2.2013.04">#REF!</definedName>
    <definedName name="Q2.2013.05">#REF!</definedName>
    <definedName name="Q2.2013.06">#REF!</definedName>
    <definedName name="Q2.2014.04">#REF!</definedName>
    <definedName name="Q2.2014.05">#REF!</definedName>
    <definedName name="q2.95">#REF!</definedName>
    <definedName name="q2.98">#REF!</definedName>
    <definedName name="q2.99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row1">#REF!</definedName>
    <definedName name="q2_row2">#REF!</definedName>
    <definedName name="q2_row3">#REF!</definedName>
    <definedName name="q200_rev">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2GrossMargin">#REF!</definedName>
    <definedName name="Q2NetIncome">#REF!</definedName>
    <definedName name="Q2OpsIncome">#REF!</definedName>
    <definedName name="Q2OpsMargin">#REF!</definedName>
    <definedName name="Q2Rev">#REF!</definedName>
    <definedName name="q3.00">#REF!</definedName>
    <definedName name="q3.01">#REF!</definedName>
    <definedName name="Q3.1997.10">#REF!</definedName>
    <definedName name="Q3.1998.10">#REF!</definedName>
    <definedName name="Q3.1999.10">#REF!</definedName>
    <definedName name="Q3.2000.10">#REF!</definedName>
    <definedName name="Q3.2001.10">#REF!</definedName>
    <definedName name="Q3.2002.10">#REF!</definedName>
    <definedName name="Q3.2003.10">#REF!</definedName>
    <definedName name="Q3.2004.10">#REF!</definedName>
    <definedName name="Q3.2005.10">#REF!</definedName>
    <definedName name="Q3.2006.10">#REF!</definedName>
    <definedName name="Q3.2007.09">#REF!</definedName>
    <definedName name="Q3.2007.10">#REF!</definedName>
    <definedName name="Q3.2008.04">#REF!</definedName>
    <definedName name="Q3.2008.06">#REF!</definedName>
    <definedName name="Q3.2008.08">#REF!</definedName>
    <definedName name="Q3.2008.09">#REF!</definedName>
    <definedName name="Q3.2009.02">#REF!</definedName>
    <definedName name="Q3.2009.03">#REF!</definedName>
    <definedName name="Q3.2009.04">#REF!</definedName>
    <definedName name="Q3.2009.06">#REF!</definedName>
    <definedName name="Q3.2009.08">#REF!</definedName>
    <definedName name="Q3.2009.09">#REF!</definedName>
    <definedName name="Q3.2010.02">#REF!</definedName>
    <definedName name="Q3.2010.03">#REF!</definedName>
    <definedName name="Q3.2010.06">#REF!</definedName>
    <definedName name="Q3.2010.07">#REF!</definedName>
    <definedName name="Q3.2010.08">#REF!</definedName>
    <definedName name="Q3.2010.09">#REF!</definedName>
    <definedName name="Q3.2011.02">#REF!</definedName>
    <definedName name="Q3.2011.03">#REF!</definedName>
    <definedName name="Q3.2011.07">#REF!</definedName>
    <definedName name="Q3.2011.08">#REF!</definedName>
    <definedName name="Q3.2011.09">#REF!</definedName>
    <definedName name="Q3.2012.02">#REF!</definedName>
    <definedName name="Q3.2012.03">#REF!</definedName>
    <definedName name="Q3.2012.07">#REF!</definedName>
    <definedName name="Q3.2012.08">#REF!</definedName>
    <definedName name="Q3.2012.09">#REF!</definedName>
    <definedName name="Q3.2013.02">#REF!</definedName>
    <definedName name="Q3.2013.03">#REF!</definedName>
    <definedName name="Q3.2013.07">#REF!</definedName>
    <definedName name="Q3.2013.08">#REF!</definedName>
    <definedName name="Q3.2013.09">#REF!</definedName>
    <definedName name="Q3.2014.02">#REF!</definedName>
    <definedName name="Q3.2014.03">#REF!</definedName>
    <definedName name="Q3.2014.07">#REF!</definedName>
    <definedName name="Q3.2014.08">#REF!</definedName>
    <definedName name="q3.95">#REF!</definedName>
    <definedName name="q3.97">#REF!</definedName>
    <definedName name="q3.98">#REF!</definedName>
    <definedName name="q3.99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#REF!</definedName>
    <definedName name="q3_99">#REF!</definedName>
    <definedName name="q3_row1">#REF!</definedName>
    <definedName name="q3_row2">#REF!</definedName>
    <definedName name="q3_row3">#REF!</definedName>
    <definedName name="q300_rev">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3GrossMargin">#REF!</definedName>
    <definedName name="Q3NetIncome">#REF!</definedName>
    <definedName name="Q3OpsIncome">#REF!</definedName>
    <definedName name="Q3OpsMargin">#REF!</definedName>
    <definedName name="Q3Rev">#REF!</definedName>
    <definedName name="q4.00">#REF!</definedName>
    <definedName name="Q4.1997.01">#REF!</definedName>
    <definedName name="Q4.1998.01">#REF!</definedName>
    <definedName name="Q4.1999.01">#REF!</definedName>
    <definedName name="Q4.2000.01">#REF!</definedName>
    <definedName name="Q4.2001.01">#REF!</definedName>
    <definedName name="Q4.2002.01">#REF!</definedName>
    <definedName name="Q4.2003.01">#REF!</definedName>
    <definedName name="Q4.2004.01">#REF!</definedName>
    <definedName name="Q4.2005.01">#REF!</definedName>
    <definedName name="Q4.2006.01">#REF!</definedName>
    <definedName name="Q4.2007.01">#REF!</definedName>
    <definedName name="Q4.2007.12">#REF!</definedName>
    <definedName name="Q4.2008.07">#REF!</definedName>
    <definedName name="Q4.2008.09">#REF!</definedName>
    <definedName name="Q4.2008.11">#REF!</definedName>
    <definedName name="Q4.2008.12">#REF!</definedName>
    <definedName name="Q4.2009.01">#REF!</definedName>
    <definedName name="Q4.2009.03">#REF!</definedName>
    <definedName name="Q4.2009.05">#REF!</definedName>
    <definedName name="Q4.2009.06">#REF!</definedName>
    <definedName name="Q4.2009.07">#REF!</definedName>
    <definedName name="Q4.2009.09">#REF!</definedName>
    <definedName name="Q4.2009.11">#REF!</definedName>
    <definedName name="Q4.2009.12">#REF!</definedName>
    <definedName name="Q4.2010.01">#REF!</definedName>
    <definedName name="Q4.2010.05">#REF!</definedName>
    <definedName name="Q4.2010.06">#REF!</definedName>
    <definedName name="Q4.2010.09">#REF!</definedName>
    <definedName name="Q4.2010.10">#REF!</definedName>
    <definedName name="Q4.2010.11">#REF!</definedName>
    <definedName name="Q4.2010.12">#REF!</definedName>
    <definedName name="Q4.2011.01">#REF!</definedName>
    <definedName name="Q4.2011.05">#REF!</definedName>
    <definedName name="Q4.2011.06">#REF!</definedName>
    <definedName name="Q4.2011.10">#REF!</definedName>
    <definedName name="Q4.2011.11">#REF!</definedName>
    <definedName name="Q4.2011.12">#REF!</definedName>
    <definedName name="Q4.2012.01">#REF!</definedName>
    <definedName name="Q4.2012.05">#REF!</definedName>
    <definedName name="Q4.2012.06">#REF!</definedName>
    <definedName name="Q4.2012.10">#REF!</definedName>
    <definedName name="Q4.2012.11">#REF!</definedName>
    <definedName name="Q4.2012.12">#REF!</definedName>
    <definedName name="Q4.2013.01">#REF!</definedName>
    <definedName name="Q4.2013.05">#REF!</definedName>
    <definedName name="Q4.2013.06">#REF!</definedName>
    <definedName name="Q4.2013.10">#REF!</definedName>
    <definedName name="Q4.2013.11">#REF!</definedName>
    <definedName name="Q4.2013.12">#REF!</definedName>
    <definedName name="Q4.2014.01">#REF!</definedName>
    <definedName name="Q4.2014.05">#REF!</definedName>
    <definedName name="Q4.2014.06">#REF!</definedName>
    <definedName name="Q4.2014.10">#REF!</definedName>
    <definedName name="Q4.2014.11">#REF!</definedName>
    <definedName name="q4.95">#REF!</definedName>
    <definedName name="q4.97">#REF!</definedName>
    <definedName name="q4.98">#REF!</definedName>
    <definedName name="q4.99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_row1">#REF!</definedName>
    <definedName name="q4_row2">#REF!</definedName>
    <definedName name="q4_row3">#REF!</definedName>
    <definedName name="q400_rev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4E2004">#REF!</definedName>
    <definedName name="Q4E2005">#REF!</definedName>
    <definedName name="Q4GrossMargin">#REF!</definedName>
    <definedName name="Q4NetIncome">#REF!</definedName>
    <definedName name="Q4OpsIncome">#REF!</definedName>
    <definedName name="Q4OpsMargin">#REF!</definedName>
    <definedName name="Q4Rev">#REF!</definedName>
    <definedName name="QADI">#REF!</definedName>
    <definedName name="qcomavg">#REF!</definedName>
    <definedName name="qcomavgffq">#REF!</definedName>
    <definedName name="qcomchg">#REF!</definedName>
    <definedName name="qcomcurr">#REF!</definedName>
    <definedName name="qcomcurrffq">#REF!</definedName>
    <definedName name="qcompegrelavg">#REF!</definedName>
    <definedName name="qcompegrelcurr">#REF!</definedName>
    <definedName name="qcompegrowthavg">#REF!</definedName>
    <definedName name="qcompegrowthcurr">#REF!</definedName>
    <definedName name="qcomshares">#REF!</definedName>
    <definedName name="Qdays">#REF!</definedName>
    <definedName name="qem_comment">#REF!</definedName>
    <definedName name="QoQ">#REF!</definedName>
    <definedName name="QOQM">IF(ISBLANK(#REF!),IF(#REF!=0,"NM",(#REF!/#REF!)-1),IF(#REF!=0,"NM",(#REF!/#REF!)-1))</definedName>
    <definedName name="qpl">#REF!</definedName>
    <definedName name="qpl_pg1">#REF!</definedName>
    <definedName name="qpl_pg2">#REF!</definedName>
    <definedName name="qryFINALTListing">#REF!</definedName>
    <definedName name="QTR_CHG">#REF!</definedName>
    <definedName name="qtr_rev">#REF!</definedName>
    <definedName name="qtrmth">#REF!</definedName>
    <definedName name="Quanta">#REF!</definedName>
    <definedName name="quarter">#REF!</definedName>
    <definedName name="quarter_change">#REF!</definedName>
    <definedName name="Quarterly">#REF!</definedName>
    <definedName name="QUARTERS">#REF!</definedName>
    <definedName name="Quarters1994">#REF!</definedName>
    <definedName name="Quarters1995">#REF!</definedName>
    <definedName name="Quarters1996">#REF!</definedName>
    <definedName name="Quarters1997">#REF!</definedName>
    <definedName name="Quarters1998">#REF!</definedName>
    <definedName name="Quarters1999">#REF!</definedName>
    <definedName name="Quarters2000">#REF!</definedName>
    <definedName name="Quarters2001">#REF!</definedName>
    <definedName name="Quarters2002">#REF!</definedName>
    <definedName name="Quarters2004">#REF!</definedName>
    <definedName name="Quarters2005">#REF!</definedName>
    <definedName name="Queens_Add">#REF!</definedName>
    <definedName name="r_bvps">#REF!</definedName>
    <definedName name="r_calendar_is_actual">#REF!</definedName>
    <definedName name="r_ceps">#REF!</definedName>
    <definedName name="R_D_amort_years">#REF!</definedName>
    <definedName name="R_D_Amortization">#REF!</definedName>
    <definedName name="R_D_Capzed">#REF!</definedName>
    <definedName name="R_D_expense">#REF!</definedName>
    <definedName name="R_D_expense_IS">#REF!</definedName>
    <definedName name="r_eps_calendar">#REF!</definedName>
    <definedName name="r_eps_fiscal">#REF!</definedName>
    <definedName name="r_eps_us_gaap">#REF!</definedName>
    <definedName name="R_F">#REF!</definedName>
    <definedName name="r_fiscal_is_actual">#REF!</definedName>
    <definedName name="r_roe">#REF!</definedName>
    <definedName name="r_sales_per_share">#REF!</definedName>
    <definedName name="Range_Names">#REF!</definedName>
    <definedName name="rating">#REF!</definedName>
    <definedName name="rbakavgffq">#REF!</definedName>
    <definedName name="rbakchg">#REF!</definedName>
    <definedName name="rbakcurr">#REF!</definedName>
    <definedName name="rbakcurrffq">#REF!</definedName>
    <definedName name="rbakpegrelavg">#REF!</definedName>
    <definedName name="rbakpegrelcurr">#REF!</definedName>
    <definedName name="rbakpegrowthavg">#REF!</definedName>
    <definedName name="rbakpegrowthcurr">#REF!</definedName>
    <definedName name="rbakshares">#REF!</definedName>
    <definedName name="rec">#REF!</definedName>
    <definedName name="rec_id">#REF!</definedName>
    <definedName name="rec_start_date">#REF!</definedName>
    <definedName name="_xlnm.Recorder">#REF!</definedName>
    <definedName name="RedefinePrintTableRange" hidden="1">#REF!</definedName>
    <definedName name="RegionsList">#REF!</definedName>
    <definedName name="Relative">OFFSET(#REF!,0,0,COUNTA(#REF!),1)</definedName>
    <definedName name="relprice">OFFSET(#REF!,0,0,COUNTA(#REF!),1)</definedName>
    <definedName name="Repo">#REF!</definedName>
    <definedName name="Report" localSheetId="0" hidden="1">{#N/A,#N/A,FALSE,"Report Print"}</definedName>
    <definedName name="Report" hidden="1">{#N/A,#N/A,FALSE,"Report Print"}</definedName>
    <definedName name="Reported_net_income">#REF!</definedName>
    <definedName name="ReportPage1" localSheetId="0" hidden="1">{"Annual_Income",#N/A,FALSE,"Report Page";"Balance_Cash_Flow",#N/A,FALSE,"Report Page";"Quarterly_Income",#N/A,FALSE,"Report Page"}</definedName>
    <definedName name="ReportPage1" hidden="1">{"Annual_Income",#N/A,FALSE,"Report Page";"Balance_Cash_Flow",#N/A,FALSE,"Report Page";"Quarterly_Income",#N/A,FALSE,"Report Page"}</definedName>
    <definedName name="republicprice">#REF!</definedName>
    <definedName name="republicshares">#REF!</definedName>
    <definedName name="Required_cash">#REF!</definedName>
    <definedName name="Required_cash_percent">#REF!</definedName>
    <definedName name="Research_Development_Expense">#REF!</definedName>
    <definedName name="Residual_Value">#REF!</definedName>
    <definedName name="Restricted_Stock_Grant">#REF!</definedName>
    <definedName name="Restructuring_charges">#REF!</definedName>
    <definedName name="Restructuring_charges_growth_fore">#REF!</definedName>
    <definedName name="RETURN">#REF!</definedName>
    <definedName name="REV">#REF!</definedName>
    <definedName name="Rev.">#REF!</definedName>
    <definedName name="rev_92">#REF!</definedName>
    <definedName name="rev_93">#REF!</definedName>
    <definedName name="rev_94">#REF!</definedName>
    <definedName name="rev_95">#REF!</definedName>
    <definedName name="rev_g">#REF!</definedName>
    <definedName name="rev_mix">#REF!</definedName>
    <definedName name="Rev_Seq">#REF!</definedName>
    <definedName name="Rev_YoY">#REF!</definedName>
    <definedName name="rev00">#REF!</definedName>
    <definedName name="revchg00">#REF!</definedName>
    <definedName name="revchg97">#REF!</definedName>
    <definedName name="revchg98">#REF!</definedName>
    <definedName name="revchg99">#REF!</definedName>
    <definedName name="Revenue">#REF!</definedName>
    <definedName name="Revenue_Breakdown">#REF!</definedName>
    <definedName name="Revenue_Breakout">#REF!</definedName>
    <definedName name="revenue98">#REF!</definedName>
    <definedName name="Revenuebrkdwn">#REF!</definedName>
    <definedName name="RevenueConsumerEnterprise">#REF!</definedName>
    <definedName name="RevenueDetail">#REF!</definedName>
    <definedName name="REVENUES">#REF!</definedName>
    <definedName name="Revenues_Division_1">#REF!</definedName>
    <definedName name="Revenues_Division_2">#REF!</definedName>
    <definedName name="Revenues_Division_3">#REF!</definedName>
    <definedName name="Revenues_Division_4">#REF!</definedName>
    <definedName name="Revenues_Division_5">#REF!</definedName>
    <definedName name="Revenues_Division_6">#REF!</definedName>
    <definedName name="Revenues_Euro">#REF!</definedName>
    <definedName name="Revenues1997">#REF!</definedName>
    <definedName name="Revenues1998">#REF!</definedName>
    <definedName name="Revenues1999">#REF!</definedName>
    <definedName name="Revenues2000">#REF!</definedName>
    <definedName name="Revenues2001">#REF!</definedName>
    <definedName name="revenues2002">#REF!</definedName>
    <definedName name="revenues2003">#REF!</definedName>
    <definedName name="revenues2004">#REF!</definedName>
    <definedName name="revenues99">#REF!</definedName>
    <definedName name="RevenuesTotal">#REF!</definedName>
    <definedName name="revfy97">#REF!</definedName>
    <definedName name="revfy98">#REF!</definedName>
    <definedName name="revfy99">#REF!</definedName>
    <definedName name="REVQ191">#REF!</definedName>
    <definedName name="REVQ192">#REF!</definedName>
    <definedName name="REVQ193">#REF!</definedName>
    <definedName name="REVQ194">#REF!</definedName>
    <definedName name="REVQ195">#REF!</definedName>
    <definedName name="REVQ196">#REF!</definedName>
    <definedName name="REVQ197">#REF!</definedName>
    <definedName name="REVQ291">#REF!</definedName>
    <definedName name="REVQ292">#REF!</definedName>
    <definedName name="REVQ293">#REF!</definedName>
    <definedName name="REVQ294">#REF!</definedName>
    <definedName name="REVQ295">#REF!</definedName>
    <definedName name="REVQ296">#REF!</definedName>
    <definedName name="REVQ297">#REF!</definedName>
    <definedName name="REVQ391">#REF!</definedName>
    <definedName name="REVQ392">#REF!</definedName>
    <definedName name="REVQ393">#REF!</definedName>
    <definedName name="REVQ394">#REF!</definedName>
    <definedName name="REVQ395">#REF!</definedName>
    <definedName name="REVQ396">#REF!</definedName>
    <definedName name="REVQ397">#REF!</definedName>
    <definedName name="REVQ490">#REF!</definedName>
    <definedName name="REVQ491">#REF!</definedName>
    <definedName name="REVQ492">#REF!</definedName>
    <definedName name="REVQ493">#REF!</definedName>
    <definedName name="REVQ494">#REF!</definedName>
    <definedName name="REVQ495">#REF!</definedName>
    <definedName name="REVQ496">#REF!</definedName>
    <definedName name="REVQ497">#REF!</definedName>
    <definedName name="revs97_fy">#REF!</definedName>
    <definedName name="RIC">#REF!</definedName>
    <definedName name="RID">#REF!</definedName>
    <definedName name="right_border">#REF!</definedName>
    <definedName name="RIsk_free_30yr_Treas">#REF!</definedName>
    <definedName name="Risk_Free_Rate">#REF!</definedName>
    <definedName name="RnD_expense">#REF!</definedName>
    <definedName name="RnD_expense_fore">#REF!</definedName>
    <definedName name="RnD_expense_growth_fore">#REF!</definedName>
    <definedName name="RnD_expenses_fore">#REF!</definedName>
    <definedName name="ROE">#REF!</definedName>
    <definedName name="roe_five_year_est_average">#REF!</definedName>
    <definedName name="roe_normalised">#REF!</definedName>
    <definedName name="Rogers">#REF!</definedName>
    <definedName name="ROIC">#REF!</definedName>
    <definedName name="ROIC_DCF">#REF!</definedName>
    <definedName name="RORIC__3_yr_rolling">#REF!</definedName>
    <definedName name="RowRef">#REF!</definedName>
    <definedName name="Royalty">#REF!</definedName>
    <definedName name="rpms">#REF!</definedName>
    <definedName name="RtgRef">#REF!</definedName>
    <definedName name="RTT">#REF!</definedName>
    <definedName name="rw" hidden="1">{"'Standalone List Price Trends'!$A$1:$X$56"}</definedName>
    <definedName name="rwrwr" hidden="1">{"'Standalone List Price Trends'!$A$1:$X$56"}</definedName>
    <definedName name="rwrwrwrwr" hidden="1">{"'Standalone List Price Trends'!$A$1:$X$56"}</definedName>
    <definedName name="rwwr" hidden="1">{"'Standalone List Price Trends'!$A$1:$X$56"}</definedName>
    <definedName name="rycavg">#REF!</definedName>
    <definedName name="rycchg">#REF!</definedName>
    <definedName name="ryccrpe">#REF!</definedName>
    <definedName name="ryccurr">#REF!</definedName>
    <definedName name="rycdate">#REF!</definedName>
    <definedName name="rycdown">#REF!</definedName>
    <definedName name="rycdownsup">#REF!</definedName>
    <definedName name="ryceps98">#REF!</definedName>
    <definedName name="ryceps99">#REF!</definedName>
    <definedName name="rycfy1cons">#REF!</definedName>
    <definedName name="rycfy2cons">#REF!</definedName>
    <definedName name="rycfy2cons\">#REF!</definedName>
    <definedName name="rychi">#REF!</definedName>
    <definedName name="rychilo">#REF!</definedName>
    <definedName name="rychiu">#REF!</definedName>
    <definedName name="ryclow">#REF!</definedName>
    <definedName name="rycmktcap">#REF!</definedName>
    <definedName name="rycpegrowthavg">#REF!</definedName>
    <definedName name="rycpegrowthcurr">#REF!</definedName>
    <definedName name="rycpegrowthhi">#REF!</definedName>
    <definedName name="rycpegrowthlow">#REF!</definedName>
    <definedName name="rycprice">#REF!</definedName>
    <definedName name="rycrpe">#REF!</definedName>
    <definedName name="rycshares">#REF!</definedName>
    <definedName name="ryctprice">#REF!</definedName>
    <definedName name="rycttmavg">#REF!</definedName>
    <definedName name="rycttmcurr">#REF!</definedName>
    <definedName name="rycttmhi">#REF!</definedName>
    <definedName name="rycttmlow">#REF!</definedName>
    <definedName name="rycttmrelavg">#REF!</definedName>
    <definedName name="rycttmrelcurr">#REF!</definedName>
    <definedName name="rycttmrelhi">#REF!</definedName>
    <definedName name="rycttmrellow">#REF!</definedName>
    <definedName name="rycup">#REF!</definedName>
    <definedName name="rycupsup">#REF!</definedName>
    <definedName name="rycvol">#REF!</definedName>
    <definedName name="rycyield">#REF!</definedName>
    <definedName name="s" hidden="1">{"IS",#N/A,FALSE,"IS";"RPTIS",#N/A,FALSE,"RPTIS";"STATS",#N/A,FALSE,"STATS";"CELL",#N/A,FALSE,"CELL";"BS",#N/A,FALSE,"BS"}</definedName>
    <definedName name="S_T_obligations_under_cap_leases">#REF!</definedName>
    <definedName name="SAGE">#REF!</definedName>
    <definedName name="Sales_growth">#REF!</definedName>
    <definedName name="Sales_growth_avg">#REF!</definedName>
    <definedName name="Sales_Lit03">#REF!</definedName>
    <definedName name="Sales_Lit04">#REF!</definedName>
    <definedName name="Sales_Marketing_Expense">#REF!</definedName>
    <definedName name="Sales00">#REF!</definedName>
    <definedName name="Sales01">#REF!</definedName>
    <definedName name="Sales02">#REF!</definedName>
    <definedName name="SALES1999">#REF!</definedName>
    <definedName name="SALES2000">#REF!</definedName>
    <definedName name="SALES2001">#REF!</definedName>
    <definedName name="SALES2002">#REF!</definedName>
    <definedName name="sales96">#REF!</definedName>
    <definedName name="Sales97">#REF!</definedName>
    <definedName name="Sales98">#REF!</definedName>
    <definedName name="Sales99">#REF!</definedName>
    <definedName name="salesg">#REF!</definedName>
    <definedName name="salesg00">#REF!</definedName>
    <definedName name="salesg98">#REF!</definedName>
    <definedName name="salesg99">#REF!</definedName>
    <definedName name="Samsung">#REF!</definedName>
    <definedName name="sanmavg">#REF!</definedName>
    <definedName name="sanmchg">#REF!</definedName>
    <definedName name="sanmcrpe">#REF!</definedName>
    <definedName name="sanmcurr">#REF!</definedName>
    <definedName name="sanmdate">#REF!</definedName>
    <definedName name="sanmdown">#REF!</definedName>
    <definedName name="sanmdownsup">#REF!</definedName>
    <definedName name="sanmeps99">#REF!</definedName>
    <definedName name="sanmevebitda">#REF!</definedName>
    <definedName name="sanmffqpeavg">#REF!</definedName>
    <definedName name="sanmffqpecurr">#REF!</definedName>
    <definedName name="sanmfy1cons">#REF!</definedName>
    <definedName name="sanmfy2cons">#REF!</definedName>
    <definedName name="sanmhi">#REF!</definedName>
    <definedName name="sanmhilo">#REF!</definedName>
    <definedName name="sanmlow">#REF!</definedName>
    <definedName name="sanmmktcap">#REF!</definedName>
    <definedName name="sanmpe1">#REF!</definedName>
    <definedName name="sanmpe2">#REF!</definedName>
    <definedName name="sanmpegrowthavg">#REF!</definedName>
    <definedName name="sanmpegrowthcurr">#REF!</definedName>
    <definedName name="sanmpegrowthhi">#REF!</definedName>
    <definedName name="sanmpegrowthlow">#REF!</definedName>
    <definedName name="sanmperelavg">#REF!</definedName>
    <definedName name="sanmperelcurr">#REF!</definedName>
    <definedName name="sanmprice">#REF!</definedName>
    <definedName name="sanmrpe">#REF!</definedName>
    <definedName name="sanmshares">#REF!</definedName>
    <definedName name="sanmtprice">#REF!</definedName>
    <definedName name="sanmttmavg">#REF!</definedName>
    <definedName name="sanmttmcurr">#REF!</definedName>
    <definedName name="sanmttmhi">#REF!</definedName>
    <definedName name="sanmttmlow">#REF!</definedName>
    <definedName name="sanmttmrelavg">#REF!</definedName>
    <definedName name="sanmttmrelcurr">#REF!</definedName>
    <definedName name="sanmttmrelhi">#REF!</definedName>
    <definedName name="sanmttmrellow">#REF!</definedName>
    <definedName name="sanmup">#REF!</definedName>
    <definedName name="sanmupsup">#REF!</definedName>
    <definedName name="sanmvol">#REF!</definedName>
    <definedName name="sanmyield">#REF!</definedName>
    <definedName name="SAP">#REF!</definedName>
    <definedName name="sav_div99">#REF!</definedName>
    <definedName name="sav_price">#REF!</definedName>
    <definedName name="sav_shares">#REF!</definedName>
    <definedName name="sav_shares99">#REF!</definedName>
    <definedName name="sav_target99">#REF!</definedName>
    <definedName name="SBC_5YRGROWTH">#REF!</definedName>
    <definedName name="sbcsngait_IS">#REF!</definedName>
    <definedName name="SCEN">#REF!</definedName>
    <definedName name="scen_change" hidden="1">#REF!</definedName>
    <definedName name="scen_date1" hidden="1">34337.506400463</definedName>
    <definedName name="scen_name1" hidden="1">"/tar"</definedName>
    <definedName name="scen_num" hidden="1">1</definedName>
    <definedName name="scen_user1" hidden="1">"Williams Eileen"</definedName>
    <definedName name="scen_value1" hidden="1">"NM"</definedName>
    <definedName name="Scenario">#REF!</definedName>
    <definedName name="scenario_two">#REF!</definedName>
    <definedName name="Schroder_exceptionals">#REF!</definedName>
    <definedName name="scicurr">#REF!</definedName>
    <definedName name="scidate">#REF!</definedName>
    <definedName name="scidown">#REF!</definedName>
    <definedName name="scidownsup">#REF!</definedName>
    <definedName name="scieps99">#REF!</definedName>
    <definedName name="scify1cons">#REF!</definedName>
    <definedName name="scify2cons">#REF!</definedName>
    <definedName name="scihi">#REF!</definedName>
    <definedName name="scihilo">#REF!</definedName>
    <definedName name="scilow">#REF!</definedName>
    <definedName name="scimktcap">#REF!</definedName>
    <definedName name="scipegrowthavg">#REF!</definedName>
    <definedName name="scipegrowthcurr">#REF!</definedName>
    <definedName name="scipegrowthhi">#REF!</definedName>
    <definedName name="scipegrowthlow">#REF!</definedName>
    <definedName name="sciprice">#REF!</definedName>
    <definedName name="scirpe">#REF!</definedName>
    <definedName name="scishares">#REF!</definedName>
    <definedName name="scitprice">#REF!</definedName>
    <definedName name="scittmavg">#REF!</definedName>
    <definedName name="scittmcurr">#REF!</definedName>
    <definedName name="scittmhi">#REF!</definedName>
    <definedName name="scittmlow">#REF!</definedName>
    <definedName name="scittmrelavg">#REF!</definedName>
    <definedName name="scittmrelcurr">#REF!</definedName>
    <definedName name="scittmrelhi">#REF!</definedName>
    <definedName name="scittmrellow">#REF!</definedName>
    <definedName name="sciup">#REF!</definedName>
    <definedName name="sciupsup">#REF!</definedName>
    <definedName name="scivol">#REF!</definedName>
    <definedName name="sciyield">#REF!</definedName>
    <definedName name="SCM">#REF!</definedName>
    <definedName name="scmravg">#REF!</definedName>
    <definedName name="scmravgffq">#REF!</definedName>
    <definedName name="scmrchg">#REF!</definedName>
    <definedName name="scmrcurr">#REF!</definedName>
    <definedName name="scmrcurrffq">#REF!</definedName>
    <definedName name="scmrpegrelavg">#REF!</definedName>
    <definedName name="scmrpegrelcurr">#REF!</definedName>
    <definedName name="scmrpegrowthavg">#REF!</definedName>
    <definedName name="scmrpegrowthcurr">#REF!</definedName>
    <definedName name="scmrshares">#REF!</definedName>
    <definedName name="SDFG">#REF!</definedName>
    <definedName name="sdlicurr">#REF!</definedName>
    <definedName name="sdlidown">#REF!</definedName>
    <definedName name="sdlidownsup">#REF!</definedName>
    <definedName name="sdlieps98">#REF!</definedName>
    <definedName name="sdlieps99">#REF!</definedName>
    <definedName name="sdlify1cons">#REF!</definedName>
    <definedName name="sdlify2cons">#REF!</definedName>
    <definedName name="sdlihi">#REF!</definedName>
    <definedName name="sdlihilo">#REF!</definedName>
    <definedName name="sdlilow">#REF!</definedName>
    <definedName name="sdlimktcap">#REF!</definedName>
    <definedName name="sdlipegrowthavg">#REF!</definedName>
    <definedName name="sdlipegrowthcurr">#REF!</definedName>
    <definedName name="sdlipegrowthhi">#REF!</definedName>
    <definedName name="sdlipegrowthlow">#REF!</definedName>
    <definedName name="sdliprice">#REF!</definedName>
    <definedName name="sdlirpe">#REF!</definedName>
    <definedName name="sdlishares">#REF!</definedName>
    <definedName name="sdlitprice">#REF!</definedName>
    <definedName name="sdlittmavg">#REF!</definedName>
    <definedName name="sdlittmcurr">#REF!</definedName>
    <definedName name="sdlittmhi">#REF!</definedName>
    <definedName name="sdlittmlow">#REF!</definedName>
    <definedName name="sdlittmrelavg">#REF!</definedName>
    <definedName name="sdlittmrelcurr">#REF!</definedName>
    <definedName name="sdlittmrelhi">#REF!</definedName>
    <definedName name="sdlittmrellow">#REF!</definedName>
    <definedName name="sdliup">#REF!</definedName>
    <definedName name="sdliupsup">#REF!</definedName>
    <definedName name="sdlivol">#REF!</definedName>
    <definedName name="sdliyield">#REF!</definedName>
    <definedName name="SE">#REF!</definedName>
    <definedName name="SEAT_DEAL">#REF!</definedName>
    <definedName name="SEBL">#REF!</definedName>
    <definedName name="sec_mkt_cap">#REF!</definedName>
    <definedName name="Second">#REF!</definedName>
    <definedName name="SECTOR">#REF!</definedName>
    <definedName name="SectorNames">#REF!</definedName>
    <definedName name="security_id">#REF!</definedName>
    <definedName name="SEDOL">#REF!</definedName>
    <definedName name="Segment1_income">#REF!</definedName>
    <definedName name="Segment1_income_DCF">#REF!</definedName>
    <definedName name="Segment1_income_fore">#REF!</definedName>
    <definedName name="Segment1_income_growth_fore">#REF!</definedName>
    <definedName name="Segment2_income">#REF!</definedName>
    <definedName name="Segment2_income_DCF">#REF!</definedName>
    <definedName name="Segment2_income_fore">#REF!</definedName>
    <definedName name="Segment2_income_growth_fore">#REF!</definedName>
    <definedName name="select_dps_to_use">#REF!</definedName>
    <definedName name="select_mkt_cap_to_use">#REF!</definedName>
    <definedName name="select_tot_fd_shares_to_use">#REF!</definedName>
    <definedName name="select_tot_ud_shares_to_use">#REF!</definedName>
    <definedName name="SelectedRegionName">#REF!</definedName>
    <definedName name="sencount" hidden="1">1</definedName>
    <definedName name="SENS">#REF!</definedName>
    <definedName name="server">#REF!</definedName>
    <definedName name="service">#REF!</definedName>
    <definedName name="Service_Rev">#REF!</definedName>
    <definedName name="Services">#REF!</definedName>
    <definedName name="Services_Revenue">#REF!</definedName>
    <definedName name="SF_Add">#REF!</definedName>
    <definedName name="SF_Bank">#REF!</definedName>
    <definedName name="SF_Date">#REF!</definedName>
    <definedName name="SF_Sell">#REF!</definedName>
    <definedName name="sfacurr">#REF!</definedName>
    <definedName name="sfacurrffq">#REF!</definedName>
    <definedName name="sfapegrelavg">#REF!</definedName>
    <definedName name="sfapegrelcurr">#REF!</definedName>
    <definedName name="sfapegrowthavg">#REF!</definedName>
    <definedName name="sfapegrowthcurr">#REF!</definedName>
    <definedName name="sfashares">#REF!</definedName>
    <definedName name="SFV_QDEPTID">#REF!</definedName>
    <definedName name="SGA">#REF!</definedName>
    <definedName name="SGA_fore">#REF!</definedName>
    <definedName name="SGA_growth">#REF!</definedName>
    <definedName name="SGA_growth_avg">#REF!</definedName>
    <definedName name="SGA_growth_fore">#REF!</definedName>
    <definedName name="SGA_margin">#REF!</definedName>
    <definedName name="SGA_margin_fore">#REF!</definedName>
    <definedName name="Share_Data">#REF!</definedName>
    <definedName name="share_price">#REF!</definedName>
    <definedName name="Shareholder_value">#REF!</definedName>
    <definedName name="Shareholder_Value_EVA">#REF!</definedName>
    <definedName name="Shareholders_equity">#REF!</definedName>
    <definedName name="shares">#REF!</definedName>
    <definedName name="shares_avg">#REF!</definedName>
    <definedName name="Shares_DCF">#REF!</definedName>
    <definedName name="shares_fd_actual">#REF!</definedName>
    <definedName name="shares_fd_mkt">#REF!</definedName>
    <definedName name="shares_fd_over">#REF!</definedName>
    <definedName name="shares_fd_use_over">#REF!</definedName>
    <definedName name="Shares_fore">#REF!</definedName>
    <definedName name="Shares_growth">#REF!</definedName>
    <definedName name="Shares_growth_fore">#REF!</definedName>
    <definedName name="shares_not_floating">#REF!</definedName>
    <definedName name="shares_qtr">#REF!</definedName>
    <definedName name="Shares_repurchase_liability">#REF!</definedName>
    <definedName name="shares_ud_actual">#REF!</definedName>
    <definedName name="shares_ud_mkt">#REF!</definedName>
    <definedName name="shares_ud_over">#REF!</definedName>
    <definedName name="shares_ud_use_over">#REF!</definedName>
    <definedName name="Shares96">#REF!</definedName>
    <definedName name="Shares97">#REF!</definedName>
    <definedName name="sharesfd">#REF!</definedName>
    <definedName name="SharesSelected">#REF!</definedName>
    <definedName name="Sharp">#REF!</definedName>
    <definedName name="SHIPMENTS">#REF!</definedName>
    <definedName name="Shipmentw">#REF!</definedName>
    <definedName name="Short_Flow_Data">#REF!</definedName>
    <definedName name="Short_Term_Debt">#REF!</definedName>
    <definedName name="Shortterm_Deferred_Revenue">#REF!</definedName>
    <definedName name="Show_Dialog_Box">#REF!</definedName>
    <definedName name="SizingColumn">#REF!</definedName>
    <definedName name="SL_Interest">#REF!</definedName>
    <definedName name="SLCash">#REF!</definedName>
    <definedName name="slrcurr">#REF!</definedName>
    <definedName name="slrdate">#REF!</definedName>
    <definedName name="slrdown">#REF!</definedName>
    <definedName name="slrdownsup">#REF!</definedName>
    <definedName name="slreps99">#REF!</definedName>
    <definedName name="slrfy1cons">#REF!</definedName>
    <definedName name="slrfy2cons">#REF!</definedName>
    <definedName name="slrhi">#REF!</definedName>
    <definedName name="slrhilo">#REF!</definedName>
    <definedName name="slrlow">#REF!</definedName>
    <definedName name="slrpegrowthavg">#REF!</definedName>
    <definedName name="slrpegrowthcurr">#REF!</definedName>
    <definedName name="slrpegrowthhi">#REF!</definedName>
    <definedName name="slrpegrowthlow">#REF!</definedName>
    <definedName name="slrprice">#REF!</definedName>
    <definedName name="slrrpe">#REF!</definedName>
    <definedName name="slrshares">#REF!</definedName>
    <definedName name="slrtprice">#REF!</definedName>
    <definedName name="slrttmavg">#REF!</definedName>
    <definedName name="slrttmcurr">#REF!</definedName>
    <definedName name="slrttmhi">#REF!</definedName>
    <definedName name="slrttmlow">#REF!</definedName>
    <definedName name="slrttmrelavg">#REF!</definedName>
    <definedName name="slrttmrelcurr">#REF!</definedName>
    <definedName name="slrttmrelhi">#REF!</definedName>
    <definedName name="slrttmrellow">#REF!</definedName>
    <definedName name="slrup">#REF!</definedName>
    <definedName name="slrupsup">#REF!</definedName>
    <definedName name="slrvol">#REF!</definedName>
    <definedName name="slryield">#REF!</definedName>
    <definedName name="sme">#REF!</definedName>
    <definedName name="smodavg">#REF!</definedName>
    <definedName name="smodchg">#REF!</definedName>
    <definedName name="smodcrpe">#REF!</definedName>
    <definedName name="smodcurr">#REF!</definedName>
    <definedName name="smoddate">#REF!</definedName>
    <definedName name="smoddown">#REF!</definedName>
    <definedName name="smoddownsup">#REF!</definedName>
    <definedName name="smodeps98">#REF!</definedName>
    <definedName name="smodeps99">#REF!</definedName>
    <definedName name="smodfy1cons">#REF!</definedName>
    <definedName name="smodfy2cons">#REF!</definedName>
    <definedName name="smodhi">#REF!</definedName>
    <definedName name="smodhilo">#REF!</definedName>
    <definedName name="smodlow">#REF!</definedName>
    <definedName name="smodmktcap">#REF!</definedName>
    <definedName name="smodpegrowthavg">#REF!</definedName>
    <definedName name="smodpegrowthcurr">#REF!</definedName>
    <definedName name="smodpegrowthhi">#REF!</definedName>
    <definedName name="smodpegrowthlow">#REF!</definedName>
    <definedName name="smodprice">#REF!</definedName>
    <definedName name="smodrpe">#REF!</definedName>
    <definedName name="smodshares">#REF!</definedName>
    <definedName name="smodtprice">#REF!</definedName>
    <definedName name="smodttmavg">#REF!</definedName>
    <definedName name="smodttmcurr">#REF!</definedName>
    <definedName name="smodttmhi">#REF!</definedName>
    <definedName name="smodttmlow">#REF!</definedName>
    <definedName name="smodttmrelavg">#REF!</definedName>
    <definedName name="smodttmrelcurr">#REF!</definedName>
    <definedName name="smodttmrelhi">#REF!</definedName>
    <definedName name="smodttmrellow">#REF!</definedName>
    <definedName name="smodup">#REF!</definedName>
    <definedName name="smodupsup">#REF!</definedName>
    <definedName name="smodvol">#REF!</definedName>
    <definedName name="smodyield">#REF!</definedName>
    <definedName name="snapshot">#REF!</definedName>
    <definedName name="Software">#REF!</definedName>
    <definedName name="Solaris_Per_Month">#REF!</definedName>
    <definedName name="solv">#REF!</definedName>
    <definedName name="solvency">#REF!</definedName>
    <definedName name="solver_adj" localSheetId="2" hidden="1">AMD!$DA$9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lin" hidden="1">0</definedName>
    <definedName name="solver_neg" localSheetId="2" hidden="1">2</definedName>
    <definedName name="solver_num" localSheetId="2" hidden="1">0</definedName>
    <definedName name="solver_num" hidden="1">0</definedName>
    <definedName name="solver_nwt" localSheetId="2" hidden="1">1</definedName>
    <definedName name="solver_opt" localSheetId="2" hidden="1">AMD!#REF!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mp" localSheetId="2" hidden="1">AMD!#REF!</definedName>
    <definedName name="solver_tol" localSheetId="2" hidden="1">0.05</definedName>
    <definedName name="solver_typ" localSheetId="2" hidden="1">3</definedName>
    <definedName name="solver_typ" hidden="1">3</definedName>
    <definedName name="solver_val" localSheetId="2" hidden="1">38730.9743</definedName>
    <definedName name="solver_val" hidden="1">0.1076</definedName>
    <definedName name="Sonera_ARPU">#REF!</definedName>
    <definedName name="Sonera_Cash">#REF!</definedName>
    <definedName name="Sonera_Country_Penetration">#REF!</definedName>
    <definedName name="Sonera_Current_Debtors">#REF!</definedName>
    <definedName name="Sonera_Equity">#REF!</definedName>
    <definedName name="Sonera_Inventories">#REF!</definedName>
    <definedName name="Sonera_Net_Debt">#REF!</definedName>
    <definedName name="Sonera_Net_Interest">#REF!</definedName>
    <definedName name="Sonera_Nominal_Tax_Rate">#REF!</definedName>
    <definedName name="Sonera_Total_Fixed_Assets">#REF!</definedName>
    <definedName name="Sonera_Year00">#REF!</definedName>
    <definedName name="Sonera_Year01">#REF!</definedName>
    <definedName name="Sonera_Year02">#REF!</definedName>
    <definedName name="Sonera_Year03">#REF!</definedName>
    <definedName name="Sonera_Year04">#REF!</definedName>
    <definedName name="Sonera_Year98">#REF!</definedName>
    <definedName name="Sonera_Year99">#REF!</definedName>
    <definedName name="sop">#REF!</definedName>
    <definedName name="SOP_print">#REF!</definedName>
    <definedName name="Sorted_by_Month">#REF!</definedName>
    <definedName name="Sorts">#REF!</definedName>
    <definedName name="SOXPriceRange">#REF!</definedName>
    <definedName name="spec_div">#REF!</definedName>
    <definedName name="special">#REF!</definedName>
    <definedName name="spiichg">#REF!</definedName>
    <definedName name="spiilastq">#REF!</definedName>
    <definedName name="spiilastqy">#REF!</definedName>
    <definedName name="spiinextq">#REF!</definedName>
    <definedName name="spiinextqy">#REF!</definedName>
    <definedName name="Spot_AUD">#REF!</definedName>
    <definedName name="Spot_EUR">#REF!</definedName>
    <definedName name="spot_gbp">#REF!</definedName>
    <definedName name="Spot_JPY">#REF!</definedName>
    <definedName name="Spot_PKR">#REF!</definedName>
    <definedName name="Spot_Rate">#REF!</definedName>
    <definedName name="Spot_USD">#REF!</definedName>
    <definedName name="Spread_on_debt">#REF!</definedName>
    <definedName name="SRA1V_AdjustedEV">#REF!</definedName>
    <definedName name="SRA1V_AssociatesMinorities">#REF!</definedName>
    <definedName name="SRA1V_UnleveredFCF">#REF!</definedName>
    <definedName name="SS">#REF!</definedName>
    <definedName name="SSAG">#REF!</definedName>
    <definedName name="ST_debt">#REF!</definedName>
    <definedName name="ST_debt_growth_fore">#REF!</definedName>
    <definedName name="ST_Deferred_Rev">#REF!</definedName>
    <definedName name="Staightline_charge">#REF!</definedName>
    <definedName name="Starpower_Add">#REF!</definedName>
    <definedName name="Start">#REF!</definedName>
    <definedName name="StartPosition">#REF!</definedName>
    <definedName name="StartYear">#REF!</definedName>
    <definedName name="STHLY_AdjustedEV">#REF!</definedName>
    <definedName name="STHLY_AssociatesMinorities">#REF!</definedName>
    <definedName name="STHLY_UnleveredFCF">#REF!</definedName>
    <definedName name="Stock_Option_Expense_Against_Earnings_PostTax">#REF!</definedName>
    <definedName name="stock_price">#REF!</definedName>
    <definedName name="Stock_price_high">#REF!</definedName>
    <definedName name="Stock_price_low">#REF!</definedName>
    <definedName name="StockData">#REF!</definedName>
    <definedName name="StockPrice">#REF!</definedName>
    <definedName name="Storage">#REF!</definedName>
    <definedName name="STRX_5YRGROWTH">#REF!</definedName>
    <definedName name="stub_price">#REF!</definedName>
    <definedName name="subs02">#REF!</definedName>
    <definedName name="Subscription_Revenue">#REF!</definedName>
    <definedName name="SUM_OF_THE_PART_VALUATION">#REF!</definedName>
    <definedName name="SUMM">#REF!</definedName>
    <definedName name="summary">#REF!</definedName>
    <definedName name="SUMMARY_BALANCE_SHEET">#REF!</definedName>
    <definedName name="SUMMARY_CASH_FLOW_STATEMENT">#REF!</definedName>
    <definedName name="Summary_Date">#REF!</definedName>
    <definedName name="Summary_print">#REF!</definedName>
    <definedName name="SUMMARY_PROFIT___LOSS">#REF!</definedName>
    <definedName name="SummaryArea">#REF!</definedName>
    <definedName name="SummaryIssuers">#REF!</definedName>
    <definedName name="SummaryTypes">#REF!</definedName>
    <definedName name="SUNWQTR">#REF!</definedName>
    <definedName name="sutcurr">#REF!</definedName>
    <definedName name="sutdate">#REF!</definedName>
    <definedName name="sutdown">#REF!</definedName>
    <definedName name="sutdownsup">#REF!</definedName>
    <definedName name="suteps99">#REF!</definedName>
    <definedName name="sutfy1cons">#REF!</definedName>
    <definedName name="sutfy2cons">#REF!</definedName>
    <definedName name="suthi">#REF!</definedName>
    <definedName name="suthilo">#REF!</definedName>
    <definedName name="sutlow">#REF!</definedName>
    <definedName name="sutmktcap">#REF!</definedName>
    <definedName name="sutpegrowthavg">#REF!</definedName>
    <definedName name="sutpegrowthcurr">#REF!</definedName>
    <definedName name="sutpegrowthhi">#REF!</definedName>
    <definedName name="sutpegrowthlow">#REF!</definedName>
    <definedName name="sutprice">#REF!</definedName>
    <definedName name="sutrpe">#REF!</definedName>
    <definedName name="sutshares">#REF!</definedName>
    <definedName name="suttprice">#REF!</definedName>
    <definedName name="sutttmavg">#REF!</definedName>
    <definedName name="sutttmcurr">#REF!</definedName>
    <definedName name="sutttmhi">#REF!</definedName>
    <definedName name="sutttmlow">#REF!</definedName>
    <definedName name="sutttmrelavg">#REF!</definedName>
    <definedName name="sutttmrelcurr">#REF!</definedName>
    <definedName name="sutttmrelhi">#REF!</definedName>
    <definedName name="sutttmrellow">#REF!</definedName>
    <definedName name="sutup">#REF!</definedName>
    <definedName name="sutupsup">#REF!</definedName>
    <definedName name="sutvol">#REF!</definedName>
    <definedName name="sutyield">#REF!</definedName>
    <definedName name="SVANEC">#REF!</definedName>
    <definedName name="sxcavg">#REF!</definedName>
    <definedName name="sxcchg">#REF!</definedName>
    <definedName name="sxccrpe">#REF!</definedName>
    <definedName name="sxccurr">#REF!</definedName>
    <definedName name="sxcdate">#REF!</definedName>
    <definedName name="sxcdown">#REF!</definedName>
    <definedName name="sxcdownsup">#REF!</definedName>
    <definedName name="sxceps98">#REF!</definedName>
    <definedName name="sxceps99">#REF!</definedName>
    <definedName name="sxcfy1cons">#REF!</definedName>
    <definedName name="sxcfy2cons">#REF!</definedName>
    <definedName name="sxchi">#REF!</definedName>
    <definedName name="sxchilo">#REF!</definedName>
    <definedName name="sxclow">#REF!</definedName>
    <definedName name="sxcpegrowthavg">#REF!</definedName>
    <definedName name="sxcpegrowthcurr">#REF!</definedName>
    <definedName name="sxcpegrowthhi">#REF!</definedName>
    <definedName name="sxcpegrowthlow">#REF!</definedName>
    <definedName name="sxcprice">#REF!</definedName>
    <definedName name="sxcrpe">#REF!</definedName>
    <definedName name="sxcshares">#REF!</definedName>
    <definedName name="sxctprice">#REF!</definedName>
    <definedName name="sxcttmavg">#REF!</definedName>
    <definedName name="sxcttmcurr">#REF!</definedName>
    <definedName name="sxcttmhi">#REF!</definedName>
    <definedName name="sxcttmlow">#REF!</definedName>
    <definedName name="sxcttmrelavg">#REF!</definedName>
    <definedName name="sxcttmrelcurr">#REF!</definedName>
    <definedName name="sxcttmrelhi">#REF!</definedName>
    <definedName name="sxcup">#REF!</definedName>
    <definedName name="sxcupsup">#REF!</definedName>
    <definedName name="sxcvol">#REF!</definedName>
    <definedName name="sxcyield">#REF!</definedName>
    <definedName name="SysCap_Pricing">#REF!</definedName>
    <definedName name="SystemsBreakdown">#REF!</definedName>
    <definedName name="t">#REF!</definedName>
    <definedName name="T_5YRGROWTH">#REF!</definedName>
    <definedName name="t_ebdit">#REF!</definedName>
    <definedName name="t_ebitda">#REF!</definedName>
    <definedName name="t_free_cash_flow">#REF!</definedName>
    <definedName name="t_tot_cash_earns">#REF!</definedName>
    <definedName name="t_tot_interest_payments">#REF!</definedName>
    <definedName name="t_tot_net_debt">#REF!</definedName>
    <definedName name="TABLE">#REF!</definedName>
    <definedName name="TABLE_1">#REF!</definedName>
    <definedName name="Table_1_1">#REF!</definedName>
    <definedName name="Table_1_2">#REF!</definedName>
    <definedName name="Table_1_3">#REF!</definedName>
    <definedName name="Table_1_4">#REF!</definedName>
    <definedName name="Table_1_5">#REF!</definedName>
    <definedName name="Table_1_6">#REF!</definedName>
    <definedName name="Table_1_7">#REF!</definedName>
    <definedName name="TABLE_2">#REF!</definedName>
    <definedName name="Table_2_1">#REF!</definedName>
    <definedName name="table_2001">#REF!</definedName>
    <definedName name="table_2002">#REF!</definedName>
    <definedName name="table_2003">#REF!</definedName>
    <definedName name="table_2004">#REF!</definedName>
    <definedName name="TABLE_3">#REF!</definedName>
    <definedName name="table_name">#REF!</definedName>
    <definedName name="TableName">"Dummy"</definedName>
    <definedName name="TabsForDeletion">#REF!</definedName>
    <definedName name="TALK_95EBIT">#REF!</definedName>
    <definedName name="TALK_95EBITDA">#REF!</definedName>
    <definedName name="TALK_96EPS">#REF!</definedName>
    <definedName name="TALK_97EPS">#REF!</definedName>
    <definedName name="TALK_98EPS">#REF!</definedName>
    <definedName name="TALK_ASSET">#REF!</definedName>
    <definedName name="TALK_DEBT">#REF!</definedName>
    <definedName name="TALK_DIV">#REF!</definedName>
    <definedName name="TALK_INTANGIBLE">#REF!</definedName>
    <definedName name="TALK_LTMCAPEX">#REF!</definedName>
    <definedName name="TALK_LTMEBIT">#REF!</definedName>
    <definedName name="TALK_LTMEBITDA">#REF!</definedName>
    <definedName name="TALK_LTMINT">#REF!</definedName>
    <definedName name="TALK_LTMNI">#REF!</definedName>
    <definedName name="TALK_LTMREV">#REF!</definedName>
    <definedName name="TALK_LTMSGA">#REF!</definedName>
    <definedName name="talk_min">#REF!</definedName>
    <definedName name="TALK_name">#REF!</definedName>
    <definedName name="TALK_netdebt">#REF!</definedName>
    <definedName name="TALK_price">#REF!</definedName>
    <definedName name="TALK_SE">#REF!</definedName>
    <definedName name="TALK_share">#REF!</definedName>
    <definedName name="TALK_ticker">#REF!</definedName>
    <definedName name="Tape">#REF!</definedName>
    <definedName name="TAPEStorage">#REF!</definedName>
    <definedName name="target">#REF!</definedName>
    <definedName name="Target_debt_to_capital">#REF!</definedName>
    <definedName name="targmult">#REF!</definedName>
    <definedName name="tariff_discount">#REF!</definedName>
    <definedName name="tax">#REF!</definedName>
    <definedName name="Tax_benefit_from_interest">#REF!</definedName>
    <definedName name="Tax_benefit_from_oper_leases">#REF!</definedName>
    <definedName name="Tax_benefit_from_ops_leases">#REF!</definedName>
    <definedName name="Tax_Benefit_Option_Exercise">#REF!</definedName>
    <definedName name="Tax_Paid">#REF!</definedName>
    <definedName name="Tax_Rate">#REF!</definedName>
    <definedName name="Tax_rate_for_WACC">#REF!</definedName>
    <definedName name="Tax_Shield_Tax_Rate">#REF!</definedName>
    <definedName name="Tax00">#REF!</definedName>
    <definedName name="Taxes">#REF!</definedName>
    <definedName name="taxrate">#REF!</definedName>
    <definedName name="taxrate00">#REF!</definedName>
    <definedName name="taxrate01">#REF!</definedName>
    <definedName name="taxrate02">#REF!</definedName>
    <definedName name="taxrate03">#REF!</definedName>
    <definedName name="taxrate04">#REF!</definedName>
    <definedName name="taxrate98">#REF!</definedName>
    <definedName name="taxrate99">#REF!</definedName>
    <definedName name="TBShare">#REF!</definedName>
    <definedName name="tcgh">#REF!</definedName>
    <definedName name="TDS_1yrEPS">#REF!</definedName>
    <definedName name="TDS_2yrEPS">#REF!</definedName>
    <definedName name="TDS_52HIGH">#REF!</definedName>
    <definedName name="TDS_5YRGROWTH">#REF!</definedName>
    <definedName name="TDS_96EPS">#REF!</definedName>
    <definedName name="TDS_97EPS">#REF!</definedName>
    <definedName name="TDS_98EPS">#REF!</definedName>
    <definedName name="TDS_LTMSGA">#REF!</definedName>
    <definedName name="TDS_PRICE">#REF!</definedName>
    <definedName name="tele5">#REF!</definedName>
    <definedName name="tele5_div">#REF!</definedName>
    <definedName name="Tele5Dec96">#REF!</definedName>
    <definedName name="Tele5Dec97">#REF!</definedName>
    <definedName name="Tele5Dec98">#REF!</definedName>
    <definedName name="Tele5Dec99">#REF!</definedName>
    <definedName name="telecinco">#REF!</definedName>
    <definedName name="TELN_AssociatesMinorities">#REF!</definedName>
    <definedName name="TEM_AssociatesMinorities">#REF!</definedName>
    <definedName name="TEMP">#REF!</definedName>
    <definedName name="Template.WIRE">"DBACCESS"</definedName>
    <definedName name="Tempme" localSheetId="0" hidden="1">{#N/A,#N/A,FALSE,"Output";#N/A,#N/A,FALSE,"Cover Sheet";#N/A,#N/A,FALSE,"Current Mkt. Projections"}</definedName>
    <definedName name="Tempme" hidden="1">{#N/A,#N/A,FALSE,"Output";#N/A,#N/A,FALSE,"Cover Sheet";#N/A,#N/A,FALSE,"Current Mkt. Projections"}</definedName>
    <definedName name="Tempme3" localSheetId="0" hidden="1">{#N/A,#N/A,FALSE,"Output";#N/A,#N/A,FALSE,"Cover Sheet";#N/A,#N/A,FALSE,"Current Mkt. Projections"}</definedName>
    <definedName name="Tempme3" hidden="1">{#N/A,#N/A,FALSE,"Output";#N/A,#N/A,FALSE,"Cover Sheet";#N/A,#N/A,FALSE,"Current Mkt. Projections"}</definedName>
    <definedName name="Tempme4" localSheetId="0" hidden="1">{#N/A,#N/A,FALSE,"Output";#N/A,#N/A,FALSE,"Cover Sheet";#N/A,#N/A,FALSE,"Current Mkt. Projections"}</definedName>
    <definedName name="Tempme4" hidden="1">{#N/A,#N/A,FALSE,"Output";#N/A,#N/A,FALSE,"Cover Sheet";#N/A,#N/A,FALSE,"Current Mkt. Projections"}</definedName>
    <definedName name="Tempo5" localSheetId="0" hidden="1">{#N/A,#N/A,FALSE,"Output";#N/A,#N/A,FALSE,"Cover Sheet";#N/A,#N/A,FALSE,"Current Mkt. Projections"}</definedName>
    <definedName name="Tempo5" hidden="1">{#N/A,#N/A,FALSE,"Output";#N/A,#N/A,FALSE,"Cover Sheet";#N/A,#N/A,FALSE,"Current Mkt. Projections"}</definedName>
    <definedName name="Tempo5a" localSheetId="0" hidden="1">{#N/A,#N/A,FALSE,"Output";#N/A,#N/A,FALSE,"Cover Sheet";#N/A,#N/A,FALSE,"Current Mkt. Projections"}</definedName>
    <definedName name="Tempo5a" hidden="1">{#N/A,#N/A,FALSE,"Output";#N/A,#N/A,FALSE,"Cover Sheet";#N/A,#N/A,FALSE,"Current Mkt. Projections"}</definedName>
    <definedName name="ternfy1cons">#REF!</definedName>
    <definedName name="ternfy2cons">#REF!</definedName>
    <definedName name="ternhi">#REF!</definedName>
    <definedName name="ternlow">#REF!</definedName>
    <definedName name="ternpegrowthavg">#REF!</definedName>
    <definedName name="ternpegrowthcurr">#REF!</definedName>
    <definedName name="ternpegrowthhi">#REF!</definedName>
    <definedName name="ternpegrowthlow">#REF!</definedName>
    <definedName name="ternprice">#REF!</definedName>
    <definedName name="ternshares">#REF!</definedName>
    <definedName name="ternttmavg">#REF!</definedName>
    <definedName name="ternttmcurr">#REF!</definedName>
    <definedName name="ternttmhi">#REF!</definedName>
    <definedName name="ternttmlow">#REF!</definedName>
    <definedName name="ternttmrelavg">#REF!</definedName>
    <definedName name="ternttmrelcurr">#REF!</definedName>
    <definedName name="ternttmrelhi">#REF!</definedName>
    <definedName name="ternttmrellow">#REF!</definedName>
    <definedName name="TEST" hidden="1">{#N/A,#N/A,FALSE,"Report Print"}</definedName>
    <definedName name="TEST_52high">#REF!</definedName>
    <definedName name="TEST_LTMSGA">#REF!</definedName>
    <definedName name="TEST_price">#REF!</definedName>
    <definedName name="test1">{#N/A,#N/A,FALSE,"Report Print"}</definedName>
    <definedName name="TestAdd">"Test RefersTo1"</definedName>
    <definedName name="testrev2">#REF!</definedName>
    <definedName name="textToday">#REF!</definedName>
    <definedName name="TG">#REF!</definedName>
    <definedName name="TGO_1yrEPS">#REF!</definedName>
    <definedName name="TGO_2yrEPS">#REF!</definedName>
    <definedName name="TGO_52high">#REF!</definedName>
    <definedName name="TGO_5YRGROWTH">#REF!</definedName>
    <definedName name="TGO_95EBIT">#REF!</definedName>
    <definedName name="TGO_95EBITDA">#REF!</definedName>
    <definedName name="TGO_96EPS">#REF!</definedName>
    <definedName name="TGO_97EPS">#REF!</definedName>
    <definedName name="TGO_98EPS">#REF!</definedName>
    <definedName name="TGO_ASSET">#REF!</definedName>
    <definedName name="TGO_DEBT">#REF!</definedName>
    <definedName name="TGO_DIV">#REF!</definedName>
    <definedName name="TGO_INTANGIBLE">#REF!</definedName>
    <definedName name="TGO_LTMCAPEX">#REF!</definedName>
    <definedName name="TGO_LTMEBIT">#REF!</definedName>
    <definedName name="TGO_LTMEBITDA">#REF!</definedName>
    <definedName name="TGO_LTMINT">#REF!</definedName>
    <definedName name="TGO_LTMNI">#REF!</definedName>
    <definedName name="TGO_LTMREV">#REF!</definedName>
    <definedName name="TGO_LTMSGA">#REF!</definedName>
    <definedName name="tgo_min">#REF!</definedName>
    <definedName name="TGO_name">#REF!</definedName>
    <definedName name="TGO_netdebt">#REF!</definedName>
    <definedName name="TGO_price">#REF!</definedName>
    <definedName name="TGO_SE">#REF!</definedName>
    <definedName name="TGO_share">#REF!</definedName>
    <definedName name="TGO_ticker">#REF!</definedName>
    <definedName name="TGRP_1yrEPS">#REF!</definedName>
    <definedName name="TGRP_2yrEPS">#REF!</definedName>
    <definedName name="TGRP_52HIGH">#REF!</definedName>
    <definedName name="TGRP_5YRGROWTH">#REF!</definedName>
    <definedName name="TGRP_PRICE">#REF!</definedName>
    <definedName name="TheDate">#REF!</definedName>
    <definedName name="thou">#REF!</definedName>
    <definedName name="threeg">#REF!</definedName>
    <definedName name="tic">#REF!</definedName>
    <definedName name="tica">#REF!</definedName>
    <definedName name="ticb">#REF!</definedName>
    <definedName name="TICC">#REF!</definedName>
    <definedName name="ticd">#REF!</definedName>
    <definedName name="tice">#REF!</definedName>
    <definedName name="TICERK">#REF!</definedName>
    <definedName name="ticf">#REF!</definedName>
    <definedName name="ticg">#REF!</definedName>
    <definedName name="tich">#REF!</definedName>
    <definedName name="tichi">#REF!</definedName>
    <definedName name="tici">#REF!</definedName>
    <definedName name="ticj">#REF!</definedName>
    <definedName name="Tick">#REF!</definedName>
    <definedName name="ticker">#REF!</definedName>
    <definedName name="TickerColumn">#REF!</definedName>
    <definedName name="TickerRef">#REF!</definedName>
    <definedName name="Tickers">#REF!</definedName>
    <definedName name="Tigr_Exhibit0028131d_85f4_4ddc_b8e9_66f9b86553cf" hidden="1">#REF!</definedName>
    <definedName name="Tigr_Exhibit002aaa4e_27c3_4cc5_8911_f21ba88e0f25" hidden="1">#REF!</definedName>
    <definedName name="Tigr_Exhibit009b01a3_5c15_45d1_bbb9_97acf25522cc" hidden="1">#REF!</definedName>
    <definedName name="Tigr_Exhibit0154ac78_47ff_47e0_acb6_cfcb5424d4de" hidden="1">#REF!</definedName>
    <definedName name="Tigr_Exhibit0192c662_2b0a_4de1_9902_d198cf7e09c4" hidden="1">#REF!</definedName>
    <definedName name="Tigr_Exhibit0202b33e_2ca1_48a7_b3c9_96548951432e" hidden="1">#REF!</definedName>
    <definedName name="Tigr_Exhibit021727e2_f581_427e_9fa5_c8bb5be92b8a" hidden="1">#REF!</definedName>
    <definedName name="Tigr_Exhibit021fca9d_98c2_448f_b3b4_9b894abf7a84" hidden="1">#REF!</definedName>
    <definedName name="Tigr_Exhibit023cae1b_9958_4003_86b5_220cfadab7b2" hidden="1">#REF!</definedName>
    <definedName name="Tigr_Exhibit028dca3e_35a7_4b14_9e4f_adeb0a1a0b2b" hidden="1">#REF!</definedName>
    <definedName name="Tigr_Exhibit02cf26bf_9402_43d8_bab6_433dcd4719fe" hidden="1">#REF!</definedName>
    <definedName name="Tigr_Exhibit02ed22d6_19fe_4dbd_84c0_150a484e6f3f" hidden="1">#REF!</definedName>
    <definedName name="Tigr_Exhibit03034a1a_82ab_4278_999a_140d34949ec3" hidden="1">#REF!</definedName>
    <definedName name="Tigr_Exhibit0322ee91_5c47_4420_9ee3_079017e4625f" hidden="1">#REF!</definedName>
    <definedName name="Tigr_Exhibit033f5ec1_181b_413f_8ddb_01da9d1e78ca" hidden="1">#REF!</definedName>
    <definedName name="Tigr_Exhibit035cd9a9_78bd_4598_9433_3a5f70065958" hidden="1">#REF!</definedName>
    <definedName name="Tigr_Exhibit038956b4_738f_4119_8521_b1149d891bc2" hidden="1">#REF!</definedName>
    <definedName name="Tigr_Exhibit038b500e_8fbf_40cd_b7ee_aab710018a1e" hidden="1">#REF!</definedName>
    <definedName name="Tigr_Exhibit03ddabe9_fd18_4760_bc74_3f7b2f692641" hidden="1">#REF!</definedName>
    <definedName name="Tigr_Exhibit043b0c77_b62a_4b60_9c35_90ab4b3a2ccf" hidden="1">#REF!</definedName>
    <definedName name="Tigr_Exhibit0464084c_093d_4466_b65f_74b1b7837c59" hidden="1">#REF!</definedName>
    <definedName name="Tigr_Exhibit0478a843_fbb4_4ef0_811c_5bfbe94f0ed6" hidden="1">#REF!</definedName>
    <definedName name="Tigr_Exhibit047ed2ec_11ad_4371_9f15_9452aae0b95b" hidden="1">#REF!</definedName>
    <definedName name="Tigr_Exhibit04864281_5ee5_4582_9e63_2a9884be0db3" hidden="1">#REF!</definedName>
    <definedName name="Tigr_Exhibit04a61252_a20a_4778_a0e8_b3426ff2ef90" hidden="1">#REF!</definedName>
    <definedName name="Tigr_Exhibit04bd162b_6ad0_4c9a_aa36_90d8dbe7229c" hidden="1">#REF!</definedName>
    <definedName name="Tigr_Exhibit056cbce6_1f86_4180_b875_fcc88235ab21" hidden="1">#REF!</definedName>
    <definedName name="Tigr_Exhibit057906a0_69d2_4833_a485_a264ba9f201c" hidden="1">#REF!</definedName>
    <definedName name="Tigr_Exhibit057e0beb_1091_4dcf_b790_a1714570a7bd" hidden="1">#REF!</definedName>
    <definedName name="Tigr_Exhibit05b1afe1_9051_46a8_92a6_d7c885137802" hidden="1">#REF!</definedName>
    <definedName name="Tigr_Exhibit05c2ad8f_62d8_4503_a05a_4c607c803372" hidden="1">#REF!</definedName>
    <definedName name="Tigr_Exhibit06170088_c3cb_4cf5_be59_709f15c1c386" hidden="1">#REF!</definedName>
    <definedName name="Tigr_Exhibit0633ff38_5dfd_4ed5_95e6_1cf76fdaa44e" hidden="1">#REF!</definedName>
    <definedName name="Tigr_Exhibit06c5b8de_5951_4120_b6a3_eaec8b0036a3" hidden="1">#REF!</definedName>
    <definedName name="Tigr_Exhibit06cad047_df8a_47a2_af79_88db44537407" hidden="1">#REF!</definedName>
    <definedName name="Tigr_Exhibit06d5e61a_fe5c_45da_9ce6_e8ed6638cf62" hidden="1">#REF!</definedName>
    <definedName name="Tigr_Exhibit06d8a50f_5fa0_4d24_b622_b862e3b68788" hidden="1">#REF!</definedName>
    <definedName name="Tigr_Exhibit0703ba34_5664_45a5_a604_f9132a52abad" hidden="1">#REF!</definedName>
    <definedName name="Tigr_Exhibit07772278_d983_4d84_ae83_379a54a64b09" hidden="1">#REF!</definedName>
    <definedName name="Tigr_Exhibit07b976a4_bd45_491b_a088_ef20cd61c171" hidden="1">#REF!</definedName>
    <definedName name="Tigr_Exhibit07f9ff23_2a3b_4a77_9847_1ccef0775326" hidden="1">#REF!</definedName>
    <definedName name="Tigr_Exhibit0819d0e1_31dd_4caf_b83b_cf2b646ade81" hidden="1">#REF!</definedName>
    <definedName name="Tigr_Exhibit082f5894_6b15_43b3_8338_552d8127d7f0" hidden="1">#REF!</definedName>
    <definedName name="Tigr_Exhibit08339d61_1cb5_4066_afc7_193b4d16e851" hidden="1">#REF!</definedName>
    <definedName name="Tigr_Exhibit08478fa4_1a88_418f_b189_49f888afb403" hidden="1">#REF!</definedName>
    <definedName name="Tigr_Exhibit08acb72e_307c_43e5_8754_fe47784bac74" hidden="1">#REF!</definedName>
    <definedName name="Tigr_Exhibit08c69507_2c6f_4518_864e_34b0c8813ac9" hidden="1">#REF!</definedName>
    <definedName name="Tigr_Exhibit094735bb_7196_467a_876c_8104b1e2d9eb" hidden="1">#REF!</definedName>
    <definedName name="Tigr_Exhibit09695ee2_8f5b_4475_916e_33a02cdaecbb" hidden="1">#REF!</definedName>
    <definedName name="Tigr_Exhibit09cfd81b_49b2_4fbf_a394_1668f36aa644" hidden="1">#REF!</definedName>
    <definedName name="Tigr_Exhibit09f6c805_e1ee_4047_8a87_5c3d08efdc0b" hidden="1">#REF!</definedName>
    <definedName name="Tigr_Exhibit0a88bf87_60e0_4c99_8a12_787e073478c4" hidden="1">#REF!</definedName>
    <definedName name="Tigr_Exhibit0ab466ec_e4ce_4bf9_84a6_833d4f6066ce" hidden="1">#REF!</definedName>
    <definedName name="Tigr_Exhibit0b3beb00_03f2_407e_b694_7445c15d279b" hidden="1">#REF!</definedName>
    <definedName name="Tigr_Exhibit0b7de8ec_c8b0_4238_ac43_6bf8efba934a" hidden="1">#REF!</definedName>
    <definedName name="Tigr_Exhibit0b9c49be_6afe_41a5_ac41_183a77719e1e" hidden="1">#REF!</definedName>
    <definedName name="Tigr_Exhibit0bbc04b9_7198_411e_98d5_f42ac2cd55e0" hidden="1">#REF!</definedName>
    <definedName name="Tigr_Exhibit0c2effb7_26e2_4e72_a984_4951523f37fc" hidden="1">#REF!</definedName>
    <definedName name="Tigr_Exhibit0c5ed077_cc46_47dd_a707_f8d716bc8cac" hidden="1">#REF!</definedName>
    <definedName name="Tigr_Exhibit0cc02d34_661b_40f6_9a31_030ad67fc73f" hidden="1">#REF!</definedName>
    <definedName name="Tigr_Exhibit0cff046b_6bf1_4e19_a42f_6fe9d0cb09e1" hidden="1">#REF!</definedName>
    <definedName name="Tigr_Exhibit0d1aea7d_57a8_4a74_a143_2f3d7b95ed37" hidden="1">#REF!</definedName>
    <definedName name="Tigr_Exhibit0d25e9e8_baa7_4949_a24b_091baa11eb4d" hidden="1">#REF!</definedName>
    <definedName name="Tigr_Exhibit0d6fddf1_0793_49a5_881e_395272604d2d" hidden="1">#REF!</definedName>
    <definedName name="Tigr_Exhibit0dc5e786_daef_4de9_9914_04cb40a9af5e" hidden="1">#REF!</definedName>
    <definedName name="Tigr_Exhibit0ec91fc2_12c2_443a_bca1_2296e6716fb0" hidden="1">#REF!</definedName>
    <definedName name="Tigr_Exhibit0fdf1515_4124_4833_a09f_7f2af690977c" hidden="1">#REF!</definedName>
    <definedName name="Tigr_Exhibit104aa2bc_0b61_4398_9ed0_2aed6ba9f61f" hidden="1">#REF!</definedName>
    <definedName name="Tigr_Exhibit105f73ff_9c44_4f1b_b70e_a5d4e0707a97" hidden="1">#REF!</definedName>
    <definedName name="Tigr_Exhibit10646214_7ac6_42c8_9720_a51b8048e285" hidden="1">#REF!</definedName>
    <definedName name="Tigr_Exhibit10ae37f2_2ef0_487d_bc2a_647e04985b67" hidden="1">#REF!</definedName>
    <definedName name="Tigr_Exhibit10c2cd9f_7538_4651_a1b8_551c24733bca" hidden="1">#REF!</definedName>
    <definedName name="Tigr_Exhibit110d99fc_496d_42a4_989c_0b187f7b2f90" hidden="1">#REF!</definedName>
    <definedName name="Tigr_Exhibit117b5d9b_3016_4d3a_807a_53f8fb163f4f" hidden="1">#REF!</definedName>
    <definedName name="Tigr_Exhibit118caf2e_74ad_497f_bbd0_667128373808" hidden="1">#REF!</definedName>
    <definedName name="Tigr_Exhibit11bf2237_8a0f_4c30_862b_9354f160d1fd" hidden="1">#REF!</definedName>
    <definedName name="Tigr_Exhibit11d0d789_649e_4d10_8fda_1a941408aac8" hidden="1">#REF!</definedName>
    <definedName name="Tigr_Exhibit11e82e6a_76b3_4d45_a255_3e18838855f2" hidden="1">#REF!</definedName>
    <definedName name="Tigr_Exhibit12054004_cd37_4cc0_86b5_b5574fb1dae4" hidden="1">#REF!</definedName>
    <definedName name="Tigr_Exhibit122b0949_e25b_40bc_a7bb_3bf8b1f9b3f8" hidden="1">#REF!</definedName>
    <definedName name="Tigr_Exhibit126ec1d6_7c38_4601_b74d_c630fd409730" hidden="1">#REF!</definedName>
    <definedName name="Tigr_Exhibit130213c9_734a_4cdf_af88_6d7b6a7aadf1" hidden="1">#REF!</definedName>
    <definedName name="Tigr_Exhibit1315fd7d_6466_4db9_bbc3_6c4dad1a4f16" hidden="1">#REF!</definedName>
    <definedName name="Tigr_Exhibit13b3cb56_0056_4bee_aba9_a2e0815a989b" hidden="1">#REF!</definedName>
    <definedName name="Tigr_Exhibit14368c69_b4e5_4ee9_8352_525285b21728" hidden="1">#REF!</definedName>
    <definedName name="Tigr_Exhibit146e1545_30d5_4ea3_8741_81b8485a9a83" hidden="1">#REF!</definedName>
    <definedName name="Tigr_Exhibit14af41bc_de60_4391_89cf_f9dc00839340" hidden="1">#REF!</definedName>
    <definedName name="Tigr_Exhibit14d21df8_eefe_40c6_a8df_b5239db38933" hidden="1">#REF!</definedName>
    <definedName name="Tigr_Exhibit1542b4b4_a090_4999_ae1d_f1713598eed9" hidden="1">#REF!</definedName>
    <definedName name="Tigr_Exhibit15cc0782_070c_49a8_ad93_2d0e3c96a474" hidden="1">#REF!</definedName>
    <definedName name="Tigr_Exhibit15f9e24f_2b3f_410d_be62_04561c7687fb" hidden="1">#REF!</definedName>
    <definedName name="Tigr_Exhibit164a841e_3438_41a7_85d6_6df377b9f154" hidden="1">#REF!</definedName>
    <definedName name="Tigr_Exhibit17c523c7_d845_404b_9633_6d0b83daf952" hidden="1">#REF!</definedName>
    <definedName name="Tigr_Exhibit17c879fd_c8c5_4954_a3f6_1cd6191586bc" hidden="1">#REF!</definedName>
    <definedName name="Tigr_Exhibit184f804b_5a20_43e4_ac14_6b0c530e061e" hidden="1">#REF!</definedName>
    <definedName name="Tigr_Exhibit1888c61d_137d_4d1d_afe1_f21674677dc4" hidden="1">#REF!</definedName>
    <definedName name="Tigr_Exhibit18bb1737_fb08_40f0_8cc5_ae69de8ab545" hidden="1">#REF!</definedName>
    <definedName name="Tigr_Exhibit194dc460_88d7_46bf_996c_5760e3694130" hidden="1">#REF!</definedName>
    <definedName name="Tigr_Exhibit19cc41f5_d2e6_4d90_930a_8934c4739751" hidden="1">#REF!</definedName>
    <definedName name="Tigr_Exhibit19d9a4a5_7ee4_4955_8ce0_a657e034e7f9" hidden="1">#REF!</definedName>
    <definedName name="Tigr_Exhibit1a3a178b_cc78_4f81_8995_2dbe81387070" hidden="1">#REF!</definedName>
    <definedName name="Tigr_Exhibit1a8d9ec2_031f_43bd_aee8_49f1a31d8109" hidden="1">#REF!</definedName>
    <definedName name="Tigr_Exhibit1a8eaa51_7b69_4a41_ad9f_2ca34f3d2b17" hidden="1">#REF!</definedName>
    <definedName name="Tigr_Exhibit1ac725f5_c31a_47ad_a0ee_0c21844d5be4" hidden="1">#REF!</definedName>
    <definedName name="Tigr_Exhibit1b16b04a_b407_43c1_a4c7_869e3f8c78ed" hidden="1">#REF!</definedName>
    <definedName name="Tigr_Exhibit1b575437_f0d5_4b86_8b4b_57aa3295be68" hidden="1">#REF!</definedName>
    <definedName name="Tigr_Exhibit1b84f5d5_7ef6_4376_90f6_a5d76cb868cf" hidden="1">#REF!</definedName>
    <definedName name="Tigr_Exhibit1bb75cda_bad5_4a3b_bb9d_a5218abc402e" hidden="1">#REF!</definedName>
    <definedName name="Tigr_Exhibit1bbf4ba5_1824_4d91_88b7_2556ac077cae" hidden="1">#REF!</definedName>
    <definedName name="Tigr_Exhibit1bf2f6c0_5384_4239_8799_0fc5796e338f" hidden="1">#REF!</definedName>
    <definedName name="Tigr_Exhibit1bf4d0d8_7897_45b8_9f05_dbadce1e1681" hidden="1">#REF!</definedName>
    <definedName name="Tigr_Exhibit1c0963b8_7a49_4c64_aa43_b3581dac5f5d" hidden="1">#REF!</definedName>
    <definedName name="Tigr_Exhibit1c18a0c8_acbe_40cf_9dc3_1d5f96d82834" hidden="1">#REF!</definedName>
    <definedName name="Tigr_Exhibit1c1fb617_41b3_4547_990b_cd2e36be5818" hidden="1">#REF!</definedName>
    <definedName name="Tigr_Exhibit1c5f6995_8a20_4a8f_895c_b81a0ef4405b" hidden="1">#REF!</definedName>
    <definedName name="Tigr_Exhibit1ca31f27_f95a_4313_a47a_05ac6de2d14c" hidden="1">#REF!</definedName>
    <definedName name="Tigr_Exhibit1cbbeff6_39e1_41df_9bc4_46811621f3e3" hidden="1">#REF!</definedName>
    <definedName name="Tigr_Exhibit1cc54d1f_bc93_4524_9ec6_4bc0c70471b7" hidden="1">#REF!</definedName>
    <definedName name="Tigr_Exhibit1cd5651d_895b_4740_a3ee_a0fdc1689ed7" hidden="1">#REF!</definedName>
    <definedName name="Tigr_Exhibit1cde7e5a_b91f_40c2_89fa_728d62ddae88" hidden="1">#REF!</definedName>
    <definedName name="Tigr_Exhibit1ceb4507_f710_4f0c_97da_d81dc0b4acf0" hidden="1">#REF!</definedName>
    <definedName name="Tigr_Exhibit1d3a302e_6b82_4c25_a236_03eaf7e3117f" hidden="1">#REF!</definedName>
    <definedName name="Tigr_Exhibit1d5dd59d_ef15_4abf_9835_45d308d6f7f0" hidden="1">#REF!</definedName>
    <definedName name="Tigr_Exhibit1da221c1_9350_4cfb_8bd3_694c92a20732" hidden="1">#REF!</definedName>
    <definedName name="Tigr_Exhibit1db37b01_2b54_4ac7_9b20_73a4cf039e5f" hidden="1">#REF!</definedName>
    <definedName name="Tigr_Exhibit1dcda83c_b3f9_40db_9978_9e77a2c6eea8" hidden="1">#REF!</definedName>
    <definedName name="Tigr_Exhibit1df88969_7aec_4524_b56d_17499601f175" hidden="1">#REF!</definedName>
    <definedName name="Tigr_Exhibit1ea8e89c_708b_40b3_8690_75d641407aa3" hidden="1">#REF!</definedName>
    <definedName name="Tigr_Exhibit1ec7de98_53ea_4c34_9c48_127093b5edcc" hidden="1">#REF!</definedName>
    <definedName name="Tigr_Exhibit1ecaaca1_5a64_4308_96d8_82be041a8ff4" hidden="1">#REF!</definedName>
    <definedName name="Tigr_Exhibit1ed6c2d1_941a_4352_bb95_9fef75efdde8" hidden="1">#REF!</definedName>
    <definedName name="Tigr_Exhibit1f18dfdf_8741_45f9_b1a6_d6cd661c5826" hidden="1">#REF!</definedName>
    <definedName name="Tigr_Exhibit1f202c7f_9261_48cc_8e33_da16d205c8fd" hidden="1">#REF!</definedName>
    <definedName name="Tigr_Exhibit1f575b50_a66f_4306_95de_147ab7216b16" hidden="1">#REF!</definedName>
    <definedName name="Tigr_Exhibit1f599d52_049e_485a_920f_394168188f50" hidden="1">#REF!</definedName>
    <definedName name="Tigr_Exhibit1f7568e2_1ced_4f22_acf1_03dbdabb6e7c" hidden="1">#REF!</definedName>
    <definedName name="Tigr_Exhibit1fb5b329_eac3_4489_9b54_0b8826f7997b" hidden="1">#REF!</definedName>
    <definedName name="Tigr_Exhibit2011c2c7_41d1_429e_9ffe_eef6e1f33725" hidden="1">#REF!</definedName>
    <definedName name="Tigr_Exhibit201a0b2d_b203_4aa9_9736_88c42bb48cf7" hidden="1">#REF!</definedName>
    <definedName name="Tigr_Exhibit204c749c_b1de_4d0d_ad68_7128c304ba22" hidden="1">#REF!</definedName>
    <definedName name="Tigr_Exhibit205e2a70_4c83_4b1d_abbb_4141b0329017" hidden="1">#REF!</definedName>
    <definedName name="Tigr_Exhibit208d519a_9d37_4442_b6b1_6f0a3f89a6f6" hidden="1">#REF!</definedName>
    <definedName name="Tigr_Exhibit20e9858e_c6ec_4f10_a5f2_0fcbef0eb24a" hidden="1">#REF!</definedName>
    <definedName name="Tigr_Exhibit20f9e1f7_54f3_482d_8ec3_039285dde94a" hidden="1">#REF!</definedName>
    <definedName name="Tigr_Exhibit21e680a0_21d6_4d77_b870_b0ffadc70b68" hidden="1">#REF!</definedName>
    <definedName name="Tigr_Exhibit22073013_7e61_4102_9073_470feceddec8" hidden="1">#REF!</definedName>
    <definedName name="Tigr_Exhibit2213a5de_d87a_4fb1_bd80_4ab693c83a3f" hidden="1">#REF!</definedName>
    <definedName name="Tigr_Exhibit227f5da8_8100_4035_9575_4f1e3beb8cab" hidden="1">#REF!</definedName>
    <definedName name="Tigr_Exhibit22911947_3996_4dcb_b36d_b5526e34204b" hidden="1">#REF!</definedName>
    <definedName name="Tigr_Exhibit22dd4fab_be5a_44c6_9ebc_954ea39fc415" hidden="1">#REF!</definedName>
    <definedName name="Tigr_Exhibit23213b1d_423c_44d5_913b_5b858b14ca45" hidden="1">#REF!</definedName>
    <definedName name="Tigr_Exhibit23d2962e_8397_42b2_9dc8_fc1bcbbd68d7" hidden="1">#REF!</definedName>
    <definedName name="Tigr_Exhibit23f37ddf_d550_4d6f_bc6c_127782e2a669" hidden="1">#REF!</definedName>
    <definedName name="Tigr_Exhibit2407efb0_eb74_4ad7_8224_63393ee54b18" hidden="1">#REF!</definedName>
    <definedName name="Tigr_Exhibit243d45b1_0d4f_4056_a4bc_35d85f4fa71b" hidden="1">#REF!</definedName>
    <definedName name="Tigr_Exhibit2467cab6_affb_499c_80b9_14d8382ddc70" hidden="1">#REF!</definedName>
    <definedName name="Tigr_Exhibit247d9f69_b393_4206_bc42_09e126e7910d" hidden="1">#REF!</definedName>
    <definedName name="Tigr_Exhibit248ebe65_35d9_4d4a_b582_3d002077ce6d" hidden="1">#REF!</definedName>
    <definedName name="Tigr_Exhibit24c59570_212d_47c6_a5da_f3ba02084c61" hidden="1">#REF!</definedName>
    <definedName name="Tigr_Exhibit2548d1d8_1aa1_4ea3_a9bf_65886805c652" hidden="1">#REF!</definedName>
    <definedName name="Tigr_Exhibit2569b0ff_c0c0_4ce7_8e31_972041e85236" hidden="1">#REF!</definedName>
    <definedName name="Tigr_Exhibit257d6289_1a3c_40b4_8ed2_1e7e6e67a3ab" hidden="1">#REF!</definedName>
    <definedName name="Tigr_Exhibit25a94057_2b22_4074_ba60_7eb50fd1ef0c" hidden="1">#REF!</definedName>
    <definedName name="Tigr_Exhibit26387df9_2ef3_406f_8a75_6945a88f908d" hidden="1">#REF!</definedName>
    <definedName name="Tigr_Exhibit263da391_b0b2_4bd0_9aa9_524ecb9306e4" hidden="1">#REF!</definedName>
    <definedName name="Tigr_Exhibit267310ce_a640_43e0_8701_fa95b0f24293" hidden="1">#REF!</definedName>
    <definedName name="Tigr_Exhibit26a4f857_5777_4154_9e5f_593abec88f4f" hidden="1">#REF!</definedName>
    <definedName name="Tigr_Exhibit26ccfb55_d137_4e62_856f_3f5424b1914a" hidden="1">#REF!</definedName>
    <definedName name="Tigr_Exhibit27406a32_d3c6_413d_97d3_e8c0a775da0c" hidden="1">#REF!</definedName>
    <definedName name="Tigr_Exhibit277202f3_f774_4e72_9008_911b46c1219e" hidden="1">#REF!</definedName>
    <definedName name="Tigr_Exhibit27a53e53_f04f_40b8_bec0_d3dbd283ee17" hidden="1">#REF!</definedName>
    <definedName name="Tigr_Exhibit27a70baf_e067_42bc_b310_b18e3b4e8383" hidden="1">#REF!</definedName>
    <definedName name="Tigr_Exhibit27a7bc9c_f289_489c_96d5_4587d8132a50" hidden="1">#REF!</definedName>
    <definedName name="Tigr_Exhibit27bfed31_ada9_49cf_999d_db9788a8acfe" hidden="1">#REF!</definedName>
    <definedName name="Tigr_Exhibit27c2e18a_5b4f_4de5_af32_9c9bcde935e3" hidden="1">#REF!</definedName>
    <definedName name="Tigr_Exhibit27ec6690_8908_4a93_b5b4_49b293a5e67f" hidden="1">#REF!</definedName>
    <definedName name="Tigr_Exhibit2864dec5_f7c6_4eb7_8ee8_6276af1df811" hidden="1">#REF!</definedName>
    <definedName name="Tigr_Exhibit2951d39d_d2b0_495b_b05b_c29329b84920" hidden="1">#REF!</definedName>
    <definedName name="Tigr_Exhibit2960be25_f4d3_428c_ba31_6e1a1d68df17" hidden="1">#REF!</definedName>
    <definedName name="Tigr_Exhibit296d2422_a28e_476f_be5c_c02a7c90db63" hidden="1">#REF!</definedName>
    <definedName name="Tigr_Exhibit296edea2_7bea_4e53_a6ee_b33902e5e587" hidden="1">#REF!</definedName>
    <definedName name="Tigr_Exhibit29844eee_2e7d_415e_9c10_af4d976ce5ae" hidden="1">#REF!</definedName>
    <definedName name="Tigr_Exhibit29854daa_7222_4c3f_b72c_ec237c1e29a4" hidden="1">#REF!</definedName>
    <definedName name="Tigr_Exhibit29926b7c_847f_4b0f_8b38_df56935cac46" hidden="1">#REF!</definedName>
    <definedName name="Tigr_Exhibit29ccf0b4_14cd_4dbf_b3e4_84b765f16e00" hidden="1">#REF!</definedName>
    <definedName name="Tigr_Exhibit29db5f97_a0c3_47c6_9f22_cdd72800e701" hidden="1">#REF!</definedName>
    <definedName name="Tigr_Exhibit29f5bea6_64ce_411c_949b_ab34142fe903" hidden="1">#REF!</definedName>
    <definedName name="Tigr_Exhibit2a043c29_6463_4404_bfac_5b489f2b3691" hidden="1">#REF!</definedName>
    <definedName name="Tigr_Exhibit2a435385_6ffa_4589_8876_102205fc89e8" hidden="1">#REF!</definedName>
    <definedName name="Tigr_Exhibit2a8deb5b_306c_4377_af0d_91a9d2047b6a" hidden="1">#REF!</definedName>
    <definedName name="Tigr_Exhibit2af4230b_5408_48ac_8fff_9a2837ef63cd" hidden="1">#REF!</definedName>
    <definedName name="Tigr_Exhibit2afe9327_152a_46a2_a5f4_e16bceca92ca" hidden="1">#REF!</definedName>
    <definedName name="Tigr_Exhibit2b29a701_cd94_4895_951b_7bff820a5eef" hidden="1">#REF!</definedName>
    <definedName name="Tigr_Exhibit2ba9ea2a_e7dc_4648_95fa_a1a1b46d4ecb" hidden="1">#REF!</definedName>
    <definedName name="Tigr_Exhibit2bab0db6_bae6_4c41_9ea2_b1a3fcf9d804" hidden="1">#REF!</definedName>
    <definedName name="Tigr_Exhibit2be4c863_4c09_4021_a148_e98213be1d2a" hidden="1">#REF!</definedName>
    <definedName name="Tigr_Exhibit2c91664e_d3ed_4b0c_aa59_7b20e1f28d1b" hidden="1">#REF!</definedName>
    <definedName name="Tigr_Exhibit2cc90c5b_7dbb_41a1_8ed2_c6e54b166dea" hidden="1">#REF!</definedName>
    <definedName name="Tigr_Exhibit2ce1beeb_3144_4d71_90d3_c8adaed1550b" hidden="1">#REF!</definedName>
    <definedName name="Tigr_Exhibit2d403daf_ad3c_48e8_b967_685b5f32eeba" hidden="1">#REF!</definedName>
    <definedName name="Tigr_Exhibit2d7a67fb_ce3f_4a01_9cef_074ef19f2b28" hidden="1">#REF!</definedName>
    <definedName name="Tigr_Exhibit2da4a680_5cdb_419f_b5c1_a0b78df42e22" hidden="1">#REF!</definedName>
    <definedName name="Tigr_Exhibit2e09b100_7060_4167_b981_e9a748444111" hidden="1">#REF!</definedName>
    <definedName name="Tigr_Exhibit2e4b35a5_878f_4fa7_aca3_5c7808b39c63" hidden="1">#REF!</definedName>
    <definedName name="Tigr_Exhibit2e8f9586_7a9a_4000_a069_c65ca0a3f535" hidden="1">#REF!</definedName>
    <definedName name="Tigr_Exhibit2eacc7f2_942c_49a1_a900_8535061060ea" hidden="1">#REF!</definedName>
    <definedName name="Tigr_Exhibit2ed17424_7e64_476f_93b2_783a6b1017a0" hidden="1">#REF!</definedName>
    <definedName name="Tigr_Exhibit2f28f7d4_dacc_40d7_9e3f_124247451280" hidden="1">#REF!</definedName>
    <definedName name="Tigr_Exhibit2f440295_caca_4213_8be1_e693081bbd97" hidden="1">#REF!</definedName>
    <definedName name="Tigr_Exhibit2f546f96_5669_4465_b897_9e921991f858" hidden="1">#REF!</definedName>
    <definedName name="Tigr_Exhibit2f671699_d0d7_4f75_b35c_1b744e289acd" hidden="1">#REF!</definedName>
    <definedName name="Tigr_Exhibit2f67801f_6952_4da6_ba18_5eb377d7021c" hidden="1">#REF!</definedName>
    <definedName name="Tigr_Exhibit2fb2615b_fa5d_4d8c_ad9e_10800f0ee171" hidden="1">#REF!</definedName>
    <definedName name="Tigr_Exhibit2ffb1d8f_9d3b_45c1_a6f6_741e89e84d6e" hidden="1">#REF!</definedName>
    <definedName name="Tigr_Exhibit304de183_0586_4f12_98d1_a3bfec9bde5f" hidden="1">#REF!</definedName>
    <definedName name="Tigr_Exhibit305b2507_271e_4c21_bf86_4325ca9d48de" hidden="1">#REF!</definedName>
    <definedName name="Tigr_Exhibit3077d6f6_65c4_420b_a26b_000f40fdcbc4" hidden="1">#REF!</definedName>
    <definedName name="Tigr_Exhibit30822756_ae77_49c4_8e1c_d5ec495465f6" hidden="1">#REF!</definedName>
    <definedName name="Tigr_Exhibit308bc02f_df6f_4a4e_b6a1_1c73f2c642fe" hidden="1">#REF!</definedName>
    <definedName name="Tigr_Exhibit309b0957_0365_411d_9a8a_08c1186e2c9d" hidden="1">#REF!</definedName>
    <definedName name="Tigr_Exhibit30a0245d_5350_4026_be44_0dccd0359b2c" hidden="1">#REF!</definedName>
    <definedName name="Tigr_Exhibit30f94009_1895_4a63_a4ef_9767a06cdddb" hidden="1">#REF!</definedName>
    <definedName name="Tigr_Exhibit3120e0a7_4d35_44d7_83fb_16feaebed194" hidden="1">#REF!</definedName>
    <definedName name="Tigr_Exhibit315e4e9a_2e49_4bf3_a93e_cdd67e3b2511" hidden="1">#REF!</definedName>
    <definedName name="Tigr_Exhibit31958201_2f93_422b_8925_62c5067a5f30" hidden="1">#REF!</definedName>
    <definedName name="Tigr_Exhibit31c766af_f71e_40b7_90e8_8083f5d5c8f6" hidden="1">#REF!</definedName>
    <definedName name="Tigr_Exhibit31ff87a5_149e_4df0_8a98_4985bc620c19" hidden="1">#REF!</definedName>
    <definedName name="Tigr_Exhibit323d8820_725c_40f2_8ee8_a1d55b77085e" hidden="1">#REF!</definedName>
    <definedName name="Tigr_Exhibit324c6208_5ea2_4dd4_8545_fcd807c4a462" hidden="1">#REF!</definedName>
    <definedName name="Tigr_Exhibit3273b960_3fe9_45a4_9119_8a1a014fe0e6" hidden="1">#REF!</definedName>
    <definedName name="Tigr_Exhibit327686ac_e017_4e59_9b30_b9a4c882d8bc" hidden="1">#REF!</definedName>
    <definedName name="Tigr_Exhibit327dbbef_82b0_4261_bc25_9d7225c64506" hidden="1">#REF!</definedName>
    <definedName name="Tigr_Exhibit32892b9d_61ea_4bf1_8f64_b854b03b3a69" hidden="1">#REF!</definedName>
    <definedName name="Tigr_Exhibit328ff8db_9594_4084_8ab9_361df0637185" hidden="1">#REF!</definedName>
    <definedName name="Tigr_Exhibit335d3318_71fb_422d_9311_d609da7881f5" hidden="1">#REF!</definedName>
    <definedName name="Tigr_Exhibit33725e7f_12d9_4650_bc6a_5b0702cb75a6" hidden="1">#REF!</definedName>
    <definedName name="Tigr_Exhibit33abef17_5278_4b0e_be42_bdfdecee7d85" hidden="1">#REF!</definedName>
    <definedName name="Tigr_Exhibit33c45e4b_38e6_4e65_9e82_cc5e9c564d67" hidden="1">#REF!</definedName>
    <definedName name="Tigr_Exhibit33f9bc3e_ff79_4673_977c_4909d7d56251" hidden="1">#REF!</definedName>
    <definedName name="Tigr_Exhibit348a5af6_694a_414f_8b34_9455aa335f7e" hidden="1">#REF!</definedName>
    <definedName name="Tigr_Exhibit34bc4dbb_a830_4804_b875_5789a4f6bda1" hidden="1">#REF!</definedName>
    <definedName name="Tigr_Exhibit34c9379d_4a08_4dd2_8c36_35873b6e6fdd" hidden="1">#REF!</definedName>
    <definedName name="Tigr_Exhibit34d8fb4c_f79a_4989_b10c_3c28e7951a82" hidden="1">#REF!</definedName>
    <definedName name="Tigr_Exhibit34f7f470_a3fd_4d05_99a3_2e83c584866a" hidden="1">#REF!</definedName>
    <definedName name="Tigr_Exhibit351f1269_66cc_4411_b17d_d02f967a8b53" hidden="1">#REF!</definedName>
    <definedName name="Tigr_Exhibit355f2fca_0821_4d63_9c35_852dcd3cee78" hidden="1">#REF!</definedName>
    <definedName name="Tigr_Exhibit35852c5a_c914_4353_8654_edae90d414b5" hidden="1">#REF!</definedName>
    <definedName name="Tigr_Exhibit35ac7484_8799_46fd_a348_ab3961f543c0" hidden="1">#REF!</definedName>
    <definedName name="Tigr_Exhibit368ce0bc_7fc3_43e8_a1f6_49932066d6fe" hidden="1">#REF!</definedName>
    <definedName name="Tigr_Exhibit36e0b23f_25de_4b46_8aa0_dc219785483e" hidden="1">#REF!</definedName>
    <definedName name="Tigr_Exhibit36e58545_f1ba_420c_8945_00d252e8a17c" hidden="1">#REF!</definedName>
    <definedName name="Tigr_Exhibit370d47fe_ca3d_4abc_a4f0_0b2145684e6b" hidden="1">#REF!</definedName>
    <definedName name="Tigr_Exhibit3721e43d_bf59_42f0_ac55_52c25e965d7c" hidden="1">#REF!</definedName>
    <definedName name="Tigr_Exhibit3756eb12_88d4_4e4b_828a_091942b84abf" hidden="1">#REF!</definedName>
    <definedName name="Tigr_Exhibit37911e43_fc6e_4bd6_89cf_b935c5d9fdb1" hidden="1">#REF!</definedName>
    <definedName name="Tigr_Exhibit37b5c2b1_0652_429c_8dd1_96b50fec850e" hidden="1">#REF!</definedName>
    <definedName name="Tigr_Exhibit37c35c95_5487_4245_a08e_27daeaa3a49e" hidden="1">#REF!</definedName>
    <definedName name="Tigr_Exhibit3893d560_fd53_4d4e_8729_6b7490e459b1" hidden="1">#REF!</definedName>
    <definedName name="Tigr_Exhibit38d5aa63_5fe9_471c_bf5a_341ae720bcd6" hidden="1">#REF!</definedName>
    <definedName name="Tigr_Exhibit38e5a01a_5580_4c4f_9b6e_a111e2aaf496" hidden="1">#REF!</definedName>
    <definedName name="Tigr_Exhibit391702f2_ad7c_4320_9835_8bf348360f11" hidden="1">#REF!</definedName>
    <definedName name="Tigr_Exhibit394467ac_1b66_4f13_8ee2_544bb825a729" hidden="1">#REF!</definedName>
    <definedName name="Tigr_Exhibit39b09d5f_9e15_47d0_b515_9b8e5f4db734" hidden="1">#REF!</definedName>
    <definedName name="Tigr_Exhibit39d3c40d_0d6f_494e_be7e_52cbcd00fc21" hidden="1">#REF!</definedName>
    <definedName name="Tigr_Exhibit39f47ba0_11ab_44dc_90ae_0aee81be6fa4" hidden="1">#REF!</definedName>
    <definedName name="Tigr_Exhibit3a180900_bf0b_4560_be01_940f6db1d64f" hidden="1">#REF!</definedName>
    <definedName name="Tigr_Exhibit3a1dd22e_7d1e_4d8c_82aa_56ff30bdd23e" hidden="1">#REF!</definedName>
    <definedName name="Tigr_Exhibit3a217f90_c9e3_49c3_826b_20f7950d1303" hidden="1">#REF!</definedName>
    <definedName name="Tigr_Exhibit3a3249ce_8d97_49e5_8c16_2a001d779631" hidden="1">#REF!</definedName>
    <definedName name="Tigr_Exhibit3aafb989_542c_440a_80c2_32b2244b6022" hidden="1">#REF!</definedName>
    <definedName name="Tigr_Exhibit3acf3a46_e5ac_4f37_99f3_ae1b7831c3d6" hidden="1">#REF!</definedName>
    <definedName name="Tigr_Exhibit3ad6815a_ab3f_4945_8a42_1bb46ef2101a" hidden="1">#REF!</definedName>
    <definedName name="Tigr_Exhibit3b19b2c0_fe91_4281_8b17_0bfca91fe0d9" hidden="1">#REF!</definedName>
    <definedName name="Tigr_Exhibit3b2096bc_2c9a_459d_a020_890af34c859e" hidden="1">#REF!</definedName>
    <definedName name="Tigr_Exhibit3b2cb490_c979_4c3c_82e6_1af642a979dc" hidden="1">#REF!</definedName>
    <definedName name="Tigr_Exhibit3bc57539_902d_4046_8040_e0478740737f" hidden="1">#REF!</definedName>
    <definedName name="Tigr_Exhibit3bd306d4_5469_49a2_9e23_4179b22d9228" hidden="1">#REF!</definedName>
    <definedName name="Tigr_Exhibit3c757992_d8b0_4e6e_b1a7_fa1439e15388" hidden="1">#REF!</definedName>
    <definedName name="Tigr_Exhibit3c9b0c7e_bbdd_436d_8990_9ac5e7bdb338" hidden="1">#REF!</definedName>
    <definedName name="Tigr_Exhibit3cb220a6_2c14_411c_bcb3_05ad0f1fee12" hidden="1">#REF!</definedName>
    <definedName name="Tigr_Exhibit3cd58de8_5924_426e_93fb_e626c8ac3d6a" hidden="1">#REF!</definedName>
    <definedName name="Tigr_Exhibit3d3f59fd_b3d1_45bd_bdba_912cd35691cf" hidden="1">#REF!</definedName>
    <definedName name="Tigr_Exhibit3d596fec_fabe_42e4_8773_32e2007dcbd0" hidden="1">#REF!</definedName>
    <definedName name="Tigr_Exhibit3de04384_909a_45c9_8ec4_66c395a76111" hidden="1">#REF!</definedName>
    <definedName name="Tigr_Exhibit3e5608be_93ab_4a17_b3fb_f82ce8b84375" hidden="1">#REF!</definedName>
    <definedName name="Tigr_Exhibit401e8dfe_2e22_45b2_ae48_c72c69066d7a" hidden="1">#REF!</definedName>
    <definedName name="Tigr_Exhibit402f4ff5_3c70_4ede_9005_4daaf962595d" hidden="1">#REF!</definedName>
    <definedName name="Tigr_Exhibit404ba40a_6247_4848_a93a_ff8fd0f62995" hidden="1">#REF!</definedName>
    <definedName name="Tigr_Exhibit4052e055_0e1a_49cf_9808_ae86ce6adbd6" hidden="1">#REF!</definedName>
    <definedName name="Tigr_Exhibit40b29ff9_91cf_4b0e_a852_981728a8f030" hidden="1">#REF!</definedName>
    <definedName name="Tigr_Exhibit40c20100_a1d0_4d42_8cbd_061a5066d77a" hidden="1">#REF!</definedName>
    <definedName name="Tigr_Exhibit40cca184_e492_4740_9731_fc9584fd5cd9" hidden="1">#REF!</definedName>
    <definedName name="Tigr_Exhibit40d88dd5_a328_4bca_b70f_3504b7a98867" hidden="1">#REF!</definedName>
    <definedName name="Tigr_Exhibit40f83a02_de26_492e_856c_93e9476f7d59" hidden="1">#REF!</definedName>
    <definedName name="Tigr_Exhibit414d1a5d_056b_45eb_88cf_0e48bc6dfe98" hidden="1">#REF!</definedName>
    <definedName name="Tigr_Exhibit41639b7d_4baa_43ad_9e58_625871d80a6e" hidden="1">#REF!</definedName>
    <definedName name="Tigr_Exhibit417d4f6a_272e_4be6_8cf3_fa300aeb757b" hidden="1">#REF!</definedName>
    <definedName name="Tigr_Exhibit41cd0215_d911_4587_92d7_1ceb21f3ed52" hidden="1">#REF!</definedName>
    <definedName name="Tigr_Exhibit41d49a25_9140_47f4_af0a_2bfe01abfdae" hidden="1">#REF!</definedName>
    <definedName name="Tigr_Exhibit4203bff1_bccc_4f97_8e6d_ada8bc112a86" hidden="1">#REF!</definedName>
    <definedName name="Tigr_Exhibit42298c3d_83d3_42fe_8df1_e1a2f85269db" hidden="1">#REF!</definedName>
    <definedName name="Tigr_Exhibit4263b9c4_29d6_467f_a868_3a695549e7c2" hidden="1">#REF!</definedName>
    <definedName name="Tigr_Exhibit4284492a_f849_4abb_ba5f_75b8bbcf77e8" hidden="1">#REF!</definedName>
    <definedName name="Tigr_Exhibit4289c90e_f5ab_482c_a4dd_5b8acd90f828" hidden="1">#REF!</definedName>
    <definedName name="Tigr_Exhibit42d70080_2d94_4110_b42c_964dccd2af05" hidden="1">#REF!</definedName>
    <definedName name="Tigr_Exhibit4316d907_c422_428d_bd93_8d3931294569" hidden="1">#REF!</definedName>
    <definedName name="Tigr_Exhibit432ae056_505f_4a92_929b_f80a0e783be2" hidden="1">#REF!</definedName>
    <definedName name="Tigr_Exhibit4395ff1d_c47d_479d_9e10_65f9d6e0c62c" hidden="1">#REF!</definedName>
    <definedName name="Tigr_Exhibit43a993ac_c440_4a17_a54b_a48884aad7e7" hidden="1">#REF!</definedName>
    <definedName name="Tigr_Exhibit43e80cb1_3c68_49b1_bd27_a8d9655bbe32" hidden="1">#REF!</definedName>
    <definedName name="Tigr_Exhibit43eb60d9_0cb9_4403_9045_708399651815" hidden="1">#REF!</definedName>
    <definedName name="Tigr_Exhibit4448d130_f690_49c1_b5a0_60a57b7193bd" hidden="1">#REF!</definedName>
    <definedName name="Tigr_Exhibit4449c92a_de9e_4b46_83d2_bd29c3823104" hidden="1">#REF!</definedName>
    <definedName name="Tigr_Exhibit44505ba9_eda4_4bbc_994e_3524c7d78742" hidden="1">#REF!</definedName>
    <definedName name="Tigr_Exhibit445c4a2e_f7f3_49cc_985e_482037b161ba" hidden="1">#REF!</definedName>
    <definedName name="Tigr_Exhibit4476aefc_08be_4cc2_b272_e04d64dcee32" hidden="1">#REF!</definedName>
    <definedName name="Tigr_Exhibit453d75dc_31a2_4c4b_bd97_95e7de4c410a" hidden="1">#REF!</definedName>
    <definedName name="Tigr_Exhibit454d55da_7a8d_481f_9372_fe6428dc1506" hidden="1">#REF!</definedName>
    <definedName name="Tigr_Exhibit457d6b5c_8069_490a_a388_1217e60e57ae" hidden="1">#REF!</definedName>
    <definedName name="Tigr_Exhibit45d24816_694d_4958_ab1c_28737da616d5" hidden="1">#REF!</definedName>
    <definedName name="Tigr_Exhibit45d25788_2a3b_418a_916c_9c8f66297291" hidden="1">#REF!</definedName>
    <definedName name="Tigr_Exhibit45db26c1_2667_4c68_9080_88f959018c73" hidden="1">#REF!</definedName>
    <definedName name="Tigr_Exhibit45e82aa4_30d7_4d53_afce_de461f394655" hidden="1">#REF!</definedName>
    <definedName name="Tigr_Exhibit45f65f09_8587_4edc_a68c_6107b1bd0dfb" hidden="1">#REF!</definedName>
    <definedName name="Tigr_Exhibit4613bbb1_584b_4619_8c0a_0863dcb99915" hidden="1">#REF!</definedName>
    <definedName name="Tigr_Exhibit464412ac_963c_4054_959d_0d60eb4018c2" hidden="1">#REF!</definedName>
    <definedName name="Tigr_Exhibit46f2ca48_4329_497b_b9e3_284ab2d1cced" hidden="1">#REF!</definedName>
    <definedName name="Tigr_Exhibit472ad65f_6ba9_4785_986b_39f8a258ea16" hidden="1">#REF!</definedName>
    <definedName name="Tigr_Exhibit4761143c_bce5_4d22_b7a9_b1011788ed8e" hidden="1">#REF!</definedName>
    <definedName name="Tigr_Exhibit476b4752_a8e8_4ccd_9d9d_fd5ece96def9" hidden="1">#REF!</definedName>
    <definedName name="Tigr_Exhibit47889003_8c00_4f7e_823e_5fbbe6c2078b" hidden="1">#REF!</definedName>
    <definedName name="Tigr_Exhibit4795408e_4c78_45bb_bc38_59ab187ffb99" hidden="1">#REF!</definedName>
    <definedName name="Tigr_Exhibit47ae09d8_8aaa_439b_a341_dfb9ac86a9e4" hidden="1">#REF!</definedName>
    <definedName name="Tigr_Exhibit47ec7228_29a3_49ed_88ed_8695ddaacfed" hidden="1">#REF!</definedName>
    <definedName name="Tigr_Exhibit4806f36c_8195_46ed_b92e_8a727a192d35" hidden="1">#REF!</definedName>
    <definedName name="Tigr_Exhibit48394f4c_1188_46f1_ac17_6237cfcecd99" hidden="1">#REF!</definedName>
    <definedName name="Tigr_Exhibit48862c65_87a2_4157_918f_b11c1062e868" hidden="1">#REF!</definedName>
    <definedName name="Tigr_Exhibit48b727c4_6313_4028_b5f7_1e917066e419" hidden="1">#REF!</definedName>
    <definedName name="Tigr_Exhibit48bcd7c3_8e10_4d9e_8480_24e6079e30e5" hidden="1">#REF!</definedName>
    <definedName name="Tigr_Exhibit48e2b39d_f291_4ea1_9245_1a9623f6c8bf" hidden="1">#REF!</definedName>
    <definedName name="Tigr_Exhibit48f2c4fb_d540_4cce_a5ed_1b147f4a29a8" hidden="1">#REF!</definedName>
    <definedName name="Tigr_Exhibit4915ddb9_853a_4e4c_96f4_28a500a27c1c" hidden="1">#REF!</definedName>
    <definedName name="Tigr_Exhibit49191345_f809_4d09_afda_aa7743ef0584" hidden="1">#REF!</definedName>
    <definedName name="Tigr_Exhibit492e08d7_1abe_4461_ba6e_690ae1af618b" hidden="1">#REF!</definedName>
    <definedName name="Tigr_Exhibit49474a98_04db_468c_8ef9_6917874f9a7b" hidden="1">#REF!</definedName>
    <definedName name="Tigr_Exhibit4979eea5_0c26_4fe0_a7ab_fb546997bd82" hidden="1">#REF!</definedName>
    <definedName name="Tigr_Exhibit498d9413_a15a_4962_9b8a_73a1db632e1a" hidden="1">#REF!</definedName>
    <definedName name="Tigr_Exhibit4a22e3a2_ca69_4dcf_93d8_a2ae64dc46b0" hidden="1">#REF!</definedName>
    <definedName name="Tigr_Exhibit4aa2f88e_25f2_44a0_aa43_06d4ff8cdab7" hidden="1">#REF!</definedName>
    <definedName name="Tigr_Exhibit4ad93220_bb76_4411_8267_d78986389b3a" hidden="1">#REF!</definedName>
    <definedName name="Tigr_Exhibit4b326fed_2903_49da_9bc3_710197115385" hidden="1">#REF!</definedName>
    <definedName name="Tigr_Exhibit4bb9f09f_787f_445d_a3d0_25812562dab2" hidden="1">#REF!</definedName>
    <definedName name="Tigr_Exhibit4bef9817_886c_4690_9180_7a822acd4b14" hidden="1">#REF!</definedName>
    <definedName name="Tigr_Exhibit4c02bd07_be7b_4e40_9459_6cbfa967810f" hidden="1">#REF!</definedName>
    <definedName name="Tigr_Exhibit4c263615_a439_4a20_acc8_6f9e8296d228" hidden="1">#REF!</definedName>
    <definedName name="Tigr_Exhibit4c47847c_8663_4ba1_9427_d517aa67d90d" hidden="1">#REF!</definedName>
    <definedName name="Tigr_Exhibit4c790b49_0c9f_4799_baa9_dbb297d53ec3" hidden="1">#REF!</definedName>
    <definedName name="Tigr_Exhibit4c7e1f07_4d47_4cc1_87b2_8eae64868531" hidden="1">#REF!</definedName>
    <definedName name="Tigr_Exhibit4ca1b2a3_ce82_4089_9458_b7e43ff4fe5d" hidden="1">#REF!</definedName>
    <definedName name="Tigr_Exhibit4ccdc28d_32b6_497e_8c51_cd2b30d481b8" hidden="1">#REF!</definedName>
    <definedName name="Tigr_Exhibit4cf321c6_faf0_4fc6_8a9f_e42ee3702beb" hidden="1">#REF!</definedName>
    <definedName name="Tigr_Exhibit4d752b85_14d5_4a2e_873b_1b3b385d8413" hidden="1">#REF!</definedName>
    <definedName name="Tigr_Exhibit4dac9114_21be_4e89_9147_35831060a7d8" hidden="1">#REF!</definedName>
    <definedName name="Tigr_Exhibit4dbacc32_2240_40fd_a351_d7642db9b1e5" hidden="1">#REF!</definedName>
    <definedName name="Tigr_Exhibit4e1c4750_2ab6_4801_9279_e5e4b9ec1a64" hidden="1">#REF!</definedName>
    <definedName name="Tigr_Exhibit4e82d1f6_dcf3_4f4d_8991_c4ba3a1e362e" hidden="1">#REF!</definedName>
    <definedName name="Tigr_Exhibit4e837384_b028_44bd_81f8_a7f95faefa9a" hidden="1">#REF!</definedName>
    <definedName name="Tigr_Exhibit4ebf7a65_048e_478c_b0de_47bc1509fbde" hidden="1">#REF!</definedName>
    <definedName name="Tigr_Exhibit4f2957b9_de21_4a86_a690_f22314b89726" hidden="1">#REF!</definedName>
    <definedName name="Tigr_Exhibit4f43c6de_669a_41f2_8dd0_52039b3263ac" hidden="1">#REF!</definedName>
    <definedName name="Tigr_Exhibit4f808fb9_7874_44b3_a5a9_2ac21b87ea93" hidden="1">#REF!</definedName>
    <definedName name="Tigr_Exhibit4f8566cc_fe74_479c_af5b_ff48ca433b66" hidden="1">#REF!</definedName>
    <definedName name="Tigr_Exhibit4f969faf_602f_4a84_bd0d_4c0f28893402" hidden="1">#REF!</definedName>
    <definedName name="Tigr_Exhibit4fcc519e_2088_46b1_8979_efedd754ce08" hidden="1">#REF!</definedName>
    <definedName name="Tigr_Exhibit50349353_5968_4830_a286_24a74d2a9965" hidden="1">#REF!</definedName>
    <definedName name="Tigr_Exhibit50781060_e198_451c_96ee_b3f4bd549258" hidden="1">#REF!</definedName>
    <definedName name="Tigr_Exhibit50a693cf_9e63_4b55_a763_b57332dd73bc" hidden="1">#REF!</definedName>
    <definedName name="Tigr_Exhibit50de972a_5ecf_4268_bb01_e3f8fb84e01d" hidden="1">#REF!</definedName>
    <definedName name="Tigr_Exhibit51271397_1a9b_4852_aaed_0f8d683839bf" hidden="1">#REF!</definedName>
    <definedName name="Tigr_Exhibit5151d36b_0e60_413c_95a5_625ee13f3845" hidden="1">#REF!</definedName>
    <definedName name="Tigr_Exhibit5153ad0f_b295_425f_a607_87d25626143b" hidden="1">#REF!</definedName>
    <definedName name="Tigr_Exhibit517297b2_fb9e_4b9d_8af2_9d96859e310d" hidden="1">#REF!</definedName>
    <definedName name="Tigr_Exhibit517347df_49bd_4d9b_980e_47ad1e206fd8" hidden="1">#REF!</definedName>
    <definedName name="Tigr_Exhibit522f6de0_017b_4cb2_973c_68bc067415b6" hidden="1">#REF!</definedName>
    <definedName name="Tigr_Exhibit5260373f_ee62_4bdd_9f6e_ec7f236dfa9f" hidden="1">#REF!</definedName>
    <definedName name="Tigr_Exhibit5262ec60_d335_4cfb_943e_7aa9fe8c5275" hidden="1">#REF!</definedName>
    <definedName name="Tigr_Exhibit5295d00c_16cf_4a54_99b8_49b0877e1cd4" hidden="1">#REF!</definedName>
    <definedName name="Tigr_Exhibit5299bbfb_e1ff_464a_a658_73f011860e40" hidden="1">#REF!</definedName>
    <definedName name="Tigr_Exhibit52ac7f4a_4efd_4853_904d_61f8c554d0f7" hidden="1">#REF!</definedName>
    <definedName name="Tigr_Exhibit52c976bb_4202_4358_b060_7982761abf35" hidden="1">#REF!</definedName>
    <definedName name="Tigr_Exhibit52f5bb5f_83d3_4f6b_aa7a_e4eda3b65639" hidden="1">#REF!</definedName>
    <definedName name="Tigr_Exhibit530470df_28a6_439d_942f_0610ef075424" hidden="1">#REF!</definedName>
    <definedName name="Tigr_Exhibit53d940e2_8e04_4c85_856d_367f89434749" hidden="1">#REF!</definedName>
    <definedName name="Tigr_Exhibit53e7a06b_e7fa_44b9_8776_0ad713e8bd62" hidden="1">#REF!</definedName>
    <definedName name="Tigr_Exhibit544783b8_8feb_4378_9821_f663778c2ffc" hidden="1">#REF!</definedName>
    <definedName name="Tigr_Exhibit544f13b2_98b2_4d46_ba53_9d13ad0b886e" hidden="1">#REF!</definedName>
    <definedName name="Tigr_Exhibit544f36f1_ee6a_4f98_a78a_4541897681c5" hidden="1">#REF!</definedName>
    <definedName name="Tigr_Exhibit5509f29b_944d_4d7e_820f_ffafca58fdf8" hidden="1">#REF!</definedName>
    <definedName name="Tigr_Exhibit551e8560_2707_46a7_884c_bc4a6537d62d" hidden="1">#REF!</definedName>
    <definedName name="Tigr_Exhibit555bb802_4a5b_488d_98ef_74193080db0a" hidden="1">#REF!</definedName>
    <definedName name="Tigr_Exhibit557a4d9b_d876_4e61_9461_21d32f373b2f" hidden="1">#REF!</definedName>
    <definedName name="Tigr_Exhibit558e7120_03c5_4d88_8940_4e1314a541a1" hidden="1">#REF!</definedName>
    <definedName name="Tigr_Exhibit559cfa11_3e6a_49d1_858b_1459ac4367e8" hidden="1">#REF!</definedName>
    <definedName name="Tigr_Exhibit55c0d442_fd87_425c_bd99_f9f3cbf4104c" hidden="1">#REF!</definedName>
    <definedName name="Tigr_Exhibit55d0c068_3054_432a_a0d4_01d793b44fa8" hidden="1">#REF!</definedName>
    <definedName name="Tigr_Exhibit55fb4605_c5b8_4ca6_9f46_e08f3dc0ff92" hidden="1">#REF!</definedName>
    <definedName name="Tigr_Exhibit5636c8a2_6c27_4379_a21c_24bc277406a4" hidden="1">#REF!</definedName>
    <definedName name="Tigr_Exhibit5650de27_d0d7_46d2_8981_b8fe96da5f07" hidden="1">#REF!</definedName>
    <definedName name="Tigr_Exhibit56be3c3c_9e7b_47cf_b0da_43b74818da35" hidden="1">#REF!</definedName>
    <definedName name="Tigr_Exhibit56c18547_5e6d_4ebe_9eef_5d6bddb858bf" hidden="1">#REF!</definedName>
    <definedName name="Tigr_Exhibit56f152a8_9e5a_4581_af6e_0abd20649787" hidden="1">#REF!</definedName>
    <definedName name="Tigr_Exhibit57b717c2_b7ba_4908_8a61_310533fd95a3" hidden="1">#REF!</definedName>
    <definedName name="Tigr_Exhibit57f0bca6_3896_4a7f_8a36_e87f73ff9384" hidden="1">#REF!</definedName>
    <definedName name="Tigr_Exhibit57fc34cf_ddd6_44d7_9a3e_98088d144522" hidden="1">#REF!</definedName>
    <definedName name="Tigr_Exhibit58143e94_f3da_4665_a552_cb9f050024f1" hidden="1">#REF!</definedName>
    <definedName name="Tigr_Exhibit5854b565_b972_4ebb_84e2_cc3fe77440ad" hidden="1">#REF!</definedName>
    <definedName name="Tigr_Exhibit587b332b_a057_4ca3_a271_beaf997cf5a9" hidden="1">#REF!</definedName>
    <definedName name="Tigr_Exhibit589a5927_4d59_4307_87da_5fdc9df29c41" hidden="1">#REF!</definedName>
    <definedName name="Tigr_Exhibit58bf8afe_27e4_4f85_bd62_49ae84bacc72" hidden="1">#REF!</definedName>
    <definedName name="Tigr_Exhibit58cf6e5a_95d5_490b_bb5f_241915b05608" hidden="1">#REF!</definedName>
    <definedName name="Tigr_Exhibit58db2e65_7f26_4a8e_a1ea_fa4be63778a9" hidden="1">#REF!</definedName>
    <definedName name="Tigr_Exhibit58ff6d6c_bd35_4640_9486_09530f8c22e4" hidden="1">#REF!</definedName>
    <definedName name="Tigr_Exhibit5910a589_e89e_4f00_9546_e5b4db4c1000" hidden="1">#REF!</definedName>
    <definedName name="Tigr_Exhibit5912af3c_b083_4443_a7a3_8c18d6e61d40" hidden="1">#REF!</definedName>
    <definedName name="Tigr_Exhibit591daa57_5a41_43da_81f7_9b397d42727d" hidden="1">#REF!</definedName>
    <definedName name="Tigr_Exhibit597802eb_6448_498c_bf9d_7ede376881bd" hidden="1">#REF!</definedName>
    <definedName name="Tigr_Exhibit59b4a7b2_20d6_4151_9743_efc1620f1a93" hidden="1">#REF!</definedName>
    <definedName name="Tigr_Exhibit59eda48d_12f1_44c3_ac07_2989143c0c13" hidden="1">#REF!</definedName>
    <definedName name="Tigr_Exhibit5a7247f0_c85d_4b4a_bd19_b029092a00cb" hidden="1">#REF!</definedName>
    <definedName name="Tigr_Exhibit5a925495_cf59_43c5_9e99_d7742b3afb07" hidden="1">#REF!</definedName>
    <definedName name="Tigr_Exhibit5aee3878_e8ee_4abd_b251_0791e73a3300" hidden="1">#REF!</definedName>
    <definedName name="Tigr_Exhibit5b5fe57d_c05b_4095_ab51_a1a850fcb545" hidden="1">#REF!</definedName>
    <definedName name="Tigr_Exhibit5b60ad74_a1d5_4c64_a221_49ded88f31fb" hidden="1">#REF!</definedName>
    <definedName name="Tigr_Exhibit5b6e2f8f_df08_4ba9_8996_c4449a590ddb" hidden="1">#REF!</definedName>
    <definedName name="Tigr_Exhibit5bc70c3f_e92d_4970_a551_a0884db7f2ca" hidden="1">#REF!</definedName>
    <definedName name="Tigr_Exhibit5bd57e28_6c2a_41b6_a65f_f7cee34de1c7" hidden="1">#REF!</definedName>
    <definedName name="Tigr_Exhibit5bf83b92_57ea_4b8f_9984_e51c62612684" hidden="1">#REF!</definedName>
    <definedName name="Tigr_Exhibit5c60ce8e_40da_40e1_b763_88c59433b916" hidden="1">#REF!</definedName>
    <definedName name="Tigr_Exhibit5c6bfa4f_375f_4f00_9137_c023eff8265b" hidden="1">#REF!</definedName>
    <definedName name="Tigr_Exhibit5c79c8e4_a930_4cc9_a054_923ed7a0a3a8" hidden="1">#REF!</definedName>
    <definedName name="Tigr_Exhibit5cd074dc_7300_41c3_bfc3_4c99daf53ade" hidden="1">#REF!</definedName>
    <definedName name="Tigr_Exhibit5cd5a07e_1f28_4a3d_b966_98d59b842082" hidden="1">#REF!</definedName>
    <definedName name="Tigr_Exhibit5d3567d9_d96d_4abd_bc29_921d57aeeec7" hidden="1">#REF!</definedName>
    <definedName name="Tigr_Exhibit5d7f19e7_6e2d_4cc2_91d6_d1d75e900f6b" hidden="1">#REF!</definedName>
    <definedName name="Tigr_Exhibit5d801630_bf00_4606_af2f_28df96ea287b" hidden="1">#REF!</definedName>
    <definedName name="Tigr_Exhibit5d8e466f_0f64_489c_a4ad_ef91cb35e427" hidden="1">#REF!</definedName>
    <definedName name="Tigr_Exhibit5db744fd_5811_4d13_84e7_1061e67ab6b0" hidden="1">#REF!</definedName>
    <definedName name="Tigr_Exhibit5ec4c04f_cfe3_4c3e_a9e7_ec35c66069d8" hidden="1">#REF!</definedName>
    <definedName name="Tigr_Exhibit5f24a48b_6480_4b15_b1a4_f12dcb470e7f" hidden="1">#REF!</definedName>
    <definedName name="Tigr_Exhibit5f299b2a_cf0f_476d_a07d_00a60a022f77" hidden="1">#REF!</definedName>
    <definedName name="Tigr_Exhibit5f4d7b88_8fb5_49cb_b28b_36bf7d70fc0c" localSheetId="0" hidden="1">#REF!</definedName>
    <definedName name="Tigr_Exhibit5f4d7b88_8fb5_49cb_b28b_36bf7d70fc0c" hidden="1">#REF!</definedName>
    <definedName name="Tigr_Exhibit5f81b514_3038_4687_b7ea_df6ba331c12c" hidden="1">#REF!</definedName>
    <definedName name="Tigr_Exhibit5fdd2a7b_a636_4df4_8b3a_ab45acb157ec" hidden="1">#REF!</definedName>
    <definedName name="Tigr_Exhibit60314b31_9df7_4ead_b25b_94aa27d2bda3" hidden="1">#REF!</definedName>
    <definedName name="Tigr_Exhibit6047873d_3b0b_41d5_87a2_9d1b69d48c04" hidden="1">#REF!</definedName>
    <definedName name="Tigr_Exhibit6086d6f4_b278_4b8f_9d3e_4c5974996c7a" hidden="1">#REF!</definedName>
    <definedName name="Tigr_Exhibit6097f67b_4032_4a86_82e2_a9e3bd32fb9d" hidden="1">#REF!</definedName>
    <definedName name="Tigr_Exhibit60f15f9e_cf6f_4c31_b257_2254abe315da" hidden="1">#REF!</definedName>
    <definedName name="Tigr_Exhibit6104f2e0_1648_4060_81be_43d0526850fe" hidden="1">#REF!</definedName>
    <definedName name="Tigr_Exhibit61255879_43da_4679_a6cc_a3b084c3ce7c" hidden="1">#REF!</definedName>
    <definedName name="Tigr_Exhibit61296381_da76_44db_aae3_dba295d1d220" hidden="1">#REF!</definedName>
    <definedName name="Tigr_Exhibit61330892_7056_4952_a02e_b13e6de630a9" hidden="1">#REF!</definedName>
    <definedName name="Tigr_Exhibit61adffd1_fd36_465b_899f_12f9fa90709e" hidden="1">#REF!</definedName>
    <definedName name="Tigr_Exhibit61afc8c3_6c22_448c_a668_4a86f8389157" hidden="1">#REF!</definedName>
    <definedName name="Tigr_Exhibit61eaf6be_60dc_47e8_8570_219bbaa26592" hidden="1">#REF!</definedName>
    <definedName name="Tigr_Exhibit62088610_69a5_47fa_8a4f_3caf5b1eef5e" hidden="1">#REF!</definedName>
    <definedName name="Tigr_Exhibit622b2fbf_8854_4690_8285_129fc69f9bff" hidden="1">#REF!</definedName>
    <definedName name="Tigr_Exhibit62345af0_1e35_498e_816f_145bab70667f" hidden="1">#REF!</definedName>
    <definedName name="Tigr_Exhibit624d6749_38b8_4bc3_a44e_334f002a1520" hidden="1">#REF!</definedName>
    <definedName name="Tigr_Exhibit6266bd9f_346a_4f98_9a2a_3c3dc9ebaefa" hidden="1">#REF!</definedName>
    <definedName name="Tigr_Exhibit627c0d4a_1ec1_4a4e_a233_0c737008a681" hidden="1">#REF!</definedName>
    <definedName name="Tigr_Exhibit6318109f_737e_40ae_910d_ded438072a1c" hidden="1">#REF!</definedName>
    <definedName name="Tigr_Exhibit6344ed6d_0c47_4bbf_9bec_833208e3d746" hidden="1">#REF!</definedName>
    <definedName name="Tigr_Exhibit63d9caf2_518a_408c_9840_e1ca88edc185" hidden="1">#REF!</definedName>
    <definedName name="Tigr_Exhibit6410f323_5753_4d8c_ae3b_d1acbf0777e0" hidden="1">#REF!</definedName>
    <definedName name="Tigr_Exhibit642584c9_9ee1_4a8d_8fa2_32f05661b750" hidden="1">#REF!</definedName>
    <definedName name="Tigr_Exhibit64e4c67c_c3a9_4dc2_8311_88a04c6c49ae" hidden="1">#REF!</definedName>
    <definedName name="Tigr_Exhibit6503ccba_befd_4f74_9c22_1fd2c07f1b9b" hidden="1">#REF!</definedName>
    <definedName name="Tigr_Exhibit65045f3b_cdbe_472a_ae68_a8c3b1c989f4" hidden="1">#REF!</definedName>
    <definedName name="Tigr_Exhibit6507e5b2_d6e3_4883_b50d_ee577641ea04" hidden="1">#REF!</definedName>
    <definedName name="Tigr_Exhibit65a1deed_fa06_4855_90e5_178abb6a3c9d" hidden="1">#REF!</definedName>
    <definedName name="Tigr_Exhibit65d0faef_f17b_4b8b_887a_f1e8626864a8" hidden="1">#REF!</definedName>
    <definedName name="Tigr_Exhibit65d79f7a_b3d9_45fb_ac89_2f6b3f5371a7" hidden="1">#REF!</definedName>
    <definedName name="Tigr_Exhibit65e1191f_74f5_4074_9c1d_a5bd499b4b30" hidden="1">#REF!</definedName>
    <definedName name="Tigr_Exhibit669ccbe4_7cbd_44fe_b65a_e0c7b6dee12b" hidden="1">#REF!</definedName>
    <definedName name="Tigr_Exhibit66a76ecd_561b_4b4d_be8f_717a97b2c993" hidden="1">#REF!</definedName>
    <definedName name="Tigr_Exhibit66cc775b_cf6d_4ab2_a2b6_63a18a532ebc" hidden="1">#REF!</definedName>
    <definedName name="Tigr_Exhibit66dcc4b1_4813_4478_8900_917a267a0363" hidden="1">#REF!</definedName>
    <definedName name="Tigr_Exhibit67901a44_e4c8_4a01_97b7_e029bebdefea" hidden="1">#REF!</definedName>
    <definedName name="Tigr_Exhibit67b78c0d_64fc_41f2_bd9e_576f62d8209b" hidden="1">#REF!</definedName>
    <definedName name="Tigr_Exhibit680056e1_6a81_4dbb_bf5a_f3a6f3a39735" hidden="1">#REF!</definedName>
    <definedName name="Tigr_Exhibit681947b7_f4cf_444a_ba78_05f88d996c8c" hidden="1">#REF!</definedName>
    <definedName name="Tigr_Exhibit6973e993_a57e_40d8_8a02_c91c86ba82f5" hidden="1">#REF!</definedName>
    <definedName name="Tigr_Exhibit69916897_2bf8_47f0_b31a_4d020e24c7eb" hidden="1">#REF!</definedName>
    <definedName name="Tigr_Exhibit69be73a2_adef_4cf1_95a9_4bff58e76a14" hidden="1">#REF!</definedName>
    <definedName name="Tigr_Exhibit69f3be79_631d_4d59_a02a_c1beff263dc8" hidden="1">#REF!</definedName>
    <definedName name="Tigr_Exhibit69f9fe98_3078_4f5e_8a42_6de5c6013197" hidden="1">#REF!</definedName>
    <definedName name="Tigr_Exhibit6a35147b_d08c_4bef_b039_42904de91466" hidden="1">#REF!</definedName>
    <definedName name="Tigr_Exhibit6a61087c_0f47_49d1_bc8a_e577b9d32e2c" hidden="1">#REF!</definedName>
    <definedName name="Tigr_Exhibit6a871656_6930_440c_8e52_c1982b2a57f9" hidden="1">#REF!</definedName>
    <definedName name="Tigr_Exhibit6b91eff5_e199_4256_bf68_708a0035c91d" hidden="1">#REF!</definedName>
    <definedName name="Tigr_Exhibit6b9708c0_d5f0_4502_a293_0e68cc160949" hidden="1">#REF!</definedName>
    <definedName name="Tigr_Exhibit6b9f7c14_d0e7_4923_ae4e_adaee4fd43da" hidden="1">#REF!</definedName>
    <definedName name="Tigr_Exhibit6bd53147_499c_47b3_9621_ed773f269e54" hidden="1">#REF!</definedName>
    <definedName name="Tigr_Exhibit6be2f180_0a41_417c_afb3_d05fc6368d92" hidden="1">#REF!</definedName>
    <definedName name="Tigr_Exhibit6bf5222c_e6d0_4b18_810e_9ffc0398da86" hidden="1">#REF!</definedName>
    <definedName name="Tigr_Exhibit6c09e94a_5f32_4ace_83d1_565b0c188b9a" hidden="1">#REF!</definedName>
    <definedName name="Tigr_Exhibit6c42fa7e_eecb_42ea_b42e_6575db613dae" hidden="1">#REF!</definedName>
    <definedName name="Tigr_Exhibit6c5f1bcf_f3da_48a1_8d45_8211617f6a96" hidden="1">#REF!</definedName>
    <definedName name="Tigr_Exhibit6c8ace04_b378_48c8_b12a_9f8f1025209d" hidden="1">#REF!</definedName>
    <definedName name="Tigr_Exhibit6c977655_508a_4cca_b6f1_9a5849fa4750" hidden="1">#REF!</definedName>
    <definedName name="Tigr_Exhibit6c9b3f5f_b82f_4192_a4b8_38a192c39e3f" hidden="1">#REF!</definedName>
    <definedName name="Tigr_Exhibit6cd4aba9_e0ca_41c2_95e5_bfe92989e166" hidden="1">#REF!</definedName>
    <definedName name="Tigr_Exhibit6cfe3c99_e716_475a_8f4e_be78d59b8b21" hidden="1">#REF!</definedName>
    <definedName name="Tigr_Exhibit6d05353c_dd66_4aef_b147_4de951efad64" hidden="1">#REF!</definedName>
    <definedName name="Tigr_Exhibit6d23e38e_84de_45e7_953d_ac8a7ac2812e" hidden="1">#REF!</definedName>
    <definedName name="Tigr_Exhibit6d38c01a_252f_4669_894d_5861224700c9" localSheetId="0" hidden="1">#REF!</definedName>
    <definedName name="Tigr_Exhibit6d38c01a_252f_4669_894d_5861224700c9" hidden="1">#REF!</definedName>
    <definedName name="Tigr_Exhibit6d3a0667_7341_4b64_aad1_050929823513" hidden="1">#REF!</definedName>
    <definedName name="Tigr_Exhibit6d3f12ec_7577_4cf4_95d3_81b653621709" hidden="1">#REF!</definedName>
    <definedName name="Tigr_Exhibit6d71512d_ed10_4a05_9fee_7d59c6862b4a" hidden="1">#REF!</definedName>
    <definedName name="Tigr_Exhibit6d782d30_b3b0_4c4a_b29e_2392780077dd" hidden="1">#REF!</definedName>
    <definedName name="Tigr_Exhibit6d955f0c_330c_4ff7_b4fb_a60e8ea2e7d7" hidden="1">#REF!</definedName>
    <definedName name="Tigr_Exhibit6dfb9fa9_4b56_4e9b_a2e2_09574c4276c4" hidden="1">#REF!</definedName>
    <definedName name="Tigr_Exhibit6e3b48be_b924_479f_924c_ff9a5723e6b8" hidden="1">#REF!</definedName>
    <definedName name="Tigr_Exhibit6ea23561_01ce_4438_aa39_af3e90f8d600" hidden="1">#REF!</definedName>
    <definedName name="Tigr_Exhibit6ed87923_3b6d_442c_b59d_0e29d133221f" hidden="1">#REF!</definedName>
    <definedName name="Tigr_Exhibit6edc1725_110d_443f_98d1_be0716675257" hidden="1">#REF!</definedName>
    <definedName name="Tigr_Exhibit6eed4fdf_9f2d_4496_804a_8730e93eb4f5" hidden="1">#REF!</definedName>
    <definedName name="Tigr_Exhibit6ef3bb0e_1fd0_4d00_a1ee_d01d55206333" hidden="1">#REF!</definedName>
    <definedName name="Tigr_Exhibit6fbf4e01_83c4_4557_b198_cbcdd1e1714b" hidden="1">#REF!</definedName>
    <definedName name="Tigr_Exhibit6fe6b563_a022_4b01_9dbe_c6a0554d54e9" hidden="1">#REF!</definedName>
    <definedName name="Tigr_Exhibit70a8d96f_39ea_4352_9517_aced04526099" hidden="1">#REF!</definedName>
    <definedName name="Tigr_Exhibit70b44913_6d47_4f06_b89f_1b7af265bb7f" hidden="1">#REF!</definedName>
    <definedName name="Tigr_Exhibit70cb9f83_5a86_4279_a6f8_18678ea563f0" hidden="1">#REF!</definedName>
    <definedName name="Tigr_Exhibit70eacc5c_c869_40d8_92c2_8ac34df1c7ea" hidden="1">#REF!</definedName>
    <definedName name="Tigr_Exhibit71905264_c8f9_4f55_bcf9_ccd0aa4c3a18" hidden="1">#REF!</definedName>
    <definedName name="Tigr_Exhibit71adb6f4_340f_4cd0_8636_4c89db9fd2e3" hidden="1">#REF!</definedName>
    <definedName name="Tigr_Exhibit72340bc6_edfe_4126_9a87_d21691f24e48" hidden="1">#REF!</definedName>
    <definedName name="Tigr_Exhibit72401ea4_7dde_408c_ab0d_3aecfd66454b" hidden="1">#REF!</definedName>
    <definedName name="Tigr_Exhibit72ab6cee_86e9_4d4e_bcd9_43f50d880c3b" hidden="1">#REF!</definedName>
    <definedName name="Tigr_Exhibit72f157ae_1658_48e2_a317_b2a9d6425d18" hidden="1">#REF!</definedName>
    <definedName name="Tigr_Exhibit7315531e_dc17_403b_8bfa_f872f835be27" hidden="1">#REF!</definedName>
    <definedName name="Tigr_Exhibit731a3c4a_82c0_4ea5_8fba_6143ef43e9bb" hidden="1">#REF!</definedName>
    <definedName name="Tigr_Exhibit73209a38_9688_44c0_883e_c008948a5e6c" hidden="1">#REF!</definedName>
    <definedName name="Tigr_Exhibit7326e5ed_9e9a_411a_bf02_96eb7808a543" hidden="1">#REF!</definedName>
    <definedName name="Tigr_Exhibit74533984_7928_4133_9c98_0e2211eadaa7" hidden="1">#REF!</definedName>
    <definedName name="Tigr_Exhibit74bb6e23_277d_4cb0_a978_21fbee6439bd" hidden="1">#REF!</definedName>
    <definedName name="Tigr_Exhibit74e4c769_05c2_4553_a8c2_ea93b326e90d" hidden="1">#REF!</definedName>
    <definedName name="Tigr_Exhibit74fcce66_cc7b_4474_be5b_8178df2b4f13" hidden="1">#REF!</definedName>
    <definedName name="Tigr_Exhibit752151f5_889d_42c8_96b4_26b1fd1b097c" hidden="1">#REF!</definedName>
    <definedName name="Tigr_Exhibit7565ce4e_2d7f_49ce_bb7c_b0de2621f7f0" hidden="1">#REF!</definedName>
    <definedName name="Tigr_Exhibit758cb766_d0c8_4865_9c0c_75ffb8da38e6" hidden="1">#REF!</definedName>
    <definedName name="Tigr_Exhibit75cc0470_82ee_4283_a22d_ecc3814bd40b" hidden="1">#REF!</definedName>
    <definedName name="Tigr_Exhibit75d3a092_3b91_4ac4_8816_399cfd2e8a37" hidden="1">#REF!</definedName>
    <definedName name="Tigr_Exhibit75d6afaf_34fc_4923_9ba5_1d8f5d0cf2cc" hidden="1">#REF!</definedName>
    <definedName name="Tigr_Exhibit76167846_eadf_4a81_9258_527988a6f0b4" hidden="1">#REF!</definedName>
    <definedName name="Tigr_Exhibit76340099_f103_49d3_9a70_5bdb3f7cb00c" hidden="1">#REF!</definedName>
    <definedName name="Tigr_Exhibit76562f73_cab2_4865_9360_62d727ef5ad2" hidden="1">#REF!</definedName>
    <definedName name="Tigr_Exhibit76b261b4_9180_4ef0_9a7a_fb0a6ee9a8c1" hidden="1">#REF!</definedName>
    <definedName name="Tigr_Exhibit76c5c618_2550_4c6b_bd9d_18e2e0dfd309" hidden="1">#REF!</definedName>
    <definedName name="Tigr_Exhibit7724159d_1b96_465f_a596_6e5b46391b07" hidden="1">#REF!</definedName>
    <definedName name="Tigr_Exhibit7734d64b_8738_42fd_9f33_5b10c8e744ee" hidden="1">#REF!</definedName>
    <definedName name="Tigr_Exhibit77c52636_db59_4aad_ab7b_c8dfb6ea6d17" hidden="1">#REF!</definedName>
    <definedName name="Tigr_Exhibit7828a8bb_f8ed_476d_8f4c_e502d4f4cbbf" hidden="1">#REF!</definedName>
    <definedName name="Tigr_Exhibit782a1787_9a2d_40d5_9e77_d2f57def5419" hidden="1">#REF!</definedName>
    <definedName name="Tigr_Exhibit784c3362_b9c3_4e48_86a3_70f6a8552cab" hidden="1">#REF!</definedName>
    <definedName name="Tigr_Exhibit789b5888_175f_47f1_b806_7c9542ebb4b2" hidden="1">#REF!</definedName>
    <definedName name="Tigr_Exhibit78aa0ef8_d9bc_4c87_979a_35d0c32eb197" hidden="1">#REF!</definedName>
    <definedName name="Tigr_Exhibit7946c2a2_8e87_4179_9392_271254d129c4" hidden="1">#REF!</definedName>
    <definedName name="Tigr_Exhibit799c33f0_d99d_4da0_8c0d_fb056a2493af" hidden="1">#REF!</definedName>
    <definedName name="Tigr_Exhibit79a230db_8ca9_43d6_9b11_016692f9844a" hidden="1">#REF!</definedName>
    <definedName name="Tigr_Exhibit79a9afd3_7061_449c_9a65_8c128031365c" hidden="1">#REF!</definedName>
    <definedName name="Tigr_Exhibit79c32396_a557_4e90_b2d1_f2271390bcca" hidden="1">#REF!</definedName>
    <definedName name="Tigr_Exhibit7a3cf257_1941_49da_9624_7829e115e9e9" hidden="1">#REF!</definedName>
    <definedName name="Tigr_Exhibit7a460078_77db_42b0_a539_4598ee18ee28" hidden="1">#REF!</definedName>
    <definedName name="Tigr_Exhibit7a65acf4_bffc_42a7_9727_5e829b8c1bf6" hidden="1">#REF!</definedName>
    <definedName name="Tigr_Exhibit7a7ef408_5daa_4679_8e5f_ae9eee18bd91" hidden="1">#REF!</definedName>
    <definedName name="Tigr_Exhibit7adf5125_c694_4bad_bb72_5a8a9a55af00" hidden="1">#REF!</definedName>
    <definedName name="Tigr_Exhibit7b105588_7495_4059_a1de_eb20ebb6fe24" hidden="1">#REF!</definedName>
    <definedName name="Tigr_Exhibit7b2699dd_976e_4313_86cc_222d3d92989d" hidden="1">#REF!</definedName>
    <definedName name="Tigr_Exhibit7b74e5aa_ae9c_40f7_b2bc_85837b4b0c50" hidden="1">#REF!</definedName>
    <definedName name="Tigr_Exhibit7b9ec54c_b590_4615_ab7c_193825b0f61e" hidden="1">#REF!</definedName>
    <definedName name="Tigr_Exhibit7bf0d7e7_1265_4a72_9054_d8307d47bf62" hidden="1">#REF!</definedName>
    <definedName name="Tigr_Exhibit7c0173c6_9cdc_45b1_a9cd_daa0459c8026" hidden="1">#REF!</definedName>
    <definedName name="Tigr_Exhibit7c0be667_9cda_4dad_9ead_20ef922190e8" hidden="1">#REF!</definedName>
    <definedName name="Tigr_Exhibit7cba5149_db3d_4d61_b47c_53c99a9c5104" hidden="1">#REF!</definedName>
    <definedName name="Tigr_Exhibit7cefd167_5be6_43c2_9cd9_37a45390c82c" hidden="1">#REF!</definedName>
    <definedName name="Tigr_Exhibit7d55e9c4_74af_4b19_9913_a756caf12848" hidden="1">#REF!</definedName>
    <definedName name="Tigr_Exhibit7db0f2b1_0f33_4792_bdbb_d7e8c020e140" hidden="1">#REF!</definedName>
    <definedName name="Tigr_Exhibit7de2310c_04e2_4fe7_8587_99deef84f1b5" hidden="1">#REF!</definedName>
    <definedName name="Tigr_Exhibit7dfb1d76_37f2_4446_b643_466c5c50cad2" hidden="1">#REF!</definedName>
    <definedName name="Tigr_Exhibit7e0dfe1d_3109_46b7_9f50_91eb418932cd" hidden="1">#REF!</definedName>
    <definedName name="Tigr_Exhibit7e1877c4_6536_485b_9825_6988a458693d" hidden="1">#REF!</definedName>
    <definedName name="Tigr_Exhibit7e36e708_374b_47ff_a192_03b826a4a175" hidden="1">#REF!</definedName>
    <definedName name="Tigr_Exhibit7e5f21fc_474e_4ad7_a818_89790b3b34dc" hidden="1">#REF!</definedName>
    <definedName name="Tigr_Exhibit7e61b99c_da8f_4325_a58d_3922d0b8d913" hidden="1">#REF!</definedName>
    <definedName name="Tigr_Exhibit7e83dd13_702d_421b_9a3a_ef6d812cb67f" hidden="1">#REF!</definedName>
    <definedName name="Tigr_Exhibit7f1ca7df_bd20_428f_b0dc_304e35ca9aa0" hidden="1">#REF!</definedName>
    <definedName name="Tigr_Exhibit7f2d75a5_940c_4170_bb51_bab1cf8e4e19" hidden="1">#REF!</definedName>
    <definedName name="Tigr_Exhibit7f4527ce_65ae_451b_a59b_bd1675e1219e" hidden="1">#REF!</definedName>
    <definedName name="Tigr_Exhibit7f4ececa_64f0_4b86_9ca3_392933840dd4" hidden="1">#REF!</definedName>
    <definedName name="Tigr_Exhibit7f61b6e3_53f8_4ac8_9144_1f14ce07c209" hidden="1">#REF!</definedName>
    <definedName name="Tigr_Exhibit7fb84ab2_4b0a_4de6_a6b9_f0eb26b236b9" hidden="1">#REF!</definedName>
    <definedName name="Tigr_Exhibit7fbc5ea0_409b_41f4_bac4_17191138219e" hidden="1">#REF!</definedName>
    <definedName name="Tigr_Exhibit805e3d74_c2e2_4a1d_a9aa_7cbb50f3d215" hidden="1">#REF!</definedName>
    <definedName name="Tigr_Exhibit80edc437_b438_49c5_be85_788a475a9ab2" hidden="1">#REF!</definedName>
    <definedName name="Tigr_Exhibit80f2b248_0b5c_4781_bd49_1507286f18e2" hidden="1">#REF!</definedName>
    <definedName name="Tigr_Exhibit816d96ec_badf_443f_94c9_4896bd61597f" hidden="1">#REF!</definedName>
    <definedName name="Tigr_Exhibit81716c3d_81da_49c9_a0c3_9eaedd6eb178" hidden="1">#REF!</definedName>
    <definedName name="Tigr_Exhibit81f5b4eb_4fd0_48a9_a90a_3677ec192993" hidden="1">#REF!</definedName>
    <definedName name="Tigr_Exhibit826ce6f2_4c2f_4bf2_9be2_ce7c35b800ff" hidden="1">#REF!</definedName>
    <definedName name="Tigr_Exhibit829f7773_42e3_4ccc_a3fe_2415d8c767ed" hidden="1">#REF!</definedName>
    <definedName name="Tigr_Exhibit82d71bc7_6756_4fd8_8114_c0e9552b80dc" hidden="1">#REF!</definedName>
    <definedName name="Tigr_Exhibit83011bd0_500e_4726_b0c6_34f274a1e73a" hidden="1">#REF!</definedName>
    <definedName name="Tigr_Exhibit830385c6_c2cf_443b_a134_5d6cb53b6d27" hidden="1">#REF!</definedName>
    <definedName name="Tigr_Exhibit832f2336_c37c_4cc0_97c7_214527a5f5c7" hidden="1">#REF!</definedName>
    <definedName name="Tigr_Exhibit83337303_2684_45bd_a14c_0998964ba2d7" hidden="1">#REF!</definedName>
    <definedName name="Tigr_Exhibit835cb92f_74cb_4c10_b878_7f896862344d" hidden="1">#REF!</definedName>
    <definedName name="Tigr_Exhibit839c3341_5964_40d7_97b6_83f9c94c49d1" hidden="1">#REF!</definedName>
    <definedName name="Tigr_Exhibit83cd533c_e937_499d_8c4e_bf4f9aacd603" hidden="1">#REF!</definedName>
    <definedName name="Tigr_Exhibit83fe4f44_10ff_49aa_b450_636f243a9b64" hidden="1">#REF!</definedName>
    <definedName name="Tigr_Exhibit851b996c_e45d_4338_8a85_7d03f90d0fa8" hidden="1">#REF!</definedName>
    <definedName name="Tigr_Exhibit85328538_3b64_4714_b426_7a46d4a9a0ba" hidden="1">#REF!</definedName>
    <definedName name="Tigr_Exhibit8572498d_c6a2_4bee_ac2c_1305075ac5eb" hidden="1">#REF!</definedName>
    <definedName name="Tigr_Exhibit8580c2e4_d6f5_4aea_bdba_6eadb605a881" hidden="1">#REF!</definedName>
    <definedName name="Tigr_Exhibit86b5399e_21b0_4dfa_82fb_848ebea18d01" hidden="1">#REF!</definedName>
    <definedName name="Tigr_Exhibit86d9abd4_669d_4172_b40c_df507e01ab6f" hidden="1">#REF!</definedName>
    <definedName name="Tigr_Exhibit8713ebd4_f104_4593_9f76_dfae5a7b82c1" hidden="1">#REF!</definedName>
    <definedName name="Tigr_Exhibit87176a43_e7c3_4c0e_b099_382228d1a582" hidden="1">#REF!</definedName>
    <definedName name="Tigr_Exhibit877a3fc8_4f63_4324_b582_c1e6e2b2ad3d" hidden="1">#REF!</definedName>
    <definedName name="Tigr_Exhibit87d151b5_bfa9_4e62_8ca1_ebe854f9f2cd" hidden="1">#REF!</definedName>
    <definedName name="Tigr_Exhibit87d64671_7e57_444b_b238_fbbf7d6f4960" hidden="1">#REF!</definedName>
    <definedName name="Tigr_Exhibit8801af5a_2f82_4749_b044_2c9417370e96" hidden="1">#REF!</definedName>
    <definedName name="Tigr_Exhibit88abb19c_1c4c_4cae_9a98_f4e3554fddaa" hidden="1">#REF!</definedName>
    <definedName name="Tigr_Exhibit88b5718b_ca75_42f3_b16d_1a509d8c00a5" hidden="1">#REF!</definedName>
    <definedName name="Tigr_Exhibit88cbe1d6_654c_4fec_a461_7fc40d4a3bb6" hidden="1">#REF!</definedName>
    <definedName name="Tigr_Exhibit88dfb100_f17f_404c_8c38_b722ea798c0a" hidden="1">#REF!</definedName>
    <definedName name="Tigr_Exhibit88e0192a_0a29_4267_a187_52db802b5b8e" hidden="1">#REF!</definedName>
    <definedName name="Tigr_Exhibit891d8a9a_17b3_4ece_a2a1_a2ae319221a1" hidden="1">#REF!</definedName>
    <definedName name="Tigr_Exhibit895c4874_c68d_4f33_be2d_4ae922a2a87b" hidden="1">#REF!</definedName>
    <definedName name="Tigr_Exhibit89d835d1_72f9_4969_9f5e_5752dcb6029b" hidden="1">#REF!</definedName>
    <definedName name="Tigr_Exhibit89e798d4_2946_4bfc_ba4f_dfec3b9fe09c" hidden="1">#REF!</definedName>
    <definedName name="Tigr_Exhibit8a56b5ce_aa08_456a_8b34_4c332a5dc958" hidden="1">#REF!</definedName>
    <definedName name="Tigr_Exhibit8a73dfd9_c634_4e7f_a34a_68c45b862341" hidden="1">#REF!</definedName>
    <definedName name="Tigr_Exhibit8b2da34c_da9a_4b1d_91ff_1d7a0f24dedb" hidden="1">#REF!</definedName>
    <definedName name="Tigr_Exhibit8b3346eb_cc20_4f2c_9fa5_7bdf785126d0" hidden="1">#REF!</definedName>
    <definedName name="Tigr_Exhibit8b5f7fad_5fc2_4c7b_8e08_4040c883c71e" hidden="1">#REF!</definedName>
    <definedName name="Tigr_Exhibit8b7f3918_8ec6_41da_a805_2d305e607ba9" hidden="1">#REF!</definedName>
    <definedName name="Tigr_Exhibit8bc0c886_6387_4d32_a724_a1c9aa8003da" hidden="1">#REF!</definedName>
    <definedName name="Tigr_Exhibit8c0df874_4dbb_4bff_a4a6_57fd4216a1d6" hidden="1">#REF!</definedName>
    <definedName name="Tigr_Exhibit8c67c1aa_81f7_40a2_854d_1a5f9708a2c5" hidden="1">#REF!</definedName>
    <definedName name="Tigr_Exhibit8c9b44b4_d821_4980_8a11_6e0f3fcccfc6" hidden="1">#REF!</definedName>
    <definedName name="Tigr_Exhibit8ccb72a8_0deb_4253_9110_df5390fcf259" hidden="1">#REF!</definedName>
    <definedName name="Tigr_Exhibit8d030500_0dca_42e6_bb98_a0ece56aa298" hidden="1">#REF!</definedName>
    <definedName name="Tigr_Exhibit8d289025_5a7e_4697_b4be_1a2ea76e1924" hidden="1">#REF!</definedName>
    <definedName name="Tigr_Exhibit8d4636ec_1c4b_426a_ab68_211974dd730e" hidden="1">#REF!</definedName>
    <definedName name="Tigr_Exhibit8d757af1_b86b_4b08_92b8_a2990649a478" hidden="1">#REF!</definedName>
    <definedName name="Tigr_Exhibit8da464f3_7d1d_4740_83dc_de788422e6ba" hidden="1">#REF!</definedName>
    <definedName name="Tigr_Exhibit8db301f5_7c2b_4c10_b782_b949041ee053" hidden="1">#REF!</definedName>
    <definedName name="Tigr_Exhibit8e876b59_83d1_456e_abfb_0c7defff3448" hidden="1">#REF!</definedName>
    <definedName name="Tigr_Exhibit8f3a47b8_3e79_49f3_9ffc_6c3223fa4336" hidden="1">#REF!</definedName>
    <definedName name="Tigr_Exhibit8f59db76_c365_43da_97d6_25e50375a4ea" hidden="1">#REF!</definedName>
    <definedName name="Tigr_Exhibit8fce6690_667a_41d1_925a_d088e15d0f84" hidden="1">#REF!</definedName>
    <definedName name="Tigr_Exhibit900562bb_c657_4279_972d_48e53b2e5b64" hidden="1">#REF!</definedName>
    <definedName name="Tigr_Exhibit900c1a63_0b07_40e5_9a38_bcd8e0760a1d" hidden="1">#REF!</definedName>
    <definedName name="Tigr_Exhibit905091d5_a2fb_47c8_bb06_d378de8c0ea6" hidden="1">#REF!</definedName>
    <definedName name="Tigr_Exhibit908540a0_c3c2_4e12_967c_2963d86f165d" hidden="1">#REF!</definedName>
    <definedName name="Tigr_Exhibit9094d87b_ed39_449a_9c60_c63ddb4b4ba1" hidden="1">#REF!</definedName>
    <definedName name="Tigr_Exhibit91141d71_7f71_4007_a5b7_5d8ae77d864e" hidden="1">#REF!</definedName>
    <definedName name="Tigr_Exhibit918ce436_3b76_4b39_945b_b0cb9a979fed" hidden="1">#REF!</definedName>
    <definedName name="Tigr_Exhibit91c6c1c3_0074_43a8_850c_753820e171cd" hidden="1">#REF!</definedName>
    <definedName name="Tigr_Exhibit924e0e0e_d7b3_43a4_844f_cc74f526bd85" hidden="1">#REF!</definedName>
    <definedName name="Tigr_Exhibit92821a24_8055_456f_b60f_a860abd0dff2" hidden="1">#REF!</definedName>
    <definedName name="Tigr_Exhibit92a709f1_31bb_48bf_9a75_0f5fd85cca61" hidden="1">#REF!</definedName>
    <definedName name="Tigr_Exhibit92b6d72a_be80_4c1c_9b9a_6728871f255b" hidden="1">#REF!</definedName>
    <definedName name="Tigr_Exhibit92d3ce34_a780_4bca_bf29_3d0d2ad7a0a6" hidden="1">#REF!</definedName>
    <definedName name="Tigr_Exhibit92ecd681_32d4_4dba_93cd_0307a072d9bf" hidden="1">#REF!</definedName>
    <definedName name="Tigr_Exhibit9317cac9_1865_4608_a231_93c606e41d14" hidden="1">#REF!</definedName>
    <definedName name="Tigr_Exhibit931dcd13_c95d_46b1_9712_858b36d774c6" hidden="1">#REF!</definedName>
    <definedName name="Tigr_Exhibit9368a322_3cbc_430e_adda_a156fe4acb5a" hidden="1">#REF!</definedName>
    <definedName name="Tigr_Exhibit9393b87e_5e06_415c_a1f4_9ad9247bf24e" hidden="1">#REF!</definedName>
    <definedName name="Tigr_Exhibit93a16a61_46d8_472f_bd29_ef44f2515f87" hidden="1">#REF!</definedName>
    <definedName name="Tigr_Exhibit9416f07a_0f6b_43c5_9fd4_bfbb73081c38" hidden="1">#REF!</definedName>
    <definedName name="Tigr_Exhibit94361816_6fb5_4712_85d7_901069278f46" hidden="1">#REF!</definedName>
    <definedName name="Tigr_Exhibit944a889b_0ba5_443f_8e9d_9da31a8aefea" hidden="1">#REF!</definedName>
    <definedName name="Tigr_Exhibit94b295e4_ac8a_4199_acd2_0434c7292de5" hidden="1">#REF!</definedName>
    <definedName name="Tigr_Exhibit94bec1c8_2541_436c_918d_f56766a18d20" hidden="1">#REF!</definedName>
    <definedName name="Tigr_Exhibit950679b2_325c_4a00_a9b9_537a62730397" hidden="1">#REF!</definedName>
    <definedName name="Tigr_Exhibit9536c0ab_6b9f_460b_8890_60b47eef9b9e" hidden="1">#REF!</definedName>
    <definedName name="Tigr_Exhibit95671d85_3df6_4f9c_8a91_b7fd5a4f02a5" hidden="1">#REF!</definedName>
    <definedName name="Tigr_Exhibit956e386d_b969_404a_b572_7b5e91391606" hidden="1">#REF!</definedName>
    <definedName name="Tigr_Exhibit95b5bc41_78bc_4f01_9598_5cebc3f85191" hidden="1">#REF!</definedName>
    <definedName name="Tigr_Exhibit961d27c3_5af4_41fe_9573_f5363ef0cfc6" hidden="1">#REF!</definedName>
    <definedName name="Tigr_Exhibit964dd998_cab3_472d_8471_7008dac99dfb" hidden="1">#REF!</definedName>
    <definedName name="Tigr_Exhibit9653456a_3004_4ba5_aa03_4f2e8abc9776" hidden="1">#REF!</definedName>
    <definedName name="Tigr_Exhibit966da191_6767_4964_857b_a8191656480d" hidden="1">#REF!</definedName>
    <definedName name="Tigr_Exhibit975e0ca1_44bb_4512_b12a_ee2e7c223461" hidden="1">#REF!</definedName>
    <definedName name="Tigr_Exhibit97613715_a3e6_440b_9bec_42b79aeea353" hidden="1">#REF!</definedName>
    <definedName name="Tigr_Exhibit979785e6_fb21_4178_ab7c_0738aa09dcf4" hidden="1">#REF!</definedName>
    <definedName name="Tigr_Exhibit98020a07_6808_48c7_9a2f_f3fd856ac9c6" hidden="1">#REF!</definedName>
    <definedName name="Tigr_Exhibit982621a4_bafb_4e98_afa8_ea7e1e02285a" hidden="1">#REF!</definedName>
    <definedName name="Tigr_Exhibit9827bd0d_c9e6_4131_a840_7fba9fc50f70" hidden="1">#REF!</definedName>
    <definedName name="Tigr_Exhibit983869cb_a2f5_41aa_b168_d72918c69090" hidden="1">#REF!</definedName>
    <definedName name="Tigr_Exhibit985be045_c7a6_4f7a_9661_e1deacc33741" hidden="1">#REF!</definedName>
    <definedName name="Tigr_Exhibit986495c0_3417_4235_86c8_7b1310420ca6" hidden="1">#REF!</definedName>
    <definedName name="Tigr_Exhibit986fb24d_5838_4e4e_b359_64932c87e58c" hidden="1">#REF!</definedName>
    <definedName name="Tigr_Exhibit9876510f_28ef_4847_b480_1763759a6a3a" hidden="1">#REF!</definedName>
    <definedName name="Tigr_Exhibit98ab13d4_deb9_40e1_b5c5_3effb69a17b9" hidden="1">#REF!</definedName>
    <definedName name="Tigr_Exhibit98c7e70c_b826_4756_88cc_0993ef4fe117" hidden="1">#REF!</definedName>
    <definedName name="Tigr_Exhibit992dacb7_0ce9_42d1_843b_ad432e4c0af9" hidden="1">#REF!</definedName>
    <definedName name="Tigr_Exhibit9977fa57_b8c9_4cb8_a9d8_241576b68972" hidden="1">#REF!</definedName>
    <definedName name="Tigr_Exhibit998633f7_e45f_4675_a6fa_2207510e7709" hidden="1">#REF!</definedName>
    <definedName name="Tigr_Exhibit99c1949f_4b02_421c_84b2_59d3216c9228" hidden="1">#REF!</definedName>
    <definedName name="Tigr_Exhibit9a5eecf1_5eaf_4fd3_8caa_0c4be3b09fc7" hidden="1">#REF!</definedName>
    <definedName name="Tigr_Exhibit9ac5c2bb_f6ab_4afa_92cc_7179e4b0bbaf" hidden="1">#REF!</definedName>
    <definedName name="Tigr_Exhibit9acb869c_4975_4ba6_97e7_b5932ff09193" hidden="1">#REF!</definedName>
    <definedName name="Tigr_Exhibit9aedd808_14d4_4782_991e_a17ffd888239" hidden="1">#REF!</definedName>
    <definedName name="Tigr_Exhibit9b196462_0189_45e1_810c_af5397b81af3" hidden="1">#REF!</definedName>
    <definedName name="Tigr_Exhibit9b391d41_0b48_4b45_8df5_e4bc85236d50" hidden="1">#REF!</definedName>
    <definedName name="Tigr_Exhibit9b6e73dc_5a33_449e_9e26_9ff906d71d60" hidden="1">#REF!</definedName>
    <definedName name="Tigr_Exhibit9b8a67b6_a128_4ef9_9f04_71641b5ea151" hidden="1">#REF!</definedName>
    <definedName name="Tigr_Exhibit9bf37d38_b312_4f0a_a3ce_21ede09f4338" hidden="1">#REF!</definedName>
    <definedName name="Tigr_Exhibit9c933ac7_2bfe_4443_a07f_5f40b4c588d5" hidden="1">#REF!</definedName>
    <definedName name="Tigr_Exhibit9cbbbb20_75a3_45ca_a44a_5ccd3279687b" hidden="1">#REF!</definedName>
    <definedName name="Tigr_Exhibit9cbdfe79_6c4a_4a1a_9d36_1446127c819b" hidden="1">#REF!</definedName>
    <definedName name="Tigr_Exhibit9d3a0a4c_e073_4bb0_bd15_a2a17a0cc178" hidden="1">#REF!</definedName>
    <definedName name="Tigr_Exhibit9d3df716_a0eb_4e8e_b40a_6d8d660ac7bd" hidden="1">#REF!</definedName>
    <definedName name="Tigr_Exhibit9d53457d_73a6_4bde_b263_86fe080ee0dd" hidden="1">#REF!</definedName>
    <definedName name="Tigr_Exhibit9d9a7281_6d70_40a6_84bc_c5af0f751b5b" hidden="1">#REF!</definedName>
    <definedName name="Tigr_Exhibit9dab5da0_68c8_42a2_a637_e0700c37226f" hidden="1">#REF!</definedName>
    <definedName name="Tigr_Exhibit9dcbd6ae_9c2c_42be_9fc2_71f819a528d8" hidden="1">#REF!</definedName>
    <definedName name="Tigr_Exhibit9e127edb_c44a_466a_b405_16035fa161d9" hidden="1">#REF!</definedName>
    <definedName name="Tigr_Exhibit9e3b19b5_9d9a_452f_a080_1e8620964f10" hidden="1">#REF!</definedName>
    <definedName name="Tigr_Exhibit9e4b688f_800e_4bcc_b0e8_76da41ea1e75" hidden="1">#REF!</definedName>
    <definedName name="Tigr_Exhibit9e655982_4592_4d2d_955d_5a25225fe467" hidden="1">#REF!</definedName>
    <definedName name="Tigr_Exhibit9e74807d_9c29_4f0a_8346_89a08ee34827" hidden="1">#REF!</definedName>
    <definedName name="Tigr_Exhibit9e836c5b_8a23_458c_bbd5_7d17e41130cc" hidden="1">#REF!</definedName>
    <definedName name="Tigr_Exhibit9eb34ccb_360a_4a30_acdd_018e919d97ab" hidden="1">#REF!</definedName>
    <definedName name="Tigr_Exhibit9ec643ec_55e7_4319_8fa4_6ca125b947dc" hidden="1">#REF!</definedName>
    <definedName name="Tigr_Exhibit9eea4ef1_c247_440c_b0ac_12b96b48af73" hidden="1">#REF!</definedName>
    <definedName name="Tigr_Exhibit9f0a8905_1524_42f0_ade9_25dbdbe46a75" hidden="1">#REF!</definedName>
    <definedName name="Tigr_Exhibit9f99b3f9_4293_47d5_94c5_587fc0d7221a" hidden="1">#REF!</definedName>
    <definedName name="Tigr_Exhibit9fd42e18_330d_4d13_a020_d71332754d55" hidden="1">#REF!</definedName>
    <definedName name="Tigr_Exhibit9ffdaea4_4bf1_4a60_86a3_7d51e452c3ae" hidden="1">#REF!</definedName>
    <definedName name="Tigr_Exhibita0487f2d_a60f_468e_bec5_990b356c4855" hidden="1">#REF!</definedName>
    <definedName name="Tigr_Exhibita087c2f4_8266_4ae8_84f3_7d7d008f2c9a" hidden="1">#REF!</definedName>
    <definedName name="Tigr_Exhibita0a4688e_3135_4962_aa3a_5c03188360b7" hidden="1">#REF!</definedName>
    <definedName name="Tigr_Exhibita0dd1ec2_88f4_480f_9770_4156b08bb539" hidden="1">#REF!</definedName>
    <definedName name="Tigr_Exhibita12bfb3f_06f3_4e09_9a57_f4920bfe525b" hidden="1">#REF!</definedName>
    <definedName name="Tigr_Exhibita130d622_7b9e_489a_8d12_b828013bc2bb" hidden="1">#REF!</definedName>
    <definedName name="Tigr_Exhibita15573af_006a_4e39_8c28_3903d25d8aa2" hidden="1">#REF!</definedName>
    <definedName name="Tigr_Exhibita1c4878c_cf2e_4d44_b3e5_629ce828931a" hidden="1">#REF!</definedName>
    <definedName name="Tigr_Exhibita238d0ab_f876_42eb_9530_49ea16fba9f3" hidden="1">#REF!</definedName>
    <definedName name="Tigr_Exhibita2632fc7_3f14_4904_972c_472097a658d0" hidden="1">#REF!</definedName>
    <definedName name="Tigr_Exhibita28dde03_d27a_4ea4_a380_f9f70a23458a" hidden="1">#REF!</definedName>
    <definedName name="Tigr_Exhibita2a9fd2c_0f6a_4a67_8efb_0c34bed2d728" hidden="1">#REF!</definedName>
    <definedName name="Tigr_Exhibita2d1efd7_67f0_4efd_a254_a6e54a0f9397" hidden="1">#REF!</definedName>
    <definedName name="Tigr_Exhibita2f281fb_1663_4d00_8780_35466b6a49d3" hidden="1">#REF!</definedName>
    <definedName name="Tigr_Exhibita3828bc7_073f_402b_bb53_6dd3245f2447" hidden="1">#REF!</definedName>
    <definedName name="Tigr_Exhibita3998839_406f_403e_baee_b074f7dbda51" hidden="1">#REF!</definedName>
    <definedName name="Tigr_Exhibita3d9e72d_5eb8_461b_8446_376df9b78ba3" hidden="1">#REF!</definedName>
    <definedName name="Tigr_Exhibita431effb_bfe2_4932_8053_f62dd2c277ef" hidden="1">#REF!</definedName>
    <definedName name="Tigr_Exhibita4a743da_14f9_4065_a9e5_c04b69a66dc5" hidden="1">#REF!</definedName>
    <definedName name="Tigr_Exhibita4c50790_9755_45ff_bf05_2cdf47d54f79" hidden="1">#REF!</definedName>
    <definedName name="Tigr_Exhibita4e1ef5c_7650_49e6_9d10_ba211be7c5a5" hidden="1">#REF!</definedName>
    <definedName name="Tigr_Exhibita58ecf7c_59cd_4baf_90f4_8697663abb62" hidden="1">#REF!</definedName>
    <definedName name="Tigr_Exhibita617536f_8e20_4b8a_9088_c53e95dc37cc" hidden="1">#REF!</definedName>
    <definedName name="Tigr_Exhibita651d1f7_20f3_4fec_abb8_c1349817732a" hidden="1">#REF!</definedName>
    <definedName name="Tigr_Exhibita65b988c_d6ed_48d7_b6ee_5daed42c4117" hidden="1">#REF!</definedName>
    <definedName name="Tigr_Exhibita685516e_35c7_48d6_b0bd_ef4dcaf9183e" hidden="1">#REF!</definedName>
    <definedName name="Tigr_Exhibita69b0e08_3e54_4de8_8818_ad6da7b18eda" hidden="1">#REF!</definedName>
    <definedName name="Tigr_Exhibita6cb43f5_7ea3_4edf_a19f_9be9912e4cb4" hidden="1">#REF!</definedName>
    <definedName name="Tigr_Exhibita72c0715_2a62_4bf7_9bd0_f322745a6828" hidden="1">#REF!</definedName>
    <definedName name="Tigr_Exhibita74f6fb2_0ccf_4ecb_8ac3_b9f0ab958805" hidden="1">#REF!</definedName>
    <definedName name="Tigr_Exhibita758b328_0638_4825_8747_d68644482a05" hidden="1">#REF!</definedName>
    <definedName name="Tigr_Exhibita77337f9_229f_46ec_bd1e_89ecc541684a" hidden="1">#REF!</definedName>
    <definedName name="Tigr_Exhibita78bb8b6_f9e7_4e16_9c23_3298ac8ae71c" hidden="1">#REF!</definedName>
    <definedName name="Tigr_Exhibita7cdbd26_3e09_45d2_a6ab_833947f7bd19" hidden="1">#REF!</definedName>
    <definedName name="Tigr_Exhibita8caaca7_ce5f_4aa6_a3bb_676c5cfb38f9" hidden="1">#REF!</definedName>
    <definedName name="Tigr_Exhibita9218ed6_333e_4482_bc73_05e050a03e00" hidden="1">#REF!</definedName>
    <definedName name="Tigr_Exhibita962132f_b607_4f2d_b6cb_976f6b18b24a" hidden="1">#REF!</definedName>
    <definedName name="Tigr_Exhibita96ac017_fa83_40d0_8071_983c9dd14efb" hidden="1">#REF!</definedName>
    <definedName name="Tigr_Exhibita9d6f1b4_4fec_4c24_be27_7a9175c9ffb3" hidden="1">#REF!</definedName>
    <definedName name="Tigr_Exhibitaa03ad5c_38a5_4687_8c55_74c5c4b3035e" hidden="1">#REF!</definedName>
    <definedName name="Tigr_Exhibitaa1e621e_56ed_438e_aa50_27eebc11b0cd" hidden="1">#REF!</definedName>
    <definedName name="Tigr_Exhibitaa2807b0_2944_41b2_a288_815a931f0590" hidden="1">#REF!</definedName>
    <definedName name="Tigr_Exhibitaa7eef51_ab5d_4980_9fe1_f5319783cb78" hidden="1">#REF!</definedName>
    <definedName name="Tigr_Exhibitaab620ad_3f35_498c_b2ef_bd973ad83605" hidden="1">#REF!</definedName>
    <definedName name="Tigr_Exhibitaabb7986_b2f7_49aa_867d_babad8112bfa" hidden="1">#REF!</definedName>
    <definedName name="Tigr_Exhibitaad0b8ad_467c_4b63_8b38_9113224ddafa" hidden="1">#REF!</definedName>
    <definedName name="Tigr_Exhibitaafbd3cd_09b4_47a1_8435_9a84146ec8fb" hidden="1">#REF!</definedName>
    <definedName name="Tigr_Exhibitab1cd67a_3339_4876_a31a_b416effbec3c" hidden="1">#REF!</definedName>
    <definedName name="Tigr_Exhibitab4ccfe3_cb16_4b4b_a509_9deeb464c253" hidden="1">#REF!</definedName>
    <definedName name="Tigr_Exhibitac0fa8f0_f66d_4594_9b95_49884814ad22" hidden="1">#REF!</definedName>
    <definedName name="Tigr_Exhibitac6b7dde_2987_4056_aac5_528573643f45" hidden="1">#REF!</definedName>
    <definedName name="Tigr_Exhibitaca1322f_be90_4d77_85d1_45416d993a6d" hidden="1">#REF!</definedName>
    <definedName name="Tigr_Exhibitace02f69_92ce_4b13_9dd0_e771a4682ac7" hidden="1">#REF!</definedName>
    <definedName name="Tigr_Exhibitad357980_b945_40f7_b520_a80f2e2dd2db" hidden="1">#REF!</definedName>
    <definedName name="Tigr_Exhibitadd0762b_eb26_4520_afe7_13deaf285f58" hidden="1">#REF!</definedName>
    <definedName name="Tigr_Exhibitadf04408_8fef_4c83_8a89_9fc8ec64c075" hidden="1">#REF!</definedName>
    <definedName name="Tigr_Exhibitae00d63e_4955_49fc_92bc_5df7b026ef50" hidden="1">#REF!</definedName>
    <definedName name="Tigr_Exhibitae3e1138_ae56_4a49_8f40_b5016761c1ed" hidden="1">#REF!</definedName>
    <definedName name="Tigr_Exhibitae4607f0_c048_4af4_91c3_f1ea6bd43ba0" hidden="1">#REF!</definedName>
    <definedName name="Tigr_Exhibitae7aa7bd_fbdf_45ca_9be7_082e0589a799" hidden="1">#REF!</definedName>
    <definedName name="Tigr_Exhibitaeb48be1_e248_44f8_8a53_b6e607db141c" hidden="1">#REF!</definedName>
    <definedName name="Tigr_Exhibitaed20054_3ee0_49e2_875d_1512e4e2f2d5" hidden="1">#REF!</definedName>
    <definedName name="Tigr_Exhibitaf1937f9_4f31_4b78_b460_00acc00eb286" hidden="1">#REF!</definedName>
    <definedName name="Tigr_Exhibitaf275f9a_a019_4f4b_b812_4279be9cad07" hidden="1">#REF!</definedName>
    <definedName name="Tigr_Exhibitaf700965_35df_47e5_883d_a93e3c459388" hidden="1">#REF!</definedName>
    <definedName name="Tigr_Exhibitafd00f9e_a200_4202_a4b1_da67e7cb9fa4" hidden="1">#REF!</definedName>
    <definedName name="Tigr_Exhibitafe31343_9c58_4b1b_a10f_bbe356fb4a00" hidden="1">#REF!</definedName>
    <definedName name="Tigr_Exhibitb019a731_b8f0_44b6_91fc_4e64ff51c1c7" hidden="1">#REF!</definedName>
    <definedName name="Tigr_Exhibitb04c93be_0644_4490_91df_a0f691d75ddf" hidden="1">#REF!</definedName>
    <definedName name="Tigr_Exhibitb057286a_bec4_4c27_9b97_e85e0d4f0b55" hidden="1">#REF!</definedName>
    <definedName name="Tigr_Exhibitb0688a2a_0710_4005_80f9_262a9365411a" hidden="1">#REF!</definedName>
    <definedName name="Tigr_Exhibitb0731e0d_d9f4_4eef_9af8_89cecaa0fbeb" hidden="1">#REF!</definedName>
    <definedName name="Tigr_Exhibitb0fcf948_3885_4782_8012_afc372f05407" hidden="1">#REF!</definedName>
    <definedName name="Tigr_Exhibitb13af1c2_b779_48fb_91ee_3ba62736f4e1" hidden="1">#REF!</definedName>
    <definedName name="Tigr_Exhibitb14ddeca_f5c5_442b_9239_e86bff24fffe" hidden="1">#REF!</definedName>
    <definedName name="Tigr_Exhibitb16dd1cf_5dad_45ce_b8c1_41365ec2b941" hidden="1">#REF!</definedName>
    <definedName name="Tigr_Exhibitb1ce9ae9_68b6_4c4d_ad5f_58cd8a4760ae" hidden="1">#REF!</definedName>
    <definedName name="Tigr_Exhibitb1f3df2e_4fa1_4256_926f_f38873a9823f" hidden="1">#REF!</definedName>
    <definedName name="Tigr_Exhibitb203a67b_a62b_4fee_b73a_debc5439caf4" hidden="1">#REF!</definedName>
    <definedName name="Tigr_Exhibitb20553c9_1554_49ab_82e0_f3904a996dd0" hidden="1">#REF!</definedName>
    <definedName name="Tigr_Exhibitb22198a6_cef3_4085_bcb1_6e45b21d6f76" hidden="1">#REF!</definedName>
    <definedName name="Tigr_Exhibitb2286cbb_7d04_4be5_bbaa_3bfd755cc21d" hidden="1">#REF!</definedName>
    <definedName name="Tigr_Exhibitb23e153f_59e1_40c6_bfc0_538f9be303e6" hidden="1">#REF!</definedName>
    <definedName name="Tigr_Exhibitb26546e6_5e3e_4cbd_8e80_321bfd8f61c0" hidden="1">#REF!</definedName>
    <definedName name="Tigr_Exhibitb292317d_e219_4a18_9737_65f0354a9e20" hidden="1">#REF!</definedName>
    <definedName name="Tigr_Exhibitb2bf74ab_0194_4182_9a10_d94d56714def" hidden="1">#REF!</definedName>
    <definedName name="Tigr_Exhibitb2c7983e_0b0d_42a8_94c8_c39d997585ff" hidden="1">#REF!</definedName>
    <definedName name="Tigr_Exhibitb2e58906_7955_40e9_89a4_2dbffabed8ae" hidden="1">#REF!</definedName>
    <definedName name="Tigr_Exhibitb32f5d3f_ffe9_4789_bbf5_ee3a1444ad70" hidden="1">#REF!</definedName>
    <definedName name="Tigr_Exhibitb33e6995_ee50_4036_99a3_7f988623d48c" hidden="1">#REF!</definedName>
    <definedName name="Tigr_Exhibitb3d6f449_4558_4863_b7e6_6e288109f0e6" hidden="1">#REF!</definedName>
    <definedName name="Tigr_Exhibitb40a39d3_8ae9_4569_97a0_82272a898dc5" hidden="1">#REF!</definedName>
    <definedName name="Tigr_Exhibitb40cb991_0860_41a7_9166_b81a17f8e768" hidden="1">#REF!</definedName>
    <definedName name="Tigr_Exhibitb43031cf_720d_4a2f_91f9_b59011b7151a" hidden="1">#REF!</definedName>
    <definedName name="Tigr_Exhibitb444596d_d039_4fec_a2fd_623be2819eef" hidden="1">#REF!</definedName>
    <definedName name="Tigr_Exhibitb45cbb0a_0fc0_44b6_a33e_fa94d9082aac" hidden="1">#REF!</definedName>
    <definedName name="Tigr_Exhibitb477dcf4_e53d_46d8_8401_837161f66c5f" hidden="1">#REF!</definedName>
    <definedName name="Tigr_Exhibitb4d1d10b_c5ff_434a_81d7_60af9e52b674" hidden="1">#REF!</definedName>
    <definedName name="Tigr_Exhibitb4de4ca5_9f6c_4260_9b54_d4be820f7ee4" hidden="1">#REF!</definedName>
    <definedName name="Tigr_Exhibitb4edf74d_281c_43c9_9eb3_fc9f3e654a00" hidden="1">#REF!</definedName>
    <definedName name="Tigr_Exhibitb5daa3cc_f247_45c0_8890_8b83b0d44dfe" hidden="1">#REF!</definedName>
    <definedName name="Tigr_Exhibitb5e59879_78b6_4fe9_a92b_283800285a53" hidden="1">#REF!</definedName>
    <definedName name="Tigr_Exhibitb6038851_358a_4246_885a_bd469133c5cf" hidden="1">#REF!</definedName>
    <definedName name="Tigr_Exhibitb699c5ed_b222_4d63_a92a_250986e2e44e" hidden="1">#REF!</definedName>
    <definedName name="Tigr_Exhibitb6efeab5_c04c_4f8a_80fc_610985e063a4" hidden="1">#REF!</definedName>
    <definedName name="Tigr_Exhibitb78c9c35_d903_4f72_90f1_a0fc94085c45" hidden="1">#REF!</definedName>
    <definedName name="Tigr_Exhibitb7a48dbb_75d2_4783_84a3_2c09127e4d2e" hidden="1">#REF!</definedName>
    <definedName name="Tigr_Exhibitb7fb184c_89e4_4b3f_af89_c3dc060d70bc" hidden="1">#REF!</definedName>
    <definedName name="Tigr_Exhibitb8003366_09e2_4c54_a53d_6a43e361e771" hidden="1">#REF!</definedName>
    <definedName name="Tigr_Exhibitb8169456_e3f2_4664_8d29_1c772fb9cd8e" hidden="1">#REF!</definedName>
    <definedName name="Tigr_Exhibitb83ff3d0_3466_4525_901c_4273cdae906c" hidden="1">#REF!</definedName>
    <definedName name="Tigr_Exhibitb8a25385_2293_4f81_865c_c6a5bed492f5" hidden="1">#REF!</definedName>
    <definedName name="Tigr_Exhibitb8f62396_8338_4d3e_b23a_5b6ff70f1e79" hidden="1">#REF!</definedName>
    <definedName name="Tigr_Exhibitb90e0c9e_db9f_42fb_b92f_465e47a089f6" hidden="1">#REF!</definedName>
    <definedName name="Tigr_Exhibitb92f29d9_cd2e_42cc_b065_e5a6a11d348c" hidden="1">#REF!</definedName>
    <definedName name="Tigr_Exhibitb9f1877e_d989_449a_a25d_8b64b282096f" hidden="1">#REF!</definedName>
    <definedName name="Tigr_Exhibitb9ff8c39_89d7_4d1f_890b_a08a035969ab" hidden="1">#REF!</definedName>
    <definedName name="Tigr_Exhibitba57f245_c3ab_464a_a029_3e9ac51384bb" hidden="1">#REF!</definedName>
    <definedName name="Tigr_Exhibitba73417a_4948_4a5a_beb8_c69dbb1da016" hidden="1">#REF!</definedName>
    <definedName name="Tigr_Exhibitbae586dd_99f2_49e9_91f6_91b62e838093" hidden="1">#REF!</definedName>
    <definedName name="Tigr_Exhibitbb65d61f_c35e_459c_a91b_f3b59eed7626" hidden="1">#REF!</definedName>
    <definedName name="Tigr_Exhibitbbad5e52_d7f1_418e_b301_8bc71525d939" hidden="1">#REF!</definedName>
    <definedName name="Tigr_Exhibitbbf341d4_5ed5_4e64_a4c3_6e4aa1baa861" hidden="1">#REF!</definedName>
    <definedName name="Tigr_Exhibitbc00d811_9d41_4157_9add_3035ff780917" hidden="1">#REF!</definedName>
    <definedName name="Tigr_Exhibitbc40d9b9_9b2d_4040_a659_72a985a5fd04" hidden="1">#REF!</definedName>
    <definedName name="Tigr_Exhibitbc4bc219_91fd_4aa5_aa36_aa50e8e9be25" hidden="1">#REF!</definedName>
    <definedName name="Tigr_Exhibitbc7b9453_56fc_4b74_8bcb_9215ad1652d6" hidden="1">#REF!</definedName>
    <definedName name="Tigr_Exhibitbcdfec3b_8ee7_4ef5_8c31_94d1042cc7c6" hidden="1">#REF!</definedName>
    <definedName name="Tigr_Exhibitbd1f19ac_9550_409e_9ca9_564b3aeb656c" hidden="1">#REF!</definedName>
    <definedName name="Tigr_Exhibitbd3596ee_3b89_431a_ac21_de8b0a984469" hidden="1">#REF!</definedName>
    <definedName name="Tigr_Exhibitbd3d09d3_76f0_4095_8ed4_dee560f3c0ac" hidden="1">#REF!</definedName>
    <definedName name="Tigr_Exhibitbdb62644_5ebc_4b85_b74b_ecd840ade0aa" hidden="1">#REF!</definedName>
    <definedName name="Tigr_Exhibitbddd9f35_f9f6_4a8f_a0ac_04c5eabca568" hidden="1">#REF!</definedName>
    <definedName name="Tigr_Exhibitbe3000d0_4275_4829_9e05_3251da57587d" hidden="1">#REF!</definedName>
    <definedName name="Tigr_Exhibitbe5d340a_e941_4c5f_a2c0_cd6ce1169568" hidden="1">#REF!</definedName>
    <definedName name="Tigr_Exhibitbe8a1185_bca7_4470_988e_f3d0fc14abc6" hidden="1">#REF!</definedName>
    <definedName name="Tigr_Exhibitbf0ab5eb_b86e_49d9_88ab_ceb52843638a" hidden="1">#REF!</definedName>
    <definedName name="Tigr_Exhibitbf101d28_5fa7_4eeb_be34_ded75b532533" hidden="1">#REF!</definedName>
    <definedName name="Tigr_Exhibitbf1780d5_c07a_4a7a_81bf_0285eea9561e" hidden="1">#REF!</definedName>
    <definedName name="Tigr_Exhibitbf52e71a_a1fc_4524_9f43_afeb18561f88" hidden="1">#REF!</definedName>
    <definedName name="Tigr_Exhibitbfac90d1_3407_4dee_991c_2643caf5b2b8" hidden="1">#REF!</definedName>
    <definedName name="Tigr_Exhibitc0297468_0f38_40be_8523_8bae926f1db7" hidden="1">#REF!</definedName>
    <definedName name="Tigr_Exhibitc0578117_3c4c_4b73_9147_db3499678d56" hidden="1">#REF!</definedName>
    <definedName name="Tigr_Exhibitc0b6b4cf_2731_4019_8ca6_328748d923f2" hidden="1">#REF!</definedName>
    <definedName name="Tigr_Exhibitc0fd692a_14d6_471c_96a3_baf63540c484" hidden="1">#REF!</definedName>
    <definedName name="Tigr_Exhibitc105e37e_0d62_4678_ad83_f904e588fa1c" hidden="1">#REF!</definedName>
    <definedName name="Tigr_Exhibitc1285ea8_65de_46de_a38a_d401bcbdd4e1" hidden="1">#REF!</definedName>
    <definedName name="Tigr_Exhibitc14ea195_60a3_4ecf_9103_99cc4799a82e" hidden="1">#REF!</definedName>
    <definedName name="Tigr_Exhibitc1797d20_041c_4051_b4c6_c017a21d8dc8" hidden="1">#REF!</definedName>
    <definedName name="Tigr_Exhibitc1a1942f_066e_43e5_9869_591fe49c9dff" hidden="1">#REF!</definedName>
    <definedName name="Tigr_Exhibitc1e343af_0f27_4c40_a522_2453d6404feb" hidden="1">#REF!</definedName>
    <definedName name="Tigr_Exhibitc20e42c1_3970_47a7_849a_ce7ebd1c8655" hidden="1">#REF!</definedName>
    <definedName name="Tigr_Exhibitc2466b94_1550_4fce_b61c_588eab5ecb79" hidden="1">#REF!</definedName>
    <definedName name="Tigr_Exhibitc34b49e6_3955_4b31_b0b0_a5b797c8a6e7" hidden="1">#REF!</definedName>
    <definedName name="Tigr_Exhibitc3627d2e_51b3_4426_b317_fd956744b37d" hidden="1">#REF!</definedName>
    <definedName name="Tigr_Exhibitc3a3f928_2938_4a29_9661_336e95ec4532" hidden="1">#REF!</definedName>
    <definedName name="Tigr_Exhibitc3ccf51e_bf12_49c0_9bde_eb02f9ff712b" hidden="1">#REF!</definedName>
    <definedName name="Tigr_Exhibitc41f2f70_9654_4001_abe7_4039a3115473" hidden="1">#REF!</definedName>
    <definedName name="Tigr_Exhibitc44bd91a_a416_47de_a8ab_2a1d1ac750f2" hidden="1">#REF!</definedName>
    <definedName name="Tigr_Exhibitc4678483_da16_498a_abb0_412f5622065e" hidden="1">#REF!</definedName>
    <definedName name="Tigr_Exhibitc4e8df15_73db_4d32_b7ee_4550ba4243ea" hidden="1">#REF!</definedName>
    <definedName name="Tigr_Exhibitc5b27f90_2ca5_491a_88ce_5969e2ffd70a" hidden="1">#REF!</definedName>
    <definedName name="Tigr_Exhibitc623887a_74b6_4c77_b222_2ded5c855746" hidden="1">#REF!</definedName>
    <definedName name="Tigr_Exhibitc66fa36f_95c8_42a1_8061_3b0d39129b6e" hidden="1">#REF!</definedName>
    <definedName name="Tigr_Exhibitc6789787_f6e2_4ca9_8f65_c5bd5111361c" hidden="1">#REF!</definedName>
    <definedName name="Tigr_Exhibitc6f75a00_fe58_4a0b_91ad_b9ea026bbd1a" hidden="1">#REF!</definedName>
    <definedName name="Tigr_Exhibitc781b86f_bd18_493f_ab3a_c7156c4dd565" hidden="1">#REF!</definedName>
    <definedName name="Tigr_Exhibitc7845dc7_66cc_4b2c_9d28_862f9be15601" hidden="1">#REF!</definedName>
    <definedName name="Tigr_Exhibitc7b76323_c53b_44b7_8cd3_9fa488f37285" hidden="1">#REF!</definedName>
    <definedName name="Tigr_Exhibitc7e47041_76bb_4781_9af2_804b6dad890b" hidden="1">#REF!</definedName>
    <definedName name="Tigr_Exhibitc85fc064_6885_46f3_989c_20161744a195" hidden="1">#REF!</definedName>
    <definedName name="Tigr_Exhibitc87cf2b5_a895_4c92_96aa_c6f65230a9c0" hidden="1">#REF!</definedName>
    <definedName name="Tigr_Exhibitc8898439_480d_46a0_930e_d2a1a76e18f5" hidden="1">#REF!</definedName>
    <definedName name="Tigr_Exhibitc8ec086e_482c_4026_92f0_c1fa2fc2d8bf" hidden="1">#REF!</definedName>
    <definedName name="Tigr_Exhibitc92dc48a_2646_49b9_bd10_f65539e841de" hidden="1">#REF!</definedName>
    <definedName name="Tigr_Exhibitc94814ae_d5d5_441b_bcab_2554f518e445" hidden="1">#REF!</definedName>
    <definedName name="Tigr_Exhibitc972539f_ff13_4976_99e0_6be69e0e1a0f" hidden="1">#REF!</definedName>
    <definedName name="Tigr_Exhibitc97c72e9_e1ff_4386_99f3_be4d7e0d56f0" hidden="1">#REF!</definedName>
    <definedName name="Tigr_Exhibitc994cc34_cafe_4770_ae2b_c615892a0989" hidden="1">#REF!</definedName>
    <definedName name="Tigr_Exhibitc9a0c716_bc70_4fa2_be5a_9432ac9588ec" hidden="1">#REF!</definedName>
    <definedName name="Tigr_Exhibitc9b5c7cc_f087_48fb_90a9_ea0361e5e29c" hidden="1">#REF!</definedName>
    <definedName name="Tigr_Exhibitca1aa228_ac8a_4109_8554_361a902af747" hidden="1">#REF!</definedName>
    <definedName name="Tigr_Exhibitca63a1ef_be7f_467e_bed4_66aac1378ea5" hidden="1">#REF!</definedName>
    <definedName name="Tigr_Exhibitca79e302_f2ba_4c8c_b744_120abadd121a" hidden="1">#REF!</definedName>
    <definedName name="Tigr_Exhibitcaa16882_28d9_411f_bb94_3c3a2a3a3d09" hidden="1">#REF!</definedName>
    <definedName name="Tigr_Exhibitcb2d79fa_8300_47c1_8319_e22fefe9c4d0" hidden="1">#REF!</definedName>
    <definedName name="Tigr_Exhibitcb338465_b6cd_47bf_80d9_f36c3fb772a0" hidden="1">#REF!</definedName>
    <definedName name="Tigr_Exhibitcb9036d8_10ba_4f8e_8e76_5444be8b9b42" hidden="1">#REF!</definedName>
    <definedName name="Tigr_Exhibitcd286ca4_61bf_4bdc_9721_768a93158b99" hidden="1">#REF!</definedName>
    <definedName name="Tigr_Exhibitcd425106_a81b_4464_9915_76ef7c88ceb3" hidden="1">#REF!</definedName>
    <definedName name="Tigr_Exhibitcd554042_e47e_434b_83d8_f4bfbf1c1dc7" hidden="1">#REF!</definedName>
    <definedName name="Tigr_Exhibitcd61dd57_fe70_4c82_a0fe_c8f728cbae44" hidden="1">#REF!</definedName>
    <definedName name="Tigr_Exhibitcd8925d2_09be_46ce_a77e_b5638466a4d6" hidden="1">#REF!</definedName>
    <definedName name="Tigr_Exhibitcda14391_f5e1_4972_b4ee_420c66c1b21c" hidden="1">#REF!</definedName>
    <definedName name="Tigr_Exhibitcdb22ae7_70e9_4d22_80cc_d11c4b542cd3" hidden="1">#REF!</definedName>
    <definedName name="Tigr_Exhibitcddd673e_4bfb_4735_a31a_a472ceccad5e" hidden="1">#REF!</definedName>
    <definedName name="Tigr_Exhibitce38840f_525b_46bd_a74e_af3f46003022" hidden="1">#REF!</definedName>
    <definedName name="Tigr_Exhibitce89d445_6bcb_429b_bf84_3e84bc87ab75" hidden="1">#REF!</definedName>
    <definedName name="Tigr_Exhibitceb65608_a72f_4130_b009_ef5fdb301854" hidden="1">#REF!</definedName>
    <definedName name="Tigr_Exhibitcf0db728_f9e7_4e8c_bc06_55925a8cc663" hidden="1">#REF!</definedName>
    <definedName name="Tigr_Exhibitcf18eef7_fc35_4806_aad6_54a4b42054fe" hidden="1">#REF!</definedName>
    <definedName name="Tigr_Exhibitcf30a10d_742d_4c3d_9a98_4ffa0bdf0f3f" hidden="1">#REF!</definedName>
    <definedName name="Tigr_Exhibitcf3ec3de_93b4_4479_94f6_fcc0a4b1ddbc" hidden="1">#REF!</definedName>
    <definedName name="Tigr_Exhibitcf719fe7_5666_49e0_8755_058e20d6ec3e" hidden="1">#REF!</definedName>
    <definedName name="Tigr_Exhibitcf8dc62b_0fbc_48e0_a8df_0838ff65c7bf" hidden="1">#REF!</definedName>
    <definedName name="Tigr_Exhibitcfaf37f3_5536_4cf0_a33d_f39b9085a4cf" hidden="1">#REF!</definedName>
    <definedName name="Tigr_Exhibitcfb83d66_7012_4703_931e_593ad4e1512a" hidden="1">#REF!</definedName>
    <definedName name="Tigr_Exhibitcfc2ed96_40a3_42b8_91f3_b3060c83bff6" hidden="1">#REF!</definedName>
    <definedName name="Tigr_Exhibitcffbbb7a_8446_45ad_8770_d38013df468d" hidden="1">#REF!</definedName>
    <definedName name="Tigr_Exhibitd19b8d14_6176_4034_9f6c_97f0c73ac987" hidden="1">#REF!</definedName>
    <definedName name="Tigr_Exhibitd1c236e0_3927_4965_a85c_58907ff8e450" hidden="1">#REF!</definedName>
    <definedName name="Tigr_Exhibitd22a952f_8978_4e29_886d_c217a7d1df84" hidden="1">#REF!</definedName>
    <definedName name="Tigr_Exhibitd26431e9_3ccf_4163_a57d_dd3b8682b1c9" hidden="1">#REF!</definedName>
    <definedName name="Tigr_Exhibitd280c2b9_ca87_4dfe_9fef_0e9630f7f7d7" hidden="1">#REF!</definedName>
    <definedName name="Tigr_Exhibitd2cd768b_2abb_4478_aa93_28a36e4a05da" hidden="1">#REF!</definedName>
    <definedName name="Tigr_Exhibitd2d75562_ece8_4845_8d17_6e49ecb6b762" hidden="1">#REF!</definedName>
    <definedName name="Tigr_Exhibitd30871ab_05b1_4830_a067_9ab894ae6eb1" hidden="1">#REF!</definedName>
    <definedName name="Tigr_Exhibitd30ebc60_af0c_4a4d_b3f3_f098d7c57bbf" hidden="1">#REF!</definedName>
    <definedName name="Tigr_Exhibitd33505ff_496f_4318_a33f_92a0924b5771" hidden="1">#REF!</definedName>
    <definedName name="Tigr_Exhibitd3356e2e_8e58_4912_89b9_1877401b557a" hidden="1">#REF!</definedName>
    <definedName name="Tigr_Exhibitd34dfba6_e463_4e33_910a_d4c4f17f4968" hidden="1">#REF!</definedName>
    <definedName name="Tigr_Exhibitd35d27d4_9b45_4e1b_acd3_fd580e68a20a" hidden="1">#REF!</definedName>
    <definedName name="Tigr_Exhibitd3c53e5a_626b_406f_9b43_eeb2c7b77f09" hidden="1">#REF!</definedName>
    <definedName name="Tigr_Exhibitd3d14a86_ca0a_4161_9062_8ccb220a83ac" hidden="1">#REF!</definedName>
    <definedName name="Tigr_Exhibitd3ef26eb_0645_4d2b_9326_c0f5a7a5c851" hidden="1">#REF!</definedName>
    <definedName name="Tigr_Exhibitd3fbca04_a40f_4a32_b577_07f6e4633a78" hidden="1">#REF!</definedName>
    <definedName name="Tigr_Exhibitd4187c3d_5eaf_4077_b39d_689fc354cba3" hidden="1">#REF!</definedName>
    <definedName name="Tigr_Exhibitd4d4f2af_b672_4b41_b8b5_305983a71acf" hidden="1">#REF!</definedName>
    <definedName name="Tigr_Exhibitd4e4b731_6ee2_48aa_9885_06a93480cb15" hidden="1">#REF!</definedName>
    <definedName name="Tigr_Exhibitd5325037_780f_42c0_9fb5_6576167a34e3" hidden="1">#REF!</definedName>
    <definedName name="Tigr_Exhibitd58b3389_f450_46f1_92a8_80cd47a62839" hidden="1">#REF!</definedName>
    <definedName name="Tigr_Exhibitd5b932af_d9e6_4835_86fb_94e765f1e2e6" hidden="1">#REF!</definedName>
    <definedName name="Tigr_Exhibitd5e8f04c_e64c_4aff_a543_01acbc15b35b" hidden="1">#REF!</definedName>
    <definedName name="Tigr_Exhibitd5f096d9_b101_4a57_b78c_9663ced9467c" hidden="1">#REF!</definedName>
    <definedName name="Tigr_Exhibitd60bf6a6_a1ce_41c5_b78f_f34b506c61ae" hidden="1">#REF!</definedName>
    <definedName name="Tigr_Exhibitd6d041c0_f89b_414c_9dd3_1ee58d0a6948" hidden="1">#REF!</definedName>
    <definedName name="Tigr_Exhibitd7085c9f_1191_4848_9ff7_e612ddac6147" hidden="1">#REF!</definedName>
    <definedName name="Tigr_Exhibitd72edaff_3952_4a66_983a_9a109f16af18" hidden="1">#REF!</definedName>
    <definedName name="Tigr_Exhibitd7720fee_5a6a_4aa4_bb28_10cf13e15419" hidden="1">#REF!</definedName>
    <definedName name="Tigr_Exhibitd78a7c06_8f4f_4ac5_b64c_a13017840f59" hidden="1">#REF!</definedName>
    <definedName name="Tigr_Exhibitd7e77b7b_fb07_4fe3_b293_f2d49362594f" hidden="1">#REF!</definedName>
    <definedName name="Tigr_Exhibitd801af5b_fd6b_4480_b757_9a504820f650" hidden="1">#REF!</definedName>
    <definedName name="Tigr_Exhibitd8a783e9_0a3b_4ab6_9dbb_1b6992580223" hidden="1">#REF!</definedName>
    <definedName name="Tigr_Exhibitd8b15071_2911_4d66_956e_d84fc0b4738a" hidden="1">#REF!</definedName>
    <definedName name="Tigr_Exhibitd9570a4b_5ec4_4504_b6c0_84b9a9e43f44" hidden="1">#REF!</definedName>
    <definedName name="Tigr_Exhibitda2a67bf_ae2c_457f_b0cf_e84150d1a918" hidden="1">#REF!</definedName>
    <definedName name="Tigr_Exhibitda583c0b_4dec_4820_a551_ca5f51c42081" hidden="1">#REF!</definedName>
    <definedName name="Tigr_Exhibitda88462e_ccf4_43d7_b0ce_ede0b5533c86" hidden="1">#REF!</definedName>
    <definedName name="Tigr_Exhibitda899833_9210_46ca_8a76_c4b06d51dea1" hidden="1">#REF!</definedName>
    <definedName name="Tigr_Exhibitda8f5e7b_0a11_47d9_9291_bb417bffdd3a" hidden="1">#REF!</definedName>
    <definedName name="Tigr_Exhibitdaaabe3a_d657_4baa_ba27_c682ba06ee7b" hidden="1">#REF!</definedName>
    <definedName name="Tigr_Exhibitdac62c64_5da6_4edc_ba8e_14e74403af94" hidden="1">#REF!</definedName>
    <definedName name="Tigr_Exhibitdadccd47_94dc_4f56_9ad5_7fd9375e0766" hidden="1">#REF!</definedName>
    <definedName name="Tigr_Exhibitdade7477_b358_4e3f_90b2_6a1f0ba927d0" hidden="1">#REF!</definedName>
    <definedName name="Tigr_Exhibitdaf6f7f4_d2e0_4af3_8a2d_1c68e18ee5e2" hidden="1">#REF!</definedName>
    <definedName name="Tigr_Exhibitdafb8cbb_1085_4f65_8619_27b7c14a67f3" hidden="1">#REF!</definedName>
    <definedName name="Tigr_Exhibitdb05c911_016c_452d_9374_98a94c54dd7c" hidden="1">#REF!</definedName>
    <definedName name="Tigr_Exhibitdb6baa80_6a4b_4988_b404_a1ce5cba6f0c" hidden="1">#REF!</definedName>
    <definedName name="Tigr_Exhibitdb91827c_8aa6_48e3_89c1_9c3a136ecc7b" hidden="1">#REF!</definedName>
    <definedName name="Tigr_Exhibitdba13809_e91b_4dda_bcf8_caf35be4388d" hidden="1">#REF!</definedName>
    <definedName name="Tigr_Exhibitdbca1504_985d_4462_b5e4_eda4eb73fac6" hidden="1">#REF!</definedName>
    <definedName name="Tigr_Exhibitdbef9c59_a659_4cd8_b3e6_17a77322f770" hidden="1">#REF!</definedName>
    <definedName name="Tigr_Exhibitdc12b7f4_179f_4be0_b8bc_3bfc86349ac7" hidden="1">#REF!</definedName>
    <definedName name="Tigr_Exhibitdc303b36_b7e0_46ac_8608_c8343fc66550" hidden="1">#REF!</definedName>
    <definedName name="Tigr_Exhibitdc317c70_904e_4753_9d86_3a7148323a83" hidden="1">#REF!</definedName>
    <definedName name="Tigr_Exhibitdc58f681_3788_47bd_a72a_19e43ec583d1" hidden="1">#REF!</definedName>
    <definedName name="Tigr_Exhibitdc9be048_f126_41c6_b1b5_696f0712b779" hidden="1">#REF!</definedName>
    <definedName name="Tigr_Exhibitdce47a03_3a98_4137_b4c9_f85ef1f22e84" hidden="1">#REF!</definedName>
    <definedName name="Tigr_Exhibitdcfbf6e3_cc67_48f5_a382_749e28e5a777" hidden="1">#REF!</definedName>
    <definedName name="Tigr_Exhibitdda50483_ed3f_426c_925b_0b46af0777d5" hidden="1">#REF!</definedName>
    <definedName name="Tigr_Exhibitde1d67e6_8b30_411f_b259_4cdf78b98f27" hidden="1">#REF!</definedName>
    <definedName name="Tigr_Exhibitde761a7f_7c45_47b0_8f13_ecede0189a97" hidden="1">#REF!</definedName>
    <definedName name="Tigr_Exhibitde825008_bd91_4e56_b487_4d4e2068d106" hidden="1">#REF!</definedName>
    <definedName name="Tigr_Exhibitdeeebbf5_d346_45e3_b33d_3a56fe72f958" hidden="1">#REF!</definedName>
    <definedName name="Tigr_Exhibitdef4074f_afbe_4c09_8735_cdd946993557" hidden="1">#REF!</definedName>
    <definedName name="Tigr_Exhibitdf14bf7d_edf2_45d6_8583_e14e2d16d91b" hidden="1">#REF!</definedName>
    <definedName name="Tigr_Exhibitdf2f664f_8928_44e0_a453_e5dc00821384" hidden="1">#REF!</definedName>
    <definedName name="Tigr_Exhibitdf408d4e_eda9_4614_b8a0_08ba1390f05e" hidden="1">#REF!</definedName>
    <definedName name="Tigr_Exhibitdf50a480_3637_4bc0_b739_53ce1c636bbc" hidden="1">#REF!</definedName>
    <definedName name="Tigr_Exhibitdf79b2f5_c0fa_4e12_9876_eca4c474e0b1" hidden="1">#REF!</definedName>
    <definedName name="Tigr_Exhibitdfa3ca7f_51b5_436f_a1a4_b943f7f6aedb" hidden="1">#REF!</definedName>
    <definedName name="Tigr_Exhibitdfb6d735_3baf_491a_8477_8a78ed4ff4ef" hidden="1">#REF!</definedName>
    <definedName name="Tigr_Exhibitdfbac79c_c1a6_40be_b95c_fa4cad22a27c" hidden="1">#REF!</definedName>
    <definedName name="Tigr_Exhibitdfc7c18e_affa_4b6c_a42f_ccc687de55e2" hidden="1">#REF!</definedName>
    <definedName name="Tigr_Exhibitdfef2d64_578a_4bdc_b8a7_60443ea17b69" hidden="1">#REF!</definedName>
    <definedName name="Tigr_Exhibite0690cd6_20a3_476b_bb58_3f42def74d1d" hidden="1">#REF!</definedName>
    <definedName name="Tigr_Exhibite0743f65_dd4f_4f3b_8830_ee6ae2a9648f" hidden="1">#REF!</definedName>
    <definedName name="Tigr_Exhibite079df78_912d_4072_b07c_820d0229d699" hidden="1">#REF!</definedName>
    <definedName name="Tigr_Exhibite09af743_74fb_46f9_8fb6_a08e99f8aaa0" hidden="1">#REF!</definedName>
    <definedName name="Tigr_Exhibite0ca30bc_941b_4881_bc33_ee4260a7988a" hidden="1">#REF!</definedName>
    <definedName name="Tigr_Exhibite1749e61_512c_473f_832b_596df8d7350d" hidden="1">#REF!</definedName>
    <definedName name="Tigr_Exhibite1e11c75_c154_416a_be4f_727aa3fe90bd" hidden="1">#REF!</definedName>
    <definedName name="Tigr_Exhibite1e90bf7_fdde_432f_a8d4_9c3e4a1f404c" hidden="1">#REF!</definedName>
    <definedName name="Tigr_Exhibite20cd44b_ca69_4ec2_bc80_d5eb3a7404c1" hidden="1">#REF!</definedName>
    <definedName name="Tigr_Exhibite20fc7ae_b7a9_4953_8d71_41e50ab5ddc8" hidden="1">#REF!</definedName>
    <definedName name="Tigr_Exhibite2100bd0_d5ad_4f38_aa4e_81ee0e8aa750" hidden="1">#REF!</definedName>
    <definedName name="Tigr_Exhibite22ef638_d7c5_4480_ae9e_7363875e37cc" hidden="1">#REF!</definedName>
    <definedName name="Tigr_Exhibite25136c2_ec56_4732_9126_1ee8b7673694" hidden="1">#REF!</definedName>
    <definedName name="Tigr_Exhibite2d6e216_f7da_4171_9909_9f2fa41d0ea8" hidden="1">#REF!</definedName>
    <definedName name="Tigr_Exhibite3430fbd_1475_4da2_ba68_ab58520c7f8f" hidden="1">#REF!</definedName>
    <definedName name="Tigr_Exhibite34710fa_1a49_4d4e_86ba_ac32d1c2bebf" hidden="1">#REF!</definedName>
    <definedName name="Tigr_Exhibite35f0cce_420b_4695_aa5c_aa38a6dc1e86" hidden="1">#REF!</definedName>
    <definedName name="Tigr_Exhibite35fb9df_34b7_4b50_b8fb_3ea7097d35ef" hidden="1">#REF!</definedName>
    <definedName name="Tigr_Exhibite37c116b_3555_4cf3_9162_e72a25ccea01" hidden="1">#REF!</definedName>
    <definedName name="Tigr_Exhibite3930ab2_936c_42b4_8072_fb3104b48a10" hidden="1">#REF!</definedName>
    <definedName name="Tigr_Exhibite39de712_2001_4768_8128_fc3879eee49c" hidden="1">#REF!</definedName>
    <definedName name="Tigr_Exhibite3bc35c7_cb26_4fe3_b0e2_00b5871778f7" hidden="1">#REF!</definedName>
    <definedName name="Tigr_Exhibite3c1c97c_c086_41cc_a412_1259e548a896" hidden="1">#REF!</definedName>
    <definedName name="Tigr_Exhibite3cc1892_ad99_454c_88f2_174b65647b73" hidden="1">#REF!</definedName>
    <definedName name="Tigr_Exhibite3f8b8cd_97ab_4abc_9392_6295e8fac7d9" hidden="1">#REF!</definedName>
    <definedName name="Tigr_Exhibite43d5358_6366_4d88_9795_1f585d052298" hidden="1">#REF!</definedName>
    <definedName name="Tigr_Exhibite44e892b_6fa9_4280_bd72_767d0c1d8465" hidden="1">#REF!</definedName>
    <definedName name="Tigr_Exhibite4b34f01_4e86_47b8_aa15_73f2709e2c68" hidden="1">#REF!</definedName>
    <definedName name="Tigr_Exhibite4ba6416_41f1_4420_b1eb_3f76cbb36b70" hidden="1">#REF!</definedName>
    <definedName name="Tigr_Exhibite4beaec5_3bc4_42ff_9518_b1b34628112f" hidden="1">#REF!</definedName>
    <definedName name="Tigr_Exhibite4fc3731_4f02_4779_9941_a0002903ee87" hidden="1">#REF!</definedName>
    <definedName name="Tigr_Exhibite527e41b_11cc_4e8e_9bc3_5de87b36e714" hidden="1">#REF!</definedName>
    <definedName name="Tigr_Exhibite55f6042_6f96_4126_ae92_3382274190b5" hidden="1">#REF!</definedName>
    <definedName name="Tigr_Exhibite5cc4989_ab0f_4467_978a_a297b4cacb17" hidden="1">#REF!</definedName>
    <definedName name="Tigr_Exhibite5ccd3da_ecf7_4187_b601_04a4c1a4ea4f" hidden="1">#REF!</definedName>
    <definedName name="Tigr_Exhibite5fbb439_3b47_43fc_8ebf_b55176b64c93" hidden="1">#REF!</definedName>
    <definedName name="Tigr_Exhibite62c7b22_af92_42f9_9d66_8d6a980c2791" hidden="1">#REF!</definedName>
    <definedName name="Tigr_Exhibite6402540_8d25_4068_be16_781b879eceba" hidden="1">#REF!</definedName>
    <definedName name="Tigr_Exhibite65a6547_279b_451b_a20f_769ab530b05b" hidden="1">#REF!</definedName>
    <definedName name="Tigr_Exhibite6b18181_020f_4929_aba2_c88976a4e1bf" hidden="1">#REF!</definedName>
    <definedName name="Tigr_Exhibite6c6e1e2_cc93_4389_b2b0_3c43b73c48cb" hidden="1">#REF!</definedName>
    <definedName name="Tigr_Exhibite6cd45a3_d245_4392_9740_85aa3e756e6c" hidden="1">#REF!</definedName>
    <definedName name="Tigr_Exhibite6eff987_13e8_442e_bcbf_7ac80d3589a0" hidden="1">#REF!</definedName>
    <definedName name="Tigr_Exhibite6fc4fbd_8e46_4e8f_a87a_1ce45114bdcc" hidden="1">#REF!</definedName>
    <definedName name="Tigr_Exhibite7332461_25c7_4f3a_9623_890e0e615a27" hidden="1">#REF!</definedName>
    <definedName name="Tigr_Exhibite741d478_86d3_4e4f_9aa7_f63970d0b073" hidden="1">#REF!</definedName>
    <definedName name="Tigr_Exhibite7691348_e12e_4ce5_964f_a0e11e4c34a4" hidden="1">#REF!</definedName>
    <definedName name="Tigr_Exhibite770e962_e3e9_4825_88db_8b77ed4e97d2" hidden="1">#REF!</definedName>
    <definedName name="Tigr_Exhibite87e361e_6135_4f7f_9e2d_5b1df4d96471" hidden="1">#REF!</definedName>
    <definedName name="Tigr_Exhibite90f0b79_db4e_4bb2_861d_fc5aa71fc31d" hidden="1">#REF!</definedName>
    <definedName name="Tigr_Exhibite9607d18_b0f7_4d2e_928a_1d3b50c3334d" hidden="1">#REF!</definedName>
    <definedName name="Tigr_Exhibite9686083_59db_42ac_a895_0752d1ee1860" hidden="1">#REF!</definedName>
    <definedName name="Tigr_Exhibite9c71912_e7c1_490c_894e_c6c8c74e3d9f" hidden="1">#REF!</definedName>
    <definedName name="Tigr_Exhibite9ebb0d3_1a52_49c2_a034_24fbbf7cd5c0" hidden="1">#REF!</definedName>
    <definedName name="Tigr_Exhibitea1424ca_89b5_4f7c_aeab_d03180a92a6d" hidden="1">#REF!</definedName>
    <definedName name="Tigr_Exhibitea78e364_01ca_420a_9581_44d3bfa894d1" hidden="1">#REF!</definedName>
    <definedName name="Tigr_Exhibiteafcf6ad_afa6_489e_87e7_b29e17b24fde" hidden="1">#REF!</definedName>
    <definedName name="Tigr_Exhibiteb6e4427_a496_42f4_bc07_e887fc8c6389" hidden="1">#REF!</definedName>
    <definedName name="Tigr_Exhibiteb70fe85_4509_4c6c_80ee_ea3c1d7ff192" hidden="1">#REF!</definedName>
    <definedName name="Tigr_Exhibiteb91c770_d71c_4020_b751_f8b194576184" hidden="1">#REF!</definedName>
    <definedName name="Tigr_Exhibiteba657ef_5453_4a22_89a2_bcc4a069d3ed" hidden="1">#REF!</definedName>
    <definedName name="Tigr_Exhibitebc845bc_9ab3_435a_988a_6aeae5f47e95" hidden="1">#REF!</definedName>
    <definedName name="Tigr_Exhibitebe81fd5_f6c7_43c4_bf3e_8f4d34bf17cc" hidden="1">#REF!</definedName>
    <definedName name="Tigr_Exhibitec0e36f1_4ccc_4bea_adb8_cc790e738805" hidden="1">#REF!</definedName>
    <definedName name="Tigr_Exhibitec8604d4_2828_4f01_9bcd_1209fa75f8f5" hidden="1">#REF!</definedName>
    <definedName name="Tigr_Exhibitecab850f_ee15_4cf5_b1b3_8c0a041575e0" hidden="1">#REF!</definedName>
    <definedName name="Tigr_Exhibited00278a_9f21_4b72_b5b6_796222cad072" hidden="1">#REF!</definedName>
    <definedName name="Tigr_Exhibited300370_8f27_4fc0_8735_6836d0791ed1" hidden="1">#REF!</definedName>
    <definedName name="Tigr_Exhibited69b919_cf1d_4cf9_8a9c_35c401dab33e" hidden="1">#REF!</definedName>
    <definedName name="Tigr_Exhibited8c561c_2743_4762_80ef_93db5b1e4d24" hidden="1">#REF!</definedName>
    <definedName name="Tigr_Exhibitedd0dd26_fa79_4cef_9bdb_6348d430ff07" hidden="1">#REF!</definedName>
    <definedName name="Tigr_Exhibitedd2f42d_f090_46f3_9c38_faccc791a043" hidden="1">#REF!</definedName>
    <definedName name="Tigr_Exhibitede66d53_1e9f_4ea2_9b58_0975430ebcf6" hidden="1">#REF!</definedName>
    <definedName name="Tigr_Exhibitee9aa4c2_5790_4e44_81af_957213734efe" hidden="1">#REF!</definedName>
    <definedName name="Tigr_Exhibiteeda760f_e1da_4950_a6c6_f90c26e6dc8a" hidden="1">#REF!</definedName>
    <definedName name="Tigr_Exhibiteefc861d_c889_4828_96eb_e282203ebf5b" hidden="1">#REF!</definedName>
    <definedName name="Tigr_Exhibitef31cf2a_dd8b_4d49_9b65_0d57b76bda1e" hidden="1">#REF!</definedName>
    <definedName name="Tigr_Exhibitef409d5e_14c3_4260_a799_5e1ba9fa2ceb" hidden="1">#REF!</definedName>
    <definedName name="Tigr_Exhibitefc1a6c0_8b70_4ea6_92dd_8478f7c10da0" hidden="1">#REF!</definedName>
    <definedName name="Tigr_Exhibitf00f2ef8_78fe_4166_bee1_1da403ffeac4" hidden="1">#REF!</definedName>
    <definedName name="Tigr_Exhibitf058d27a_e863_4570_a662_d9231d9890cc" hidden="1">#REF!</definedName>
    <definedName name="Tigr_Exhibitf09cd042_fd96_47d2_93dc_794b1e68711d" hidden="1">#REF!</definedName>
    <definedName name="Tigr_Exhibitf0ac682d_3ceb_47b0_9c33_b5ef286c491a" hidden="1">#REF!</definedName>
    <definedName name="Tigr_Exhibitf0f78dd3_6709_423e_8d7f_424ee71e310f" hidden="1">#REF!</definedName>
    <definedName name="Tigr_Exhibitf116e141_bb57_480a_b687_af9b117ee8dc" hidden="1">#REF!</definedName>
    <definedName name="Tigr_Exhibitf1711d1d_f16d_494f_83dc_5a21d156a85d" hidden="1">#REF!</definedName>
    <definedName name="Tigr_Exhibitf17d2a01_cc12_4c6f_8f08_dd185375647d" hidden="1">#REF!</definedName>
    <definedName name="Tigr_Exhibitf28b3983_8027_4e9b_8adf_2d877f319e10" hidden="1">#REF!</definedName>
    <definedName name="Tigr_Exhibitf2af2ce7_db0e_445d_a52f_487599fa40a1" hidden="1">#REF!</definedName>
    <definedName name="Tigr_Exhibitf2bfdd68_24a5_4f2f_a528_9b590855fc92" hidden="1">#REF!</definedName>
    <definedName name="Tigr_Exhibitf2d36fdb_c08d_4448_b400_cd9d1a0d070d" hidden="1">#REF!</definedName>
    <definedName name="Tigr_Exhibitf33348ab_6439_48ae_b328_544a3c9a1e52" hidden="1">#REF!</definedName>
    <definedName name="Tigr_Exhibitf33f1f66_cb80_4d54_a1f4_9b50a2d298f0" hidden="1">#REF!</definedName>
    <definedName name="Tigr_Exhibitf3570ed1_e106_4bf4_8ffd_673c28c50a85" hidden="1">#REF!</definedName>
    <definedName name="Tigr_Exhibitf3ced83c_0ba0_4718_885c_56a03ffc08ca" hidden="1">#REF!</definedName>
    <definedName name="Tigr_Exhibitf3f01b5c_6091_4bc9_abfe_4248b131c3bf" hidden="1">#REF!</definedName>
    <definedName name="Tigr_Exhibitf4000fbf_90d9_4da9_80ce_eb42e588d96f" hidden="1">#REF!</definedName>
    <definedName name="Tigr_Exhibitf433fdb0_37a1_4909_a5f3_e2889c69d0bf" hidden="1">#REF!</definedName>
    <definedName name="Tigr_Exhibitf54064b9_fe15_4519_833c_9c2adbf37823" hidden="1">#REF!</definedName>
    <definedName name="Tigr_Exhibitf580f9cb_9f5a_4f54_8e3c_1f37932de9be" hidden="1">#REF!</definedName>
    <definedName name="Tigr_Exhibitf5993eec_8f1d_4fb7_8404_38c9bbdd0830" hidden="1">#REF!</definedName>
    <definedName name="Tigr_Exhibitf59ab019_2c7e_49c5_b946_008552c8c7a3" hidden="1">#REF!</definedName>
    <definedName name="Tigr_Exhibitf5a4a2fe_cb5e_417b_8f37_2004101d8d02" hidden="1">#REF!</definedName>
    <definedName name="Tigr_Exhibitf6119ba9_46b4_4203_87e9_5e851ac759d0" hidden="1">#REF!</definedName>
    <definedName name="Tigr_Exhibitf692b3ea_0a7e_4a03_a58d_78651fb1ffb1" hidden="1">#REF!</definedName>
    <definedName name="Tigr_Exhibitf6c32a0e_6c96_4649_a8ba_235ff5c6014f" hidden="1">#REF!</definedName>
    <definedName name="Tigr_Exhibitf6e82a16_5f97_45ed_a635_2711aa1781ba" hidden="1">#REF!</definedName>
    <definedName name="Tigr_Exhibitf6f2f26c_861d_499c_a32a_62c38148888e" hidden="1">#REF!</definedName>
    <definedName name="Tigr_Exhibitf6f7e5cc_89c8_4571_9c05_ea7ff0c144cf" hidden="1">#REF!</definedName>
    <definedName name="Tigr_Exhibitf728c5b8_fb4d_406a_8a06_303c51bac97a" hidden="1">#REF!</definedName>
    <definedName name="Tigr_Exhibitf7554988_b6e8_429c_99c3_26d7c68b36a9" hidden="1">#REF!</definedName>
    <definedName name="Tigr_Exhibitf7b4ecbc_7753_45a1_8bee_c119e89a6b72" hidden="1">#REF!</definedName>
    <definedName name="Tigr_Exhibitf7b618a1_7071_4e64_ab7d_f90515278632" hidden="1">#REF!</definedName>
    <definedName name="Tigr_Exhibitf7cc33d3_179b_4c40_a792_5d1299d02aca" hidden="1">#REF!</definedName>
    <definedName name="Tigr_Exhibitf7dc3c78_88a0_4ef6_b18b_4ecabaa29483" hidden="1">#REF!</definedName>
    <definedName name="Tigr_Exhibitf801ac2d_1475_42a1_9228_d7053e1d9443" hidden="1">#REF!</definedName>
    <definedName name="Tigr_Exhibitf85d3adb_b111_43db_a78b_21f4ecf13494" hidden="1">#REF!</definedName>
    <definedName name="Tigr_Exhibitf8aca3ea_4792_4691_800f_36765908fd08" hidden="1">#REF!</definedName>
    <definedName name="Tigr_Exhibitf8d48119_bf7a_436c_9495_644056dc9167" hidden="1">#REF!</definedName>
    <definedName name="Tigr_Exhibitf919d447_8abc_4423_b60e_2e7dc42e9620" hidden="1">#REF!</definedName>
    <definedName name="Tigr_Exhibitf943b908_98f7_4cce_8fa9_22989a59c585" hidden="1">#REF!</definedName>
    <definedName name="Tigr_Exhibitf968d109_4bf4_4b19_8520_7ba1b896686b" hidden="1">#REF!</definedName>
    <definedName name="Tigr_Exhibitf97a3948_3143_4a98_8698_b4fe0a6af83f" hidden="1">#REF!</definedName>
    <definedName name="Tigr_Exhibitfa4f1a05_3d62_4ac4_aa4e_4524592de66e" hidden="1">#REF!</definedName>
    <definedName name="Tigr_Exhibitfa6c2090_0a21_474d_9328_5a15fb06ca43" hidden="1">#REF!</definedName>
    <definedName name="Tigr_Exhibitfaa96148_981e_48c8_9a36_22fc8ff631ac" hidden="1">#REF!</definedName>
    <definedName name="Tigr_Exhibitface3230_f578_4e8a_bc2c_b4e40a88c178" hidden="1">#REF!</definedName>
    <definedName name="Tigr_Exhibitfb6bc94a_15fd_404e_89aa_8a3f60de47d4" hidden="1">#REF!</definedName>
    <definedName name="Tigr_Exhibitfbd48eef_a251_4cf1_a703_6844d3a2cc98" hidden="1">#REF!</definedName>
    <definedName name="Tigr_Exhibitfc3a5226_2c97_4d9f_9a1c_2363d15a9fb2" hidden="1">#REF!</definedName>
    <definedName name="Tigr_Exhibitfc771fd7_51fe_4f08_9737_6904fdf89e45" hidden="1">#REF!</definedName>
    <definedName name="Tigr_Exhibitfd1eaff5_6206_4af6_bc04_f95e96bdf266" hidden="1">#REF!</definedName>
    <definedName name="Tigr_Exhibitfd522d20_fb70_447f_a528_30b5cd04af22" hidden="1">#REF!</definedName>
    <definedName name="Tigr_Exhibitfd94c231_17a7_4a82_9975_0e2b4c240a9e" hidden="1">#REF!</definedName>
    <definedName name="Tigr_Exhibitfdbadd6a_8145_42c6_a9e3_6c249d17f184" hidden="1">#REF!</definedName>
    <definedName name="Tigr_Exhibitfdee6fa4_cb28_44e0_a126_3e505bbc83a7" hidden="1">#REF!</definedName>
    <definedName name="Tigr_Exhibitfdf8c879_67c2_4957_929e_03606d3fbac2" hidden="1">#REF!</definedName>
    <definedName name="Tigr_Exhibitfe5d8c82_0853_4576_b988_a38e0e945b85" hidden="1">#REF!</definedName>
    <definedName name="Tigr_Exhibitfeabaac0_2175_42f9_bafe_a188df703cda" hidden="1">#REF!</definedName>
    <definedName name="Tigr_Exhibitfebc9922_b21d_4571_8b33_ca54ddd0bc25" hidden="1">#REF!</definedName>
    <definedName name="Tigr_Exhibitfebd3d3d_215d_4660_bfc9_b5925f9ed082" hidden="1">#REF!</definedName>
    <definedName name="Tigr_Exhibitff5d53b6_ca04_42e6_bc7c_2814e92774bb" hidden="1">#REF!</definedName>
    <definedName name="Tigr_Exhibitff805fbe_7d8e_488f_ad05_c5187bd2e24f" hidden="1">#REF!</definedName>
    <definedName name="Tigr_Exhibitffa9d669_b87e_4957_a420_45e874d7b9a5" hidden="1">#REF!</definedName>
    <definedName name="TIM_AdjustedEV">#REF!</definedName>
    <definedName name="TIM_AssociatesMinorities">#REF!</definedName>
    <definedName name="TIM_UnleveredFCF">#REF!</definedName>
    <definedName name="timestamp">#REF!</definedName>
    <definedName name="Title">#REF!</definedName>
    <definedName name="Title1">#REF!</definedName>
    <definedName name="TKCL_AdjustedEV">#REF!</definedName>
    <definedName name="TKCL_AssociatesMinorities">#REF!</definedName>
    <definedName name="TKCL_UnleveredFCF">#REF!</definedName>
    <definedName name="tklccurr">#REF!</definedName>
    <definedName name="tklccurrffq">#REF!</definedName>
    <definedName name="tklcpegrelavg">#REF!</definedName>
    <definedName name="tklcpegrelcurr">#REF!</definedName>
    <definedName name="tklcpegrowthavg">#REF!</definedName>
    <definedName name="tklcpegrowthcurr">#REF!</definedName>
    <definedName name="tlab1998dsho">#REF!</definedName>
    <definedName name="tlab1998eps">#REF!</definedName>
    <definedName name="tlab1998rev">#REF!</definedName>
    <definedName name="tlab1998sho">#REF!</definedName>
    <definedName name="tlab1999dsho">#REF!</definedName>
    <definedName name="tlab1999eps">#REF!</definedName>
    <definedName name="tlab1999rev">#REF!</definedName>
    <definedName name="tlab1999sho">#REF!</definedName>
    <definedName name="tlab1q00dsho">#REF!</definedName>
    <definedName name="tlab1q00eps">#REF!</definedName>
    <definedName name="tlab1q00rev">#REF!</definedName>
    <definedName name="tlab1q00sho">#REF!</definedName>
    <definedName name="tlab1q01dsho">#REF!</definedName>
    <definedName name="tlab1q01eps">#REF!</definedName>
    <definedName name="tlab1q01rev">#REF!</definedName>
    <definedName name="tlab1q01sho">#REF!</definedName>
    <definedName name="tlab2000dsho">#REF!</definedName>
    <definedName name="tlab2000eps">#REF!</definedName>
    <definedName name="tlab2000rev">#REF!</definedName>
    <definedName name="tlab2000sho">#REF!</definedName>
    <definedName name="tlab2001dsho">#REF!</definedName>
    <definedName name="tlab2001eps">#REF!</definedName>
    <definedName name="tlab2001rev">#REF!</definedName>
    <definedName name="tlab2001sho">#REF!</definedName>
    <definedName name="tlab2002dsho">#REF!</definedName>
    <definedName name="tlab2002eps">#REF!</definedName>
    <definedName name="tlab2002rev">#REF!</definedName>
    <definedName name="tlab2002sho">#REF!</definedName>
    <definedName name="tlab2003dsho">#REF!</definedName>
    <definedName name="tlab2003eps">#REF!</definedName>
    <definedName name="tlab2003rev">#REF!</definedName>
    <definedName name="tlab2003sho">#REF!</definedName>
    <definedName name="tlab2q00dsho">#REF!</definedName>
    <definedName name="tlab2q00eps">#REF!</definedName>
    <definedName name="tlab2q00rev">#REF!</definedName>
    <definedName name="tlab2q00sho">#REF!</definedName>
    <definedName name="tlab2q01dsho">#REF!</definedName>
    <definedName name="tlab2q01eps">#REF!</definedName>
    <definedName name="tlab2q01rev">#REF!</definedName>
    <definedName name="tlab2q01sho">#REF!</definedName>
    <definedName name="tlab3q00dsho">#REF!</definedName>
    <definedName name="tlab3q00eps">#REF!</definedName>
    <definedName name="tlab3q00rev">#REF!</definedName>
    <definedName name="tlab3q00sho">#REF!</definedName>
    <definedName name="tlab3q01dsho">#REF!</definedName>
    <definedName name="tlab3q01eps">#REF!</definedName>
    <definedName name="tlab3q01rev">#REF!</definedName>
    <definedName name="tlab3q01sho">#REF!</definedName>
    <definedName name="tlab4q00dsho">#REF!</definedName>
    <definedName name="tlab4q00eps">#REF!</definedName>
    <definedName name="tlab4q00rev">#REF!</definedName>
    <definedName name="tlab4q00sho">#REF!</definedName>
    <definedName name="tlab4q01dsho">#REF!</definedName>
    <definedName name="tlab4q01eps">#REF!</definedName>
    <definedName name="tlab4q01rev">#REF!</definedName>
    <definedName name="tlab4q01sho">#REF!</definedName>
    <definedName name="tlabcurr">#REF!</definedName>
    <definedName name="tlabcurrffq">#REF!</definedName>
    <definedName name="tlabpegrelavg">#REF!</definedName>
    <definedName name="tlabpegrelcurr">#REF!</definedName>
    <definedName name="tlabpegrowthavg">#REF!</definedName>
    <definedName name="tlabpegrowthcurr">#REF!</definedName>
    <definedName name="tlabshares">#REF!</definedName>
    <definedName name="TMDisplay">#REF!</definedName>
    <definedName name="TMDisplay2">#REF!</definedName>
    <definedName name="tnbavg">#REF!</definedName>
    <definedName name="tnbchg">#REF!</definedName>
    <definedName name="tnbcrpe">#REF!</definedName>
    <definedName name="tnbcurr">#REF!</definedName>
    <definedName name="tnbdate">#REF!</definedName>
    <definedName name="tnbdown">#REF!</definedName>
    <definedName name="tnbdownsup">#REF!</definedName>
    <definedName name="tnbeps99">#REF!</definedName>
    <definedName name="tnbfy1cons">#REF!</definedName>
    <definedName name="tnbfy2cons">#REF!</definedName>
    <definedName name="tnbhi">#REF!</definedName>
    <definedName name="tnbhilo">#REF!</definedName>
    <definedName name="tnblow">#REF!</definedName>
    <definedName name="tnbmktcap">#REF!</definedName>
    <definedName name="tnbpegrowthavg">#REF!</definedName>
    <definedName name="tnbpegrowthcurr">#REF!</definedName>
    <definedName name="tnbpegrowthhi">#REF!</definedName>
    <definedName name="tnbpegrowthlow">#REF!</definedName>
    <definedName name="tnbprice">#REF!</definedName>
    <definedName name="tnbrpe">#REF!</definedName>
    <definedName name="tnbshares">#REF!</definedName>
    <definedName name="tnbtprice">#REF!</definedName>
    <definedName name="tnbttmavg">#REF!</definedName>
    <definedName name="tnbttmcurr">#REF!</definedName>
    <definedName name="tnbttmhi">#REF!</definedName>
    <definedName name="tnbttmlow">#REF!</definedName>
    <definedName name="tnbttmrelavg">#REF!</definedName>
    <definedName name="tnbttmrelcurr">#REF!</definedName>
    <definedName name="tnbttmrelhi">#REF!</definedName>
    <definedName name="tnbttmrellow">#REF!</definedName>
    <definedName name="tnbup">#REF!</definedName>
    <definedName name="tnbupsup">#REF!</definedName>
    <definedName name="tnbvol">#REF!</definedName>
    <definedName name="tnbyield">#REF!</definedName>
    <definedName name="TODAY">#REF!</definedName>
    <definedName name="TOG">#REF!</definedName>
    <definedName name="Tom30YrBond">#REF!</definedName>
    <definedName name="TomYield">#REF!</definedName>
    <definedName name="Top_5_Access_File_3Q">#REF!</definedName>
    <definedName name="Top10db">#REF!</definedName>
    <definedName name="TOP10prelim">#REF!</definedName>
    <definedName name="TOP10prelim_2004q2">#REF!</definedName>
    <definedName name="TOP10prelim2003q3">#REF!</definedName>
    <definedName name="TOP10prelim2004q1">#REF!</definedName>
    <definedName name="TOP10prelimv2">#REF!</definedName>
    <definedName name="Toppoly">#REF!</definedName>
    <definedName name="Torisan">#REF!</definedName>
    <definedName name="tot_debt">#REF!</definedName>
    <definedName name="tot_fd_shares_actual">#REF!</definedName>
    <definedName name="tot_fd_shares_over">#REF!</definedName>
    <definedName name="tot_fd_shares_sum_sec">#REF!</definedName>
    <definedName name="tot_mkt_cap_actual">#REF!</definedName>
    <definedName name="tot_mkt_cap_calc">#REF!</definedName>
    <definedName name="tot_mkt_cap_ext">#REF!</definedName>
    <definedName name="tot_ud_shares_actual">#REF!</definedName>
    <definedName name="tot_ud_shares_over">#REF!</definedName>
    <definedName name="tot_ud_shares_sum_sec">#REF!</definedName>
    <definedName name="TOTAD">#REF!</definedName>
    <definedName name="totad00">#REF!</definedName>
    <definedName name="totad01">#REF!</definedName>
    <definedName name="totad02">#REF!</definedName>
    <definedName name="totad03">#REF!</definedName>
    <definedName name="totad04">#REF!</definedName>
    <definedName name="totad05">#REF!</definedName>
    <definedName name="totad96">#REF!</definedName>
    <definedName name="totad97">#REF!</definedName>
    <definedName name="totad98">#REF!</definedName>
    <definedName name="totad99">#REF!</definedName>
    <definedName name="totadgr00">#REF!</definedName>
    <definedName name="totadgr01">#REF!</definedName>
    <definedName name="totadgr02">#REF!</definedName>
    <definedName name="totadgr03">#REF!</definedName>
    <definedName name="totadgr04">#REF!</definedName>
    <definedName name="totadgr05">#REF!</definedName>
    <definedName name="totadgr95">#REF!</definedName>
    <definedName name="totadgr96">#REF!</definedName>
    <definedName name="totadgr97">#REF!</definedName>
    <definedName name="totadgr98">#REF!</definedName>
    <definedName name="totadgr99">#REF!</definedName>
    <definedName name="total">#REF!</definedName>
    <definedName name="Total_amort_fore">#REF!</definedName>
    <definedName name="Total_Amortization">#REF!</definedName>
    <definedName name="Total_Amortization_fore">#REF!</definedName>
    <definedName name="Total_COS">#REF!</definedName>
    <definedName name="Total_COS_fore">#REF!</definedName>
    <definedName name="Total_COS_growth_fore">#REF!</definedName>
    <definedName name="Total_COS_net_DnA">#REF!</definedName>
    <definedName name="Total_COS_net_DnA_fore">#REF!</definedName>
    <definedName name="Total_Current_Assets">#REF!</definedName>
    <definedName name="Total_Current_Liabilities">#REF!</definedName>
    <definedName name="Total_Customers">#REF!</definedName>
    <definedName name="Total_debt">#REF!</definedName>
    <definedName name="Total_debt_DCF">#REF!</definedName>
    <definedName name="Total_debt_fore">#REF!</definedName>
    <definedName name="Total_debt_growth_fore">#REF!</definedName>
    <definedName name="Total_Equity">#REF!</definedName>
    <definedName name="Total_increase_in_EEs">#REF!</definedName>
    <definedName name="Total_Increase_in_EEs_fore">#REF!</definedName>
    <definedName name="Total_Operating_Capital">#REF!</definedName>
    <definedName name="Total_other_assets">#REF!</definedName>
    <definedName name="Total_Rev">#REF!</definedName>
    <definedName name="Total_Rev_oldRevDetail">#REF!</definedName>
    <definedName name="Total_Rev_preMACR">#REF!</definedName>
    <definedName name="Total_Rev_RevDetail">#REF!</definedName>
    <definedName name="Total_Revenue">#REF!</definedName>
    <definedName name="total_revenues_pretelstra">#REF!</definedName>
    <definedName name="Total1995">SUM(#REF!)</definedName>
    <definedName name="TOTAL2003">SUM([0]!Quarters2003)</definedName>
    <definedName name="TOTAL2004">SUM([0]!Quarters2004)</definedName>
    <definedName name="TOTAL2005">SUM([0]!Quarters2005)</definedName>
    <definedName name="totala">#REF!</definedName>
    <definedName name="TOTALASP">#REF!</definedName>
    <definedName name="totalEBITDA2000">#REF!</definedName>
    <definedName name="totalEBITDA2001">#REF!</definedName>
    <definedName name="totalEBITDA2002">#REF!</definedName>
    <definedName name="totalEBITDA2003">#REF!</definedName>
    <definedName name="totalEBITDA2004">#REF!</definedName>
    <definedName name="totalEBITDA98">#REF!</definedName>
    <definedName name="totalEBITDA99">#REF!</definedName>
    <definedName name="totall">#REF!</definedName>
    <definedName name="TOTALREV">#REF!</definedName>
    <definedName name="TotalRev.">#REF!</definedName>
    <definedName name="totalrev2000">#REF!</definedName>
    <definedName name="totalrev2001">#REF!</definedName>
    <definedName name="totalrev2002">#REF!</definedName>
    <definedName name="totalrev2003">#REF!</definedName>
    <definedName name="totalrev2004">#REF!</definedName>
    <definedName name="totalrev2005">#REF!</definedName>
    <definedName name="totalrev98">#REF!</definedName>
    <definedName name="totalrev99">#REF!</definedName>
    <definedName name="TotalRevenue">#REF!</definedName>
    <definedName name="TotalShare">#REF!</definedName>
    <definedName name="TOTALSHIP.">#REF!</definedName>
    <definedName name="TotalSupplyChain">#REF!</definedName>
    <definedName name="totdebt">#REF!</definedName>
    <definedName name="totshares">#REF!</definedName>
    <definedName name="TotWeeklyStoreSales">#REF!</definedName>
    <definedName name="trailing_revs">#REF!</definedName>
    <definedName name="transpo_tax">#REF!</definedName>
    <definedName name="trc_CFPSGROWTH5YR">#REF!</definedName>
    <definedName name="trc_CFPSGRWPRV5YR">#REF!</definedName>
    <definedName name="trc_CurFY">#REF!</definedName>
    <definedName name="trc_DIVGROWTH5YR">#REF!</definedName>
    <definedName name="trc_DIVGRWPRV5YR">#REF!</definedName>
    <definedName name="trc_DocID">#REF!</definedName>
    <definedName name="trc_EBITDAGROWTH5YR">#REF!</definedName>
    <definedName name="trc_EBITDAGRWPRV5YR">#REF!</definedName>
    <definedName name="trc_EBITNXT5">#REF!</definedName>
    <definedName name="trc_EBITPRV5">#REF!</definedName>
    <definedName name="trc_EPSGRWPRV5YR">#REF!</definedName>
    <definedName name="trc_Flavor">#REF!</definedName>
    <definedName name="trc_NETGROWTH5YR">#REF!</definedName>
    <definedName name="trc_NETGRWPRV5YR">#REF!</definedName>
    <definedName name="trc_QDType">#REF!</definedName>
    <definedName name="trc_RATING">#REF!</definedName>
    <definedName name="trc_ReleaseDate">#REF!</definedName>
    <definedName name="trc_REVGROWTH5YR">#REF!</definedName>
    <definedName name="trc_REVGRWPRV5YR">#REF!</definedName>
    <definedName name="trc_RISK">#REF!</definedName>
    <definedName name="trc_SHARESOUT">#REF!</definedName>
    <definedName name="trc_SHROUTGROWTH5YR">#REF!</definedName>
    <definedName name="trc_SHROUTGRWPRV5YR">#REF!</definedName>
    <definedName name="trc_submitter">#REF!</definedName>
    <definedName name="trc_submittername">#REF!</definedName>
    <definedName name="trc_TARGET">#REF!</definedName>
    <definedName name="trc_TemplateID">#REF!</definedName>
    <definedName name="trc_TEV">#REF!</definedName>
    <definedName name="trc_Ticker">#REF!</definedName>
    <definedName name="trc_Version">#REF!</definedName>
    <definedName name="trc_XLS_DATASHEET_ProtectDate">36895.4265625</definedName>
    <definedName name="trc_Y1">#REF!</definedName>
    <definedName name="trc_Y1COMMONEQ">#REF!</definedName>
    <definedName name="trc_Y1DILSHR">#REF!</definedName>
    <definedName name="trc_Y1DPS">#REF!</definedName>
    <definedName name="trc_Y1EBIT">#REF!</definedName>
    <definedName name="trc_Y1EBITDA">#REF!</definedName>
    <definedName name="trc_Y1FREE_CFPS">#REF!</definedName>
    <definedName name="trc_Y1LTDEBT">#REF!</definedName>
    <definedName name="trc_Y1NETINC">#REF!</definedName>
    <definedName name="trc_Y1Q1">#REF!</definedName>
    <definedName name="trc_Y1Q2">#REF!</definedName>
    <definedName name="trc_Y1Q3">#REF!</definedName>
    <definedName name="trc_Y1Q4">#REF!</definedName>
    <definedName name="trc_Y1REVENUE">#REF!</definedName>
    <definedName name="trc_Y1ROE">#REF!</definedName>
    <definedName name="trc_Y1TAXRATE">#REF!</definedName>
    <definedName name="trc_Y1Total">#REF!</definedName>
    <definedName name="trc_Y2">#REF!</definedName>
    <definedName name="trc_Y2COMMONEQ">#REF!</definedName>
    <definedName name="trc_Y2DILSHR">#REF!</definedName>
    <definedName name="trc_Y2DPS">#REF!</definedName>
    <definedName name="trc_Y2EBIT">#REF!</definedName>
    <definedName name="trc_Y2EBITDA">#REF!</definedName>
    <definedName name="trc_Y2FREE_CFPS">#REF!</definedName>
    <definedName name="trc_Y2LTDEBT">#REF!</definedName>
    <definedName name="trc_Y2NETINC">#REF!</definedName>
    <definedName name="trc_Y2Q1">#REF!</definedName>
    <definedName name="trc_Y2Q2">#REF!</definedName>
    <definedName name="trc_Y2Q3">#REF!</definedName>
    <definedName name="trc_Y2Q4">#REF!</definedName>
    <definedName name="trc_Y2REVENUE">#REF!</definedName>
    <definedName name="trc_Y2ROE">#REF!</definedName>
    <definedName name="trc_Y2TAXRATE">#REF!</definedName>
    <definedName name="trc_Y2Total">#REF!</definedName>
    <definedName name="trc_Y3">#REF!</definedName>
    <definedName name="trc_Y3COMMONEQ">#REF!</definedName>
    <definedName name="trc_Y3DILSHR">#REF!</definedName>
    <definedName name="trc_Y3DPS">#REF!</definedName>
    <definedName name="trc_Y3EBIT">#REF!</definedName>
    <definedName name="trc_Y3EBITDA">#REF!</definedName>
    <definedName name="trc_Y3FREE_CFPS">#REF!</definedName>
    <definedName name="trc_Y3LTDEBT">#REF!</definedName>
    <definedName name="trc_Y3NETINC">#REF!</definedName>
    <definedName name="trc_Y3Q1">#REF!</definedName>
    <definedName name="trc_Y3Q2">#REF!</definedName>
    <definedName name="trc_Y3Q3">#REF!</definedName>
    <definedName name="trc_Y3Q4">#REF!</definedName>
    <definedName name="trc_Y3REVENUE">#REF!</definedName>
    <definedName name="trc_Y3ROE">#REF!</definedName>
    <definedName name="trc_Y3TAXRATE">#REF!</definedName>
    <definedName name="trc_Y3Total">#REF!</definedName>
    <definedName name="trc_Y4">#REF!</definedName>
    <definedName name="trc_Y4COMMONEQ">#REF!</definedName>
    <definedName name="trc_Y4DILSHR">#REF!</definedName>
    <definedName name="trc_Y4DPS">#REF!</definedName>
    <definedName name="trc_Y4EBIT">#REF!</definedName>
    <definedName name="trc_Y4EBITDA">#REF!</definedName>
    <definedName name="trc_Y4FREE_CFPS">#REF!</definedName>
    <definedName name="trc_Y4LTDEBT">#REF!</definedName>
    <definedName name="trc_Y4NETINC">#REF!</definedName>
    <definedName name="trc_Y4Q1">#REF!</definedName>
    <definedName name="trc_Y4Q2">#REF!</definedName>
    <definedName name="trc_Y4Q3">#REF!</definedName>
    <definedName name="trc_Y4Q4">#REF!</definedName>
    <definedName name="trc_Y4REVENUE">#REF!</definedName>
    <definedName name="trc_Y4ROE">#REF!</definedName>
    <definedName name="trc_Y4TAXRATE">#REF!</definedName>
    <definedName name="trc_Y4Total">#REF!</definedName>
    <definedName name="TRES_1yrEPS">#REF!</definedName>
    <definedName name="TRES_2yrEPS">#REF!</definedName>
    <definedName name="TRES_52HIGH">#REF!</definedName>
    <definedName name="TRES_5YRGROWTH">#REF!</definedName>
    <definedName name="TRES_ASSET">#REF!</definedName>
    <definedName name="TRES_DEBT">#REF!</definedName>
    <definedName name="TRES_DIV">#REF!</definedName>
    <definedName name="TRES_INTANGIBLE">#REF!</definedName>
    <definedName name="TRES_LTMCAPEX">#REF!</definedName>
    <definedName name="TRES_LTMEBIT">#REF!</definedName>
    <definedName name="TRES_LTMEBITDA">#REF!</definedName>
    <definedName name="TRES_LTMINT">#REF!</definedName>
    <definedName name="TRES_LTMNI">#REF!</definedName>
    <definedName name="TRES_LTMREV">#REF!</definedName>
    <definedName name="TRES_min">#REF!</definedName>
    <definedName name="TRES_name">#REF!</definedName>
    <definedName name="TRES_netdebt">#REF!</definedName>
    <definedName name="TRES_PRICE">#REF!</definedName>
    <definedName name="TRES_SE">#REF!</definedName>
    <definedName name="TRES_share">#REF!</definedName>
    <definedName name="TRES_ticker">#REF!</definedName>
    <definedName name="Triton">#REF!</definedName>
    <definedName name="TRIVOL">8</definedName>
    <definedName name="TTWO">#REF!</definedName>
    <definedName name="TURIU_1Q98">#REF!</definedName>
    <definedName name="TURL_1Q98">#REF!</definedName>
    <definedName name="TURL_2Q98">#REF!</definedName>
    <definedName name="Turn">#REF!</definedName>
    <definedName name="TV_Ad_market_share_98">#REF!</definedName>
    <definedName name="TV_ad_mkt_share00">#REF!</definedName>
    <definedName name="TV_Ad_Mkt_share99">#REF!</definedName>
    <definedName name="TV4_EBIT1997">#REF!</definedName>
    <definedName name="TV4_EBIT1998">#REF!</definedName>
    <definedName name="TV4_EBIT1999">#REF!</definedName>
    <definedName name="TV4_EBIT2000">#REF!</definedName>
    <definedName name="TV4_EBIT2001">#REF!</definedName>
    <definedName name="TV4_EBITDAAAPR1997">#REF!</definedName>
    <definedName name="TV4_EBITDAAAPR1998">#REF!</definedName>
    <definedName name="TV4_EBITDAAAPR1999">#REF!</definedName>
    <definedName name="TV4_EBITDAAAPR2000">#REF!</definedName>
    <definedName name="TV4_EBITDAAAPR2001">#REF!</definedName>
    <definedName name="TV4_NetDebt">#REF!</definedName>
    <definedName name="TV4_NetIncome1997">#REF!</definedName>
    <definedName name="TV4_NetIncome1998">#REF!</definedName>
    <definedName name="TV4_NetIncome1999">#REF!</definedName>
    <definedName name="TV4_NetIncome2000">#REF!</definedName>
    <definedName name="TV4_NetIncome2001">#REF!</definedName>
    <definedName name="TV4_NoShares">#REF!</definedName>
    <definedName name="TV4_Rev1997">#REF!</definedName>
    <definedName name="TV4_Rev1998">#REF!</definedName>
    <definedName name="TV4_Rev1999">#REF!</definedName>
    <definedName name="TV4_Rev2000">#REF!</definedName>
    <definedName name="TV4_Rev2001">#REF!</definedName>
    <definedName name="tvad00">#REF!</definedName>
    <definedName name="tvad01">#REF!</definedName>
    <definedName name="tvad02">#REF!</definedName>
    <definedName name="tvad03">#REF!</definedName>
    <definedName name="tvad04">#REF!</definedName>
    <definedName name="tvad05">#REF!</definedName>
    <definedName name="tvad96">#REF!</definedName>
    <definedName name="tvad97">#REF!</definedName>
    <definedName name="tvad98">#REF!</definedName>
    <definedName name="tvad99">#REF!</definedName>
    <definedName name="tvadgr00">#REF!</definedName>
    <definedName name="tvadgr01">#REF!</definedName>
    <definedName name="tvadgr02">#REF!</definedName>
    <definedName name="tvadgr03">#REF!</definedName>
    <definedName name="tvadgr04">#REF!</definedName>
    <definedName name="tvadgr94">#REF!</definedName>
    <definedName name="tvadgr95">#REF!</definedName>
    <definedName name="tvadgr96">#REF!</definedName>
    <definedName name="tvadgr97">#REF!</definedName>
    <definedName name="tvadgr98">#REF!</definedName>
    <definedName name="tvadgr99">#REF!</definedName>
    <definedName name="twaprice">#REF!</definedName>
    <definedName name="twashares">#REF!</definedName>
    <definedName name="twrxrato">#REF!</definedName>
    <definedName name="ualprice">#REF!</definedName>
    <definedName name="ualshares">#REF!</definedName>
    <definedName name="UMTShipPosToRank">#REF!</definedName>
    <definedName name="UMTVendorShipmentList">#REF!</definedName>
    <definedName name="UNE_churn">#REF!</definedName>
    <definedName name="UniqueRange_0">#REF!</definedName>
    <definedName name="UniqueRange_1">#REF!</definedName>
    <definedName name="UniqueRange_10">#REF!</definedName>
    <definedName name="UniqueRange_11">#REF!</definedName>
    <definedName name="UniqueRange_12">#REF!</definedName>
    <definedName name="UniqueRange_13">#REF!</definedName>
    <definedName name="UniqueRange_14">#REF!</definedName>
    <definedName name="UniqueRange_15">#REF!</definedName>
    <definedName name="UniqueRange_153">#REF!</definedName>
    <definedName name="UniqueRange_154">#REF!</definedName>
    <definedName name="UniqueRange_159">#REF!</definedName>
    <definedName name="UniqueRange_16">#REF!</definedName>
    <definedName name="UniqueRange_160">#REF!</definedName>
    <definedName name="UniqueRange_165">#REF!</definedName>
    <definedName name="UniqueRange_166">#REF!</definedName>
    <definedName name="UniqueRange_17">#REF!</definedName>
    <definedName name="UniqueRange_18">#REF!</definedName>
    <definedName name="UniqueRange_19">#REF!</definedName>
    <definedName name="UniqueRange_2">#REF!</definedName>
    <definedName name="UniqueRange_20">#REF!</definedName>
    <definedName name="UniqueRange_21">#REF!</definedName>
    <definedName name="UniqueRange_22">#REF!</definedName>
    <definedName name="UniqueRange_2229">#REF!</definedName>
    <definedName name="UniqueRange_2230">#REF!</definedName>
    <definedName name="UniqueRange_2231">#REF!</definedName>
    <definedName name="UniqueRange_2232">#REF!</definedName>
    <definedName name="UniqueRange_2233">#REF!</definedName>
    <definedName name="UniqueRange_2234">#REF!</definedName>
    <definedName name="UniqueRange_2235">#REF!</definedName>
    <definedName name="UniqueRange_2236">#REF!</definedName>
    <definedName name="UniqueRange_2237">#REF!</definedName>
    <definedName name="UniqueRange_2238">#REF!</definedName>
    <definedName name="UniqueRange_2239">#REF!</definedName>
    <definedName name="UniqueRange_2240">#REF!</definedName>
    <definedName name="UniqueRange_2241">#REF!</definedName>
    <definedName name="UniqueRange_2242">#REF!</definedName>
    <definedName name="UniqueRange_2243">#REF!</definedName>
    <definedName name="UniqueRange_2244">#REF!</definedName>
    <definedName name="UniqueRange_2245">#REF!</definedName>
    <definedName name="UniqueRange_2246">#REF!</definedName>
    <definedName name="UniqueRange_2247">#REF!</definedName>
    <definedName name="UniqueRange_2248">#REF!</definedName>
    <definedName name="UniqueRange_2249">#REF!</definedName>
    <definedName name="UniqueRange_2250">#REF!</definedName>
    <definedName name="UniqueRange_2251">#REF!</definedName>
    <definedName name="UniqueRange_2252">#REF!</definedName>
    <definedName name="UniqueRange_2253">#REF!</definedName>
    <definedName name="UniqueRange_2254">#REF!</definedName>
    <definedName name="UniqueRange_2255">#REF!</definedName>
    <definedName name="UniqueRange_2256">#REF!</definedName>
    <definedName name="UniqueRange_2257">#REF!</definedName>
    <definedName name="UniqueRange_2258">#REF!</definedName>
    <definedName name="UniqueRange_2259">#REF!</definedName>
    <definedName name="UniqueRange_2260">#REF!</definedName>
    <definedName name="UniqueRange_2261">#REF!</definedName>
    <definedName name="UniqueRange_2262">#REF!</definedName>
    <definedName name="UniqueRange_2263">#REF!</definedName>
    <definedName name="UniqueRange_2264">#REF!</definedName>
    <definedName name="UniqueRange_2265">#REF!</definedName>
    <definedName name="UniqueRange_2266">#REF!</definedName>
    <definedName name="UniqueRange_2267">#REF!</definedName>
    <definedName name="UniqueRange_2268">#REF!</definedName>
    <definedName name="UniqueRange_2269">#REF!</definedName>
    <definedName name="UniqueRange_2270">#REF!</definedName>
    <definedName name="UniqueRange_2271">#REF!</definedName>
    <definedName name="UniqueRange_2272">#REF!</definedName>
    <definedName name="UniqueRange_2273">#REF!</definedName>
    <definedName name="UniqueRange_2274">#REF!</definedName>
    <definedName name="UniqueRange_2275">#REF!</definedName>
    <definedName name="UniqueRange_2276">#REF!</definedName>
    <definedName name="UniqueRange_2277">#REF!</definedName>
    <definedName name="UniqueRange_2278">#REF!</definedName>
    <definedName name="UniqueRange_2279">#REF!</definedName>
    <definedName name="UniqueRange_2280">#REF!</definedName>
    <definedName name="UniqueRange_2281">#REF!</definedName>
    <definedName name="UniqueRange_2282">#REF!</definedName>
    <definedName name="UniqueRange_2283">#REF!</definedName>
    <definedName name="UniqueRange_2284">#REF!</definedName>
    <definedName name="UniqueRange_2285">#REF!</definedName>
    <definedName name="UniqueRange_2286">#REF!</definedName>
    <definedName name="UniqueRange_2287">#REF!</definedName>
    <definedName name="UniqueRange_2288">#REF!</definedName>
    <definedName name="UniqueRange_2289">#REF!</definedName>
    <definedName name="UniqueRange_2290">#REF!</definedName>
    <definedName name="UniqueRange_2291">#REF!</definedName>
    <definedName name="UniqueRange_2292">#REF!</definedName>
    <definedName name="UniqueRange_2293">#REF!</definedName>
    <definedName name="UniqueRange_2294">#REF!</definedName>
    <definedName name="UniqueRange_2295">#REF!</definedName>
    <definedName name="UniqueRange_2296">#REF!</definedName>
    <definedName name="UniqueRange_2297">#REF!</definedName>
    <definedName name="UniqueRange_2298">#REF!</definedName>
    <definedName name="UniqueRange_2299">#REF!</definedName>
    <definedName name="UniqueRange_23">#REF!</definedName>
    <definedName name="UniqueRange_2300">#REF!</definedName>
    <definedName name="UniqueRange_2301">#REF!</definedName>
    <definedName name="UniqueRange_2302">#REF!</definedName>
    <definedName name="UniqueRange_2303">#REF!</definedName>
    <definedName name="UniqueRange_2304">#REF!</definedName>
    <definedName name="UniqueRange_2305">#REF!</definedName>
    <definedName name="UniqueRange_2306">#REF!</definedName>
    <definedName name="UniqueRange_2307">#REF!</definedName>
    <definedName name="UniqueRange_2308">#REF!</definedName>
    <definedName name="UniqueRange_2309">#REF!</definedName>
    <definedName name="UniqueRange_2310">#REF!</definedName>
    <definedName name="UniqueRange_2311">#REF!</definedName>
    <definedName name="UniqueRange_2312">#REF!</definedName>
    <definedName name="UniqueRange_2313">#REF!</definedName>
    <definedName name="UniqueRange_2314">#REF!</definedName>
    <definedName name="UniqueRange_2315">#REF!</definedName>
    <definedName name="UniqueRange_2316">#REF!</definedName>
    <definedName name="UniqueRange_2317">#REF!</definedName>
    <definedName name="UniqueRange_2318">#REF!</definedName>
    <definedName name="UniqueRange_2319">#REF!</definedName>
    <definedName name="UniqueRange_2320">#REF!</definedName>
    <definedName name="UniqueRange_2321">#REF!</definedName>
    <definedName name="UniqueRange_24">#REF!</definedName>
    <definedName name="UniqueRange_25">#REF!</definedName>
    <definedName name="UniqueRange_26">#REF!</definedName>
    <definedName name="UniqueRange_27">#REF!</definedName>
    <definedName name="UniqueRange_28">#REF!</definedName>
    <definedName name="UniqueRange_29">#REF!</definedName>
    <definedName name="UniqueRange_3">#REF!</definedName>
    <definedName name="UniqueRange_30">#REF!</definedName>
    <definedName name="UniqueRange_31">#REF!</definedName>
    <definedName name="UniqueRange_32">#REF!</definedName>
    <definedName name="UniqueRange_33">#REF!</definedName>
    <definedName name="UniqueRange_34">#REF!</definedName>
    <definedName name="UniqueRange_35">#REF!</definedName>
    <definedName name="UniqueRange_36">#REF!</definedName>
    <definedName name="UniqueRange_367">#REF!</definedName>
    <definedName name="UniqueRange_368">#REF!</definedName>
    <definedName name="UniqueRange_37">#REF!</definedName>
    <definedName name="UniqueRange_38">#REF!</definedName>
    <definedName name="UniqueRange_39">#REF!</definedName>
    <definedName name="UniqueRange_392">#REF!</definedName>
    <definedName name="UniqueRange_393">#REF!</definedName>
    <definedName name="UniqueRange_394">#REF!</definedName>
    <definedName name="UniqueRange_395">#REF!</definedName>
    <definedName name="UniqueRange_396">#REF!</definedName>
    <definedName name="UniqueRange_397">#REF!</definedName>
    <definedName name="UniqueRange_398">#REF!</definedName>
    <definedName name="UniqueRange_399">#REF!</definedName>
    <definedName name="UniqueRange_4">#REF!</definedName>
    <definedName name="UniqueRange_40">#REF!</definedName>
    <definedName name="UniqueRange_400">#REF!</definedName>
    <definedName name="UniqueRange_401">#REF!</definedName>
    <definedName name="UniqueRange_402">#REF!</definedName>
    <definedName name="UniqueRange_403">#REF!</definedName>
    <definedName name="UniqueRange_41">#REF!</definedName>
    <definedName name="UniqueRange_42">#REF!</definedName>
    <definedName name="UniqueRange_43">#REF!</definedName>
    <definedName name="UniqueRange_44">#REF!</definedName>
    <definedName name="UniqueRange_45">#REF!</definedName>
    <definedName name="UniqueRange_46">#REF!</definedName>
    <definedName name="UniqueRange_47">#REF!</definedName>
    <definedName name="UniqueRange_48">#REF!</definedName>
    <definedName name="UniqueRange_485">#REF!</definedName>
    <definedName name="UniqueRange_49">#REF!</definedName>
    <definedName name="UniqueRange_5">#REF!</definedName>
    <definedName name="UniqueRange_50">#REF!</definedName>
    <definedName name="UniqueRange_51">#REF!</definedName>
    <definedName name="UniqueRange_52">#REF!</definedName>
    <definedName name="UniqueRange_53">#REF!</definedName>
    <definedName name="UniqueRange_54">#REF!</definedName>
    <definedName name="UniqueRange_55">#REF!</definedName>
    <definedName name="UniqueRange_6">#REF!</definedName>
    <definedName name="UniqueRange_7">#REF!</definedName>
    <definedName name="UniqueRange_8">#REF!</definedName>
    <definedName name="UniqueRange_9">#REF!</definedName>
    <definedName name="unitcost">#REF!</definedName>
    <definedName name="UnitPricing">#REF!</definedName>
    <definedName name="unitrev">#REF!</definedName>
    <definedName name="Units">#REF!</definedName>
    <definedName name="UnitsASPs">#REF!</definedName>
    <definedName name="UNIVERSE2">#REF!</definedName>
    <definedName name="update_date">#REF!</definedName>
    <definedName name="update_id">#REF!</definedName>
    <definedName name="UpdatePeriod">#REF!</definedName>
    <definedName name="UpdatePeriodMOYR">#REF!</definedName>
    <definedName name="upper_left1">#REF!</definedName>
    <definedName name="upper_left2">#REF!</definedName>
    <definedName name="uprice">#REF!</definedName>
    <definedName name="us_gaap_eps_used_flag">#REF!</definedName>
    <definedName name="UseMidPoint">#REF!</definedName>
    <definedName name="usffr">#REF!</definedName>
    <definedName name="USFX">#REF!</definedName>
    <definedName name="ushares">#REF!</definedName>
    <definedName name="usitl">#REF!</definedName>
    <definedName name="USLD_1yrEPS">#REF!</definedName>
    <definedName name="USLD_2yrEPS">#REF!</definedName>
    <definedName name="USLD_52high">#REF!</definedName>
    <definedName name="USLD_5YRGROWTH">#REF!</definedName>
    <definedName name="USLD_95EBIT">#REF!</definedName>
    <definedName name="USLD_95EBITDA">#REF!</definedName>
    <definedName name="USLD_96EPS">#REF!</definedName>
    <definedName name="USLD_97EPS">#REF!</definedName>
    <definedName name="USLD_98EPS">#REF!</definedName>
    <definedName name="USLD_ASSET">#REF!</definedName>
    <definedName name="USLD_DEBT">#REF!</definedName>
    <definedName name="USLD_DIV">#REF!</definedName>
    <definedName name="USLD_INTANGIBLE">#REF!</definedName>
    <definedName name="USLD_LTMCAPEX">#REF!</definedName>
    <definedName name="USLD_LTMEBIT">#REF!</definedName>
    <definedName name="USLD_LTMEBITDA">#REF!</definedName>
    <definedName name="USLD_LTMINT">#REF!</definedName>
    <definedName name="USLD_LTMNI">#REF!</definedName>
    <definedName name="USLD_LTMREV">#REF!</definedName>
    <definedName name="USLD_LTMSGA">#REF!</definedName>
    <definedName name="usld_min">#REF!</definedName>
    <definedName name="USLD_name">#REF!</definedName>
    <definedName name="USLD_netdebt">#REF!</definedName>
    <definedName name="USLD_price">#REF!</definedName>
    <definedName name="USLD_SE">#REF!</definedName>
    <definedName name="USLD_share">#REF!</definedName>
    <definedName name="USLD_ticker">#REF!</definedName>
    <definedName name="USW_1yrEPS">#REF!</definedName>
    <definedName name="USW_2yrEPS">#REF!</definedName>
    <definedName name="USW_52high">#REF!</definedName>
    <definedName name="USW_5YRGROWTH">#REF!</definedName>
    <definedName name="USW_96EPS">#REF!</definedName>
    <definedName name="USW_97EPS">#REF!</definedName>
    <definedName name="USW_98EPS">#REF!</definedName>
    <definedName name="USW_LTMSGA">#REF!</definedName>
    <definedName name="USW_price">#REF!</definedName>
    <definedName name="v" hidden="1">{"IS",#N/A,FALSE,"IS";"RPTIS",#N/A,FALSE,"RPTIS";"STATS",#N/A,FALSE,"STATS";"CELL",#N/A,FALSE,"CELL";"BS",#N/A,FALSE,"BS"}</definedName>
    <definedName name="V_ALL_ACN">#REF!</definedName>
    <definedName name="V_ALL_ADI">#REF!</definedName>
    <definedName name="V_ALL_ADI_">#REF!</definedName>
    <definedName name="V_ALL_ALTR">#REF!</definedName>
    <definedName name="V_ALL_AMAT">#REF!</definedName>
    <definedName name="V_ALL_AMAT_">#REF!</definedName>
    <definedName name="V_ALL_AMD">#REF!</definedName>
    <definedName name="V_ALL_AMD_">#REF!</definedName>
    <definedName name="V_ALL_AMT">#REF!</definedName>
    <definedName name="V_ALL_APH">#REF!</definedName>
    <definedName name="V_ALL_APXT">#REF!</definedName>
    <definedName name="V_ALL_ARM">#REF!</definedName>
    <definedName name="V_ALL_ARW">#REF!</definedName>
    <definedName name="V_ALL_ARW_">#REF!</definedName>
    <definedName name="V_ALL_ARX">#REF!</definedName>
    <definedName name="V_ALL_AVGO">#REF!</definedName>
    <definedName name="V_ALL_AVGO_">#REF!</definedName>
    <definedName name="V_ALL_BCE">#REF!</definedName>
    <definedName name="V_ALL_BRCM">#REF!</definedName>
    <definedName name="V_ALL_BRCM_">#REF!</definedName>
    <definedName name="V_ALL_BSY">#REF!</definedName>
    <definedName name="V_ALL_CCI">#REF!</definedName>
    <definedName name="V_ALL_CDNS">#REF!</definedName>
    <definedName name="V_ALL_CFG">#REF!</definedName>
    <definedName name="V_ALL_CHTR">#REF!</definedName>
    <definedName name="V_ALL_CMCSA">#REF!</definedName>
    <definedName name="V_ALL_CRWD">#REF!</definedName>
    <definedName name="V_ALL_CTL">#REF!</definedName>
    <definedName name="V_ALL_CTL_">#REF!</definedName>
    <definedName name="V_ALL_CTSH">#REF!</definedName>
    <definedName name="V_ALL_CYBR">#REF!</definedName>
    <definedName name="V_ALL_DBX">#REF!</definedName>
    <definedName name="V_ALL_DIS">#REF!</definedName>
    <definedName name="V_ALL_DTV">#REF!</definedName>
    <definedName name="V_ALL_DWRE">#REF!</definedName>
    <definedName name="V_ALL_ENTG">#REF!</definedName>
    <definedName name="V_ALL_EPAM">#REF!</definedName>
    <definedName name="V_ALL_EQIX">#REF!</definedName>
    <definedName name="V_ALL_FSL">#REF!</definedName>
    <definedName name="V_ALL_FTRCQ">#REF!</definedName>
    <definedName name="V_ALL_FYBR">#REF!</definedName>
    <definedName name="V_ALL_GLOB">#REF!</definedName>
    <definedName name="V_ALL_IBM">#REF!</definedName>
    <definedName name="V_ALL_INTC">#REF!</definedName>
    <definedName name="V_ALL_INTC_">#REF!</definedName>
    <definedName name="V_ALL_INTU">#REF!</definedName>
    <definedName name="V_ALL_INTU_">#REF!</definedName>
    <definedName name="V_ALL_JBL">#REF!</definedName>
    <definedName name="V_ALL_KEYWORDS_TYPE_Breakdown_EQTY_200001646">#REF!</definedName>
    <definedName name="V_ALL_KEYWORDS_TYPE_Breakdown_EQTY_200004419">#REF!</definedName>
    <definedName name="V_ALL_KEYWORDS_TYPE_ScalarContributed_EQTY_200000304">#REF!,#REF!,#REF!,#REF!</definedName>
    <definedName name="V_ALL_KEYWORDS_TYPE_ScalarContributed_EQTY_200000813">#REF!,#REF!,#REF!,#REF!,#REF!</definedName>
    <definedName name="V_ALL_KEYWORDS_TYPE_ScalarContributed_EQTY_200001265">#REF!,#REF!,#REF!,#REF!</definedName>
    <definedName name="V_ALL_KEYWORDS_TYPE_ScalarContributed_EQTY_200001320">#REF!,#REF!,#REF!,#REF!</definedName>
    <definedName name="V_ALL_KEYWORDS_TYPE_ScalarContributed_EQTY_200001330">#REF!,#REF!,#REF!,#REF!</definedName>
    <definedName name="V_ALL_KEYWORDS_TYPE_ScalarContributed_EQTY_200001353">#REF!,#REF!</definedName>
    <definedName name="V_ALL_KEYWORDS_TYPE_ScalarContributed_EQTY_200001371">#REF!,#REF!</definedName>
    <definedName name="V_ALL_KEYWORDS_TYPE_ScalarContributed_EQTY_200001381">#REF!,#REF!,#REF!,#REF!,#REF!</definedName>
    <definedName name="V_ALL_KEYWORDS_TYPE_ScalarContributed_EQTY_200001646">#REF!,#REF!,#REF!,#REF!</definedName>
    <definedName name="V_ALL_KEYWORDS_TYPE_ScalarContributed_EQTY_200002283">#REF!,#REF!,#REF!,#REF!,#REF!</definedName>
    <definedName name="V_ALL_KEYWORDS_TYPE_ScalarContributed_EQTY_200002309">#REF!,#REF!,#REF!,#REF!,#REF!</definedName>
    <definedName name="V_ALL_KEYWORDS_TYPE_ScalarContributed_EQTY_200002831">#REF!,#REF!,#REF!,#REF!,#REF!</definedName>
    <definedName name="V_ALL_KEYWORDS_TYPE_ScalarContributed_EQTY_200002833">#REF!,#REF!,#REF!,#REF!</definedName>
    <definedName name="V_ALL_KEYWORDS_TYPE_ScalarContributed_EQTY_200003036">#REF!,#REF!,#REF!,#REF!,#REF!</definedName>
    <definedName name="V_ALL_KEYWORDS_TYPE_ScalarContributed_EQTY_200003037">#REF!,#REF!,#REF!,#REF!</definedName>
    <definedName name="V_ALL_KEYWORDS_TYPE_ScalarContributed_EQTY_200003892">#REF!,#REF!,#REF!,#REF!</definedName>
    <definedName name="V_ALL_KEYWORDS_TYPE_ScalarContributed_EQTY_200004230">#REF!,#REF!,#REF!,#REF!,#REF!</definedName>
    <definedName name="V_ALL_KEYWORDS_TYPE_ScalarContributed_EQTY_200004419">#REF!,#REF!,#REF!,#REF!</definedName>
    <definedName name="V_ALL_KEYWORDS_TYPE_ScalarContributed_EQTY_200004906">#REF!,#REF!,#REF!,#REF!,#REF!</definedName>
    <definedName name="V_ALL_KEYWORDS_TYPE_ScalarContributed_EQTY_200005326">#REF!,#REF!,#REF!,#REF!</definedName>
    <definedName name="V_ALL_KEYWORDS_TYPE_ScalarContributed_EQTY_200005490">#REF!,#REF!,#REF!,#REF!,#REF!</definedName>
    <definedName name="V_ALL_KEYWORDS_TYPE_ScalarContributed_EQTY_200005674">#REF!,#REF!,#REF!,#REF!,#REF!</definedName>
    <definedName name="V_ALL_KEYWORDS_TYPE_ScalarContributed_EQTY_200005722">#REF!,#REF!,#REF!,#REF!,#REF!</definedName>
    <definedName name="V_ALL_KEYWORDS_TYPE_ScalarContributed_EQTY_200006232">#REF!,#REF!,#REF!,#REF!</definedName>
    <definedName name="V_ALL_KEYWORDS_TYPE_ScalarContributed_EQTY_200006333">#REF!,#REF!,#REF!,#REF!</definedName>
    <definedName name="V_ALL_KEYWORDS_TYPE_ScalarContributed_EQTY_200006384">#REF!,#REF!,#REF!,#REF!,#REF!</definedName>
    <definedName name="V_ALL_KEYWORDS_TYPE_ScalarContributed_EQTY_200007794">#REF!,#REF!,#REF!,#REF!,#REF!</definedName>
    <definedName name="V_ALL_KEYWORDS_TYPE_ScalarContributed_EQTY_200009556">#REF!,#REF!,#REF!,#REF!</definedName>
    <definedName name="V_ALL_KEYWORDS_TYPE_ScalarContributed_EQTY_200009677">#REF!,#REF!,#REF!,#REF!,#REF!</definedName>
    <definedName name="V_ALL_KEYWORDS_TYPE_ScalarContributed_EQTY_200010313">#REF!,#REF!,#REF!,#REF!</definedName>
    <definedName name="V_ALL_KEYWORDS_TYPE_ScalarContributed_EQTY_200011598">#REF!,#REF!,#REF!,#REF!,#REF!</definedName>
    <definedName name="V_ALL_KEYWORDS_TYPE_ScalarContributed_EQTY_200012393">#REF!,#REF!,#REF!,#REF!,#REF!</definedName>
    <definedName name="V_ALL_KEYWORDS_TYPE_ScalarContributed_EQTY_200012762">#REF!,#REF!,#REF!,#REF!</definedName>
    <definedName name="V_ALL_KEYWORDS_TYPE_ScalarContributed_EQTY_200014300">#REF!,#REF!,#REF!,#REF!</definedName>
    <definedName name="V_ALL_KEYWORDS_TYPE_ScalarContributed_EQTY_200014367">#REF!,#REF!,#REF!,#REF!,#REF!</definedName>
    <definedName name="V_ALL_KEYWORDS_TYPE_ScalarContributed_EQTY_200014493">#REF!,#REF!,#REF!,#REF!</definedName>
    <definedName name="V_ALL_KEYWORDS_TYPE_ScalarContributed_EQTY_200014750">#REF!,#REF!,#REF!,#REF!,#REF!</definedName>
    <definedName name="V_ALL_KEYWORDS_TYPE_ScalarContributed_EQTY_200015107">#REF!,#REF!,#REF!,#REF!</definedName>
    <definedName name="V_ALL_KEYWORDS_TYPE_ScalarContributed_EQTY_200015716">#REF!,#REF!,#REF!,#REF!</definedName>
    <definedName name="V_ALL_KEYWORDS_TYPE_ScalarContributed_EQTY_200015757">#REF!,#REF!,#REF!,#REF!</definedName>
    <definedName name="V_ALL_KEYWORDS_TYPE_ScalarContributed_EQTY_200016026">#REF!,#REF!,#REF!,#REF!</definedName>
    <definedName name="V_ALL_KEYWORDS_TYPE_ScalarContributed_EQTY_200017745">#REF!,#REF!,#REF!,#REF!,#REF!</definedName>
    <definedName name="V_ALL_KEYWORDS_TYPE_ScalarContributed_EQTY_200019587">#REF!,#REF!,#REF!,#REF!</definedName>
    <definedName name="V_ALL_KEYWORDS_TYPE_ScalarContributed_EQTY_200019588">#REF!,#REF!,#REF!,#REF!</definedName>
    <definedName name="V_ALL_KEYWORDS_TYPE_ScalarContributed_EQTY_200021484">#REF!,#REF!,#REF!,#REF!,#REF!</definedName>
    <definedName name="V_ALL_KEYWORDS_TYPE_ScalarContributed_ISSR_208000027">#REF!,#REF!</definedName>
    <definedName name="V_ALL_KEYWORDS_TYPE_ScalarContributed_ISSR_208000156">#REF!,#REF!</definedName>
    <definedName name="V_ALL_KEYWORDS_TYPE_ScalarContributed_ISSR_208000430">#REF!,#REF!,#REF!,#REF!,#REF!,#REF!,#REF!,#REF!,#REF!,#REF!,#REF!</definedName>
    <definedName name="V_ALL_KEYWORDS_TYPE_ScalarContributed_ISSR_208000435">#REF!,#REF!</definedName>
    <definedName name="V_ALL_KEYWORDS_TYPE_ScalarContributed_ISSR_208000468">#REF!,#REF!</definedName>
    <definedName name="V_ALL_KEYWORDS_TYPE_ScalarContributed_ISSR_208000603">#REF!</definedName>
    <definedName name="V_ALL_KEYWORDS_TYPE_ScalarContributed_ISSR_208000826">#REF!,#REF!,#REF!</definedName>
    <definedName name="V_ALL_KEYWORDS_TYPE_ScalarContributed_ISSR_208000827">#REF!,#REF!,#REF!</definedName>
    <definedName name="V_ALL_KEYWORDS_TYPE_ScalarContributed_ISSR_208000836">#REF!,#REF!,#REF!</definedName>
    <definedName name="V_ALL_KEYWORDS_TYPE_ScalarContributed_ISSR_208000976">#REF!,#REF!</definedName>
    <definedName name="V_ALL_KEYWORDS_TYPE_ScalarContributed_ISSR_208000977">#REF!,#REF!</definedName>
    <definedName name="V_ALL_KEYWORDS_TYPE_ScalarContributed_ISSR_208001048">#REF!,#REF!</definedName>
    <definedName name="V_ALL_KEYWORDS_TYPE_ScalarContributed_ISSR_208001204">#REF!,#REF!,#REF!</definedName>
    <definedName name="V_ALL_KEYWORDS_TYPE_ScalarContributed_ISSR_208001258">#REF!</definedName>
    <definedName name="V_ALL_KEYWORDS_TYPE_ScalarContributed_ISSR_208001370">#REF!,#REF!</definedName>
    <definedName name="V_ALL_KEYWORDS_TYPE_ScalarContributed_ISSR_208001515">#REF!,#REF!</definedName>
    <definedName name="V_ALL_KEYWORDS_TYPE_ScalarContributed_ISSR_208001562">#REF!,#REF!,#REF!</definedName>
    <definedName name="V_ALL_KEYWORDS_TYPE_ScalarContributed_ISSR_208001627">#REF!,#REF!,#REF!</definedName>
    <definedName name="V_ALL_KEYWORDS_TYPE_ScalarContributed_ISSR_208001640">#REF!,#REF!</definedName>
    <definedName name="V_ALL_KEYWORDS_TYPE_ScalarContributed_ISSR_208001765">#REF!,#REF!,#REF!</definedName>
    <definedName name="V_ALL_KEYWORDS_TYPE_ScalarContributed_ISSR_208001785">#REF!,#REF!</definedName>
    <definedName name="V_ALL_KEYWORDS_TYPE_ScalarContributed_ISSR_208002651">#REF!,#REF!</definedName>
    <definedName name="V_ALL_KEYWORDS_TYPE_ScalarContributed_ISSR_208005795">#REF!,#REF!</definedName>
    <definedName name="V_ALL_KEYWORDS_TYPE_ScalarContributed_ISSR_208007986">#REF!,#REF!,#REF!</definedName>
    <definedName name="V_ALL_KEYWORDS_TYPE_ScalarContributed_ISSR_208008030">#REF!,#REF!,#REF!</definedName>
    <definedName name="V_ALL_KEYWORDS_TYPE_ScalarContributed_ISSR_208008836">#REF!,#REF!</definedName>
    <definedName name="V_ALL_KEYWORDS_TYPE_ScalarContributed_ISSR_208009377">#REF!,#REF!</definedName>
    <definedName name="V_ALL_KEYWORDS_TYPE_ScalarContributed_ISSR_208009722">#REF!</definedName>
    <definedName name="V_ALL_KEYWORDS_TYPE_ScalarContributed_ISSR_208011028">#REF!,#REF!,#REF!</definedName>
    <definedName name="V_ALL_KEYWORDS_TYPE_ScalarContributed_ISSR_208011556">#REF!,#REF!</definedName>
    <definedName name="V_ALL_KEYWORDS_TYPE_ScalarContributed_ISSR_208011888">#REF!,#REF!,#REF!,#REF!,#REF!,#REF!,#REF!,#REF!,#REF!,#REF!,#REF!</definedName>
    <definedName name="V_ALL_KEYWORDS_TYPE_ScalarContributed_ISSR_208012959">#REF!,#REF!,#REF!</definedName>
    <definedName name="V_ALL_KEYWORDS_TYPE_ScalarContributed_ISSR_208015351">#REF!,#REF!</definedName>
    <definedName name="V_ALL_KEYWORDS_TYPE_ScalarContributed_ISSR_208018132">#REF!,#REF!,#REF!</definedName>
    <definedName name="V_ALL_KEYWORDS_TYPE_ScalarContributed_ISSR_208018133">#REF!,#REF!,#REF!,#REF!,#REF!,#REF!,#REF!,#REF!,#REF!,#REF!,#REF!,#REF!</definedName>
    <definedName name="V_ALL_KEYWORDS_TYPE_ScalarContributed_ISSR_208018253">#REF!,#REF!,#REF!</definedName>
    <definedName name="V_ALL_KEYWORDS_TYPE_ScalarContributed_ISSR_208020566">#REF!,#REF!,#REF!</definedName>
    <definedName name="V_ALL_KEYWORDS_TYPE_ScalarContributed_ISSR_208020919">#REF!,#REF!,#REF!</definedName>
    <definedName name="V_ALL_KEYWORDS_TYPE_ScalarReference_EQTY_200001646">#REF!</definedName>
    <definedName name="V_ALL_KEYWORDS_TYPE_ScalarReference_EQTY_200004419">#REF!</definedName>
    <definedName name="V_ALL_KEYWORDS_TYPE_ScalarReference_EQTY_200012762">#REF!</definedName>
    <definedName name="V_ALL_KEYWORDS_TYPE_ScalarReference_ISSR_208000603">#REF!</definedName>
    <definedName name="V_ALL_KEYWORDS_TYPE_ScalarReference_ISSR_208001258">#REF!</definedName>
    <definedName name="V_ALL_KEYWORDS_TYPE_ScalarReference_ISSR_208009722">#REF!</definedName>
    <definedName name="V_ALL_KEYWORDS_TYPE_Vector_EQTY_200000304">#REF!,#REF!,#REF!,#REF!,#REF!,#REF!,#REF!</definedName>
    <definedName name="V_ALL_KEYWORDS_TYPE_Vector_EQTY_200000813">#REF!,#REF!,#REF!,#REF!,#REF!,#REF!,#REF!</definedName>
    <definedName name="V_ALL_KEYWORDS_TYPE_Vector_EQTY_200001265">#REF!,#REF!,#REF!,#REF!,#REF!,#REF!,#REF!</definedName>
    <definedName name="V_ALL_KEYWORDS_TYPE_Vector_EQTY_200001320">#REF!,#REF!,#REF!,#REF!,#REF!,#REF!,#REF!</definedName>
    <definedName name="V_ALL_KEYWORDS_TYPE_Vector_EQTY_200001330">#REF!,#REF!,#REF!,#REF!,#REF!,#REF!,#REF!</definedName>
    <definedName name="V_ALL_KEYWORDS_TYPE_Vector_EQTY_200001353">#REF!,#REF!,#REF!,#REF!,#REF!</definedName>
    <definedName name="V_ALL_KEYWORDS_TYPE_Vector_EQTY_200001371">#REF!,#REF!,#REF!,#REF!,#REF!</definedName>
    <definedName name="V_ALL_KEYWORDS_TYPE_Vector_EQTY_200001381">#REF!,#REF!,#REF!,#REF!,#REF!,#REF!,#REF!</definedName>
    <definedName name="V_ALL_KEYWORDS_TYPE_Vector_EQTY_200001646">#REF!,#REF!,#REF!,#REF!,#REF!,#REF!,#REF!,#REF!</definedName>
    <definedName name="V_ALL_KEYWORDS_TYPE_Vector_EQTY_200002282">#REF!,#REF!,#REF!,#REF!,#REF!,#REF!,#REF!,#REF!</definedName>
    <definedName name="V_ALL_KEYWORDS_TYPE_Vector_EQTY_200002283">#REF!,#REF!,#REF!,#REF!,#REF!,#REF!,#REF!,#REF!</definedName>
    <definedName name="V_ALL_KEYWORDS_TYPE_Vector_EQTY_200002309">#REF!,#REF!,#REF!,#REF!,#REF!,#REF!,#REF!,#REF!</definedName>
    <definedName name="V_ALL_KEYWORDS_TYPE_Vector_EQTY_200002831">#REF!,#REF!,#REF!,#REF!,#REF!,#REF!,#REF!</definedName>
    <definedName name="V_ALL_KEYWORDS_TYPE_Vector_EQTY_200002833">#REF!,#REF!,#REF!,#REF!,#REF!,#REF!,#REF!</definedName>
    <definedName name="V_ALL_KEYWORDS_TYPE_Vector_EQTY_200003036">#REF!,#REF!,#REF!,#REF!,#REF!,#REF!,#REF!</definedName>
    <definedName name="V_ALL_KEYWORDS_TYPE_Vector_EQTY_200003037">#REF!,#REF!,#REF!,#REF!,#REF!,#REF!,#REF!</definedName>
    <definedName name="V_ALL_KEYWORDS_TYPE_Vector_EQTY_200003892">#REF!,#REF!,#REF!,#REF!,#REF!,#REF!,#REF!</definedName>
    <definedName name="V_ALL_KEYWORDS_TYPE_Vector_EQTY_200004230">#REF!,#REF!,#REF!,#REF!,#REF!,#REF!,#REF!,#REF!</definedName>
    <definedName name="V_ALL_KEYWORDS_TYPE_Vector_EQTY_200004419">#REF!,#REF!,#REF!,#REF!,#REF!,#REF!,#REF!</definedName>
    <definedName name="V_ALL_KEYWORDS_TYPE_Vector_EQTY_200004906">#REF!,#REF!,#REF!,#REF!,#REF!,#REF!,#REF!</definedName>
    <definedName name="V_ALL_KEYWORDS_TYPE_Vector_EQTY_200005184">#REF!,#REF!,#REF!,#REF!,#REF!,#REF!,#REF!</definedName>
    <definedName name="V_ALL_KEYWORDS_TYPE_Vector_EQTY_200005326">#REF!,#REF!,#REF!,#REF!,#REF!,#REF!,#REF!</definedName>
    <definedName name="V_ALL_KEYWORDS_TYPE_Vector_EQTY_200005490">#REF!,#REF!,#REF!,#REF!,#REF!,#REF!,#REF!,#REF!</definedName>
    <definedName name="V_ALL_KEYWORDS_TYPE_Vector_EQTY_200005722">#REF!,#REF!,#REF!,#REF!,#REF!,#REF!,#REF!</definedName>
    <definedName name="V_ALL_KEYWORDS_TYPE_Vector_EQTY_200006232">#REF!,#REF!,#REF!,#REF!,#REF!,#REF!,#REF!</definedName>
    <definedName name="V_ALL_KEYWORDS_TYPE_Vector_EQTY_200006333">#REF!,#REF!,#REF!,#REF!,#REF!,#REF!,#REF!,#REF!,#REF!</definedName>
    <definedName name="V_ALL_KEYWORDS_TYPE_Vector_EQTY_200006384">#REF!,#REF!,#REF!,#REF!,#REF!,#REF!,#REF!</definedName>
    <definedName name="V_ALL_KEYWORDS_TYPE_Vector_EQTY_200009556">#REF!,#REF!,#REF!,#REF!,#REF!,#REF!,#REF!</definedName>
    <definedName name="V_ALL_KEYWORDS_TYPE_Vector_EQTY_200010313">#REF!,#REF!,#REF!,#REF!,#REF!,#REF!,#REF!,#REF!</definedName>
    <definedName name="V_ALL_KEYWORDS_TYPE_Vector_EQTY_200011598">#REF!,#REF!,#REF!,#REF!,#REF!,#REF!,#REF!</definedName>
    <definedName name="V_ALL_KEYWORDS_TYPE_Vector_EQTY_200012393">#REF!,#REF!,#REF!,#REF!,#REF!,#REF!,#REF!</definedName>
    <definedName name="V_ALL_KEYWORDS_TYPE_Vector_EQTY_200012762">#REF!,#REF!,#REF!,#REF!,#REF!,#REF!,#REF!</definedName>
    <definedName name="V_ALL_KEYWORDS_TYPE_Vector_EQTY_200014300">#REF!,#REF!,#REF!,#REF!,#REF!,#REF!,#REF!</definedName>
    <definedName name="V_ALL_KEYWORDS_TYPE_Vector_EQTY_200014493">#REF!,#REF!,#REF!,#REF!,#REF!,#REF!,#REF!</definedName>
    <definedName name="V_ALL_KEYWORDS_TYPE_Vector_EQTY_200014750">#REF!,#REF!,#REF!,#REF!,#REF!,#REF!,#REF!</definedName>
    <definedName name="V_ALL_KEYWORDS_TYPE_Vector_EQTY_200015107">#REF!,#REF!,#REF!,#REF!,#REF!,#REF!,#REF!</definedName>
    <definedName name="V_ALL_KEYWORDS_TYPE_Vector_EQTY_200015716">#REF!,#REF!,#REF!,#REF!,#REF!,#REF!,#REF!</definedName>
    <definedName name="V_ALL_KEYWORDS_TYPE_Vector_EQTY_200015757">#REF!,#REF!,#REF!,#REF!,#REF!,#REF!,#REF!,#REF!</definedName>
    <definedName name="V_ALL_KEYWORDS_TYPE_Vector_EQTY_200016026">#REF!,#REF!,#REF!,#REF!,#REF!,#REF!,#REF!,#REF!</definedName>
    <definedName name="V_ALL_KEYWORDS_TYPE_Vector_EQTY_200017745">#REF!,#REF!,#REF!,#REF!,#REF!,#REF!,#REF!</definedName>
    <definedName name="V_ALL_KEYWORDS_TYPE_Vector_EQTY_200019588">#REF!,#REF!,#REF!,#REF!,#REF!,#REF!,#REF!</definedName>
    <definedName name="V_ALL_KEYWORDS_TYPE_Vector_EQTY_200021484">#REF!,#REF!,#REF!,#REF!,#REF!,#REF!,#REF!</definedName>
    <definedName name="V_ALL_KEYWORDS_TYPE_Vector_ISSR_208000027">#REF!,#REF!,#REF!,#REF!,#REF!,#REF!,#REF!,#REF!,#REF!,#REF!</definedName>
    <definedName name="V_ALL_KEYWORDS_TYPE_Vector_ISSR_208000156">#REF!,#REF!,#REF!,#REF!,#REF!,#REF!,#REF!,#REF!,#REF!,#REF!,#REF!,#REF!,#REF!</definedName>
    <definedName name="V_ALL_KEYWORDS_TYPE_Vector_ISSR_208000430">#REF!,#REF!,#REF!,#REF!,#REF!,#REF!,#REF!,#REF!,#REF!,#REF!,#REF!,#REF!,#REF!,#REF!</definedName>
    <definedName name="V_ALL_KEYWORDS_TYPE_Vector_ISSR_208000435">#REF!,#REF!,#REF!,#REF!,#REF!,#REF!,#REF!,#REF!,#REF!,#REF!</definedName>
    <definedName name="V_ALL_KEYWORDS_TYPE_Vector_ISSR_208000451">#REF!,#REF!,#REF!,#REF!,#REF!,#REF!,#REF!,#REF!,#REF!,#REF!,#REF!,#REF!,#REF!,#REF!,#REF!,#REF!,#REF!,#REF!,#REF!,#REF!,#REF!,#REF!,#REF!,#REF!,#REF!,#REF!</definedName>
    <definedName name="V_ALL_KEYWORDS_TYPE_Vector_ISSR_208000468">#REF!,#REF!,#REF!,#REF!,#REF!,#REF!,#REF!,#REF!,#REF!,#REF!,#REF!,#REF!,#REF!,#REF!</definedName>
    <definedName name="V_ALL_KEYWORDS_TYPE_Vector_ISSR_208000603">#REF!,#REF!,#REF!,#REF!,#REF!,#REF!,#REF!,#REF!,#REF!,#REF!</definedName>
    <definedName name="V_ALL_KEYWORDS_TYPE_Vector_ISSR_208000826">#REF!,#REF!,#REF!,#REF!,#REF!,#REF!,#REF!,#REF!,#REF!,#REF!,#REF!,#REF!,#REF!,#REF!,#REF!,#REF!</definedName>
    <definedName name="V_ALL_KEYWORDS_TYPE_Vector_ISSR_208000827">#REF!,#REF!,#REF!,#REF!,#REF!,#REF!,#REF!,#REF!,#REF!,#REF!,#REF!,#REF!,#REF!,#REF!,#REF!,#REF!</definedName>
    <definedName name="V_ALL_KEYWORDS_TYPE_Vector_ISSR_208000836">#REF!,#REF!,#REF!,#REF!,#REF!,#REF!,#REF!,#REF!,#REF!,#REF!,#REF!,#REF!,#REF!</definedName>
    <definedName name="V_ALL_KEYWORDS_TYPE_Vector_ISSR_208000976">#REF!,#REF!,#REF!,#REF!,#REF!,#REF!,#REF!,#REF!,#REF!,#REF!,#REF!,#REF!,#REF!</definedName>
    <definedName name="V_ALL_KEYWORDS_TYPE_Vector_ISSR_208000977">#REF!,#REF!,#REF!,#REF!,#REF!,#REF!,#REF!,#REF!,#REF!,#REF!,#REF!,#REF!,#REF!,#REF!,#REF!</definedName>
    <definedName name="V_ALL_KEYWORDS_TYPE_Vector_ISSR_208001018">#REF!,#REF!,#REF!,#REF!,#REF!,#REF!,#REF!,#REF!,#REF!,#REF!</definedName>
    <definedName name="V_ALL_KEYWORDS_TYPE_Vector_ISSR_208001048">#REF!,#REF!,#REF!,#REF!,#REF!,#REF!,#REF!,#REF!,#REF!,#REF!,#REF!,#REF!,#REF!,#REF!</definedName>
    <definedName name="V_ALL_KEYWORDS_TYPE_Vector_ISSR_208001049">#REF!,#REF!,#REF!,#REF!,#REF!,#REF!,#REF!,#REF!,#REF!,#REF!,#REF!,#REF!,#REF!,#REF!,#REF!</definedName>
    <definedName name="V_ALL_KEYWORDS_TYPE_Vector_ISSR_208001137">#REF!,#REF!,#REF!,#REF!,#REF!,#REF!,#REF!,#REF!,#REF!,#REF!,#REF!,#REF!,#REF!,#REF!,#REF!</definedName>
    <definedName name="V_ALL_KEYWORDS_TYPE_Vector_ISSR_208001204">#REF!,#REF!,#REF!,#REF!,#REF!,#REF!,#REF!,#REF!,#REF!,#REF!,#REF!,#REF!,#REF!,#REF!</definedName>
    <definedName name="V_ALL_KEYWORDS_TYPE_Vector_ISSR_208001217">#REF!,#REF!,#REF!,#REF!,#REF!,#REF!,#REF!,#REF!,#REF!,#REF!,#REF!,#REF!,#REF!,#REF!,#REF!</definedName>
    <definedName name="V_ALL_KEYWORDS_TYPE_Vector_ISSR_208001258">#REF!,#REF!,#REF!,#REF!,#REF!,#REF!,#REF!,#REF!,#REF!,#REF!,#REF!,#REF!,#REF!,#REF!,#REF!</definedName>
    <definedName name="V_ALL_KEYWORDS_TYPE_Vector_ISSR_208001370">#REF!,#REF!,#REF!,#REF!,#REF!,#REF!,#REF!,#REF!,#REF!,#REF!,#REF!,#REF!</definedName>
    <definedName name="V_ALL_KEYWORDS_TYPE_Vector_ISSR_208001515">#REF!,#REF!,#REF!,#REF!,#REF!,#REF!,#REF!,#REF!,#REF!</definedName>
    <definedName name="V_ALL_KEYWORDS_TYPE_Vector_ISSR_208001562">#REF!,#REF!,#REF!,#REF!,#REF!,#REF!,#REF!,#REF!,#REF!,#REF!,#REF!,#REF!,#REF!</definedName>
    <definedName name="V_ALL_KEYWORDS_TYPE_Vector_ISSR_208001627">#REF!,#REF!,#REF!,#REF!,#REF!,#REF!,#REF!,#REF!,#REF!,#REF!,#REF!,#REF!,#REF!</definedName>
    <definedName name="V_ALL_KEYWORDS_TYPE_Vector_ISSR_208001640">#REF!,#REF!,#REF!,#REF!,#REF!,#REF!,#REF!,#REF!,#REF!,#REF!,#REF!,#REF!,#REF!,#REF!</definedName>
    <definedName name="V_ALL_KEYWORDS_TYPE_Vector_ISSR_208001765">#REF!,#REF!,#REF!,#REF!,#REF!,#REF!,#REF!,#REF!,#REF!,#REF!,#REF!,#REF!,#REF!,#REF!,#REF!</definedName>
    <definedName name="V_ALL_KEYWORDS_TYPE_Vector_ISSR_208001785">#REF!,#REF!,#REF!,#REF!,#REF!,#REF!,#REF!,#REF!,#REF!,#REF!,#REF!,#REF!,#REF!</definedName>
    <definedName name="V_ALL_KEYWORDS_TYPE_Vector_ISSR_208002651">#REF!,#REF!,#REF!,#REF!,#REF!,#REF!,#REF!,#REF!,#REF!,#REF!,#REF!,#REF!,#REF!</definedName>
    <definedName name="V_ALL_KEYWORDS_TYPE_Vector_ISSR_208005795">#REF!,#REF!,#REF!,#REF!,#REF!,#REF!,#REF!,#REF!,#REF!,#REF!</definedName>
    <definedName name="V_ALL_KEYWORDS_TYPE_Vector_ISSR_208007359">#REF!,#REF!,#REF!,#REF!,#REF!,#REF!,#REF!,#REF!,#REF!</definedName>
    <definedName name="V_ALL_KEYWORDS_TYPE_Vector_ISSR_208007452">#REF!,#REF!,#REF!,#REF!,#REF!,#REF!,#REF!,#REF!,#REF!,#REF!,#REF!,#REF!,#REF!,#REF!,#REF!,#REF!,#REF!,#REF!,#REF!,#REF!,#REF!,#REF!,#REF!,#REF!,#REF!</definedName>
    <definedName name="V_ALL_KEYWORDS_TYPE_Vector_ISSR_208007986">#REF!,#REF!,#REF!,#REF!,#REF!,#REF!,#REF!,#REF!,#REF!,#REF!,#REF!,#REF!,#REF!,#REF!,#REF!</definedName>
    <definedName name="V_ALL_KEYWORDS_TYPE_Vector_ISSR_208008030">#REF!,#REF!,#REF!,#REF!,#REF!,#REF!,#REF!,#REF!,#REF!,#REF!,#REF!,#REF!,#REF!,#REF!,#REF!,#REF!,#REF!,#REF!,#REF!,#REF!</definedName>
    <definedName name="V_ALL_KEYWORDS_TYPE_Vector_ISSR_208008836">#REF!,#REF!,#REF!,#REF!,#REF!,#REF!,#REF!,#REF!,#REF!,#REF!</definedName>
    <definedName name="V_ALL_KEYWORDS_TYPE_Vector_ISSR_208009377">#REF!,#REF!,#REF!,#REF!,#REF!,#REF!,#REF!,#REF!,#REF!,#REF!,#REF!,#REF!,#REF!</definedName>
    <definedName name="V_ALL_KEYWORDS_TYPE_Vector_ISSR_208009722">#REF!,#REF!,#REF!,#REF!,#REF!,#REF!,#REF!,#REF!,#REF!</definedName>
    <definedName name="V_ALL_KEYWORDS_TYPE_Vector_ISSR_208010209">#REF!,#REF!,#REF!,#REF!,#REF!,#REF!,#REF!,#REF!,#REF!,#REF!,#REF!,#REF!,#REF!,#REF!,#REF!</definedName>
    <definedName name="V_ALL_KEYWORDS_TYPE_Vector_ISSR_208011028">#REF!,#REF!,#REF!,#REF!,#REF!,#REF!,#REF!,#REF!,#REF!,#REF!,#REF!,#REF!,#REF!</definedName>
    <definedName name="V_ALL_KEYWORDS_TYPE_Vector_ISSR_208011072">#REF!,#REF!,#REF!,#REF!,#REF!,#REF!,#REF!,#REF!,#REF!,#REF!,#REF!,#REF!,#REF!,#REF!</definedName>
    <definedName name="V_ALL_KEYWORDS_TYPE_Vector_ISSR_208011212">#REF!,#REF!,#REF!,#REF!,#REF!,#REF!,#REF!,#REF!,#REF!,#REF!,#REF!,#REF!,#REF!,#REF!</definedName>
    <definedName name="V_ALL_KEYWORDS_TYPE_Vector_ISSR_208011556">#REF!,#REF!,#REF!,#REF!,#REF!,#REF!,#REF!,#REF!,#REF!,#REF!</definedName>
    <definedName name="V_ALL_KEYWORDS_TYPE_Vector_ISSR_208011888">#REF!,#REF!,#REF!,#REF!,#REF!,#REF!,#REF!,#REF!,#REF!,#REF!,#REF!,#REF!,#REF!,#REF!,#REF!,#REF!,#REF!,#REF!,#REF!</definedName>
    <definedName name="V_ALL_KEYWORDS_TYPE_Vector_ISSR_208012959">#REF!,#REF!,#REF!,#REF!,#REF!,#REF!,#REF!,#REF!,#REF!,#REF!,#REF!,#REF!,#REF!,#REF!,#REF!,#REF!</definedName>
    <definedName name="V_ALL_KEYWORDS_TYPE_Vector_ISSR_208013278">#REF!,#REF!,#REF!,#REF!,#REF!,#REF!,#REF!,#REF!,#REF!,#REF!,#REF!,#REF!</definedName>
    <definedName name="V_ALL_KEYWORDS_TYPE_Vector_ISSR_208015351">#REF!,#REF!,#REF!,#REF!,#REF!,#REF!,#REF!,#REF!,#REF!,#REF!,#REF!,#REF!</definedName>
    <definedName name="V_ALL_KEYWORDS_TYPE_Vector_ISSR_208017249">#REF!,#REF!,#REF!,#REF!,#REF!,#REF!,#REF!,#REF!,#REF!,#REF!,#REF!,#REF!</definedName>
    <definedName name="V_ALL_KEYWORDS_TYPE_Vector_ISSR_208018132">#REF!,#REF!,#REF!,#REF!,#REF!,#REF!,#REF!,#REF!,#REF!,#REF!,#REF!,#REF!,#REF!</definedName>
    <definedName name="V_ALL_KEYWORDS_TYPE_Vector_ISSR_208018133">#REF!,#REF!,#REF!,#REF!,#REF!,#REF!,#REF!,#REF!,#REF!,#REF!,#REF!,#REF!,#REF!,#REF!,#REF!,#REF!,#REF!,#REF!,#REF!,#REF!,#REF!,#REF!,#REF!</definedName>
    <definedName name="V_ALL_KEYWORDS_TYPE_Vector_ISSR_208018253">#REF!,#REF!,#REF!,#REF!,#REF!,#REF!,#REF!,#REF!,#REF!,#REF!,#REF!,#REF!,#REF!</definedName>
    <definedName name="V_ALL_KEYWORDS_TYPE_Vector_ISSR_208020566">#REF!,#REF!,#REF!,#REF!,#REF!,#REF!,#REF!,#REF!,#REF!,#REF!,#REF!,#REF!,#REF!</definedName>
    <definedName name="V_ALL_KEYWORDS_TYPE_Vector_ISSR_208020919">#REF!,#REF!,#REF!,#REF!,#REF!,#REF!,#REF!,#REF!,#REF!,#REF!,#REF!,#REF!,#REF!</definedName>
    <definedName name="V_ALL_KEYWORDS_TYPE_Vector_ISSR_208021926">#REF!,#REF!,#REF!,#REF!,#REF!,#REF!,#REF!,#REF!,#REF!,#REF!,#REF!,#REF!,#REF!</definedName>
    <definedName name="V_ALL_KNBE">#REF!</definedName>
    <definedName name="V_ALL_LLTC">#REF!</definedName>
    <definedName name="V_ALL_LUMN">#REF!</definedName>
    <definedName name="V_ALL_LVLT">#REF!</definedName>
    <definedName name="V_ALL_MCFE">#REF!</definedName>
    <definedName name="V_ALL_MCHP">#REF!</definedName>
    <definedName name="V_ALL_MCHP_">#REF!</definedName>
    <definedName name="V_ALL_MDB">#REF!</definedName>
    <definedName name="V_ALL_MIME">#REF!</definedName>
    <definedName name="V_ALL_MKTO">#REF!</definedName>
    <definedName name="V_ALL_MRVL">#REF!</definedName>
    <definedName name="V_ALL_MRVL_">#REF!</definedName>
    <definedName name="V_ALL_MSFT">#REF!</definedName>
    <definedName name="V_ALL_MU">#REF!</definedName>
    <definedName name="V_ALL_MXIM">#REF!</definedName>
    <definedName name="V_ALL_NOK1V.HE">#REF!</definedName>
    <definedName name="V_ALL_NVDA">#REF!</definedName>
    <definedName name="V_ALL_NVDA_">#REF!</definedName>
    <definedName name="V_ALL_NXPI">#REF!</definedName>
    <definedName name="V_ALL_NXPI_">#REF!</definedName>
    <definedName name="V_ALL_ON">#REF!</definedName>
    <definedName name="V_ALL_PANW">#REF!</definedName>
    <definedName name="V_ALL_PERIODS_ARX">#REF!</definedName>
    <definedName name="V_ALL_PERIODS_T">#REF!</definedName>
    <definedName name="V_ALL_PFPT">#REF!</definedName>
    <definedName name="V_ALL_QRVO">#REF!</definedName>
    <definedName name="V_ALL_QTS">#REF!</definedName>
    <definedName name="V_ALL_RCI">#REF!</definedName>
    <definedName name="V_ALL_RPD">#REF!</definedName>
    <definedName name="V_ALL_S">#REF!</definedName>
    <definedName name="V_ALL_SBAC">#REF!</definedName>
    <definedName name="V_ALL_SECTION_KEYWORDS_EQTY_200001646_1314">#REF!</definedName>
    <definedName name="V_ALL_SECTION_KEYWORDS_EQTY_200001646_1319">#REF!</definedName>
    <definedName name="V_ALL_SECTION_KEYWORDS_EQTY_200001646_131E">#REF!</definedName>
    <definedName name="V_ALL_SECTION_KEYWORDS_EQTY_200001646_131O">#REF!</definedName>
    <definedName name="V_ALL_SECTION_KEYWORDS_EQTY_200001646_131P">#REF!</definedName>
    <definedName name="V_ALL_SECTION_KEYWORDS_EQTY_200001646_13A">#REF!</definedName>
    <definedName name="V_ALL_SECTION_KEYWORDS_EQTY_200001646_13K">#REF!</definedName>
    <definedName name="V_ALL_SECTION_KEYWORDS_EQTY_200001646_13U">#REF!</definedName>
    <definedName name="V_ALL_SECTION_KEYWORDS_EQTY_200001646_13V">#REF!</definedName>
    <definedName name="V_ALL_SECTION_KEYWORDS_EQTY_200001646_13W">#REF!</definedName>
    <definedName name="V_ALL_SECTION_KEYWORDS_EQTY_200001646_Reference_Data">#REF!</definedName>
    <definedName name="V_ALL_SECTION_KEYWORDS_EQTY_200003036_13A">#REF!</definedName>
    <definedName name="V_ALL_SECTION_KEYWORDS_EQTY_200003036_13K">#REF!</definedName>
    <definedName name="V_ALL_SECTION_KEYWORDS_EQTY_200004230_13A">#REF!</definedName>
    <definedName name="V_ALL_SECTION_KEYWORDS_EQTY_200004230_13K">#REF!</definedName>
    <definedName name="V_ALL_SECTION_KEYWORDS_EQTY_200004419_1314">#REF!</definedName>
    <definedName name="V_ALL_SECTION_KEYWORDS_EQTY_200004419_1319">#REF!</definedName>
    <definedName name="V_ALL_SECTION_KEYWORDS_EQTY_200004419_131E">#REF!</definedName>
    <definedName name="V_ALL_SECTION_KEYWORDS_EQTY_200004419_131O">#REF!</definedName>
    <definedName name="V_ALL_SECTION_KEYWORDS_EQTY_200004419_13A">#REF!</definedName>
    <definedName name="V_ALL_SECTION_KEYWORDS_EQTY_200004419_13K">#REF!</definedName>
    <definedName name="V_ALL_SECTION_KEYWORDS_EQTY_200004419_13U">#REF!</definedName>
    <definedName name="V_ALL_SECTION_KEYWORDS_EQTY_200004419_13V">#REF!</definedName>
    <definedName name="V_ALL_SECTION_KEYWORDS_EQTY_200004419_13W">#REF!</definedName>
    <definedName name="V_ALL_SECTION_KEYWORDS_EQTY_200004419_Reference_Data">#REF!</definedName>
    <definedName name="V_ALL_SECTION_KEYWORDS_EQTY_200004906_13A">#REF!</definedName>
    <definedName name="V_ALL_SECTION_KEYWORDS_EQTY_200004906_13K">#REF!</definedName>
    <definedName name="V_ALL_SECTION_KEYWORDS_EQTY_200005326_13A">#REF!</definedName>
    <definedName name="V_ALL_SECTION_KEYWORDS_EQTY_200005326_13K">#REF!</definedName>
    <definedName name="V_ALL_SECTION_KEYWORDS_EQTY_200006333_13A">#REF!</definedName>
    <definedName name="V_ALL_SECTION_KEYWORDS_EQTY_200006333_13K">#REF!</definedName>
    <definedName name="V_ALL_SECTION_KEYWORDS_EQTY_200012762_1314">#REF!</definedName>
    <definedName name="V_ALL_SECTION_KEYWORDS_EQTY_200012762_1319">#REF!</definedName>
    <definedName name="V_ALL_SECTION_KEYWORDS_EQTY_200012762_131E">#REF!</definedName>
    <definedName name="V_ALL_SECTION_KEYWORDS_EQTY_200012762_131O">#REF!</definedName>
    <definedName name="V_ALL_SECTION_KEYWORDS_EQTY_200012762_13A">#REF!</definedName>
    <definedName name="V_ALL_SECTION_KEYWORDS_EQTY_200012762_13K">#REF!</definedName>
    <definedName name="V_ALL_SECTION_KEYWORDS_EQTY_200012762_13U">#REF!</definedName>
    <definedName name="V_ALL_SECTION_KEYWORDS_EQTY_200012762_13V">#REF!</definedName>
    <definedName name="V_ALL_SECTION_KEYWORDS_EQTY_200012762_13W">#REF!</definedName>
    <definedName name="V_ALL_SECTION_KEYWORDS_EQTY_200012762_Reference_Data">#REF!</definedName>
    <definedName name="V_ALL_SECTION_KEYWORDS_EQTY_200019587_13A">#REF!</definedName>
    <definedName name="V_ALL_SECTION_KEYWORDS_EQTY_200019588_13A">#REF!</definedName>
    <definedName name="V_ALL_SECTION_KEYWORDS_EQTY_200019588_13K">#REF!</definedName>
    <definedName name="V_ALL_SECTION_KEYWORDS_EQTY_200021484_13A">#REF!</definedName>
    <definedName name="V_ALL_SECTION_KEYWORDS_EQTY_200021484_13K">#REF!</definedName>
    <definedName name="V_ALL_SECTION_KEYWORDS_ISSR_208000027_136E">#REF!,#REF!</definedName>
    <definedName name="V_ALL_SECTION_KEYWORDS_ISSR_208000402_136J">#REF!,#REF!</definedName>
    <definedName name="V_ALL_SECTION_KEYWORDS_ISSR_208000430_136E">#REF!,#REF!</definedName>
    <definedName name="V_ALL_SECTION_KEYWORDS_ISSR_208000435_136E">#REF!,#REF!</definedName>
    <definedName name="V_ALL_SECTION_KEYWORDS_ISSR_208000435_136J">#REF!,#REF!</definedName>
    <definedName name="V_ALL_SECTION_KEYWORDS_ISSR_208000468_13V">#REF!,#REF!</definedName>
    <definedName name="V_ALL_SECTION_KEYWORDS_ISSR_208000603_1314">#REF!</definedName>
    <definedName name="V_ALL_SECTION_KEYWORDS_ISSR_208000603_13168">#REF!</definedName>
    <definedName name="V_ALL_SECTION_KEYWORDS_ISSR_208000603_1319">#REF!</definedName>
    <definedName name="V_ALL_SECTION_KEYWORDS_ISSR_208000603_131E">#REF!</definedName>
    <definedName name="V_ALL_SECTION_KEYWORDS_ISSR_208000603_131J">#REF!</definedName>
    <definedName name="V_ALL_SECTION_KEYWORDS_ISSR_208000603_131O">#REF!</definedName>
    <definedName name="V_ALL_SECTION_KEYWORDS_ISSR_208000603_131P">#REF!</definedName>
    <definedName name="V_ALL_SECTION_KEYWORDS_ISSR_208000603_13A">#REF!</definedName>
    <definedName name="V_ALL_SECTION_KEYWORDS_ISSR_208000603_13U">#REF!</definedName>
    <definedName name="V_ALL_SECTION_KEYWORDS_ISSR_208000603_13V">#REF!</definedName>
    <definedName name="V_ALL_SECTION_KEYWORDS_ISSR_208000603_Reference_Data">#REF!</definedName>
    <definedName name="V_ALL_SECTION_KEYWORDS_ISSR_208000826_13V">#REF!,#REF!</definedName>
    <definedName name="V_ALL_SECTION_KEYWORDS_ISSR_208000827_136J">#REF!,#REF!</definedName>
    <definedName name="V_ALL_SECTION_KEYWORDS_ISSR_208000836_131O">#REF!,#REF!</definedName>
    <definedName name="V_ALL_SECTION_KEYWORDS_ISSR_208000976_136E">#REF!,#REF!</definedName>
    <definedName name="V_ALL_SECTION_KEYWORDS_ISSR_208000976_13V">#REF!,#REF!</definedName>
    <definedName name="V_ALL_SECTION_KEYWORDS_ISSR_208000977_136E">#REF!,#REF!</definedName>
    <definedName name="V_ALL_SECTION_KEYWORDS_ISSR_208001018_13168">#REF!</definedName>
    <definedName name="V_ALL_SECTION_KEYWORDS_ISSR_208001018_136E">#REF!,#REF!</definedName>
    <definedName name="V_ALL_SECTION_KEYWORDS_ISSR_208001018_13V">#REF!</definedName>
    <definedName name="V_ALL_SECTION_KEYWORDS_ISSR_208001048_1314">#REF!</definedName>
    <definedName name="V_ALL_SECTION_KEYWORDS_ISSR_208001048_1319">#REF!</definedName>
    <definedName name="V_ALL_SECTION_KEYWORDS_ISSR_208001048_131E">#REF!</definedName>
    <definedName name="V_ALL_SECTION_KEYWORDS_ISSR_208001048_13V">#REF!</definedName>
    <definedName name="V_ALL_SECTION_KEYWORDS_ISSR_208001204_136J">#REF!,#REF!</definedName>
    <definedName name="V_ALL_SECTION_KEYWORDS_ISSR_208001217_13168">#REF!,#REF!</definedName>
    <definedName name="V_ALL_SECTION_KEYWORDS_ISSR_208001217_136E">#REF!,#REF!</definedName>
    <definedName name="V_ALL_SECTION_KEYWORDS_ISSR_208001258_1314">#REF!</definedName>
    <definedName name="V_ALL_SECTION_KEYWORDS_ISSR_208001258_13168">#REF!</definedName>
    <definedName name="V_ALL_SECTION_KEYWORDS_ISSR_208001258_1316T">#REF!</definedName>
    <definedName name="V_ALL_SECTION_KEYWORDS_ISSR_208001258_1316U">#REF!</definedName>
    <definedName name="V_ALL_SECTION_KEYWORDS_ISSR_208001258_1319">#REF!</definedName>
    <definedName name="V_ALL_SECTION_KEYWORDS_ISSR_208001258_131E">#REF!</definedName>
    <definedName name="V_ALL_SECTION_KEYWORDS_ISSR_208001258_131J">#REF!</definedName>
    <definedName name="V_ALL_SECTION_KEYWORDS_ISSR_208001258_131O">#REF!</definedName>
    <definedName name="V_ALL_SECTION_KEYWORDS_ISSR_208001258_13A">#REF!</definedName>
    <definedName name="V_ALL_SECTION_KEYWORDS_ISSR_208001258_13U">#REF!</definedName>
    <definedName name="V_ALL_SECTION_KEYWORDS_ISSR_208001258_13V">#REF!</definedName>
    <definedName name="V_ALL_SECTION_KEYWORDS_ISSR_208001258_Reference_Data">#REF!</definedName>
    <definedName name="V_ALL_SECTION_KEYWORDS_ISSR_208001370_1314">#REF!</definedName>
    <definedName name="V_ALL_SECTION_KEYWORDS_ISSR_208001370_1319">#REF!</definedName>
    <definedName name="V_ALL_SECTION_KEYWORDS_ISSR_208001370_131E">#REF!</definedName>
    <definedName name="V_ALL_SECTION_KEYWORDS_ISSR_208001370_13V">#REF!</definedName>
    <definedName name="V_ALL_SECTION_KEYWORDS_ISSR_208001515_1314">#REF!</definedName>
    <definedName name="V_ALL_SECTION_KEYWORDS_ISSR_208001515_1319">#REF!</definedName>
    <definedName name="V_ALL_SECTION_KEYWORDS_ISSR_208001515_131E">#REF!</definedName>
    <definedName name="V_ALL_SECTION_KEYWORDS_ISSR_208001515_13V">#REF!</definedName>
    <definedName name="V_ALL_SECTION_KEYWORDS_ISSR_208001562_131O">#REF!,#REF!</definedName>
    <definedName name="V_ALL_SECTION_KEYWORDS_ISSR_208001627_131O">#REF!,#REF!</definedName>
    <definedName name="V_ALL_SECTION_KEYWORDS_ISSR_208001627_136J">#REF!</definedName>
    <definedName name="V_ALL_SECTION_KEYWORDS_ISSR_208001640_13V">#REF!,#REF!</definedName>
    <definedName name="V_ALL_SECTION_KEYWORDS_ISSR_208001765_1314">#REF!</definedName>
    <definedName name="V_ALL_SECTION_KEYWORDS_ISSR_208001765_13168">#REF!,#REF!</definedName>
    <definedName name="V_ALL_SECTION_KEYWORDS_ISSR_208001765_1316T">#REF!</definedName>
    <definedName name="V_ALL_SECTION_KEYWORDS_ISSR_208001765_1319">#REF!</definedName>
    <definedName name="V_ALL_SECTION_KEYWORDS_ISSR_208001765_131E">#REF!</definedName>
    <definedName name="V_ALL_SECTION_KEYWORDS_ISSR_208001765_136E">#REF!,#REF!</definedName>
    <definedName name="V_ALL_SECTION_KEYWORDS_ISSR_208001765_13V">#REF!,#REF!</definedName>
    <definedName name="V_ALL_SECTION_KEYWORDS_ISSR_208001785_13V">#REF!,#REF!</definedName>
    <definedName name="V_ALL_SECTION_KEYWORDS_ISSR_208002651_13V">#REF!,#REF!</definedName>
    <definedName name="V_ALL_SECTION_KEYWORDS_ISSR_208005795_136E">#REF!,#REF!</definedName>
    <definedName name="V_ALL_SECTION_KEYWORDS_ISSR_208006029_13V">#REF!,#REF!</definedName>
    <definedName name="V_ALL_SECTION_KEYWORDS_ISSR_208007452_136J">#REF!,#REF!</definedName>
    <definedName name="V_ALL_SECTION_KEYWORDS_ISSR_208007452_13V">#REF!,#REF!</definedName>
    <definedName name="V_ALL_SECTION_KEYWORDS_ISSR_208007986_13168">#REF!,#REF!</definedName>
    <definedName name="V_ALL_SECTION_KEYWORDS_ISSR_208007986_136E">#REF!,#REF!</definedName>
    <definedName name="V_ALL_SECTION_KEYWORDS_ISSR_208007986_13V">#REF!,#REF!</definedName>
    <definedName name="V_ALL_SECTION_KEYWORDS_ISSR_208008030_1316P">#REF!,#REF!</definedName>
    <definedName name="V_ALL_SECTION_KEYWORDS_ISSR_208008030_131Y">#REF!,#REF!</definedName>
    <definedName name="V_ALL_SECTION_KEYWORDS_ISSR_208008030_134L">#REF!,#REF!</definedName>
    <definedName name="V_ALL_SECTION_KEYWORDS_ISSR_208008836_136E">#REF!,#REF!</definedName>
    <definedName name="V_ALL_SECTION_KEYWORDS_ISSR_208009722_1314">#REF!</definedName>
    <definedName name="V_ALL_SECTION_KEYWORDS_ISSR_208009722_13168">#REF!</definedName>
    <definedName name="V_ALL_SECTION_KEYWORDS_ISSR_208009722_1319">#REF!</definedName>
    <definedName name="V_ALL_SECTION_KEYWORDS_ISSR_208009722_131E">#REF!</definedName>
    <definedName name="V_ALL_SECTION_KEYWORDS_ISSR_208009722_131J">#REF!</definedName>
    <definedName name="V_ALL_SECTION_KEYWORDS_ISSR_208009722_131O">#REF!</definedName>
    <definedName name="V_ALL_SECTION_KEYWORDS_ISSR_208009722_13A">#REF!</definedName>
    <definedName name="V_ALL_SECTION_KEYWORDS_ISSR_208009722_13U">#REF!</definedName>
    <definedName name="V_ALL_SECTION_KEYWORDS_ISSR_208009722_13V">#REF!</definedName>
    <definedName name="V_ALL_SECTION_KEYWORDS_ISSR_208009722_Reference_Data">#REF!</definedName>
    <definedName name="V_ALL_SECTION_KEYWORDS_ISSR_208011028_131O">#REF!,#REF!</definedName>
    <definedName name="V_ALL_SECTION_KEYWORDS_ISSR_208011556_136E">#REF!,#REF!</definedName>
    <definedName name="V_ALL_SECTION_KEYWORDS_ISSR_208011888_136E">#REF!,#REF!</definedName>
    <definedName name="V_ALL_SECTION_KEYWORDS_ISSR_208012959_13V">#REF!,#REF!</definedName>
    <definedName name="V_ALL_SECTION_KEYWORDS_ISSR_208013278_136E">#REF!,#REF!</definedName>
    <definedName name="V_ALL_SECTION_KEYWORDS_ISSR_208015351_13168">#REF!,#REF!</definedName>
    <definedName name="V_ALL_SECTION_KEYWORDS_ISSR_208015351_136E">#REF!,#REF!</definedName>
    <definedName name="V_ALL_SECTION_KEYWORDS_ISSR_208017249_13168">#REF!</definedName>
    <definedName name="V_ALL_SECTION_KEYWORDS_ISSR_208017249_1319">#REF!</definedName>
    <definedName name="V_ALL_SECTION_KEYWORDS_ISSR_208018132_131O">#REF!,#REF!</definedName>
    <definedName name="V_ALL_SECTION_KEYWORDS_ISSR_208018133_1314">#REF!</definedName>
    <definedName name="V_ALL_SECTION_KEYWORDS_ISSR_208018133_1319">#REF!</definedName>
    <definedName name="V_ALL_SECTION_KEYWORDS_ISSR_208018133_131E">#REF!</definedName>
    <definedName name="V_ALL_SECTION_KEYWORDS_ISSR_208018133_13V">#REF!,#REF!</definedName>
    <definedName name="V_ALL_SECTION_KEYWORDS_ISSR_208018253_131O">#REF!,#REF!</definedName>
    <definedName name="V_ALL_SECTION_KEYWORDS_ISSR_208020566_131O">#REF!,#REF!</definedName>
    <definedName name="V_ALL_SECTION_KEYWORDS_ISSR_208020919_131O">#REF!,#REF!</definedName>
    <definedName name="V_ALL_SECTION_KEYWORDS_ISSR_208020919_136J">#REF!,#REF!</definedName>
    <definedName name="V_ALL_SECTIONS_EQTY_200000304">#REF!,#REF!,#REF!,#REF!,#REF!,#REF!,#REF!,#REF!,#REF!,#REF!</definedName>
    <definedName name="V_ALL_SECTIONS_EQTY_200001265">#REF!,#REF!,#REF!,#REF!,#REF!,#REF!,#REF!,#REF!,#REF!,#REF!</definedName>
    <definedName name="V_ALL_SECTIONS_EQTY_200001320">#REF!,#REF!,#REF!,#REF!,#REF!,#REF!,#REF!,#REF!,#REF!,#REF!</definedName>
    <definedName name="V_ALL_SECTIONS_EQTY_200001330">#REF!,#REF!,#REF!,#REF!,#REF!,#REF!,#REF!,#REF!,#REF!,#REF!</definedName>
    <definedName name="V_ALL_SECTIONS_EQTY_200001353">#REF!,#REF!,#REF!,#REF!,#REF!,#REF!,#REF!,#REF!</definedName>
    <definedName name="V_ALL_SECTIONS_EQTY_200001371">#REF!,#REF!,#REF!,#REF!,#REF!,#REF!,#REF!,#REF!</definedName>
    <definedName name="V_ALL_SECTIONS_EQTY_200001381">#REF!,#REF!,#REF!,#REF!,#REF!,#REF!,#REF!,#REF!,#REF!,#REF!</definedName>
    <definedName name="V_ALL_SECTIONS_EQTY_200001646">#REF!,#REF!,#REF!,#REF!,#REF!,#REF!,#REF!,#REF!,#REF!,#REF!,#REF!</definedName>
    <definedName name="V_ALL_SECTIONS_EQTY_200002831">#REF!,#REF!,#REF!,#REF!,#REF!,#REF!,#REF!,#REF!,#REF!,#REF!</definedName>
    <definedName name="V_ALL_SECTIONS_EQTY_200002833">#REF!,#REF!,#REF!,#REF!,#REF!,#REF!,#REF!,#REF!,#REF!,#REF!</definedName>
    <definedName name="V_ALL_SECTIONS_EQTY_200003037">#REF!,#REF!,#REF!,#REF!,#REF!,#REF!,#REF!,#REF!,#REF!,#REF!</definedName>
    <definedName name="V_ALL_SECTIONS_EQTY_200003892">#REF!,#REF!,#REF!,#REF!,#REF!,#REF!,#REF!,#REF!,#REF!,#REF!</definedName>
    <definedName name="V_ALL_SECTIONS_EQTY_200004419">#REF!,#REF!,#REF!,#REF!,#REF!,#REF!,#REF!,#REF!,#REF!,#REF!</definedName>
    <definedName name="V_ALL_SECTIONS_EQTY_200005326">#REF!,#REF!,#REF!,#REF!,#REF!,#REF!,#REF!,#REF!,#REF!,#REF!</definedName>
    <definedName name="V_ALL_SECTIONS_EQTY_200006232">#REF!,#REF!,#REF!,#REF!,#REF!,#REF!,#REF!,#REF!,#REF!,#REF!</definedName>
    <definedName name="V_ALL_SECTIONS_EQTY_200009556">#REF!,#REF!,#REF!,#REF!,#REF!,#REF!,#REF!,#REF!,#REF!,#REF!</definedName>
    <definedName name="V_ALL_SECTIONS_EQTY_200011598">#REF!,#REF!,#REF!,#REF!,#REF!,#REF!,#REF!,#REF!,#REF!,#REF!</definedName>
    <definedName name="V_ALL_SECTIONS_EQTY_200012762">#REF!,#REF!,#REF!,#REF!,#REF!,#REF!,#REF!,#REF!,#REF!,#REF!</definedName>
    <definedName name="V_ALL_SECTIONS_EQTY_200014300">#REF!,#REF!,#REF!,#REF!,#REF!,#REF!,#REF!,#REF!,#REF!,#REF!</definedName>
    <definedName name="V_ALL_SECTIONS_EQTY_200014493">#REF!,#REF!,#REF!,#REF!,#REF!,#REF!,#REF!,#REF!,#REF!,#REF!</definedName>
    <definedName name="V_ALL_SECTIONS_EQTY_200014750">#REF!,#REF!,#REF!,#REF!,#REF!,#REF!,#REF!,#REF!,#REF!,#REF!</definedName>
    <definedName name="V_ALL_SECTIONS_EQTY_200015107">#REF!,#REF!,#REF!,#REF!,#REF!,#REF!,#REF!,#REF!,#REF!,#REF!</definedName>
    <definedName name="V_ALL_SECTIONS_EQTY_200015716">#REF!,#REF!,#REF!,#REF!,#REF!,#REF!,#REF!,#REF!,#REF!,#REF!</definedName>
    <definedName name="V_ALL_SECTIONS_EQTY_200015757">#REF!,#REF!,#REF!,#REF!,#REF!,#REF!,#REF!,#REF!,#REF!,#REF!,#REF!</definedName>
    <definedName name="V_ALL_SECTIONS_EQTY_200016026">#REF!,#REF!,#REF!,#REF!,#REF!,#REF!,#REF!,#REF!,#REF!,#REF!,#REF!</definedName>
    <definedName name="V_ALL_SECTIONS_EQTY_200017745">#REF!,#REF!,#REF!,#REF!,#REF!,#REF!,#REF!,#REF!,#REF!,#REF!</definedName>
    <definedName name="V_ALL_SECTIONS_ISSR_208000430">#REF!,#REF!,#REF!,#REF!,#REF!,#REF!,#REF!,#REF!,#REF!,#REF!,#REF!</definedName>
    <definedName name="V_ALL_SECTIONS_ISSR_208000451">#REF!,#REF!,#REF!,#REF!,#REF!,#REF!,#REF!,#REF!,#REF!,#REF!</definedName>
    <definedName name="V_ALL_SECTIONS_ISSR_208000603">#REF!,#REF!,#REF!,#REF!,#REF!,#REF!,#REF!,#REF!,#REF!,#REF!,#REF!</definedName>
    <definedName name="V_ALL_SECTIONS_ISSR_208000977">#REF!,#REF!,#REF!,#REF!,#REF!,#REF!,#REF!,#REF!,#REF!,#REF!,#REF!</definedName>
    <definedName name="V_ALL_SECTIONS_ISSR_208001049">#REF!,#REF!,#REF!,#REF!,#REF!,#REF!,#REF!,#REF!,#REF!,#REF!,#REF!</definedName>
    <definedName name="V_ALL_SECTIONS_ISSR_208001137">#REF!,#REF!,#REF!,#REF!,#REF!,#REF!,#REF!,#REF!,#REF!,#REF!,#REF!</definedName>
    <definedName name="V_ALL_SECTIONS_ISSR_208001258">#REF!,#REF!,#REF!,#REF!,#REF!,#REF!,#REF!,#REF!,#REF!,#REF!,#REF!</definedName>
    <definedName name="V_ALL_SECTIONS_ISSR_208001515">#REF!,#REF!,#REF!,#REF!,#REF!,#REF!,#REF!,#REF!,#REF!,#REF!</definedName>
    <definedName name="V_ALL_SECTIONS_ISSR_208005795">#REF!,#REF!,#REF!,#REF!,#REF!,#REF!,#REF!,#REF!,#REF!,#REF!,#REF!</definedName>
    <definedName name="V_ALL_SECTIONS_ISSR_208007359">#REF!,#REF!,#REF!,#REF!,#REF!,#REF!,#REF!,#REF!,#REF!,#REF!</definedName>
    <definedName name="V_ALL_SECTIONS_ISSR_208009722">#REF!,#REF!,#REF!,#REF!,#REF!,#REF!,#REF!,#REF!,#REF!,#REF!</definedName>
    <definedName name="V_ALL_SECTIONS_ISSR_208010209">#REF!,#REF!,#REF!,#REF!,#REF!,#REF!,#REF!,#REF!,#REF!,#REF!,#REF!</definedName>
    <definedName name="V_ALL_SECTIONS_ISSR_208011072">#REF!,#REF!,#REF!,#REF!,#REF!,#REF!,#REF!,#REF!,#REF!,#REF!,#REF!</definedName>
    <definedName name="V_ALL_SECTIONS_ISSR_208011212">#REF!,#REF!,#REF!,#REF!,#REF!,#REF!,#REF!,#REF!,#REF!,#REF!,#REF!</definedName>
    <definedName name="V_ALL_SECTIONS_ISSR_208012959">#REF!,#REF!,#REF!,#REF!,#REF!,#REF!,#REF!,#REF!,#REF!,#REF!,#REF!,#REF!,#REF!</definedName>
    <definedName name="V_ALL_SECTIONS_ISSR_208015351">#REF!,#REF!,#REF!,#REF!,#REF!,#REF!,#REF!,#REF!,#REF!,#REF!,#REF!</definedName>
    <definedName name="V_ALL_SEMI">#REF!</definedName>
    <definedName name="V_ALL_SIRI">#REF!</definedName>
    <definedName name="V_ALL_SWKS">#REF!</definedName>
    <definedName name="V_ALL_T">#REF!</definedName>
    <definedName name="V_ALL_TEL">#REF!</definedName>
    <definedName name="V_ALL_TENB">#REF!</definedName>
    <definedName name="V_ALL_TER">#REF!</definedName>
    <definedName name="V_ALL_TGT">#REF!</definedName>
    <definedName name="V_ALL_TMUS">#REF!</definedName>
    <definedName name="V_ALL_TWC">#REF!</definedName>
    <definedName name="V_ALL_TWKS">#REF!</definedName>
    <definedName name="V_ALL_TXN">#REF!</definedName>
    <definedName name="V_ALL_VMW">#REF!</definedName>
    <definedName name="V_ALL_VMW_">#REF!</definedName>
    <definedName name="V_ALL_VSM">#REF!</definedName>
    <definedName name="V_ALL_VZ">#REF!</definedName>
    <definedName name="V_ALL_WDAY">#REF!</definedName>
    <definedName name="V_ALL_WIN">#REF!</definedName>
    <definedName name="V_ALL_WIN_">#REF!</definedName>
    <definedName name="V_ALL_ZAYO">#REF!</definedName>
    <definedName name="V_ALL_ZS">#REF!</definedName>
    <definedName name="V_ALL_ZS_OLD">#REF!</definedName>
    <definedName name="V_CURRENCY_EQTY_200001646_PRI">#REF!</definedName>
    <definedName name="V_CURRENCY_EQTY_200001646_PUB">#REF!</definedName>
    <definedName name="V_CURRENCY_EQTY_200001646_REP">#REF!</definedName>
    <definedName name="V_CURRENCY_EQTY_200004419_PRI">#REF!</definedName>
    <definedName name="V_CURRENCY_EQTY_200004419_PUB">#REF!</definedName>
    <definedName name="V_CURRENCY_EQTY_200004419_REP">#REF!</definedName>
    <definedName name="V_CURRENCY_EQTY_200012762_PRI">#REF!</definedName>
    <definedName name="V_CURRENCY_EQTY_200012762_PUB">#REF!</definedName>
    <definedName name="V_CURRENCY_EQTY_200012762_REP">#REF!</definedName>
    <definedName name="V_CURRENCY_ISSR_208000603_REP">#REF!</definedName>
    <definedName name="V_CURRENCY_ISSR_208001258_REP">#REF!</definedName>
    <definedName name="V_CURRENCY_ISSR_208009722_REP">#REF!</definedName>
    <definedName name="V_ENTITY_DATA_EQTY_200001646">#REF!</definedName>
    <definedName name="V_ENTITY_DATA_EQTY_200012762">#REF!</definedName>
    <definedName name="V_ENTITY_DATA_ISSR_208000603">#REF!</definedName>
    <definedName name="V_ENTITY_DATA_ISSR_208009722">#REF!</definedName>
    <definedName name="V_KEYWORD_EQTY_200001646_ACT1">#REF!</definedName>
    <definedName name="V_KEYWORD_EQTY_200001646_AMER_CONVICTION">#REF!</definedName>
    <definedName name="V_KEYWORD_EQTY_200001646_AMER_LIST">#REF!</definedName>
    <definedName name="V_KEYWORD_EQTY_200001646_BETA_ANALYST">#REF!</definedName>
    <definedName name="V_KEYWORD_EQTY_200001646_BVPS">#REF!</definedName>
    <definedName name="V_KEYWORD_EQTY_200001646_BVPS_PUB">#REF!</definedName>
    <definedName name="V_KEYWORD_EQTY_200001646_CF_NI_PRE_PREF">#REF!</definedName>
    <definedName name="V_KEYWORD_EQTY_200001646_COMMON_DIV_PAID">#REF!</definedName>
    <definedName name="V_KEYWORD_EQTY_200001646_CURRENCY_ISO">#REF!</definedName>
    <definedName name="V_KEYWORD_EQTY_200001646_DILUTE_SHARES">#REF!</definedName>
    <definedName name="V_KEYWORD_EQTY_200001646_DPS">#REF!</definedName>
    <definedName name="V_KEYWORD_EQTY_200001646_DPS_PUB">#REF!</definedName>
    <definedName name="V_KEYWORD_EQTY_200001646_EBIT_PUB">#REF!</definedName>
    <definedName name="V_KEYWORD_EQTY_200001646_EBITDA_PUB">#REF!</definedName>
    <definedName name="V_KEYWORD_EQTY_200001646_EPS">#REF!</definedName>
    <definedName name="V_KEYWORD_EQTY_200001646_EPS_EX_ESO_B">#REF!</definedName>
    <definedName name="V_KEYWORD_EQTY_200001646_EPS_EX_ESO_D">#REF!</definedName>
    <definedName name="V_KEYWORD_EQTY_200001646_EPS_FUL_DIL">#REF!</definedName>
    <definedName name="V_KEYWORD_EQTY_200001646_EPS_POST_BASIC">#REF!</definedName>
    <definedName name="V_KEYWORD_EQTY_200001646_EPS_PUB">#REF!</definedName>
    <definedName name="V_KEYWORD_EQTY_200001646_EPS_PUB_EX_ESO">#REF!</definedName>
    <definedName name="V_KEYWORD_EQTY_200001646_EQ_PUB">#REF!</definedName>
    <definedName name="V_KEYWORD_EQTY_200001646_ESO_POST_TAX">#REF!</definedName>
    <definedName name="V_KEYWORD_EQTY_200001646_ESO_YEAR">#REF!</definedName>
    <definedName name="V_KEYWORD_EQTY_200001646_EV_ADJ_PUB">#REF!</definedName>
    <definedName name="V_KEYWORD_EQTY_200001646_FREE_FLOAT">#REF!</definedName>
    <definedName name="V_KEYWORD_EQTY_200001646_FULLY_DIL_EPS">#REF!</definedName>
    <definedName name="V_KEYWORD_EQTY_200001646_FV_GRANT">#REF!</definedName>
    <definedName name="V_KEYWORD_EQTY_200001646_GT_BETA">#REF!</definedName>
    <definedName name="V_KEYWORD_EQTY_200001646_INC_MINORITY">#REF!</definedName>
    <definedName name="V_KEYWORD_EQTY_200001646_Interim_Type">#REF!</definedName>
    <definedName name="V_KEYWORD_EQTY_200001646_LEGAL_RATING">#REF!</definedName>
    <definedName name="V_KEYWORD_EQTY_200001646_MARGIN_TAX_RATE">#REF!</definedName>
    <definedName name="V_KEYWORD_EQTY_200001646_MKT_EQ_RISK_PREM">#REF!</definedName>
    <definedName name="V_KEYWORD_EQTY_200001646_NET_DEBT_PUB">#REF!</definedName>
    <definedName name="V_KEYWORD_EQTY_200001646_NET_EARNING">#REF!</definedName>
    <definedName name="V_KEYWORD_EQTY_200001646_NET_INC">#REF!</definedName>
    <definedName name="V_KEYWORD_EQTY_200001646_NI_PRE_PREF">#REF!</definedName>
    <definedName name="V_KEYWORD_EQTY_200001646_NI_PUB">#REF!</definedName>
    <definedName name="V_KEYWORD_EQTY_200001646_NON_OP_ADD">#REF!</definedName>
    <definedName name="V_KEYWORD_EQTY_200001646_NUM_SH">#REF!</definedName>
    <definedName name="V_KEYWORD_EQTY_200001646_PREF_DIV">#REF!</definedName>
    <definedName name="V_KEYWORD_EQTY_200001646_PRICE_CURRENCY_ISO">#REF!</definedName>
    <definedName name="V_KEYWORD_EQTY_200001646_PROV_INC_TAX">#REF!</definedName>
    <definedName name="V_KEYWORD_EQTY_200001646_PTP_PUB">#REF!</definedName>
    <definedName name="V_KEYWORD_EQTY_200001646_PUB_CURRENCY_ISO">#REF!</definedName>
    <definedName name="V_KEYWORD_EQTY_200001646_REPUR_ACTUAL">#REF!</definedName>
    <definedName name="V_KEYWORD_EQTY_200001646_REPUR_REMAINING">#REF!</definedName>
    <definedName name="V_KEYWORD_EQTY_200001646_REPUR_SUSPENDED">#REF!</definedName>
    <definedName name="V_KEYWORD_EQTY_200001646_REPUR_TOT_AUTH">#REF!</definedName>
    <definedName name="V_KEYWORD_EQTY_200001646_REVS_PUB">#REF!</definedName>
    <definedName name="V_KEYWORD_EQTY_200001646_RISK_FR_RATE">#REF!</definedName>
    <definedName name="V_KEYWORD_EQTY_200001646_Security_Name">#REF!</definedName>
    <definedName name="V_KEYWORD_EQTY_200001646_SH">#REF!</definedName>
    <definedName name="V_KEYWORD_EQTY_200001646_TARGET_PRICE">#REF!</definedName>
    <definedName name="V_KEYWORD_EQTY_200001646_TAX_EXC">#REF!</definedName>
    <definedName name="V_KEYWORD_EQTY_200001646_Ticker">#REF!</definedName>
    <definedName name="V_KEYWORD_EQTY_200001646_TP_PERIOD">#REF!</definedName>
    <definedName name="V_KEYWORD_EQTY_200004419_ACT1">#REF!</definedName>
    <definedName name="V_KEYWORD_EQTY_200004419_ACT2">#REF!</definedName>
    <definedName name="V_KEYWORD_EQTY_200004419_ACT3">#REF!</definedName>
    <definedName name="V_KEYWORD_EQTY_200004419_ACT4">#REF!</definedName>
    <definedName name="V_KEYWORD_EQTY_200004419_ACT5">#REF!</definedName>
    <definedName name="V_KEYWORD_EQTY_200004419_ACT6">#REF!</definedName>
    <definedName name="V_KEYWORD_EQTY_200004419_ACT7">#REF!</definedName>
    <definedName name="V_KEYWORD_EQTY_200004419_ACT8">#REF!</definedName>
    <definedName name="V_KEYWORD_EQTY_200004419_ACT9">#REF!</definedName>
    <definedName name="V_KEYWORD_EQTY_200004419_AMER_CONVICTION">#REF!</definedName>
    <definedName name="V_KEYWORD_EQTY_200004419_AMER_LIST">#REF!</definedName>
    <definedName name="V_KEYWORD_EQTY_200004419_BETA_ANALYST">#REF!</definedName>
    <definedName name="V_KEYWORD_EQTY_200004419_BVPS">#REF!</definedName>
    <definedName name="V_KEYWORD_EQTY_200004419_BVPS_PUB">#REF!</definedName>
    <definedName name="V_KEYWORD_EQTY_200004419_CEEE_EPS">#REF!</definedName>
    <definedName name="V_KEYWORD_EQTY_200004419_CF_NI_PRE_PREF">#REF!</definedName>
    <definedName name="V_KEYWORD_EQTY_200004419_COMMON_DIV_PAID">#REF!</definedName>
    <definedName name="V_KEYWORD_EQTY_200004419_CURRENCY_ISO">#REF!</definedName>
    <definedName name="V_KEYWORD_EQTY_200004419_DILUTE_SHARES">#REF!</definedName>
    <definedName name="V_KEYWORD_EQTY_200004419_DPS">#REF!</definedName>
    <definedName name="V_KEYWORD_EQTY_200004419_DPS_PUB">#REF!</definedName>
    <definedName name="V_KEYWORD_EQTY_200004419_EBIT_PUB">#REF!</definedName>
    <definedName name="V_KEYWORD_EQTY_200004419_EBITDA_PUB">#REF!</definedName>
    <definedName name="V_KEYWORD_EQTY_200004419_EPS">#REF!</definedName>
    <definedName name="V_KEYWORD_EQTY_200004419_EPS_EX_ESO_B">#REF!</definedName>
    <definedName name="V_KEYWORD_EQTY_200004419_EPS_EX_ESO_D">#REF!</definedName>
    <definedName name="V_KEYWORD_EQTY_200004419_EPS_FUL_DIL">#REF!</definedName>
    <definedName name="V_KEYWORD_EQTY_200004419_EPS_POST_BASIC">#REF!</definedName>
    <definedName name="V_KEYWORD_EQTY_200004419_EPS_PUB">#REF!</definedName>
    <definedName name="V_KEYWORD_EQTY_200004419_EPS_PUB_EX_ESO">#REF!</definedName>
    <definedName name="V_KEYWORD_EQTY_200004419_EQ_PUB">#REF!</definedName>
    <definedName name="V_KEYWORD_EQTY_200004419_ESO_POST_TAX">#REF!</definedName>
    <definedName name="V_KEYWORD_EQTY_200004419_ESO_YEAR">#REF!</definedName>
    <definedName name="V_KEYWORD_EQTY_200004419_EV_ADJ_PUB">#REF!</definedName>
    <definedName name="V_KEYWORD_EQTY_200004419_FREE_FLOAT">#REF!</definedName>
    <definedName name="V_KEYWORD_EQTY_200004419_FULLY_DIL_EPS">#REF!</definedName>
    <definedName name="V_KEYWORD_EQTY_200004419_FV_GRANT">#REF!</definedName>
    <definedName name="V_KEYWORD_EQTY_200004419_INC_MINORITY">#REF!</definedName>
    <definedName name="V_KEYWORD_EQTY_200004419_Interim_Type">#REF!</definedName>
    <definedName name="V_KEYWORD_EQTY_200004419_LEGAL_RATING">#REF!</definedName>
    <definedName name="V_KEYWORD_EQTY_200004419_MARGIN_TAX_RATE">#REF!</definedName>
    <definedName name="V_KEYWORD_EQTY_200004419_MKT_EQ_RISK_PREM">#REF!</definedName>
    <definedName name="V_KEYWORD_EQTY_200004419_NET_DEBT_PUB">#REF!</definedName>
    <definedName name="V_KEYWORD_EQTY_200004419_NET_EARNING">#REF!</definedName>
    <definedName name="V_KEYWORD_EQTY_200004419_NET_INC">#REF!</definedName>
    <definedName name="V_KEYWORD_EQTY_200004419_NI_PRE_PREF">#REF!</definedName>
    <definedName name="V_KEYWORD_EQTY_200004419_NI_PUB">#REF!</definedName>
    <definedName name="V_KEYWORD_EQTY_200004419_NON_OP_ADD">#REF!</definedName>
    <definedName name="V_KEYWORD_EQTY_200004419_NUM_SH">#REF!</definedName>
    <definedName name="V_KEYWORD_EQTY_200004419_PREF_DIV">#REF!</definedName>
    <definedName name="V_KEYWORD_EQTY_200004419_PRICE_CURRENCY_ISO">#REF!</definedName>
    <definedName name="V_KEYWORD_EQTY_200004419_PROV_INC_TAX">#REF!</definedName>
    <definedName name="V_KEYWORD_EQTY_200004419_PTP_PUB">#REF!</definedName>
    <definedName name="V_KEYWORD_EQTY_200004419_PUB_CURRENCY_ISO">#REF!</definedName>
    <definedName name="V_KEYWORD_EQTY_200004419_REPUR_ACTUAL">#REF!</definedName>
    <definedName name="V_KEYWORD_EQTY_200004419_REPUR_REMAINING">#REF!</definedName>
    <definedName name="V_KEYWORD_EQTY_200004419_REPUR_SUSPENDED">#REF!</definedName>
    <definedName name="V_KEYWORD_EQTY_200004419_REPUR_TOT_AUTH">#REF!</definedName>
    <definedName name="V_KEYWORD_EQTY_200004419_REVS_PUB">#REF!</definedName>
    <definedName name="V_KEYWORD_EQTY_200004419_RISK_FR_RATE">#REF!</definedName>
    <definedName name="V_KEYWORD_EQTY_200004419_Security_Name">#REF!</definedName>
    <definedName name="V_KEYWORD_EQTY_200004419_SH">#REF!</definedName>
    <definedName name="V_KEYWORD_EQTY_200004419_TARGET_PRICE">#REF!</definedName>
    <definedName name="V_KEYWORD_EQTY_200004419_TAX_EXC">#REF!</definedName>
    <definedName name="V_KEYWORD_EQTY_200004419_Ticker">#REF!</definedName>
    <definedName name="V_KEYWORD_EQTY_200004419_TP_PERIOD">#REF!</definedName>
    <definedName name="V_KEYWORD_EQTY_200012762_AMER_CONVICTION">#REF!</definedName>
    <definedName name="V_KEYWORD_EQTY_200012762_AMER_LIST">#REF!</definedName>
    <definedName name="V_KEYWORD_EQTY_200012762_BETA_ANALYST">#REF!</definedName>
    <definedName name="V_KEYWORD_EQTY_200012762_BVPS">#REF!</definedName>
    <definedName name="V_KEYWORD_EQTY_200012762_BVPS_PUB">#REF!</definedName>
    <definedName name="V_KEYWORD_EQTY_200012762_CEEE_EPS">#REF!</definedName>
    <definedName name="V_KEYWORD_EQTY_200012762_CF_NI_PRE_PREF">#REF!</definedName>
    <definedName name="V_KEYWORD_EQTY_200012762_COMMON_DIV_PAID">#REF!</definedName>
    <definedName name="V_KEYWORD_EQTY_200012762_CURRENCY_ISO">#REF!</definedName>
    <definedName name="V_KEYWORD_EQTY_200012762_DILUTE_SHARES">#REF!</definedName>
    <definedName name="V_KEYWORD_EQTY_200012762_DPS">#REF!</definedName>
    <definedName name="V_KEYWORD_EQTY_200012762_DPS_PUB">#REF!</definedName>
    <definedName name="V_KEYWORD_EQTY_200012762_EBIT_PUB">#REF!</definedName>
    <definedName name="V_KEYWORD_EQTY_200012762_EBITDA_PUB">#REF!</definedName>
    <definedName name="V_KEYWORD_EQTY_200012762_EPS">#REF!</definedName>
    <definedName name="V_KEYWORD_EQTY_200012762_EPS_EX_ESO_B">#REF!</definedName>
    <definedName name="V_KEYWORD_EQTY_200012762_EPS_EX_ESO_D">#REF!</definedName>
    <definedName name="V_KEYWORD_EQTY_200012762_EPS_FUL_DIL">#REF!</definedName>
    <definedName name="V_KEYWORD_EQTY_200012762_EPS_POST_BASIC">#REF!</definedName>
    <definedName name="V_KEYWORD_EQTY_200012762_EPS_PUB">#REF!</definedName>
    <definedName name="V_KEYWORD_EQTY_200012762_EPS_PUB_EX_ESO">#REF!</definedName>
    <definedName name="V_KEYWORD_EQTY_200012762_EQ_PUB">#REF!</definedName>
    <definedName name="V_KEYWORD_EQTY_200012762_ESO_POST_TAX">#REF!</definedName>
    <definedName name="V_KEYWORD_EQTY_200012762_ESO_YEAR">#REF!</definedName>
    <definedName name="V_KEYWORD_EQTY_200012762_EV_ADJ_PUB">#REF!</definedName>
    <definedName name="V_KEYWORD_EQTY_200012762_FREE_FLOAT">#REF!</definedName>
    <definedName name="V_KEYWORD_EQTY_200012762_FULLY_DIL_EPS">#REF!</definedName>
    <definedName name="V_KEYWORD_EQTY_200012762_FV_GRANT">#REF!</definedName>
    <definedName name="V_KEYWORD_EQTY_200012762_INC_MINORITY">#REF!</definedName>
    <definedName name="V_KEYWORD_EQTY_200012762_Interim_Type">#REF!</definedName>
    <definedName name="V_KEYWORD_EQTY_200012762_LEGAL_RATING">#REF!</definedName>
    <definedName name="V_KEYWORD_EQTY_200012762_MARGIN_TAX_RATE">#REF!</definedName>
    <definedName name="V_KEYWORD_EQTY_200012762_MKT_EQ_RISK_PREM">#REF!</definedName>
    <definedName name="V_KEYWORD_EQTY_200012762_NET_DEBT_PUB">#REF!</definedName>
    <definedName name="V_KEYWORD_EQTY_200012762_NET_EARNING">#REF!</definedName>
    <definedName name="V_KEYWORD_EQTY_200012762_NET_INC">#REF!</definedName>
    <definedName name="V_KEYWORD_EQTY_200012762_NI_PRE_PREF">#REF!</definedName>
    <definedName name="V_KEYWORD_EQTY_200012762_NI_PUB">#REF!</definedName>
    <definedName name="V_KEYWORD_EQTY_200012762_NON_OP_ADD">#REF!</definedName>
    <definedName name="V_KEYWORD_EQTY_200012762_NUM_SH">#REF!</definedName>
    <definedName name="V_KEYWORD_EQTY_200012762_PREF_DIV">#REF!</definedName>
    <definedName name="V_KEYWORD_EQTY_200012762_PRICE_CURRENCY_ISO">#REF!</definedName>
    <definedName name="V_KEYWORD_EQTY_200012762_PROV_INC_TAX">#REF!</definedName>
    <definedName name="V_KEYWORD_EQTY_200012762_PTP_PUB">#REF!</definedName>
    <definedName name="V_KEYWORD_EQTY_200012762_PUB_CURRENCY_ISO">#REF!</definedName>
    <definedName name="V_KEYWORD_EQTY_200012762_REPUR_ACTUAL">#REF!</definedName>
    <definedName name="V_KEYWORD_EQTY_200012762_REPUR_REMAINING">#REF!</definedName>
    <definedName name="V_KEYWORD_EQTY_200012762_REPUR_SUSPENDED">#REF!</definedName>
    <definedName name="V_KEYWORD_EQTY_200012762_REPUR_TOT_AUTH">#REF!</definedName>
    <definedName name="V_KEYWORD_EQTY_200012762_REVS_PUB">#REF!</definedName>
    <definedName name="V_KEYWORD_EQTY_200012762_RISK_FR_RATE">#REF!</definedName>
    <definedName name="V_KEYWORD_EQTY_200012762_Security_Name">#REF!</definedName>
    <definedName name="V_KEYWORD_EQTY_200012762_SH">#REF!</definedName>
    <definedName name="V_KEYWORD_EQTY_200012762_TARGET_PRICE">#REF!</definedName>
    <definedName name="V_KEYWORD_EQTY_200012762_TAX_EXC">#REF!</definedName>
    <definedName name="V_KEYWORD_EQTY_200012762_Ticker">#REF!</definedName>
    <definedName name="V_KEYWORD_EQTY_200012762_TP_PERIOD">#REF!</definedName>
    <definedName name="V_KEYWORD_ISSR_208000603_ACC_AMORT">#REF!</definedName>
    <definedName name="V_KEYWORD_ISSR_208000603_ACC_DDA">#REF!</definedName>
    <definedName name="V_KEYWORD_ISSR_208000603_ACC_END_DATE">#REF!</definedName>
    <definedName name="V_KEYWORD_ISSR_208000603_ACC_GW_AM">#REF!</definedName>
    <definedName name="V_KEYWORD_ISSR_208000603_ACC_PAY_GQ">#REF!</definedName>
    <definedName name="V_KEYWORD_ISSR_208000603_ACCUM_AMORT">#REF!</definedName>
    <definedName name="V_KEYWORD_ISSR_208000603_ACQ">#REF!</definedName>
    <definedName name="V_KEYWORD_ISSR_208000603_ADJ_UNF_PENS_GOOD">#REF!</definedName>
    <definedName name="V_KEYWORD_ISSR_208000603_ASSOC_JV_ADDBK">#REF!</definedName>
    <definedName name="V_KEYWORD_ISSR_208000603_ASSOCIATE">#REF!</definedName>
    <definedName name="V_KEYWORD_ISSR_208000603_ASSOCIATE_OP">#REF!</definedName>
    <definedName name="V_KEYWORD_ISSR_208000603_BAL_MINO_INT">#REF!</definedName>
    <definedName name="V_KEYWORD_ISSR_208000603_CAP_LEASES">#REF!</definedName>
    <definedName name="V_KEYWORD_ISSR_208000603_CAPEX">#REF!</definedName>
    <definedName name="V_KEYWORD_ISSR_208000603_CAPEX_EXPANSION">#REF!</definedName>
    <definedName name="V_KEYWORD_ISSR_208000603_CAPEX_MAINTENANCE">#REF!</definedName>
    <definedName name="V_KEYWORD_ISSR_208000603_CASH_EQ">#REF!</definedName>
    <definedName name="V_KEYWORD_ISSR_208000603_CASH_INT_EXP">#REF!</definedName>
    <definedName name="V_KEYWORD_ISSR_208000603_CASH_TAX_EXP">#REF!</definedName>
    <definedName name="V_KEYWORD_ISSR_208000603_CF_FIN">#REF!</definedName>
    <definedName name="V_KEYWORD_ISSR_208000603_CF_INC_MINORITY">#REF!</definedName>
    <definedName name="V_KEYWORD_ISSR_208000603_CF_INV">#REF!</definedName>
    <definedName name="V_KEYWORD_ISSR_208000603_CF_OPS">#REF!</definedName>
    <definedName name="V_KEYWORD_ISSR_208000603_CHG_LT_DEBT">#REF!</definedName>
    <definedName name="V_KEYWORD_ISSR_208000603_CO_BOR_MARGIN">#REF!</definedName>
    <definedName name="V_KEYWORD_ISSR_208000603_COST_GD_SD">#REF!</definedName>
    <definedName name="V_KEYWORD_ISSR_208000603_CUR_ASS">#REF!</definedName>
    <definedName name="V_KEYWORD_ISSR_208000603_CURRENCY_ISO">#REF!</definedName>
    <definedName name="V_KEYWORD_ISSR_208000603_DEBTORS">#REF!</definedName>
    <definedName name="V_KEYWORD_ISSR_208000603_DEF_INC_TAX">#REF!</definedName>
    <definedName name="V_KEYWORD_ISSR_208000603_DEPR_AMORT">#REF!</definedName>
    <definedName name="V_KEYWORD_ISSR_208000603_DEPREC">#REF!</definedName>
    <definedName name="V_KEYWORD_ISSR_208000603_DIV_PAID">#REF!</definedName>
    <definedName name="V_KEYWORD_ISSR_208000603_DIVDS_ASSOC_JV">#REF!</definedName>
    <definedName name="V_KEYWORD_ISSR_208000603_DIVDS_PD_MINORITIES">#REF!</definedName>
    <definedName name="V_KEYWORD_ISSR_208000603_DIVEST">#REF!</definedName>
    <definedName name="V_KEYWORD_ISSR_208000603_EBIT">#REF!</definedName>
    <definedName name="V_KEYWORD_ISSR_208000603_EBIT_FIN_SEGMENT">#REF!</definedName>
    <definedName name="V_KEYWORD_ISSR_208000603_EBITDA_CALC">#REF!</definedName>
    <definedName name="V_KEYWORD_ISSR_208000603_EMPLOYEES">#REF!</definedName>
    <definedName name="V_KEYWORD_ISSR_208000603_EQ">#REF!</definedName>
    <definedName name="V_KEYWORD_ISSR_208000603_ESO_PRE_TAX">#REF!</definedName>
    <definedName name="V_KEYWORD_ISSR_208000603_FIX_ASS_INV">#REF!</definedName>
    <definedName name="V_KEYWORD_ISSR_208000603_GCI_INFL">#REF!</definedName>
    <definedName name="V_KEYWORD_ISSR_208000603_GOODWILL_AMORT">#REF!</definedName>
    <definedName name="V_KEYWORD_ISSR_208000603_GR_FIX_ASS">#REF!</definedName>
    <definedName name="V_KEYWORD_ISSR_208000603_GR_INTANG">#REF!</definedName>
    <definedName name="V_KEYWORD_ISSR_208000603_GROSS_GW">#REF!</definedName>
    <definedName name="V_KEYWORD_ISSR_208000603_GROSS_OTH_INTANG">#REF!</definedName>
    <definedName name="V_KEYWORD_ISSR_208000603_GT_BLEND_ARPU_PC">#REF!</definedName>
    <definedName name="V_KEYWORD_ISSR_208000603_GT_BLEND_MOU">#REF!</definedName>
    <definedName name="V_KEYWORD_ISSR_208000603_GT_CAPEX_MOU">#REF!</definedName>
    <definedName name="V_KEYWORD_ISSR_208000603_GT_DSL_SUB">#REF!</definedName>
    <definedName name="V_KEYWORD_ISSR_208000603_GT_FIX_DATA_REV">#REF!</definedName>
    <definedName name="V_KEYWORD_ISSR_208000603_GT_FIX_VOICE_REV">#REF!</definedName>
    <definedName name="V_KEYWORD_ISSR_208000603_GT_LD_SUB">#REF!</definedName>
    <definedName name="V_KEYWORD_ISSR_208000603_GT_MOB_DATA_REV">#REF!</definedName>
    <definedName name="V_KEYWORD_ISSR_208000603_GT_MOB_VOICE_REV">#REF!</definedName>
    <definedName name="V_KEYWORD_ISSR_208000603_GT_OTH_CAPEX">#REF!</definedName>
    <definedName name="V_KEYWORD_ISSR_208000603_GT_OTH_REV">#REF!</definedName>
    <definedName name="V_KEYWORD_ISSR_208000603_GT_OTHER_REV">#REF!</definedName>
    <definedName name="V_KEYWORD_ISSR_208000603_GT_PAY_TV_REV">#REF!</definedName>
    <definedName name="V_KEYWORD_ISSR_208000603_GT_SERVC_REV">#REF!</definedName>
    <definedName name="V_KEYWORD_ISSR_208000603_GT_TOT_ACC_LINE">#REF!</definedName>
    <definedName name="V_KEYWORD_ISSR_208000603_GT_TOT_BUS_LINE">#REF!</definedName>
    <definedName name="V_KEYWORD_ISSR_208000603_GT_TOT_MINS">#REF!</definedName>
    <definedName name="V_KEYWORD_ISSR_208000603_GT_TOT_PPD_SUB_PC">#REF!</definedName>
    <definedName name="V_KEYWORD_ISSR_208000603_GT_TOT_RES_LINE">#REF!</definedName>
    <definedName name="V_KEYWORD_ISSR_208000603_GT_TOT_RET_LINE">#REF!</definedName>
    <definedName name="V_KEYWORD_ISSR_208000603_GT_WRLN_CAPEX">#REF!</definedName>
    <definedName name="V_KEYWORD_ISSR_208000603_GT_WRLN_REV">#REF!</definedName>
    <definedName name="V_KEYWORD_ISSR_208000603_GT_WRLS_ARPU">#REF!</definedName>
    <definedName name="V_KEYWORD_ISSR_208000603_GT_WRLS_CAPEX">#REF!</definedName>
    <definedName name="V_KEYWORD_ISSR_208000603_GT_WRLS_CHURN">#REF!</definedName>
    <definedName name="V_KEYWORD_ISSR_208000603_GT_WRLS_REV">#REF!</definedName>
    <definedName name="V_KEYWORD_ISSR_208000603_GT_WRLS_SUB">#REF!</definedName>
    <definedName name="V_KEYWORD_ISSR_208000603_INT_EXP_IND">#REF!</definedName>
    <definedName name="V_KEYWORD_ISSR_208000603_INT_INC_IND">#REF!</definedName>
    <definedName name="V_KEYWORD_ISSR_208000603_INT_PAID_CF">#REF!</definedName>
    <definedName name="V_KEYWORD_ISSR_208000603_INTANG_CAPEX">#REF!</definedName>
    <definedName name="V_KEYWORD_ISSR_208000603_INV_SECUR">#REF!</definedName>
    <definedName name="V_KEYWORD_ISSR_208000603_Issuer_Name">#REF!</definedName>
    <definedName name="V_KEYWORD_ISSR_208000603_LEASE_DEEM_DEPR">#REF!</definedName>
    <definedName name="V_KEYWORD_ISSR_208000603_LEASE_DEEM_INT">#REF!</definedName>
    <definedName name="V_KEYWORD_ISSR_208000603_LEASE_PAY">#REF!</definedName>
    <definedName name="V_KEYWORD_ISSR_208000603_LT_DEBT">#REF!</definedName>
    <definedName name="V_KEYWORD_ISSR_208000603_MA_PROB">#REF!</definedName>
    <definedName name="V_KEYWORD_ISSR_208000603_MINORITIES">#REF!</definedName>
    <definedName name="V_KEYWORD_ISSR_208000603_MV_ASSOCIATES">#REF!</definedName>
    <definedName name="V_KEYWORD_ISSR_208000603_NET_DEBT">#REF!</definedName>
    <definedName name="V_KEYWORD_ISSR_208000603_NET_DEBT_ADJ">#REF!</definedName>
    <definedName name="V_KEYWORD_ISSR_208000603_NET_FIX_ASS">#REF!</definedName>
    <definedName name="V_KEYWORD_ISSR_208000603_NET_GW">#REF!</definedName>
    <definedName name="V_KEYWORD_ISSR_208000603_NET_INT_CH">#REF!</definedName>
    <definedName name="V_KEYWORD_ISSR_208000603_NET_INT_EXP">#REF!</definedName>
    <definedName name="V_KEYWORD_ISSR_208000603_NET_INTANG">#REF!</definedName>
    <definedName name="V_KEYWORD_ISSR_208000603_NET_OTH_INTANG">#REF!</definedName>
    <definedName name="V_KEYWORD_ISSR_208000603_NONPPE_CAPEX">#REF!</definedName>
    <definedName name="V_KEYWORD_ISSR_208000603_OP_AUSTRA">#REF!</definedName>
    <definedName name="V_KEYWORD_ISSR_208000603_OP_AUSTRIA">#REF!</definedName>
    <definedName name="V_KEYWORD_ISSR_208000603_OP_BEL">#REF!</definedName>
    <definedName name="V_KEYWORD_ISSR_208000603_OP_BRAZIL">#REF!</definedName>
    <definedName name="V_KEYWORD_ISSR_208000603_OP_CANADA">#REF!</definedName>
    <definedName name="V_KEYWORD_ISSR_208000603_OP_CEE">#REF!</definedName>
    <definedName name="V_KEYWORD_ISSR_208000603_OP_CHINA">#REF!</definedName>
    <definedName name="V_KEYWORD_ISSR_208000603_OP_CONS">#REF!</definedName>
    <definedName name="V_KEYWORD_ISSR_208000603_OP_COST">#REF!</definedName>
    <definedName name="V_KEYWORD_ISSR_208000603_OP_DEN">#REF!</definedName>
    <definedName name="V_KEYWORD_ISSR_208000603_OP_EU_EX_UK">#REF!</definedName>
    <definedName name="V_KEYWORD_ISSR_208000603_OP_FIN">#REF!</definedName>
    <definedName name="V_KEYWORD_ISSR_208000603_OP_FRA">#REF!</definedName>
    <definedName name="V_KEYWORD_ISSR_208000603_OP_GER">#REF!</definedName>
    <definedName name="V_KEYWORD_ISSR_208000603_OP_GOV">#REF!</definedName>
    <definedName name="V_KEYWORD_ISSR_208000603_OP_GRE">#REF!</definedName>
    <definedName name="V_KEYWORD_ISSR_208000603_OP_ICE">#REF!</definedName>
    <definedName name="V_KEYWORD_ISSR_208000603_OP_IND">#REF!</definedName>
    <definedName name="V_KEYWORD_ISSR_208000603_OP_INDIA">#REF!</definedName>
    <definedName name="V_KEYWORD_ISSR_208000603_OP_IRE">#REF!</definedName>
    <definedName name="V_KEYWORD_ISSR_208000603_OP_ITA">#REF!</definedName>
    <definedName name="V_KEYWORD_ISSR_208000603_OP_JAPAN">#REF!</definedName>
    <definedName name="V_KEYWORD_ISSR_208000603_OP_ME">#REF!</definedName>
    <definedName name="V_KEYWORD_ISSR_208000603_OP_NETH">#REF!</definedName>
    <definedName name="V_KEYWORD_ISSR_208000603_OP_NOR">#REF!</definedName>
    <definedName name="V_KEYWORD_ISSR_208000603_OP_NZ">#REF!</definedName>
    <definedName name="V_KEYWORD_ISSR_208000603_OP_OTH_AEJ">#REF!</definedName>
    <definedName name="V_KEYWORD_ISSR_208000603_OP_OTH_AM">#REF!</definedName>
    <definedName name="V_KEYWORD_ISSR_208000603_OP_OTH_EMEA">#REF!</definedName>
    <definedName name="V_KEYWORD_ISSR_208000603_OP_OTHER">#REF!</definedName>
    <definedName name="V_KEYWORD_ISSR_208000603_OP_POR">#REF!</definedName>
    <definedName name="V_KEYWORD_ISSR_208000603_OP_RUSSIA">#REF!</definedName>
    <definedName name="V_KEYWORD_ISSR_208000603_OP_SK">#REF!</definedName>
    <definedName name="V_KEYWORD_ISSR_208000603_OP_SPA">#REF!</definedName>
    <definedName name="V_KEYWORD_ISSR_208000603_OP_SWE">#REF!</definedName>
    <definedName name="V_KEYWORD_ISSR_208000603_OP_SWIT">#REF!</definedName>
    <definedName name="V_KEYWORD_ISSR_208000603_OP_TOT_AM">#REF!</definedName>
    <definedName name="V_KEYWORD_ISSR_208000603_OP_TOT_ASIA">#REF!</definedName>
    <definedName name="V_KEYWORD_ISSR_208000603_OP_TOT_EMEA">#REF!</definedName>
    <definedName name="V_KEYWORD_ISSR_208000603_OP_UK">#REF!</definedName>
    <definedName name="V_KEYWORD_ISSR_208000603_OP_US">#REF!</definedName>
    <definedName name="V_KEYWORD_ISSR_208000603_ORD_SH_FUND">#REF!</definedName>
    <definedName name="V_KEYWORD_ISSR_208000603_OTH_COST_INC">#REF!</definedName>
    <definedName name="V_KEYWORD_ISSR_208000603_OTH_CUR_ASS">#REF!</definedName>
    <definedName name="V_KEYWORD_ISSR_208000603_OTH_CUR_LIABS">#REF!</definedName>
    <definedName name="V_KEYWORD_ISSR_208000603_OTH_DACF_ADJ">#REF!</definedName>
    <definedName name="V_KEYWORD_ISSR_208000603_OTH_FIN_CF">#REF!</definedName>
    <definedName name="V_KEYWORD_ISSR_208000603_OTH_GCI_ADJ">#REF!</definedName>
    <definedName name="V_KEYWORD_ISSR_208000603_OTH_INV_CF">#REF!</definedName>
    <definedName name="V_KEYWORD_ISSR_208000603_OTH_LT_ASS">#REF!</definedName>
    <definedName name="V_KEYWORD_ISSR_208000603_OTH_LT_CRED_GQ">#REF!</definedName>
    <definedName name="V_KEYWORD_ISSR_208000603_OTH_NONCASH_ADJ">#REF!</definedName>
    <definedName name="V_KEYWORD_ISSR_208000603_OTH_OP_CF">#REF!</definedName>
    <definedName name="V_KEYWORD_ISSR_208000603_OTH_OP_INC_EXP">#REF!</definedName>
    <definedName name="V_KEYWORD_ISSR_208000603_PERIOD_MILESTONE">#REF!</definedName>
    <definedName name="V_KEYWORD_ISSR_208000603_PL_SALE_ASSETS">#REF!</definedName>
    <definedName name="V_KEYWORD_ISSR_208000603_PPNT_FCF">#REF!</definedName>
    <definedName name="V_KEYWORD_ISSR_208000603_PREF_SH">#REF!</definedName>
    <definedName name="V_KEYWORD_ISSR_208000603_PROFIT_ON_DISP">#REF!</definedName>
    <definedName name="V_KEYWORD_ISSR_208000603_PT_PROF">#REF!</definedName>
    <definedName name="V_KEYWORD_ISSR_208000603_RD_EXP">#REF!</definedName>
    <definedName name="V_KEYWORD_ISSR_208000603_REV_FIN_SEGMENT">#REF!</definedName>
    <definedName name="V_KEYWORD_ISSR_208000603_SALES">#REF!</definedName>
    <definedName name="V_KEYWORD_ISSR_208000603_SALES_AUSTRA">#REF!</definedName>
    <definedName name="V_KEYWORD_ISSR_208000603_SALES_AUSTRIA">#REF!</definedName>
    <definedName name="V_KEYWORD_ISSR_208000603_SALES_BEL">#REF!</definedName>
    <definedName name="V_KEYWORD_ISSR_208000603_SALES_BRAZIL">#REF!</definedName>
    <definedName name="V_KEYWORD_ISSR_208000603_SALES_CANADA">#REF!</definedName>
    <definedName name="V_KEYWORD_ISSR_208000603_SALES_CEE">#REF!</definedName>
    <definedName name="V_KEYWORD_ISSR_208000603_SALES_CHINA">#REF!</definedName>
    <definedName name="V_KEYWORD_ISSR_208000603_SALES_CONS">#REF!</definedName>
    <definedName name="V_KEYWORD_ISSR_208000603_SALES_DEN">#REF!</definedName>
    <definedName name="V_KEYWORD_ISSR_208000603_SALES_EU_EX_UK">#REF!</definedName>
    <definedName name="V_KEYWORD_ISSR_208000603_SALES_FIN">#REF!</definedName>
    <definedName name="V_KEYWORD_ISSR_208000603_SALES_FINAN">#REF!</definedName>
    <definedName name="V_KEYWORD_ISSR_208000603_SALES_FRA">#REF!</definedName>
    <definedName name="V_KEYWORD_ISSR_208000603_SALES_GER">#REF!</definedName>
    <definedName name="V_KEYWORD_ISSR_208000603_SALES_GOV">#REF!</definedName>
    <definedName name="V_KEYWORD_ISSR_208000603_SALES_GRE">#REF!</definedName>
    <definedName name="V_KEYWORD_ISSR_208000603_SALES_ICE">#REF!</definedName>
    <definedName name="V_KEYWORD_ISSR_208000603_SALES_IND">#REF!</definedName>
    <definedName name="V_KEYWORD_ISSR_208000603_SALES_INDIA">#REF!</definedName>
    <definedName name="V_KEYWORD_ISSR_208000603_SALES_IRE">#REF!</definedName>
    <definedName name="V_KEYWORD_ISSR_208000603_SALES_ITA">#REF!</definedName>
    <definedName name="V_KEYWORD_ISSR_208000603_SALES_JAPAN">#REF!</definedName>
    <definedName name="V_KEYWORD_ISSR_208000603_SALES_ME">#REF!</definedName>
    <definedName name="V_KEYWORD_ISSR_208000603_SALES_NETH">#REF!</definedName>
    <definedName name="V_KEYWORD_ISSR_208000603_SALES_NOR">#REF!</definedName>
    <definedName name="V_KEYWORD_ISSR_208000603_SALES_NZ">#REF!</definedName>
    <definedName name="V_KEYWORD_ISSR_208000603_SALES_OTH_AEJ">#REF!</definedName>
    <definedName name="V_KEYWORD_ISSR_208000603_SALES_OTH_AM">#REF!</definedName>
    <definedName name="V_KEYWORD_ISSR_208000603_SALES_OTH_EMEA">#REF!</definedName>
    <definedName name="V_KEYWORD_ISSR_208000603_SALES_OTHER">#REF!</definedName>
    <definedName name="V_KEYWORD_ISSR_208000603_SALES_POR">#REF!</definedName>
    <definedName name="V_KEYWORD_ISSR_208000603_SALES_RUSSIA">#REF!</definedName>
    <definedName name="V_KEYWORD_ISSR_208000603_SALES_SK">#REF!</definedName>
    <definedName name="V_KEYWORD_ISSR_208000603_SALES_SMB">#REF!</definedName>
    <definedName name="V_KEYWORD_ISSR_208000603_SALES_SPA">#REF!</definedName>
    <definedName name="V_KEYWORD_ISSR_208000603_SALES_SWE">#REF!</definedName>
    <definedName name="V_KEYWORD_ISSR_208000603_SALES_SWIT">#REF!</definedName>
    <definedName name="V_KEYWORD_ISSR_208000603_SALES_TOT_AM">#REF!</definedName>
    <definedName name="V_KEYWORD_ISSR_208000603_SALES_TOT_ASIA">#REF!</definedName>
    <definedName name="V_KEYWORD_ISSR_208000603_SALES_TOT_EMEA">#REF!</definedName>
    <definedName name="V_KEYWORD_ISSR_208000603_SALES_UK">#REF!</definedName>
    <definedName name="V_KEYWORD_ISSR_208000603_SALES_US">#REF!</definedName>
    <definedName name="V_KEYWORD_ISSR_208000603_SEL_GL_AD">#REF!</definedName>
    <definedName name="V_KEYWORD_ISSR_208000603_SH_REPUR">#REF!</definedName>
    <definedName name="V_KEYWORD_ISSR_208000603_SHORT_T_DEBT">#REF!</definedName>
    <definedName name="V_KEYWORD_ISSR_208000603_SHORT_TERM_LIABS">#REF!</definedName>
    <definedName name="V_KEYWORD_ISSR_208000603_STOCKS">#REF!</definedName>
    <definedName name="V_KEYWORD_ISSR_208000603_TANG_CAPEX">#REF!</definedName>
    <definedName name="V_KEYWORD_ISSR_208000603_TAX_PAID_CF">#REF!</definedName>
    <definedName name="V_KEYWORD_ISSR_208000603_TOT_ASSET">#REF!</definedName>
    <definedName name="V_KEYWORD_ISSR_208000603_TOT_CF">#REF!</definedName>
    <definedName name="V_KEYWORD_ISSR_208000603_TOT_LIAB">#REF!</definedName>
    <definedName name="V_KEYWORD_ISSR_208000603_TOT_LIAB_EQ">#REF!</definedName>
    <definedName name="V_KEYWORD_ISSR_208000603_TOT_LT_LIAB">#REF!</definedName>
    <definedName name="V_KEYWORD_ISSR_208000603_TOT_OPS_EXP">#REF!</definedName>
    <definedName name="V_KEYWORD_ISSR_208000603_TOT_OPS_EXP_DDA">#REF!</definedName>
    <definedName name="V_KEYWORD_ISSR_208000603_UNF_PENS">#REF!</definedName>
    <definedName name="V_KEYWORD_ISSR_208000603_UNF_PENS_LIAB_OTH">#REF!</definedName>
    <definedName name="V_KEYWORD_ISSR_208000603_UNF_PENS_OFF">#REF!</definedName>
    <definedName name="V_KEYWORD_ISSR_208000603_WORK_CAP">#REF!</definedName>
    <definedName name="V_KEYWORD_ISSR_208001048_ORG_REV_GRTH">#REF!</definedName>
    <definedName name="V_KEYWORD_ISSR_208001258_ACC_AMORT">#REF!</definedName>
    <definedName name="V_KEYWORD_ISSR_208001258_ACC_DDA">#REF!</definedName>
    <definedName name="V_KEYWORD_ISSR_208001258_ACC_END_DATE">#REF!</definedName>
    <definedName name="V_KEYWORD_ISSR_208001258_ACC_PAY_GQ">#REF!</definedName>
    <definedName name="V_KEYWORD_ISSR_208001258_ACQ">#REF!</definedName>
    <definedName name="V_KEYWORD_ISSR_208001258_ADJ_UNF_PENS_GOOD">#REF!</definedName>
    <definedName name="V_KEYWORD_ISSR_208001258_ASSOC_JV_ADDBK">#REF!</definedName>
    <definedName name="V_KEYWORD_ISSR_208001258_ASSOCIATE">#REF!</definedName>
    <definedName name="V_KEYWORD_ISSR_208001258_ASSOCIATE_OP">#REF!</definedName>
    <definedName name="V_KEYWORD_ISSR_208001258_BAL_MINO_INT">#REF!</definedName>
    <definedName name="V_KEYWORD_ISSR_208001258_CAP_LEASES">#REF!</definedName>
    <definedName name="V_KEYWORD_ISSR_208001258_CAPEX">#REF!</definedName>
    <definedName name="V_KEYWORD_ISSR_208001258_CAPEX_EXPANSION">#REF!</definedName>
    <definedName name="V_KEYWORD_ISSR_208001258_CAPEX_MAINTENANCE">#REF!</definedName>
    <definedName name="V_KEYWORD_ISSR_208001258_CASH_EQ">#REF!</definedName>
    <definedName name="V_KEYWORD_ISSR_208001258_CASH_INT_EXP">#REF!</definedName>
    <definedName name="V_KEYWORD_ISSR_208001258_CASH_PCT_OS_US">#REF!</definedName>
    <definedName name="V_KEYWORD_ISSR_208001258_CASH_TAX_EXP">#REF!</definedName>
    <definedName name="V_KEYWORD_ISSR_208001258_CF_FIN">#REF!</definedName>
    <definedName name="V_KEYWORD_ISSR_208001258_CF_INC_MINORITY">#REF!</definedName>
    <definedName name="V_KEYWORD_ISSR_208001258_CF_INV">#REF!</definedName>
    <definedName name="V_KEYWORD_ISSR_208001258_CF_OPS">#REF!</definedName>
    <definedName name="V_KEYWORD_ISSR_208001258_CHG_LT_DEBT">#REF!</definedName>
    <definedName name="V_KEYWORD_ISSR_208001258_CO_BOR_MARGIN">#REF!</definedName>
    <definedName name="V_KEYWORD_ISSR_208001258_COST_GD_SD">#REF!</definedName>
    <definedName name="V_KEYWORD_ISSR_208001258_CUR_ASS">#REF!</definedName>
    <definedName name="V_KEYWORD_ISSR_208001258_CURRENCY_ISO">#REF!</definedName>
    <definedName name="V_KEYWORD_ISSR_208001258_DEBTORS">#REF!</definedName>
    <definedName name="V_KEYWORD_ISSR_208001258_DEF_INC_TAX">#REF!</definedName>
    <definedName name="V_KEYWORD_ISSR_208001258_DEPR_AMORT">#REF!</definedName>
    <definedName name="V_KEYWORD_ISSR_208001258_DEPREC">#REF!</definedName>
    <definedName name="V_KEYWORD_ISSR_208001258_DIV_PAID">#REF!</definedName>
    <definedName name="V_KEYWORD_ISSR_208001258_DIVDS_ASSOC_JV">#REF!</definedName>
    <definedName name="V_KEYWORD_ISSR_208001258_DIVDS_PD_MINORITIES">#REF!</definedName>
    <definedName name="V_KEYWORD_ISSR_208001258_DIVEST">#REF!</definedName>
    <definedName name="V_KEYWORD_ISSR_208001258_EBIT">#REF!</definedName>
    <definedName name="V_KEYWORD_ISSR_208001258_EBIT_FIN_SEGMENT">#REF!</definedName>
    <definedName name="V_KEYWORD_ISSR_208001258_EBITDA_CALC">#REF!</definedName>
    <definedName name="V_KEYWORD_ISSR_208001258_EMPLOYEES">#REF!</definedName>
    <definedName name="V_KEYWORD_ISSR_208001258_EQ">#REF!</definedName>
    <definedName name="V_KEYWORD_ISSR_208001258_ESO_PRE_TAX">#REF!</definedName>
    <definedName name="V_KEYWORD_ISSR_208001258_EXP_ALUMINIUM">#REF!</definedName>
    <definedName name="V_KEYWORD_ISSR_208001258_EXP_COPPER">#REF!</definedName>
    <definedName name="V_KEYWORD_ISSR_208001258_EXP_GLASS">#REF!</definedName>
    <definedName name="V_KEYWORD_ISSR_208001258_EXP_GOLD">#REF!</definedName>
    <definedName name="V_KEYWORD_ISSR_208001258_EXP_NICKEL">#REF!</definedName>
    <definedName name="V_KEYWORD_ISSR_208001258_EXP_OIL_DERIV_NGLS_PLASTICS">#REF!</definedName>
    <definedName name="V_KEYWORD_ISSR_208001258_EXP_OIL_PETRO_FUEL">#REF!</definedName>
    <definedName name="V_KEYWORD_ISSR_208001258_EXP_OTH_COMMODITY">#REF!</definedName>
    <definedName name="V_KEYWORD_ISSR_208001258_EXP_OTH_COST">#REF!</definedName>
    <definedName name="V_KEYWORD_ISSR_208001258_EXP_PALLADIUM">#REF!</definedName>
    <definedName name="V_KEYWORD_ISSR_208001258_EXP_PAPER_PULP">#REF!</definedName>
    <definedName name="V_KEYWORD_ISSR_208001258_EXP_PLATINUM">#REF!</definedName>
    <definedName name="V_KEYWORD_ISSR_208001258_EXP_SILVER">#REF!</definedName>
    <definedName name="V_KEYWORD_ISSR_208001258_EXP_WATER">#REF!</definedName>
    <definedName name="V_KEYWORD_ISSR_208001258_EXP_ZINC">#REF!</definedName>
    <definedName name="V_KEYWORD_ISSR_208001258_FIX_ASS_INV">#REF!</definedName>
    <definedName name="V_KEYWORD_ISSR_208001258_GCI_INFL">#REF!</definedName>
    <definedName name="V_KEYWORD_ISSR_208001258_GOODWILL_AMORT">#REF!</definedName>
    <definedName name="V_KEYWORD_ISSR_208001258_GR_FIX_ASS">#REF!</definedName>
    <definedName name="V_KEYWORD_ISSR_208001258_GR_INTANG">#REF!</definedName>
    <definedName name="V_KEYWORD_ISSR_208001258_INT_EXP_IND">#REF!</definedName>
    <definedName name="V_KEYWORD_ISSR_208001258_INT_INC_IND">#REF!</definedName>
    <definedName name="V_KEYWORD_ISSR_208001258_INV_SECUR">#REF!</definedName>
    <definedName name="V_KEYWORD_ISSR_208001258_Issuer_Name">#REF!</definedName>
    <definedName name="V_KEYWORD_ISSR_208001258_LEASE_DEEM_DEPR">#REF!</definedName>
    <definedName name="V_KEYWORD_ISSR_208001258_LEASE_DEEM_INT">#REF!</definedName>
    <definedName name="V_KEYWORD_ISSR_208001258_LEASE_PAY">#REF!</definedName>
    <definedName name="V_KEYWORD_ISSR_208001258_LT_DEBT">#REF!</definedName>
    <definedName name="V_KEYWORD_ISSR_208001258_MA_PROB">#REF!</definedName>
    <definedName name="V_KEYWORD_ISSR_208001258_MINORITIES">#REF!</definedName>
    <definedName name="V_KEYWORD_ISSR_208001258_MV_ASSOCIATES">#REF!</definedName>
    <definedName name="V_KEYWORD_ISSR_208001258_NET_DEBT">#REF!</definedName>
    <definedName name="V_KEYWORD_ISSR_208001258_NET_DEBT_ADJ">#REF!</definedName>
    <definedName name="V_KEYWORD_ISSR_208001258_NET_FIX_ASS">#REF!</definedName>
    <definedName name="V_KEYWORD_ISSR_208001258_NET_INT_CH">#REF!</definedName>
    <definedName name="V_KEYWORD_ISSR_208001258_NET_INT_EXP">#REF!</definedName>
    <definedName name="V_KEYWORD_ISSR_208001258_NET_INTANG">#REF!</definedName>
    <definedName name="V_KEYWORD_ISSR_208001258_NONPPE_CAPEX">#REF!</definedName>
    <definedName name="V_KEYWORD_ISSR_208001258_OP_COST">#REF!</definedName>
    <definedName name="V_KEYWORD_ISSR_208001258_ORD_SH_FUND">#REF!</definedName>
    <definedName name="V_KEYWORD_ISSR_208001258_ORG_REV_GRTH">#REF!</definedName>
    <definedName name="V_KEYWORD_ISSR_208001258_OTH_COST_INC">#REF!</definedName>
    <definedName name="V_KEYWORD_ISSR_208001258_OTH_CUR_ASS">#REF!</definedName>
    <definedName name="V_KEYWORD_ISSR_208001258_OTH_CUR_LIABS">#REF!</definedName>
    <definedName name="V_KEYWORD_ISSR_208001258_OTH_DACF_ADJ">#REF!</definedName>
    <definedName name="V_KEYWORD_ISSR_208001258_OTH_FIN_CF">#REF!</definedName>
    <definedName name="V_KEYWORD_ISSR_208001258_OTH_GCI_ADJ">#REF!</definedName>
    <definedName name="V_KEYWORD_ISSR_208001258_OTH_INV_CF">#REF!</definedName>
    <definedName name="V_KEYWORD_ISSR_208001258_OTH_LT_ASS">#REF!</definedName>
    <definedName name="V_KEYWORD_ISSR_208001258_OTH_LT_CRED_GQ">#REF!</definedName>
    <definedName name="V_KEYWORD_ISSR_208001258_OTH_NONCASH_ADJ">#REF!</definedName>
    <definedName name="V_KEYWORD_ISSR_208001258_OTH_OP_CF">#REF!</definedName>
    <definedName name="V_KEYWORD_ISSR_208001258_OTH_OP_INC_EXP">#REF!</definedName>
    <definedName name="V_KEYWORD_ISSR_208001258_PERIOD_MILESTONE">#REF!</definedName>
    <definedName name="V_KEYWORD_ISSR_208001258_PL_SALE_ASSETS">#REF!</definedName>
    <definedName name="V_KEYWORD_ISSR_208001258_PREF_SH">#REF!</definedName>
    <definedName name="V_KEYWORD_ISSR_208001258_PROFIT_ON_DISP">#REF!</definedName>
    <definedName name="V_KEYWORD_ISSR_208001258_PT_PROF">#REF!</definedName>
    <definedName name="V_KEYWORD_ISSR_208001258_RD_EXP">#REF!</definedName>
    <definedName name="V_KEYWORD_ISSR_208001258_REV_FIN_SEGMENT">#REF!</definedName>
    <definedName name="V_KEYWORD_ISSR_208001258_SALES">#REF!</definedName>
    <definedName name="V_KEYWORD_ISSR_208001258_SALES_ARGENTINA">#REF!</definedName>
    <definedName name="V_KEYWORD_ISSR_208001258_SALES_BRAZIL">#REF!</definedName>
    <definedName name="V_KEYWORD_ISSR_208001258_SALES_CANADA">#REF!</definedName>
    <definedName name="V_KEYWORD_ISSR_208001258_SALES_CEE">#REF!</definedName>
    <definedName name="V_KEYWORD_ISSR_208001258_SALES_CHILE">#REF!</definedName>
    <definedName name="V_KEYWORD_ISSR_208001258_SALES_CHINA">#REF!</definedName>
    <definedName name="V_KEYWORD_ISSR_208001258_SALES_COLOMBIA">#REF!</definedName>
    <definedName name="V_KEYWORD_ISSR_208001258_SALES_CONS">#REF!</definedName>
    <definedName name="V_KEYWORD_ISSR_208001258_SALES_EU_EX_UK">#REF!</definedName>
    <definedName name="V_KEYWORD_ISSR_208001258_SALES_FINAN">#REF!</definedName>
    <definedName name="V_KEYWORD_ISSR_208001258_SALES_FX_ARS">#REF!</definedName>
    <definedName name="V_KEYWORD_ISSR_208001258_SALES_FX_BRL">#REF!</definedName>
    <definedName name="V_KEYWORD_ISSR_208001258_SALES_FX_CAD">#REF!</definedName>
    <definedName name="V_KEYWORD_ISSR_208001258_SALES_FX_CLP">#REF!</definedName>
    <definedName name="V_KEYWORD_ISSR_208001258_SALES_FX_CNY">#REF!</definedName>
    <definedName name="V_KEYWORD_ISSR_208001258_SALES_FX_COP">#REF!</definedName>
    <definedName name="V_KEYWORD_ISSR_208001258_SALES_FX_EUR">#REF!</definedName>
    <definedName name="V_KEYWORD_ISSR_208001258_SALES_FX_GPB">#REF!</definedName>
    <definedName name="V_KEYWORD_ISSR_208001258_SALES_FX_INR">#REF!</definedName>
    <definedName name="V_KEYWORD_ISSR_208001258_SALES_FX_MXN">#REF!</definedName>
    <definedName name="V_KEYWORD_ISSR_208001258_SALES_FX_OTH">#REF!</definedName>
    <definedName name="V_KEYWORD_ISSR_208001258_SALES_FX_RUB">#REF!</definedName>
    <definedName name="V_KEYWORD_ISSR_208001258_SALES_FX_USD">#REF!</definedName>
    <definedName name="V_KEYWORD_ISSR_208001258_SALES_FX_VEF">#REF!</definedName>
    <definedName name="V_KEYWORD_ISSR_208001258_SALES_FX_YEN">#REF!</definedName>
    <definedName name="V_KEYWORD_ISSR_208001258_SALES_GOV">#REF!</definedName>
    <definedName name="V_KEYWORD_ISSR_208001258_SALES_IND">#REF!</definedName>
    <definedName name="V_KEYWORD_ISSR_208001258_SALES_INDIA">#REF!</definedName>
    <definedName name="V_KEYWORD_ISSR_208001258_SALES_JAPAN">#REF!</definedName>
    <definedName name="V_KEYWORD_ISSR_208001258_SALES_ME">#REF!</definedName>
    <definedName name="V_KEYWORD_ISSR_208001258_SALES_MEXICO">#REF!</definedName>
    <definedName name="V_KEYWORD_ISSR_208001258_SALES_OTH_AEJ">#REF!</definedName>
    <definedName name="V_KEYWORD_ISSR_208001258_SALES_OTH_AM">#REF!</definedName>
    <definedName name="V_KEYWORD_ISSR_208001258_SALES_OTH_EMEA">#REF!</definedName>
    <definedName name="V_KEYWORD_ISSR_208001258_SALES_OTHER">#REF!</definedName>
    <definedName name="V_KEYWORD_ISSR_208001258_SALES_RUSSIA">#REF!</definedName>
    <definedName name="V_KEYWORD_ISSR_208001258_SALES_SMB">#REF!</definedName>
    <definedName name="V_KEYWORD_ISSR_208001258_SALES_TOT_AFRICA">#REF!</definedName>
    <definedName name="V_KEYWORD_ISSR_208001258_SALES_TOT_AM">#REF!</definedName>
    <definedName name="V_KEYWORD_ISSR_208001258_SALES_TOT_ASIA">#REF!</definedName>
    <definedName name="V_KEYWORD_ISSR_208001258_SALES_TOT_EMEA">#REF!</definedName>
    <definedName name="V_KEYWORD_ISSR_208001258_SALES_UK">#REF!</definedName>
    <definedName name="V_KEYWORD_ISSR_208001258_SALES_US">#REF!</definedName>
    <definedName name="V_KEYWORD_ISSR_208001258_SALES_VENEZUELA">#REF!</definedName>
    <definedName name="V_KEYWORD_ISSR_208001258_SEL_GL_AD">#REF!</definedName>
    <definedName name="V_KEYWORD_ISSR_208001258_SH_REPUR">#REF!</definedName>
    <definedName name="V_KEYWORD_ISSR_208001258_SHORT_T_DEBT">#REF!</definedName>
    <definedName name="V_KEYWORD_ISSR_208001258_SHORT_TERM_LIABS">#REF!</definedName>
    <definedName name="V_KEYWORD_ISSR_208001258_STOCKS">#REF!</definedName>
    <definedName name="V_KEYWORD_ISSR_208001258_TOT_ASSET">#REF!</definedName>
    <definedName name="V_KEYWORD_ISSR_208001258_TOT_CF">#REF!</definedName>
    <definedName name="V_KEYWORD_ISSR_208001258_TOT_LIAB">#REF!</definedName>
    <definedName name="V_KEYWORD_ISSR_208001258_TOT_LIAB_EQ">#REF!</definedName>
    <definedName name="V_KEYWORD_ISSR_208001258_TOT_LT_LIAB">#REF!</definedName>
    <definedName name="V_KEYWORD_ISSR_208001258_TOT_OPS_EXP">#REF!</definedName>
    <definedName name="V_KEYWORD_ISSR_208001258_TOT_OPS_EXP_DDA">#REF!</definedName>
    <definedName name="V_KEYWORD_ISSR_208001258_UNF_PENS">#REF!</definedName>
    <definedName name="V_KEYWORD_ISSR_208001258_UNF_PENS_LIAB_OTH">#REF!</definedName>
    <definedName name="V_KEYWORD_ISSR_208001258_UNF_PENS_OFF">#REF!</definedName>
    <definedName name="V_KEYWORD_ISSR_208001258_WORK_CAP">#REF!</definedName>
    <definedName name="V_KEYWORD_ISSR_208009722_ACC_AMORT">#REF!</definedName>
    <definedName name="V_KEYWORD_ISSR_208009722_ACC_DDA">#REF!</definedName>
    <definedName name="V_KEYWORD_ISSR_208009722_ACC_END_DATE">#REF!</definedName>
    <definedName name="V_KEYWORD_ISSR_208009722_ACC_PAY_GQ">#REF!</definedName>
    <definedName name="V_KEYWORD_ISSR_208009722_ACQ">#REF!</definedName>
    <definedName name="V_KEYWORD_ISSR_208009722_ADJ_UNF_PENS_GOOD">#REF!</definedName>
    <definedName name="V_KEYWORD_ISSR_208009722_ASSOC_JV_ADDBK">#REF!</definedName>
    <definedName name="V_KEYWORD_ISSR_208009722_ASSOCIATE">#REF!</definedName>
    <definedName name="V_KEYWORD_ISSR_208009722_ASSOCIATE_OP">#REF!</definedName>
    <definedName name="V_KEYWORD_ISSR_208009722_BAL_MINO_INT">#REF!</definedName>
    <definedName name="V_KEYWORD_ISSR_208009722_CAP_LEASES">#REF!</definedName>
    <definedName name="V_KEYWORD_ISSR_208009722_CAPEX">#REF!</definedName>
    <definedName name="V_KEYWORD_ISSR_208009722_CAPEX_EXPANSION">#REF!</definedName>
    <definedName name="V_KEYWORD_ISSR_208009722_CAPEX_MAINTENANCE">#REF!</definedName>
    <definedName name="V_KEYWORD_ISSR_208009722_CASH_EQ">#REF!</definedName>
    <definedName name="V_KEYWORD_ISSR_208009722_CASH_INT_EXP">#REF!</definedName>
    <definedName name="V_KEYWORD_ISSR_208009722_CASH_TAX_EXP">#REF!</definedName>
    <definedName name="V_KEYWORD_ISSR_208009722_CF_FIN">#REF!</definedName>
    <definedName name="V_KEYWORD_ISSR_208009722_CF_INC_MINORITY">#REF!</definedName>
    <definedName name="V_KEYWORD_ISSR_208009722_CF_INV">#REF!</definedName>
    <definedName name="V_KEYWORD_ISSR_208009722_CF_OPS">#REF!</definedName>
    <definedName name="V_KEYWORD_ISSR_208009722_CHG_LT_DEBT">#REF!</definedName>
    <definedName name="V_KEYWORD_ISSR_208009722_CO_BOR_MARGIN">#REF!</definedName>
    <definedName name="V_KEYWORD_ISSR_208009722_COST_GD_SD">#REF!</definedName>
    <definedName name="V_KEYWORD_ISSR_208009722_CUR_ASS">#REF!</definedName>
    <definedName name="V_KEYWORD_ISSR_208009722_CURRENCY_ISO">#REF!</definedName>
    <definedName name="V_KEYWORD_ISSR_208009722_DEBTORS">#REF!</definedName>
    <definedName name="V_KEYWORD_ISSR_208009722_DEF_INC_TAX">#REF!</definedName>
    <definedName name="V_KEYWORD_ISSR_208009722_DEPR_AMORT">#REF!</definedName>
    <definedName name="V_KEYWORD_ISSR_208009722_DEPREC">#REF!</definedName>
    <definedName name="V_KEYWORD_ISSR_208009722_DIV_PAID">#REF!</definedName>
    <definedName name="V_KEYWORD_ISSR_208009722_DIVDS_ASSOC_JV">#REF!</definedName>
    <definedName name="V_KEYWORD_ISSR_208009722_DIVDS_PD_MINORITIES">#REF!</definedName>
    <definedName name="V_KEYWORD_ISSR_208009722_DIVEST">#REF!</definedName>
    <definedName name="V_KEYWORD_ISSR_208009722_EBIT">#REF!</definedName>
    <definedName name="V_KEYWORD_ISSR_208009722_EBIT_FIN_SEGMENT">#REF!</definedName>
    <definedName name="V_KEYWORD_ISSR_208009722_EBITDA_CALC">#REF!</definedName>
    <definedName name="V_KEYWORD_ISSR_208009722_EMPLOYEES">#REF!</definedName>
    <definedName name="V_KEYWORD_ISSR_208009722_EQ">#REF!</definedName>
    <definedName name="V_KEYWORD_ISSR_208009722_ESO_PRE_TAX">#REF!</definedName>
    <definedName name="V_KEYWORD_ISSR_208009722_FIX_ASS_INV">#REF!</definedName>
    <definedName name="V_KEYWORD_ISSR_208009722_GCI_INFL">#REF!</definedName>
    <definedName name="V_KEYWORD_ISSR_208009722_GOODWILL_AMORT">#REF!</definedName>
    <definedName name="V_KEYWORD_ISSR_208009722_GR_FIX_ASS">#REF!</definedName>
    <definedName name="V_KEYWORD_ISSR_208009722_GR_INTANG">#REF!</definedName>
    <definedName name="V_KEYWORD_ISSR_208009722_INT_EXP_IND">#REF!</definedName>
    <definedName name="V_KEYWORD_ISSR_208009722_INT_INC_IND">#REF!</definedName>
    <definedName name="V_KEYWORD_ISSR_208009722_INV_SECUR">#REF!</definedName>
    <definedName name="V_KEYWORD_ISSR_208009722_Issuer_Name">#REF!</definedName>
    <definedName name="V_KEYWORD_ISSR_208009722_LEASE_DEEM_DEPR">#REF!</definedName>
    <definedName name="V_KEYWORD_ISSR_208009722_LEASE_DEEM_INT">#REF!</definedName>
    <definedName name="V_KEYWORD_ISSR_208009722_LEASE_PAY">#REF!</definedName>
    <definedName name="V_KEYWORD_ISSR_208009722_LT_DEBT">#REF!</definedName>
    <definedName name="V_KEYWORD_ISSR_208009722_MA_PROB">#REF!</definedName>
    <definedName name="V_KEYWORD_ISSR_208009722_MINORITIES">#REF!</definedName>
    <definedName name="V_KEYWORD_ISSR_208009722_MV_ASSOCIATES">#REF!</definedName>
    <definedName name="V_KEYWORD_ISSR_208009722_NET_DEBT">#REF!</definedName>
    <definedName name="V_KEYWORD_ISSR_208009722_NET_DEBT_ADJ">#REF!</definedName>
    <definedName name="V_KEYWORD_ISSR_208009722_NET_FIX_ASS">#REF!</definedName>
    <definedName name="V_KEYWORD_ISSR_208009722_NET_INT_CH">#REF!</definedName>
    <definedName name="V_KEYWORD_ISSR_208009722_NET_INT_EXP">#REF!</definedName>
    <definedName name="V_KEYWORD_ISSR_208009722_NET_INTANG">#REF!</definedName>
    <definedName name="V_KEYWORD_ISSR_208009722_NONPPE_CAPEX">#REF!</definedName>
    <definedName name="V_KEYWORD_ISSR_208009722_OP_AUSTRA">#REF!</definedName>
    <definedName name="V_KEYWORD_ISSR_208009722_OP_AUSTRIA">#REF!</definedName>
    <definedName name="V_KEYWORD_ISSR_208009722_OP_BEL">#REF!</definedName>
    <definedName name="V_KEYWORD_ISSR_208009722_OP_BRAZIL">#REF!</definedName>
    <definedName name="V_KEYWORD_ISSR_208009722_OP_CANADA">#REF!</definedName>
    <definedName name="V_KEYWORD_ISSR_208009722_OP_CEE">#REF!</definedName>
    <definedName name="V_KEYWORD_ISSR_208009722_OP_CHINA">#REF!</definedName>
    <definedName name="V_KEYWORD_ISSR_208009722_OP_CONS">#REF!</definedName>
    <definedName name="V_KEYWORD_ISSR_208009722_OP_COST">#REF!</definedName>
    <definedName name="V_KEYWORD_ISSR_208009722_OP_DEN">#REF!</definedName>
    <definedName name="V_KEYWORD_ISSR_208009722_OP_EU_EX_UK">#REF!</definedName>
    <definedName name="V_KEYWORD_ISSR_208009722_OP_FIN">#REF!</definedName>
    <definedName name="V_KEYWORD_ISSR_208009722_OP_FRA">#REF!</definedName>
    <definedName name="V_KEYWORD_ISSR_208009722_OP_GER">#REF!</definedName>
    <definedName name="V_KEYWORD_ISSR_208009722_OP_GOV">#REF!</definedName>
    <definedName name="V_KEYWORD_ISSR_208009722_OP_GRE">#REF!</definedName>
    <definedName name="V_KEYWORD_ISSR_208009722_OP_ICE">#REF!</definedName>
    <definedName name="V_KEYWORD_ISSR_208009722_OP_IND">#REF!</definedName>
    <definedName name="V_KEYWORD_ISSR_208009722_OP_INDIA">#REF!</definedName>
    <definedName name="V_KEYWORD_ISSR_208009722_OP_IRE">#REF!</definedName>
    <definedName name="V_KEYWORD_ISSR_208009722_OP_ITA">#REF!</definedName>
    <definedName name="V_KEYWORD_ISSR_208009722_OP_JAPAN">#REF!</definedName>
    <definedName name="V_KEYWORD_ISSR_208009722_OP_ME">#REF!</definedName>
    <definedName name="V_KEYWORD_ISSR_208009722_OP_NETH">#REF!</definedName>
    <definedName name="V_KEYWORD_ISSR_208009722_OP_NOR">#REF!</definedName>
    <definedName name="V_KEYWORD_ISSR_208009722_OP_NZ">#REF!</definedName>
    <definedName name="V_KEYWORD_ISSR_208009722_OP_OTH_AEJ">#REF!</definedName>
    <definedName name="V_KEYWORD_ISSR_208009722_OP_OTH_AM">#REF!</definedName>
    <definedName name="V_KEYWORD_ISSR_208009722_OP_OTH_EMEA">#REF!</definedName>
    <definedName name="V_KEYWORD_ISSR_208009722_OP_OTHER">#REF!</definedName>
    <definedName name="V_KEYWORD_ISSR_208009722_OP_POR">#REF!</definedName>
    <definedName name="V_KEYWORD_ISSR_208009722_OP_RUSSIA">#REF!</definedName>
    <definedName name="V_KEYWORD_ISSR_208009722_OP_SK">#REF!</definedName>
    <definedName name="V_KEYWORD_ISSR_208009722_OP_SPA">#REF!</definedName>
    <definedName name="V_KEYWORD_ISSR_208009722_OP_SWE">#REF!</definedName>
    <definedName name="V_KEYWORD_ISSR_208009722_OP_SWIT">#REF!</definedName>
    <definedName name="V_KEYWORD_ISSR_208009722_OP_TOT_AM">#REF!</definedName>
    <definedName name="V_KEYWORD_ISSR_208009722_OP_TOT_ASIA">#REF!</definedName>
    <definedName name="V_KEYWORD_ISSR_208009722_OP_TOT_EMEA">#REF!</definedName>
    <definedName name="V_KEYWORD_ISSR_208009722_OP_UK">#REF!</definedName>
    <definedName name="V_KEYWORD_ISSR_208009722_OP_US">#REF!</definedName>
    <definedName name="V_KEYWORD_ISSR_208009722_ORD_SH_FUND">#REF!</definedName>
    <definedName name="V_KEYWORD_ISSR_208009722_ORG_REV_GRTH">#REF!</definedName>
    <definedName name="V_KEYWORD_ISSR_208009722_OTH_COST_INC">#REF!</definedName>
    <definedName name="V_KEYWORD_ISSR_208009722_OTH_CUR_ASS">#REF!</definedName>
    <definedName name="V_KEYWORD_ISSR_208009722_OTH_CUR_LIABS">#REF!</definedName>
    <definedName name="V_KEYWORD_ISSR_208009722_OTH_DACF_ADJ">#REF!</definedName>
    <definedName name="V_KEYWORD_ISSR_208009722_OTH_FIN_CF">#REF!</definedName>
    <definedName name="V_KEYWORD_ISSR_208009722_OTH_GCI_ADJ">#REF!</definedName>
    <definedName name="V_KEYWORD_ISSR_208009722_OTH_INV_CF">#REF!</definedName>
    <definedName name="V_KEYWORD_ISSR_208009722_OTH_LT_ASS">#REF!</definedName>
    <definedName name="V_KEYWORD_ISSR_208009722_OTH_LT_CRED_GQ">#REF!</definedName>
    <definedName name="V_KEYWORD_ISSR_208009722_OTH_NONCASH_ADJ">#REF!</definedName>
    <definedName name="V_KEYWORD_ISSR_208009722_OTH_OP_CF">#REF!</definedName>
    <definedName name="V_KEYWORD_ISSR_208009722_OTH_OP_INC_EXP">#REF!</definedName>
    <definedName name="V_KEYWORD_ISSR_208009722_PERIOD_MILESTONE">#REF!</definedName>
    <definedName name="V_KEYWORD_ISSR_208009722_PL_SALE_ASSETS">#REF!</definedName>
    <definedName name="V_KEYWORD_ISSR_208009722_PREF_SH">#REF!</definedName>
    <definedName name="V_KEYWORD_ISSR_208009722_PROFIT_ON_DISP">#REF!</definedName>
    <definedName name="V_KEYWORD_ISSR_208009722_PT_PROF">#REF!</definedName>
    <definedName name="V_KEYWORD_ISSR_208009722_RD_EXP">#REF!</definedName>
    <definedName name="V_KEYWORD_ISSR_208009722_REV_FIN_SEGMENT">#REF!</definedName>
    <definedName name="V_KEYWORD_ISSR_208009722_SALES">#REF!</definedName>
    <definedName name="V_KEYWORD_ISSR_208009722_SALES_AUSTRA">#REF!</definedName>
    <definedName name="V_KEYWORD_ISSR_208009722_SALES_AUSTRIA">#REF!</definedName>
    <definedName name="V_KEYWORD_ISSR_208009722_SALES_BEL">#REF!</definedName>
    <definedName name="V_KEYWORD_ISSR_208009722_SALES_BRAZIL">#REF!</definedName>
    <definedName name="V_KEYWORD_ISSR_208009722_SALES_CANADA">#REF!</definedName>
    <definedName name="V_KEYWORD_ISSR_208009722_SALES_CEE">#REF!</definedName>
    <definedName name="V_KEYWORD_ISSR_208009722_SALES_CHINA">#REF!</definedName>
    <definedName name="V_KEYWORD_ISSR_208009722_SALES_CONS">#REF!</definedName>
    <definedName name="V_KEYWORD_ISSR_208009722_SALES_DEN">#REF!</definedName>
    <definedName name="V_KEYWORD_ISSR_208009722_SALES_EU_EX_UK">#REF!</definedName>
    <definedName name="V_KEYWORD_ISSR_208009722_SALES_FIN">#REF!</definedName>
    <definedName name="V_KEYWORD_ISSR_208009722_SALES_FINAN">#REF!</definedName>
    <definedName name="V_KEYWORD_ISSR_208009722_SALES_FRA">#REF!</definedName>
    <definedName name="V_KEYWORD_ISSR_208009722_SALES_GER">#REF!</definedName>
    <definedName name="V_KEYWORD_ISSR_208009722_SALES_GOV">#REF!</definedName>
    <definedName name="V_KEYWORD_ISSR_208009722_SALES_GRE">#REF!</definedName>
    <definedName name="V_KEYWORD_ISSR_208009722_SALES_ICE">#REF!</definedName>
    <definedName name="V_KEYWORD_ISSR_208009722_SALES_IND">#REF!</definedName>
    <definedName name="V_KEYWORD_ISSR_208009722_SALES_INDIA">#REF!</definedName>
    <definedName name="V_KEYWORD_ISSR_208009722_SALES_IRE">#REF!</definedName>
    <definedName name="V_KEYWORD_ISSR_208009722_SALES_ITA">#REF!</definedName>
    <definedName name="V_KEYWORD_ISSR_208009722_SALES_JAPAN">#REF!</definedName>
    <definedName name="V_KEYWORD_ISSR_208009722_SALES_ME">#REF!</definedName>
    <definedName name="V_KEYWORD_ISSR_208009722_SALES_NETH">#REF!</definedName>
    <definedName name="V_KEYWORD_ISSR_208009722_SALES_NOR">#REF!</definedName>
    <definedName name="V_KEYWORD_ISSR_208009722_SALES_NZ">#REF!</definedName>
    <definedName name="V_KEYWORD_ISSR_208009722_SALES_OTH_AEJ">#REF!</definedName>
    <definedName name="V_KEYWORD_ISSR_208009722_SALES_OTH_AM">#REF!</definedName>
    <definedName name="V_KEYWORD_ISSR_208009722_SALES_OTH_EMEA">#REF!</definedName>
    <definedName name="V_KEYWORD_ISSR_208009722_SALES_OTHER">#REF!</definedName>
    <definedName name="V_KEYWORD_ISSR_208009722_SALES_POR">#REF!</definedName>
    <definedName name="V_KEYWORD_ISSR_208009722_SALES_RUSSIA">#REF!</definedName>
    <definedName name="V_KEYWORD_ISSR_208009722_SALES_SK">#REF!</definedName>
    <definedName name="V_KEYWORD_ISSR_208009722_SALES_SMB">#REF!</definedName>
    <definedName name="V_KEYWORD_ISSR_208009722_SALES_SPA">#REF!</definedName>
    <definedName name="V_KEYWORD_ISSR_208009722_SALES_SWE">#REF!</definedName>
    <definedName name="V_KEYWORD_ISSR_208009722_SALES_SWIT">#REF!</definedName>
    <definedName name="V_KEYWORD_ISSR_208009722_SALES_TOT_AM">#REF!</definedName>
    <definedName name="V_KEYWORD_ISSR_208009722_SALES_TOT_ASIA">#REF!</definedName>
    <definedName name="V_KEYWORD_ISSR_208009722_SALES_TOT_EMEA">#REF!</definedName>
    <definedName name="V_KEYWORD_ISSR_208009722_SALES_UK">#REF!</definedName>
    <definedName name="V_KEYWORD_ISSR_208009722_SALES_US">#REF!</definedName>
    <definedName name="V_KEYWORD_ISSR_208009722_SEL_GL_AD">#REF!</definedName>
    <definedName name="V_KEYWORD_ISSR_208009722_SH_REPUR">#REF!</definedName>
    <definedName name="V_KEYWORD_ISSR_208009722_SHORT_T_DEBT">#REF!</definedName>
    <definedName name="V_KEYWORD_ISSR_208009722_SHORT_TERM_LIABS">#REF!</definedName>
    <definedName name="V_KEYWORD_ISSR_208009722_STOCKS">#REF!</definedName>
    <definedName name="V_KEYWORD_ISSR_208009722_TOT_ASSET">#REF!</definedName>
    <definedName name="V_KEYWORD_ISSR_208009722_TOT_CF">#REF!</definedName>
    <definedName name="V_KEYWORD_ISSR_208009722_TOT_LIAB">#REF!</definedName>
    <definedName name="V_KEYWORD_ISSR_208009722_TOT_LIAB_EQ">#REF!</definedName>
    <definedName name="V_KEYWORD_ISSR_208009722_TOT_LT_LIAB">#REF!</definedName>
    <definedName name="V_KEYWORD_ISSR_208009722_TOT_OPS_EXP">#REF!</definedName>
    <definedName name="V_KEYWORD_ISSR_208009722_TOT_OPS_EXP_DDA">#REF!</definedName>
    <definedName name="V_KEYWORD_ISSR_208009722_UNF_PENS">#REF!</definedName>
    <definedName name="V_KEYWORD_ISSR_208009722_UNF_PENS_LIAB_OTH">#REF!</definedName>
    <definedName name="V_KEYWORD_ISSR_208009722_UNF_PENS_OFF">#REF!</definedName>
    <definedName name="V_KEYWORD_ISSR_208009722_WORK_CAP">#REF!</definedName>
    <definedName name="V_LIVEDATA_EQTY_200001646">#REF!</definedName>
    <definedName name="V_LIVEDATA_EQTY_200004419">#REF!</definedName>
    <definedName name="V_LIVEDATA_EQTY_200012762">#REF!</definedName>
    <definedName name="V_LIVEDATA_ISSR_208000603">#REF!</definedName>
    <definedName name="V_LIVEDATA_ISSR_208001258">#REF!</definedName>
    <definedName name="V_LIVEDATA_ISSR_208009722">#REF!</definedName>
    <definedName name="V_PERIOD_2002">#REF!</definedName>
    <definedName name="V_PERIOD_2003">#REF!</definedName>
    <definedName name="V_PERIOD_2003_Q1">#REF!</definedName>
    <definedName name="V_PERIOD_2003_Q2">#REF!</definedName>
    <definedName name="V_PERIOD_2003_Q3">#REF!</definedName>
    <definedName name="V_PERIOD_2003_Q4">#REF!</definedName>
    <definedName name="V_PERIOD_2004">#REF!</definedName>
    <definedName name="V_PERIOD_2004_Q1">#REF!</definedName>
    <definedName name="V_PERIOD_2004_Q2">#REF!</definedName>
    <definedName name="V_PERIOD_2004_Q3">#REF!</definedName>
    <definedName name="V_PERIOD_2004_Q4">#REF!</definedName>
    <definedName name="V_PERIOD_2005">#REF!</definedName>
    <definedName name="V_PERIOD_2005_Q1">#REF!</definedName>
    <definedName name="V_PERIOD_2005_Q2">#REF!</definedName>
    <definedName name="V_PERIOD_2005_Q3">#REF!</definedName>
    <definedName name="V_PERIOD_2005_Q4">#REF!</definedName>
    <definedName name="V_PERIOD_2006_Q1">#REF!</definedName>
    <definedName name="V_PERIOD_2006_Q2">#REF!</definedName>
    <definedName name="V_PERIOD_2006_Q3">#REF!</definedName>
    <definedName name="V_PERIOD_2006_Q4">#REF!</definedName>
    <definedName name="V_SECTION_EQTY_200001646_1314">#REF!</definedName>
    <definedName name="V_SECTION_EQTY_200001646_1319">#REF!</definedName>
    <definedName name="V_SECTION_EQTY_200001646_131E">#REF!</definedName>
    <definedName name="V_SECTION_EQTY_200001646_131O">#REF!</definedName>
    <definedName name="V_SECTION_EQTY_200001646_131P">#REF!</definedName>
    <definedName name="V_SECTION_EQTY_200001646_13A">#REF!</definedName>
    <definedName name="V_SECTION_EQTY_200001646_13K">#REF!</definedName>
    <definedName name="V_SECTION_EQTY_200001646_13U">#REF!</definedName>
    <definedName name="V_SECTION_EQTY_200001646_13V">#REF!</definedName>
    <definedName name="V_SECTION_EQTY_200001646_13W">#REF!</definedName>
    <definedName name="V_SECTION_EQTY_200001646_Reference_Data">#REF!</definedName>
    <definedName name="V_SECTION_EQTY_200004419_1314">#REF!</definedName>
    <definedName name="V_SECTION_EQTY_200004419_1319">#REF!</definedName>
    <definedName name="V_SECTION_EQTY_200004419_131E">#REF!</definedName>
    <definedName name="V_SECTION_EQTY_200004419_131O">#REF!</definedName>
    <definedName name="V_SECTION_EQTY_200004419_13A">#REF!</definedName>
    <definedName name="V_SECTION_EQTY_200004419_13K">#REF!</definedName>
    <definedName name="V_SECTION_EQTY_200004419_13U">#REF!</definedName>
    <definedName name="V_SECTION_EQTY_200004419_13V">#REF!</definedName>
    <definedName name="V_SECTION_EQTY_200004419_13W">#REF!</definedName>
    <definedName name="V_SECTION_EQTY_200004419_Reference_Data">#REF!</definedName>
    <definedName name="V_SECTION_EQTY_200012762_1314">#REF!</definedName>
    <definedName name="V_SECTION_EQTY_200012762_1319">#REF!</definedName>
    <definedName name="V_SECTION_EQTY_200012762_131E">#REF!</definedName>
    <definedName name="V_SECTION_EQTY_200012762_131O">#REF!</definedName>
    <definedName name="V_SECTION_EQTY_200012762_13A">#REF!</definedName>
    <definedName name="V_SECTION_EQTY_200012762_13K">#REF!</definedName>
    <definedName name="V_SECTION_EQTY_200012762_13U">#REF!</definedName>
    <definedName name="V_SECTION_EQTY_200012762_13V">#REF!</definedName>
    <definedName name="V_SECTION_EQTY_200012762_13W">#REF!</definedName>
    <definedName name="V_SECTION_EQTY_200012762_Reference_Data">#REF!</definedName>
    <definedName name="V_SECTION_ISSR_208000603_1314">#REF!</definedName>
    <definedName name="V_SECTION_ISSR_208000603_13168">#REF!</definedName>
    <definedName name="V_SECTION_ISSR_208000603_1319">#REF!</definedName>
    <definedName name="V_SECTION_ISSR_208000603_131E">#REF!</definedName>
    <definedName name="V_SECTION_ISSR_208000603_131J">#REF!</definedName>
    <definedName name="V_SECTION_ISSR_208000603_131O">#REF!</definedName>
    <definedName name="V_SECTION_ISSR_208000603_131P">#REF!</definedName>
    <definedName name="V_SECTION_ISSR_208000603_13A">#REF!</definedName>
    <definedName name="V_SECTION_ISSR_208000603_13U">#REF!</definedName>
    <definedName name="V_SECTION_ISSR_208000603_13V">#REF!</definedName>
    <definedName name="V_SECTION_ISSR_208000603_Reference_Data">#REF!</definedName>
    <definedName name="V_SECTION_ISSR_208001258_1314">#REF!</definedName>
    <definedName name="V_SECTION_ISSR_208001258_13168">#REF!</definedName>
    <definedName name="V_SECTION_ISSR_208001258_1316T">#REF!</definedName>
    <definedName name="V_SECTION_ISSR_208001258_1316U">#REF!</definedName>
    <definedName name="V_SECTION_ISSR_208001258_1319">#REF!</definedName>
    <definedName name="V_SECTION_ISSR_208001258_131E">#REF!</definedName>
    <definedName name="V_SECTION_ISSR_208001258_131J">#REF!</definedName>
    <definedName name="V_SECTION_ISSR_208001258_131O">#REF!</definedName>
    <definedName name="V_SECTION_ISSR_208001258_13A">#REF!</definedName>
    <definedName name="V_SECTION_ISSR_208001258_13U">#REF!</definedName>
    <definedName name="V_SECTION_ISSR_208001258_13V">#REF!</definedName>
    <definedName name="V_SECTION_ISSR_208001258_Reference_Data">#REF!</definedName>
    <definedName name="V_SECTION_ISSR_208009722_1314">#REF!</definedName>
    <definedName name="V_SECTION_ISSR_208009722_13168">#REF!</definedName>
    <definedName name="V_SECTION_ISSR_208009722_1319">#REF!</definedName>
    <definedName name="V_SECTION_ISSR_208009722_131E">#REF!</definedName>
    <definedName name="V_SECTION_ISSR_208009722_131J">#REF!</definedName>
    <definedName name="V_SECTION_ISSR_208009722_131O">#REF!</definedName>
    <definedName name="V_SECTION_ISSR_208009722_13A">#REF!</definedName>
    <definedName name="V_SECTION_ISSR_208009722_13U">#REF!</definedName>
    <definedName name="V_SECTION_ISSR_208009722_13V">#REF!</definedName>
    <definedName name="V_SECTION_ISSR_208009722_Reference_Data">#REF!</definedName>
    <definedName name="VA_Metric">OFFSET(#REF!,0,0,COUNTA(#REF!)-1)</definedName>
    <definedName name="VAConsenusWorkbook">#REF!</definedName>
    <definedName name="VALID_FORMATS">#REF!</definedName>
    <definedName name="Valuation">#REF!</definedName>
    <definedName name="ValuationDate">#REF!</definedName>
    <definedName name="Value_of_Equity">#REF!</definedName>
    <definedName name="Value_of_Firm">#REF!</definedName>
    <definedName name="Value_of_Unconsol._Subs">#REF!</definedName>
    <definedName name="Value_per_share">#REF!</definedName>
    <definedName name="values_are_primary">#REF!</definedName>
    <definedName name="VendorRankPCShipments">#REF!</definedName>
    <definedName name="VendorRankPhoneShipments">#REF!</definedName>
    <definedName name="VendorRankUMTShipments">#REF!</definedName>
    <definedName name="Version">#REF!</definedName>
    <definedName name="Version.WIRE">1</definedName>
    <definedName name="Vertical">#REF!</definedName>
    <definedName name="Vesting_Period">#REF!</definedName>
    <definedName name="VideoMarket">#REF!</definedName>
    <definedName name="VOD_AdjustedEV">#REF!</definedName>
    <definedName name="VOD_AssociatesMinorities">#REF!</definedName>
    <definedName name="VOD_LTMSGA">#REF!</definedName>
    <definedName name="VOD_UnleveredFCF">#REF!</definedName>
    <definedName name="VOLUME">#REF!</definedName>
    <definedName name="vshchg">#REF!</definedName>
    <definedName name="vshcrpe">#REF!</definedName>
    <definedName name="vshcurr">#REF!</definedName>
    <definedName name="vshdate">#REF!</definedName>
    <definedName name="vshdown">#REF!</definedName>
    <definedName name="vshdownsup">#REF!</definedName>
    <definedName name="vshevebitda">#REF!</definedName>
    <definedName name="vshffqpeavg">#REF!</definedName>
    <definedName name="vshffqpecurr">#REF!</definedName>
    <definedName name="vshfy1cons">#REF!</definedName>
    <definedName name="vshfy2cons">#REF!</definedName>
    <definedName name="vshhi">#REF!</definedName>
    <definedName name="vshhilo">#REF!</definedName>
    <definedName name="vshlow">#REF!</definedName>
    <definedName name="vshmktcap">#REF!</definedName>
    <definedName name="vshpe1">#REF!</definedName>
    <definedName name="vshpe2">#REF!</definedName>
    <definedName name="vshpegrowthavg">#REF!</definedName>
    <definedName name="vshpegrowthcurr">#REF!</definedName>
    <definedName name="vshpegrowthhi">#REF!</definedName>
    <definedName name="vshpegrowthlow">#REF!</definedName>
    <definedName name="vshperelavg">#REF!</definedName>
    <definedName name="vshperelcurr">#REF!</definedName>
    <definedName name="vshprice">#REF!</definedName>
    <definedName name="vshrpe">#REF!</definedName>
    <definedName name="vshshares">#REF!</definedName>
    <definedName name="vshtprice">#REF!</definedName>
    <definedName name="vshttmavg">#REF!</definedName>
    <definedName name="vshttmcurr">#REF!</definedName>
    <definedName name="vshttmhi">#REF!</definedName>
    <definedName name="vshttmlow">#REF!</definedName>
    <definedName name="vshttmrelavg">#REF!</definedName>
    <definedName name="vshttmrelcurr">#REF!</definedName>
    <definedName name="vshttmrelcurr\">#REF!</definedName>
    <definedName name="vshttmrelhi">#REF!</definedName>
    <definedName name="vshttmrellow">#REF!</definedName>
    <definedName name="vshup">#REF!</definedName>
    <definedName name="vshupsup">#REF!</definedName>
    <definedName name="vshvol">#REF!</definedName>
    <definedName name="vshyield">#REF!</definedName>
    <definedName name="Vulcan_Convert">#REF!</definedName>
    <definedName name="VYTL_1yrEPS">#REF!</definedName>
    <definedName name="VYTL_2yrEPS">#REF!</definedName>
    <definedName name="VYTL_52HIGH">#REF!</definedName>
    <definedName name="VYTL_5YRGROWTH">#REF!</definedName>
    <definedName name="VYTL_PRICE">#REF!</definedName>
    <definedName name="w" hidden="1">{"IS",#N/A,FALSE,"IS";"RPTIS",#N/A,FALSE,"RPTIS";"STATS",#N/A,FALSE,"STATS";"CELL",#N/A,FALSE,"CELL";"BS",#N/A,FALSE,"BS"}</definedName>
    <definedName name="WACC">#REF!</definedName>
    <definedName name="WACC_1">#REF!</definedName>
    <definedName name="WACC_10">#REF!</definedName>
    <definedName name="WACC_11">#REF!</definedName>
    <definedName name="WACC_12">#REF!</definedName>
    <definedName name="WACC_13">#REF!</definedName>
    <definedName name="WACC_14">#REF!</definedName>
    <definedName name="WACC_2">#REF!</definedName>
    <definedName name="WACC_3">#REF!</definedName>
    <definedName name="WACC_4">#REF!</definedName>
    <definedName name="WACC_5">#REF!</definedName>
    <definedName name="WACC_6">#REF!</definedName>
    <definedName name="WACC_7">#REF!</definedName>
    <definedName name="WACC_8">#REF!</definedName>
    <definedName name="WACC_9">#REF!</definedName>
    <definedName name="wacc_bus">#REF!</definedName>
    <definedName name="wacc_cons">#REF!</definedName>
    <definedName name="WACC_fore">#REF!</definedName>
    <definedName name="WACC_P">#REF!</definedName>
    <definedName name="WACC_P_1">#REF!</definedName>
    <definedName name="WACC_P_10">#REF!</definedName>
    <definedName name="WACC_P_11">#REF!</definedName>
    <definedName name="WACC_P_12">#REF!</definedName>
    <definedName name="WACC_P_13">#REF!</definedName>
    <definedName name="WACC_P_14">#REF!</definedName>
    <definedName name="WACC_P_2">#REF!</definedName>
    <definedName name="WACC_P_3">#REF!</definedName>
    <definedName name="WACC_P_4">#REF!</definedName>
    <definedName name="WACC_P_5">#REF!</definedName>
    <definedName name="WACC_P_6">#REF!</definedName>
    <definedName name="WACC_P_7">#REF!</definedName>
    <definedName name="WACC_P_8">#REF!</definedName>
    <definedName name="WACC_P_9">#REF!</definedName>
    <definedName name="wcom" hidden="1">{"IS",#N/A,FALSE,"IS";"RPTIS",#N/A,FALSE,"RPTIS";"STATS",#N/A,FALSE,"STATS";"BS",#N/A,FALSE,"BS"}</definedName>
    <definedName name="WCOM_1yrEPS">#REF!</definedName>
    <definedName name="WCOM_2yrEPS">#REF!</definedName>
    <definedName name="WCOM_52high">#REF!</definedName>
    <definedName name="WCOM_5YRGROWTH">#REF!</definedName>
    <definedName name="WCOM_96EPS">#REF!</definedName>
    <definedName name="WCOM_97EPS">#REF!</definedName>
    <definedName name="WCOM_98EPS">#REF!</definedName>
    <definedName name="wcom_g">#REF!</definedName>
    <definedName name="wcom_is">#REF!</definedName>
    <definedName name="WCOM_LTMSGA">#REF!</definedName>
    <definedName name="WCOM_plant">#REF!</definedName>
    <definedName name="WCOM_price">#REF!</definedName>
    <definedName name="wcom_tracker">#REF!</definedName>
    <definedName name="WCOMgrpBS_print">#REF!</definedName>
    <definedName name="WCOMgrpCF_print">#REF!</definedName>
    <definedName name="WCOMgrpIS_print">#REF!</definedName>
    <definedName name="Wdays">#REF!</definedName>
    <definedName name="weeks_in_qtr">#REF!</definedName>
    <definedName name="weeks_in_year">#REF!</definedName>
    <definedName name="westernrpice">#REF!</definedName>
    <definedName name="westernshares">#REF!</definedName>
    <definedName name="wgtd_shares">#REF!</definedName>
    <definedName name="What_Currency">#REF!</definedName>
    <definedName name="White_Box">#REF!</definedName>
    <definedName name="WholeTable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IZARD_Y4CAPREVR">#REF!</definedName>
    <definedName name="WIZARD_Y4E">#REF!</definedName>
    <definedName name="WIZARD_Y4PEE">#REF!</definedName>
    <definedName name="WIZARD_Y4Q1E">#REF!</definedName>
    <definedName name="WIZARD_Y4Q1R">#REF!</definedName>
    <definedName name="WIZARD_Y4Q2E">#REF!</definedName>
    <definedName name="WIZARD_Y4Q2R">#REF!</definedName>
    <definedName name="WIZARD_Y4Q3E">#REF!</definedName>
    <definedName name="WIZARD_Y4Q3R">#REF!</definedName>
    <definedName name="WIZARD_Y4Q4E">#REF!</definedName>
    <definedName name="WIZARD_Y4Q4R">#REF!</definedName>
    <definedName name="WIZARD_Y4R">#REF!</definedName>
    <definedName name="WIZARD_Y4YEARE">#REF!</definedName>
    <definedName name="WIZARD_Y4YEARR">#REF!</definedName>
    <definedName name="wk">#REF!</definedName>
    <definedName name="wls">#REF!</definedName>
    <definedName name="Workstation">#REF!</definedName>
    <definedName name="wrn.all." hidden="1">{#N/A,#N/A,FALSE,"Time Warner";#N/A,#N/A,FALSE,"Entertainment Group";#N/A,#N/A,FALSE,"EBITDA";#N/A,#N/A,FALSE,"Notes"}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hidden="1">{"IS",#N/A,FALSE,"IS";"RPTIS",#N/A,FALSE,"RPTIS";"STATS",#N/A,FALSE,"STATS";"CELL",#N/A,FALSE,"CELL";"BS",#N/A,FALSE,"BS"}</definedName>
    <definedName name="wrn.both._.pages." hidden="1">{"page 1",#N/A,FALSE,"Comps";"page 2",#N/A,FALSE,"Comps"}</definedName>
    <definedName name="wrn.cases." hidden="1">{"summary",#N/A,TRUE,"pro forma";"avp",#N/A,TRUE,"AVP";"Pro Forma Financials","Low Debt",TRUE,"pro forma";"Credit Analysis","Low Debt",TRUE,"pro forma";"Pro Forma Financials","Base Case",TRUE,"pro forma";"Credit Analysis","Base Case",TRUE,"pro forma";"Pro Forma Financials","High Debt",TRUE,"pro forma";"Credit Analysis","High Debt",TRUE,"pro forma"}</definedName>
    <definedName name="wrn.cf." hidden="1">{"one",#N/A,FALSE,"cf";"two",#N/A,FALSE,"cf"}</definedName>
    <definedName name="wrn.client." hidden="1">{"multiple",#N/A,FALSE,"client";"margins",#N/A,FALSE,"client";"data",#N/A,FALSE,"client"}</definedName>
    <definedName name="wrn.Client3." hidden="1">{"data",#N/A,FALSE,"client (3)";"margins",#N/A,FALSE,"client (3)";"multiple",#N/A,FALSE,"client (3)"}</definedName>
    <definedName name="wrn.client4." hidden="1">{"multiple",#N/A,FALSE,"client (4)";"margins",#N/A,FALSE,"client (4)";"data",#N/A,FALSE,"client (4)"}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{"Output",#N/A,FALSE,"Output"}</definedName>
    <definedName name="wrn.database." localSheetId="0" hidden="1">{"subs",#N/A,FALSE,"database ";"proportional",#N/A,FALSE,"database "}</definedName>
    <definedName name="wrn.database." hidden="1">{"subs",#N/A,FALSE,"database ";"proportional",#N/A,FALSE,"database 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Earnings._.Model." localSheetId="0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tire._.Model." hidden="1">{"Income Page",#N/A,FALSE,"Income";"Quarterly Page",#N/A,FALSE,"Quarterly";"EPS Page",#N/A,FALSE,"EPS";"Cashflow Page",#N/A,FALSE,"CashFlow"}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xternal." localSheetId="0" hidden="1">{"External_Annual_Income",#N/A,FALSE,"External";"External_Quarterly_Income",#N/A,FALSE,"External"}</definedName>
    <definedName name="wrn.External." hidden="1">{"External_Annual_Income",#N/A,FALSE,"External";"External_Quarterly_Income",#N/A,FALSE,"External"}</definedName>
    <definedName name="wrn.external.2" localSheetId="0" hidden="1">{"External_Annual_Income",#N/A,FALSE,"External";"External_Quarterly_Income",#N/A,FALSE,"External"}</definedName>
    <definedName name="wrn.external.2" hidden="1">{"External_Annual_Income",#N/A,FALSE,"External";"External_Quarterly_Income",#N/A,FALSE,"External"}</definedName>
    <definedName name="wrn.Fax." hidden="1">{"fax (BS)",#N/A,FALSE,"BS";"fax (CF)",#N/A,FALSE,"CF";"fax (seg)",#N/A,FALSE,"Seg";"fax (telecomm)",#N/A,FALSE,"telecomm";"fax (infodisplay)",#N/A,FALSE,"infodisplay";"fax (am)",#N/A,FALSE,"AM";"fax (is)",#N/A,FALSE,"IS"}</definedName>
    <definedName name="wrn.Final._.Copy." hidden="1">{#N/A,#N/A,TRUE,"Assumptions";#N/A,#N/A,TRUE,"Financial  Statements";#N/A,#N/A,TRUE,"Unl. Free CF Valuation ";#N/A,#N/A,TRUE,"Funding Schedule";#N/A,#N/A,TRUE,"High Yield &amp; Equity Schedule"}</definedName>
    <definedName name="wrn.Full._.report." hidden="1">{"multiple",#N/A,FALSE,"client (2)";"margins",#N/A,FALSE,"client (2)";"data",#N/A,FALSE,"client (2)";"multiple",#N/A,FALSE,"client";"margins",#N/A,FALSE,"client";"data",#N/A,FALSE,"client"}</definedName>
    <definedName name="wrn.Handout." localSheetId="0" hidden="1">{#N/A,#N/A,FALSE,"Output";#N/A,#N/A,FALSE,"Cover Sheet";#N/A,#N/A,FALSE,"Current Mkt. Projections"}</definedName>
    <definedName name="wrn.Handout." hidden="1">{#N/A,#N/A,FALSE,"Output";#N/A,#N/A,FALSE,"Cover Sheet";#N/A,#N/A,FALSE,"Current Mkt. Projections"}</definedName>
    <definedName name="wrn.Income._.Statement." localSheetId="2" hidden="1">{#N/A,#N/A,FALSE}</definedName>
    <definedName name="wrn.Income._.Statement." localSheetId="0" hidden="1">{#N/A,#N/A,FALSE,"Report Print"}</definedName>
    <definedName name="wrn.Income._.Statement." hidden="1">{#N/A,#N/A,FALSE,"Report Print"}</definedName>
    <definedName name="wrn.international." localSheetId="0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PIX." localSheetId="0" hidden="1">{#N/A,#N/A,FALSE,"Report Print"}</definedName>
    <definedName name="wrn.IPIX." hidden="1">{#N/A,#N/A,FALSE,"Report Print"}</definedName>
    <definedName name="wrn.Level._.4.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ster_Income." localSheetId="0" hidden="1">{"Annual_Income",#N/A,FALSE,"Master Model";"Quarterly_Income",#N/A,FALSE,"Master Model"}</definedName>
    <definedName name="wrn.Master_Income." hidden="1">{"Annual_Income",#N/A,FALSE,"Master Model";"Quarterly_Income",#N/A,FALSE,"Master Model"}</definedName>
    <definedName name="wrn.MER._.Print." hidden="1">{"MER Model",#N/A,FALSE,"MER Model";"MER Revenue Detail",#N/A,FALSE,"MER Model"}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one._.case." hidden="1">{"pro forma financials",#N/A,FALSE,"pf parent";"pro forma credit",#N/A,FALSE,"pf parent";"pro forma financials",#N/A,FALSE,"pro forma";"pro forma credit",#N/A,FALSE,"pro forma";"avp",#N/A,FALSE,"AVP"}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localSheetId="0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._.graphs." hidden="1">{"cap_structure",#N/A,FALSE,"Graph-Mkt Cap";"price",#N/A,FALSE,"Graph-Price";"ebit",#N/A,FALSE,"Graph-EBITDA";"ebitda",#N/A,FALSE,"Graph-EBITDA"}</definedName>
    <definedName name="wrn.print._.pages." localSheetId="0" hidden="1">{#N/A,#N/A,FALSE,"Spain MKT";#N/A,#N/A,FALSE,"Assumptions";#N/A,#N/A,FALSE,"Adve";#N/A,#N/A,FALSE,"E-Commerce";#N/A,#N/A,FALSE,"Opex";#N/A,#N/A,FALSE,"P&amp;L";#N/A,#N/A,FALSE,"FCF &amp; DCF"}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print._.parent._.cases." hidden="1">{"scenario summary",#N/A,FALSE,"pf parent";"pro forma financials","low price low cash",FALSE,"pf parent";"pro forma credit","low price low cash",FALSE,"pf parent";"pro forma financials","low price med cash",FALSE,"pf parent";"pro forma credit","low price med cash",FALSE,"pf parent";"pro forma financials","low price high cash",FALSE,"pf parent";"pro forma credit","low price high cash",FALSE,"pf parent";"pro forma financials","high price low cash",FALSE,"pf parent";"pro forma credit","high price low cash",FALSE,"pf parent";"pro forma financials","high price med cash",FALSE,"pf parent";"pro forma credit","high price med cash",FALSE,"pf parent";"pro forma financials","high price high cash",FALSE,"pf parent";"pro forma credit","high price high cash",FALSE,"pf parent"}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._.ulster._.cases." hidden="1">{"scenario summary",#N/A,FALSE,"pro forma";"pro forma financials","low price low cash",FALSE,"pro forma";"pro forma credit","low price low cash",FALSE,"pro forma";"pro forma financials","low price med cash",FALSE,"pro forma";"pro forma credit","low price med cash",FALSE,"pro forma";"pro forma financials","low price high cash",FALSE,"pro forma";"pro forma credit","low price high cash",FALSE,"pro forma";"pro forma financials","high price low cash",FALSE,"pro forma";"pro forma credit","high price low cash",FALSE,"pro forma";"pro forma financials","high price med cash",FALSE,"pro forma";"pro forma credit","high price med cash",FALSE,"pro forma";"pro forma financials","high price high cash",FALSE,"pro forma";"pro forma credit","high price high cash",FALSE,"pro forma"}</definedName>
    <definedName name="wrn.rep_page." localSheetId="0" hidden="1">{"Annual_Income",#N/A,FALSE,"Report Page";"Balance_Cash_Flow",#N/A,FALSE,"Report Page";"Quarterly_Income",#N/A,FALSE,"Report Page"}</definedName>
    <definedName name="wrn.rep_page." hidden="1">{"Annual_Income",#N/A,FALSE,"Report Page";"Balance_Cash_Flow",#N/A,FALSE,"Report Page";"Quarterly_Income",#N/A,FALSE,"Report Page"}</definedName>
    <definedName name="wrn.Report_Page." localSheetId="0" hidden="1">{"Annual_Income",#N/A,FALSE,"Report Page";"Balance_Cash_Flow",#N/A,FALSE,"Report Page";"Quarterly_Income",#N/A,FALSE,"Report Page"}</definedName>
    <definedName name="wrn.Report_Page." hidden="1">{"Annual_Income",#N/A,FALSE,"Report Page";"Balance_Cash_Flow",#N/A,FALSE,"Report Page";"Quarterly_Income",#N/A,FALSE,"Report Page"}</definedName>
    <definedName name="wrn.single._.case." hidden="1">{"Pro Forma Financials",#N/A,FALSE,"pro forma";"Credit Analysis",#N/A,FALSE,"pro forma";"avp",#N/A,FALSE,"avp jon"}</definedName>
    <definedName name="wrn.Summary." hidden="1">{"Print Summary",#N/A,FALSE,"Bal_Graphs";"Print Summary",#N/A,FALSE,"DCF";"Print Summary",#N/A,FALSE,"Graphs";"Print Summary",#N/A,FALSE,"Summary"}</definedName>
    <definedName name="wrn.test." hidden="1">{"test2",#N/A,TRUE,"Prices"}</definedName>
    <definedName name="wrn.Total._.Pack.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wrn.USW." hidden="1">{"IS",#N/A,FALSE,"IS";"RPTIS",#N/A,FALSE,"RPTIS";"STATS",#N/A,FALSE,"STATS";"BS",#N/A,FALSE,"BS"}</definedName>
    <definedName name="wrn1.Fax." hidden="1">{"fax (BS)",#N/A,FALSE,"BS";"fax (CF)",#N/A,FALSE,"CF";"fax (seg)",#N/A,FALSE,"Seg";"fax (telecomm)",#N/A,FALSE,"telecomm";"fax (infodisplay)",#N/A,FALSE,"infodisplay";"fax (am)",#N/A,FALSE,"AM";"fax (is)",#N/A,FALSE,"IS"}</definedName>
    <definedName name="wrn2.Handout" localSheetId="0" hidden="1">{#N/A,#N/A,FALSE,"Output";#N/A,#N/A,FALSE,"Cover Sheet";#N/A,#N/A,FALSE,"Current Mkt. Projections"}</definedName>
    <definedName name="wrn2.Handout" hidden="1">{#N/A,#N/A,FALSE,"Output";#N/A,#N/A,FALSE,"Cover Sheet";#N/A,#N/A,FALSE,"Current Mkt. Projections"}</definedName>
    <definedName name="wstlfy1cons">#REF!</definedName>
    <definedName name="wstlfy2cons">#REF!</definedName>
    <definedName name="wstlhi">#REF!</definedName>
    <definedName name="wstllow">#REF!</definedName>
    <definedName name="wstlpegrowthavg">#REF!</definedName>
    <definedName name="wstlpegrowthcurr">#REF!</definedName>
    <definedName name="wstlpegrowthhi">#REF!</definedName>
    <definedName name="wstlpegrowthlow">#REF!</definedName>
    <definedName name="wstlprice">#REF!</definedName>
    <definedName name="wstlshares">#REF!</definedName>
    <definedName name="wstlttmavg">#REF!</definedName>
    <definedName name="wstlttmcurr">#REF!</definedName>
    <definedName name="wstlttmhi">#REF!</definedName>
    <definedName name="wstlttmlow">#REF!</definedName>
    <definedName name="wstlttmrelavg">#REF!</definedName>
    <definedName name="wstlttmrelcurr">#REF!</definedName>
    <definedName name="wstlttmrelhi">#REF!</definedName>
    <definedName name="wstlttmrellow">#REF!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#N/A</definedName>
    <definedName name="xCurrencies">#REF!</definedName>
    <definedName name="xls">#REF!</definedName>
    <definedName name="XR">#REF!</definedName>
    <definedName name="XX">#REF!</definedName>
    <definedName name="XXX">#REF!</definedName>
    <definedName name="Y2_C_Capex">#REF!</definedName>
    <definedName name="Y2_C_Depr">#REF!</definedName>
    <definedName name="Y2_C_EBITDA">#REF!</definedName>
    <definedName name="Y2_C_EPS">#REF!</definedName>
    <definedName name="Y2_C_ND">#REF!</definedName>
    <definedName name="Y2_C_NP">#REF!</definedName>
    <definedName name="Y2_C_OP">#REF!</definedName>
    <definedName name="Y2_C_PP">#REF!</definedName>
    <definedName name="Y2_C_RP">#REF!</definedName>
    <definedName name="Y2_C_S">#REF!</definedName>
    <definedName name="Y2_C_SE">#REF!</definedName>
    <definedName name="Y2_Div">#REF!</definedName>
    <definedName name="Y2_FY1">#REF!</definedName>
    <definedName name="Y2_P_Capex">#REF!</definedName>
    <definedName name="Y2_P_Depr">#REF!</definedName>
    <definedName name="Y2_P_EBITDA">#REF!</definedName>
    <definedName name="Y2_P_EPS">#REF!</definedName>
    <definedName name="Y2_P_EPS_D">#REF!</definedName>
    <definedName name="Y2_P_ND">#REF!</definedName>
    <definedName name="Y2_P_NP">#REF!</definedName>
    <definedName name="Y2_P_OP">#REF!</definedName>
    <definedName name="Y2_P_PP">#REF!</definedName>
    <definedName name="Y2_P_RP">#REF!</definedName>
    <definedName name="Y2_P_S">#REF!</definedName>
    <definedName name="Y2_P_SE">#REF!</definedName>
    <definedName name="Y6_C_EPS">#REF!</definedName>
    <definedName name="Y6_C_NP">#REF!</definedName>
    <definedName name="Y6_C_OP">#REF!</definedName>
    <definedName name="Y6_C_RP">#REF!</definedName>
    <definedName name="Y6_C_S">#REF!</definedName>
    <definedName name="Y6_FY">#REF!</definedName>
    <definedName name="Y6_FY1">#REF!</definedName>
    <definedName name="Y6_P_EPS">#REF!</definedName>
    <definedName name="Y6_P_NP">#REF!</definedName>
    <definedName name="Y6_P_OP">#REF!</definedName>
    <definedName name="Y6_P_RP">#REF!</definedName>
    <definedName name="Y6_P_S">#REF!</definedName>
    <definedName name="Y7_C_Capex">#REF!</definedName>
    <definedName name="Y7_C_CF">#REF!</definedName>
    <definedName name="Y7_C_Depr">#REF!</definedName>
    <definedName name="Y7_C_EBITDA">#REF!</definedName>
    <definedName name="Y7_C_EPS">#REF!</definedName>
    <definedName name="Y7_C_FCF">#REF!</definedName>
    <definedName name="Y7_C_ND">#REF!</definedName>
    <definedName name="Y7_C_NP">#REF!</definedName>
    <definedName name="Y7_C_OP">#REF!</definedName>
    <definedName name="Y7_C_RP">#REF!</definedName>
    <definedName name="Y7_C_S">#REF!</definedName>
    <definedName name="Y7_C_SE">#REF!</definedName>
    <definedName name="Y7_C_SHR">#REF!</definedName>
    <definedName name="Y7_Div">#REF!</definedName>
    <definedName name="Y7_FY">#REF!</definedName>
    <definedName name="Y7_FY1">#REF!</definedName>
    <definedName name="Y7_P_Capex">#REF!</definedName>
    <definedName name="Y7_P_CF">#REF!</definedName>
    <definedName name="Y7_P_Depr">#REF!</definedName>
    <definedName name="Y7_P_EBITDA">#REF!</definedName>
    <definedName name="Y7_P_EPS">#REF!</definedName>
    <definedName name="Y7_P_FCF">#REF!</definedName>
    <definedName name="Y7_P_ND">#REF!</definedName>
    <definedName name="Y7_P_NP">#REF!</definedName>
    <definedName name="Y7_P_OP">#REF!</definedName>
    <definedName name="Y7_P_RP">#REF!</definedName>
    <definedName name="Y7_P_S">#REF!</definedName>
    <definedName name="Y7_P_SE">#REF!</definedName>
    <definedName name="Y7_P_SHR">#REF!</definedName>
    <definedName name="Ydays">#REF!</definedName>
    <definedName name="year">#REF!</definedName>
    <definedName name="Year_End_Employees">#REF!</definedName>
    <definedName name="year_end_month">#REF!</definedName>
    <definedName name="Year_row">#REF!</definedName>
    <definedName name="year_row1">#REF!</definedName>
    <definedName name="year_row2">#REF!</definedName>
    <definedName name="year_row3">#REF!</definedName>
    <definedName name="yearago">#REF!</definedName>
    <definedName name="Years">OFFSET(#REF!,0,0,COUNTA(#REF!)-1)</definedName>
    <definedName name="Years_in_full_stream">#REF!</definedName>
    <definedName name="Years_into_future">#REF!</definedName>
    <definedName name="years_row">#REF!</definedName>
    <definedName name="YEARS_TO_VEST">#REF!</definedName>
    <definedName name="yield">#REF!</definedName>
    <definedName name="YoY">#REF!</definedName>
    <definedName name="YOYM">IF(#REF!=0,"NM",((#REF!/#REF!)-1))</definedName>
    <definedName name="yr_ago_eps">#REF!</definedName>
    <definedName name="yr_ago_rev">#REF!</definedName>
    <definedName name="yr_end_exch_rate_usd">#REF!</definedName>
    <definedName name="YRA3MTH">7</definedName>
    <definedName name="YRACYTD">10</definedName>
    <definedName name="YRAMTH">3</definedName>
    <definedName name="YRAMYTD">13</definedName>
    <definedName name="YRAVOL">5</definedName>
    <definedName name="YRAWEEK">3</definedName>
    <definedName name="YrCheck">#REF!</definedName>
    <definedName name="YSUM">SUM(#REF!)</definedName>
    <definedName name="yy">#REF!</definedName>
    <definedName name="Z_60FA13F0_C7AB_11D5_82BE_0060B0F04987_.wvu.Rows" hidden="1">#REF!</definedName>
    <definedName name="Z_870DA93B_C7EC_11D1_935A_00A0C95F1362_.wvu.PrintArea" hidden="1">#REF!</definedName>
    <definedName name="Z_FY">#REF!</definedName>
    <definedName name="Z_FY1">#REF!</definedName>
    <definedName name="Z1_P_Capex">#REF!</definedName>
    <definedName name="Z1_P_CF">#REF!</definedName>
    <definedName name="Z1_P_Depr">#REF!</definedName>
    <definedName name="Z1_P_Div">#REF!</definedName>
    <definedName name="Z1_P_EBITDA">#REF!</definedName>
    <definedName name="Z1_P_FCF">#REF!</definedName>
    <definedName name="Z1_P_ND">#REF!</definedName>
    <definedName name="Z2_FY">#REF!</definedName>
    <definedName name="Z2_FY1">#REF!</definedName>
    <definedName name="Z2_P_Capex">#REF!</definedName>
    <definedName name="Z2_P_CF">#REF!</definedName>
    <definedName name="Z2_P_Depr">#REF!</definedName>
    <definedName name="Z2_P_EBITDA">#REF!</definedName>
    <definedName name="Z2_P_EPS">#REF!</definedName>
    <definedName name="Z2_P_FCF">#REF!</definedName>
    <definedName name="Z2_P_RP">#REF!</definedName>
    <definedName name="Z2_P_SHR">#REF!</definedName>
    <definedName name="Z4_C_Capex">#REF!</definedName>
    <definedName name="Z4_C_CF">#REF!</definedName>
    <definedName name="Z4_C_Depr">#REF!</definedName>
    <definedName name="Z4_C_EBITDA">#REF!</definedName>
    <definedName name="Z4_C_EPS">#REF!</definedName>
    <definedName name="Z4_C_FCF">#REF!</definedName>
    <definedName name="Z4_C_ND">#REF!</definedName>
    <definedName name="Z4_C_NP">#REF!</definedName>
    <definedName name="Z4_C_OP">#REF!</definedName>
    <definedName name="Z4_C_RP">#REF!</definedName>
    <definedName name="Z4_C_S">#REF!</definedName>
    <definedName name="Z4_C_SE">#REF!</definedName>
    <definedName name="Z4_C_SHR">#REF!</definedName>
    <definedName name="Z4_FY">#REF!</definedName>
    <definedName name="Z4_FY1">#REF!</definedName>
    <definedName name="Z4_P_Capex">#REF!</definedName>
    <definedName name="Z4_P_CF">#REF!</definedName>
    <definedName name="Z4_P_Depr">#REF!</definedName>
    <definedName name="Z4_P_Div">#REF!</definedName>
    <definedName name="Z4_P_EBITDA">#REF!</definedName>
    <definedName name="Z4_P_EPS">#REF!</definedName>
    <definedName name="Z4_P_FCF">#REF!</definedName>
    <definedName name="Z4_P_ND">#REF!</definedName>
    <definedName name="Z4_P_NP">#REF!</definedName>
    <definedName name="Z4_P_OP">#REF!</definedName>
    <definedName name="Z4_P_RP">#REF!</definedName>
    <definedName name="Z4_P_S">#REF!</definedName>
    <definedName name="Z4_P_SE">#REF!</definedName>
    <definedName name="Z4_P_SHR">#REF!</definedName>
    <definedName name="Zero">#REF!</definedName>
    <definedName name="ZP_Div">#REF!</definedName>
    <definedName name="ZP_FCF">#REF!</definedName>
    <definedName name="ZP_ND">#REF!</definedName>
    <definedName name="ZP_RP">#REF!</definedName>
    <definedName name="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401" i="3" l="1"/>
  <c r="CL401" i="3"/>
  <c r="CK401" i="3"/>
  <c r="CJ401" i="3"/>
  <c r="CI401" i="3"/>
  <c r="CG401" i="3"/>
  <c r="CF401" i="3"/>
  <c r="CE401" i="3"/>
  <c r="CD401" i="3"/>
  <c r="CB401" i="3"/>
  <c r="CA401" i="3"/>
  <c r="BZ401" i="3"/>
  <c r="BY401" i="3"/>
  <c r="BW401" i="3"/>
  <c r="BV401" i="3"/>
  <c r="BU401" i="3"/>
  <c r="BT401" i="3"/>
  <c r="CN400" i="3"/>
  <c r="CL400" i="3"/>
  <c r="CK400" i="3"/>
  <c r="CJ400" i="3"/>
  <c r="CI400" i="3"/>
  <c r="CG400" i="3"/>
  <c r="CF400" i="3"/>
  <c r="CE400" i="3"/>
  <c r="CD400" i="3"/>
  <c r="CB400" i="3"/>
  <c r="CA400" i="3"/>
  <c r="BZ400" i="3"/>
  <c r="BY400" i="3"/>
  <c r="BW400" i="3"/>
  <c r="BV400" i="3"/>
  <c r="BU400" i="3"/>
  <c r="BT400" i="3"/>
  <c r="CM399" i="3"/>
  <c r="CH399" i="3"/>
  <c r="CH401" i="3" s="1"/>
  <c r="CC399" i="3"/>
  <c r="BX399" i="3"/>
  <c r="CN396" i="3"/>
  <c r="CO396" i="3" s="1"/>
  <c r="CL396" i="3"/>
  <c r="CK396" i="3"/>
  <c r="CJ396" i="3"/>
  <c r="CI396" i="3"/>
  <c r="CG396" i="3"/>
  <c r="CF396" i="3"/>
  <c r="CE396" i="3"/>
  <c r="CD396" i="3"/>
  <c r="CB396" i="3"/>
  <c r="CA396" i="3"/>
  <c r="BZ396" i="3"/>
  <c r="BY396" i="3"/>
  <c r="BY398" i="3" s="1"/>
  <c r="BW396" i="3"/>
  <c r="BV396" i="3"/>
  <c r="BU396" i="3"/>
  <c r="BU397" i="3" s="1"/>
  <c r="BT396" i="3"/>
  <c r="BT397" i="3" s="1"/>
  <c r="CN395" i="3"/>
  <c r="CL395" i="3"/>
  <c r="CK395" i="3"/>
  <c r="CJ395" i="3"/>
  <c r="CI395" i="3"/>
  <c r="CG395" i="3"/>
  <c r="CF395" i="3"/>
  <c r="CE395" i="3"/>
  <c r="CD395" i="3"/>
  <c r="CB395" i="3"/>
  <c r="CA395" i="3"/>
  <c r="BZ395" i="3"/>
  <c r="BY395" i="3"/>
  <c r="BW395" i="3"/>
  <c r="BV395" i="3"/>
  <c r="BU395" i="3"/>
  <c r="BT395" i="3"/>
  <c r="CN394" i="3"/>
  <c r="CL394" i="3"/>
  <c r="CK394" i="3"/>
  <c r="CJ394" i="3"/>
  <c r="CI394" i="3"/>
  <c r="CG394" i="3"/>
  <c r="CF394" i="3"/>
  <c r="CE394" i="3"/>
  <c r="CD394" i="3"/>
  <c r="CB394" i="3"/>
  <c r="CA394" i="3"/>
  <c r="BZ394" i="3"/>
  <c r="BY394" i="3"/>
  <c r="BW394" i="3"/>
  <c r="BV394" i="3"/>
  <c r="BU394" i="3"/>
  <c r="BT394" i="3"/>
  <c r="CO393" i="3"/>
  <c r="CP393" i="3" s="1"/>
  <c r="CM393" i="3"/>
  <c r="CH393" i="3"/>
  <c r="CC393" i="3"/>
  <c r="BX393" i="3"/>
  <c r="BX395" i="3" s="1"/>
  <c r="CL388" i="3"/>
  <c r="CK388" i="3"/>
  <c r="CJ388" i="3"/>
  <c r="CI388" i="3"/>
  <c r="CG388" i="3"/>
  <c r="CF388" i="3"/>
  <c r="CE388" i="3"/>
  <c r="CD388" i="3"/>
  <c r="CB388" i="3"/>
  <c r="CA388" i="3"/>
  <c r="BZ388" i="3"/>
  <c r="BY388" i="3"/>
  <c r="BW388" i="3"/>
  <c r="BV388" i="3"/>
  <c r="BU388" i="3"/>
  <c r="BT388" i="3"/>
  <c r="EN385" i="3"/>
  <c r="EM385" i="3"/>
  <c r="EL385" i="3"/>
  <c r="EJ385" i="3"/>
  <c r="EJ386" i="3" s="1"/>
  <c r="EI385" i="3"/>
  <c r="EH385" i="3"/>
  <c r="EG385" i="3"/>
  <c r="EE385" i="3"/>
  <c r="ED385" i="3"/>
  <c r="EC385" i="3"/>
  <c r="EC386" i="3" s="1"/>
  <c r="EB385" i="3"/>
  <c r="DZ385" i="3"/>
  <c r="DY385" i="3"/>
  <c r="DX385" i="3"/>
  <c r="DW385" i="3"/>
  <c r="DU385" i="3"/>
  <c r="DT385" i="3"/>
  <c r="DS385" i="3"/>
  <c r="DR385" i="3"/>
  <c r="DP385" i="3"/>
  <c r="DO385" i="3"/>
  <c r="DN385" i="3"/>
  <c r="DM385" i="3"/>
  <c r="DK385" i="3"/>
  <c r="DJ385" i="3"/>
  <c r="DI385" i="3"/>
  <c r="DH385" i="3"/>
  <c r="DF385" i="3"/>
  <c r="DE385" i="3"/>
  <c r="DD385" i="3"/>
  <c r="DC385" i="3"/>
  <c r="DA385" i="3"/>
  <c r="CZ385" i="3"/>
  <c r="CY385" i="3"/>
  <c r="CX385" i="3"/>
  <c r="CV385" i="3"/>
  <c r="CU385" i="3"/>
  <c r="CT385" i="3"/>
  <c r="CS385" i="3"/>
  <c r="CQ385" i="3"/>
  <c r="CP385" i="3"/>
  <c r="CO385" i="3"/>
  <c r="CN385" i="3"/>
  <c r="CL385" i="3"/>
  <c r="CK385" i="3"/>
  <c r="CJ385" i="3"/>
  <c r="CJ386" i="3" s="1"/>
  <c r="CI385" i="3"/>
  <c r="CG385" i="3"/>
  <c r="CF385" i="3"/>
  <c r="CE385" i="3"/>
  <c r="CD385" i="3"/>
  <c r="CB385" i="3"/>
  <c r="CB386" i="3" s="1"/>
  <c r="CA385" i="3"/>
  <c r="BZ385" i="3"/>
  <c r="BY385" i="3"/>
  <c r="CN379" i="3"/>
  <c r="CL379" i="3"/>
  <c r="CK379" i="3"/>
  <c r="CJ379" i="3"/>
  <c r="CI379" i="3"/>
  <c r="CG379" i="3"/>
  <c r="CF379" i="3"/>
  <c r="CE379" i="3"/>
  <c r="CD379" i="3"/>
  <c r="CD380" i="3" s="1"/>
  <c r="CB379" i="3"/>
  <c r="CA379" i="3"/>
  <c r="BZ379" i="3"/>
  <c r="BY379" i="3"/>
  <c r="BW379" i="3"/>
  <c r="BV379" i="3"/>
  <c r="BU379" i="3"/>
  <c r="BT379" i="3"/>
  <c r="EN373" i="3"/>
  <c r="EM373" i="3"/>
  <c r="EL373" i="3"/>
  <c r="EJ373" i="3"/>
  <c r="EI373" i="3"/>
  <c r="EH373" i="3"/>
  <c r="EG373" i="3"/>
  <c r="EE373" i="3"/>
  <c r="ED373" i="3"/>
  <c r="EC373" i="3"/>
  <c r="EB373" i="3"/>
  <c r="DZ373" i="3"/>
  <c r="DY373" i="3"/>
  <c r="DX373" i="3"/>
  <c r="DW373" i="3"/>
  <c r="DU373" i="3"/>
  <c r="DT373" i="3"/>
  <c r="DS373" i="3"/>
  <c r="DR373" i="3"/>
  <c r="DP373" i="3"/>
  <c r="DO373" i="3"/>
  <c r="DN373" i="3"/>
  <c r="DM373" i="3"/>
  <c r="DK373" i="3"/>
  <c r="DJ373" i="3"/>
  <c r="DI373" i="3"/>
  <c r="DH373" i="3"/>
  <c r="DF373" i="3"/>
  <c r="DE373" i="3"/>
  <c r="DD373" i="3"/>
  <c r="DC373" i="3"/>
  <c r="DA373" i="3"/>
  <c r="CZ373" i="3"/>
  <c r="CY373" i="3"/>
  <c r="CX373" i="3"/>
  <c r="CV373" i="3"/>
  <c r="CU373" i="3"/>
  <c r="CT373" i="3"/>
  <c r="CS373" i="3"/>
  <c r="CQ373" i="3"/>
  <c r="CP373" i="3"/>
  <c r="CO373" i="3"/>
  <c r="CN373" i="3"/>
  <c r="CL373" i="3"/>
  <c r="CK373" i="3"/>
  <c r="CJ373" i="3"/>
  <c r="CI373" i="3"/>
  <c r="CG373" i="3"/>
  <c r="CF373" i="3"/>
  <c r="CE373" i="3"/>
  <c r="CD373" i="3"/>
  <c r="CB373" i="3"/>
  <c r="CA373" i="3"/>
  <c r="BZ373" i="3"/>
  <c r="BY373" i="3"/>
  <c r="BW373" i="3"/>
  <c r="BV373" i="3"/>
  <c r="BU373" i="3"/>
  <c r="BU376" i="3" s="1"/>
  <c r="BT373" i="3"/>
  <c r="EH369" i="3"/>
  <c r="EG369" i="3"/>
  <c r="EE369" i="3"/>
  <c r="ED369" i="3"/>
  <c r="EC369" i="3"/>
  <c r="EB369" i="3"/>
  <c r="DZ369" i="3"/>
  <c r="DY369" i="3"/>
  <c r="DX369" i="3"/>
  <c r="DW369" i="3"/>
  <c r="DU369" i="3"/>
  <c r="DT369" i="3"/>
  <c r="DS369" i="3"/>
  <c r="DR369" i="3"/>
  <c r="DP369" i="3"/>
  <c r="DO369" i="3"/>
  <c r="DN369" i="3"/>
  <c r="DM369" i="3"/>
  <c r="DK369" i="3"/>
  <c r="DJ369" i="3"/>
  <c r="DI369" i="3"/>
  <c r="DH369" i="3"/>
  <c r="DF369" i="3"/>
  <c r="DE369" i="3"/>
  <c r="DD369" i="3"/>
  <c r="DC369" i="3"/>
  <c r="DB369" i="3"/>
  <c r="CZ369" i="3"/>
  <c r="CY369" i="3"/>
  <c r="CX369" i="3"/>
  <c r="CW369" i="3"/>
  <c r="EH368" i="3"/>
  <c r="EG368" i="3"/>
  <c r="EE368" i="3"/>
  <c r="ED368" i="3"/>
  <c r="EC368" i="3"/>
  <c r="EB368" i="3"/>
  <c r="DZ368" i="3"/>
  <c r="DY368" i="3"/>
  <c r="DX368" i="3"/>
  <c r="DW368" i="3"/>
  <c r="DU368" i="3"/>
  <c r="DT368" i="3"/>
  <c r="DS368" i="3"/>
  <c r="DR368" i="3"/>
  <c r="DP368" i="3"/>
  <c r="DO368" i="3"/>
  <c r="DN368" i="3"/>
  <c r="DM368" i="3"/>
  <c r="DK368" i="3"/>
  <c r="DJ368" i="3"/>
  <c r="DI368" i="3"/>
  <c r="DH368" i="3"/>
  <c r="DF368" i="3"/>
  <c r="DE368" i="3"/>
  <c r="DD368" i="3"/>
  <c r="DC368" i="3"/>
  <c r="DB368" i="3"/>
  <c r="CZ368" i="3"/>
  <c r="CY368" i="3"/>
  <c r="CX368" i="3"/>
  <c r="CW368" i="3"/>
  <c r="CU368" i="3"/>
  <c r="CT368" i="3"/>
  <c r="CS368" i="3"/>
  <c r="CR368" i="3"/>
  <c r="DK363" i="3"/>
  <c r="DJ363" i="3"/>
  <c r="DI363" i="3"/>
  <c r="DH363" i="3"/>
  <c r="DK362" i="3"/>
  <c r="DK365" i="3" s="1"/>
  <c r="DJ362" i="3"/>
  <c r="DI362" i="3"/>
  <c r="DH362" i="3"/>
  <c r="DH365" i="3" s="1"/>
  <c r="DK359" i="3"/>
  <c r="DJ359" i="3"/>
  <c r="DI359" i="3"/>
  <c r="DH356" i="3"/>
  <c r="DH359" i="3" s="1"/>
  <c r="EF353" i="3"/>
  <c r="EA353" i="3"/>
  <c r="DV353" i="3"/>
  <c r="DQ353" i="3"/>
  <c r="DL353" i="3"/>
  <c r="DG353" i="3"/>
  <c r="DA353" i="3"/>
  <c r="CV353" i="3"/>
  <c r="EF350" i="3"/>
  <c r="EA350" i="3"/>
  <c r="DV350" i="3"/>
  <c r="DQ350" i="3"/>
  <c r="DL350" i="3"/>
  <c r="DG350" i="3"/>
  <c r="EF349" i="3"/>
  <c r="EA349" i="3"/>
  <c r="DV349" i="3"/>
  <c r="DQ349" i="3"/>
  <c r="DL349" i="3"/>
  <c r="DG349" i="3"/>
  <c r="DA349" i="3"/>
  <c r="CV349" i="3"/>
  <c r="EF348" i="3"/>
  <c r="EA348" i="3"/>
  <c r="DV348" i="3"/>
  <c r="DQ348" i="3"/>
  <c r="DL348" i="3"/>
  <c r="DG348" i="3"/>
  <c r="DA348" i="3"/>
  <c r="CV348" i="3"/>
  <c r="EF347" i="3"/>
  <c r="EA347" i="3"/>
  <c r="DV347" i="3"/>
  <c r="DQ347" i="3"/>
  <c r="DL347" i="3"/>
  <c r="DG347" i="3"/>
  <c r="DA347" i="3"/>
  <c r="CV347" i="3"/>
  <c r="CM347" i="3"/>
  <c r="EH345" i="3"/>
  <c r="EG345" i="3"/>
  <c r="EE345" i="3"/>
  <c r="ED345" i="3"/>
  <c r="EC345" i="3"/>
  <c r="EB345" i="3"/>
  <c r="DZ345" i="3"/>
  <c r="DY345" i="3"/>
  <c r="DX345" i="3"/>
  <c r="DW345" i="3"/>
  <c r="DU345" i="3"/>
  <c r="DT345" i="3"/>
  <c r="DS345" i="3"/>
  <c r="DR345" i="3"/>
  <c r="DP345" i="3"/>
  <c r="DO345" i="3"/>
  <c r="DN345" i="3"/>
  <c r="DM345" i="3"/>
  <c r="EF344" i="3"/>
  <c r="EA344" i="3"/>
  <c r="DV344" i="3"/>
  <c r="DQ344" i="3"/>
  <c r="DL344" i="3"/>
  <c r="DG344" i="3"/>
  <c r="DA344" i="3"/>
  <c r="CV344" i="3"/>
  <c r="EF341" i="3"/>
  <c r="EA341" i="3"/>
  <c r="DV341" i="3"/>
  <c r="DQ341" i="3"/>
  <c r="DL341" i="3"/>
  <c r="DG341" i="3"/>
  <c r="EF340" i="3"/>
  <c r="EA340" i="3"/>
  <c r="DV340" i="3"/>
  <c r="DQ340" i="3"/>
  <c r="DL340" i="3"/>
  <c r="DG340" i="3"/>
  <c r="DA340" i="3"/>
  <c r="CV340" i="3"/>
  <c r="EH338" i="3"/>
  <c r="EH339" i="3" s="1"/>
  <c r="EG338" i="3"/>
  <c r="EG339" i="3" s="1"/>
  <c r="EE338" i="3"/>
  <c r="EE339" i="3" s="1"/>
  <c r="ED338" i="3"/>
  <c r="ED339" i="3" s="1"/>
  <c r="EC338" i="3"/>
  <c r="EC339" i="3" s="1"/>
  <c r="EB338" i="3"/>
  <c r="EB339" i="3" s="1"/>
  <c r="EF337" i="3"/>
  <c r="EA337" i="3"/>
  <c r="DV337" i="3"/>
  <c r="DQ337" i="3"/>
  <c r="DL337" i="3"/>
  <c r="DG337" i="3"/>
  <c r="DA337" i="3"/>
  <c r="CV337" i="3"/>
  <c r="EF336" i="3"/>
  <c r="EA336" i="3"/>
  <c r="DV336" i="3"/>
  <c r="DQ336" i="3"/>
  <c r="DL336" i="3"/>
  <c r="DG336" i="3"/>
  <c r="DA336" i="3"/>
  <c r="CV336" i="3"/>
  <c r="CM336" i="3"/>
  <c r="ET302" i="3"/>
  <c r="ET305" i="3" s="1"/>
  <c r="ES302" i="3"/>
  <c r="ER302" i="3"/>
  <c r="ER305" i="3" s="1"/>
  <c r="EQ302" i="3"/>
  <c r="EO302" i="3"/>
  <c r="EN302" i="3"/>
  <c r="EM302" i="3"/>
  <c r="EL302" i="3"/>
  <c r="EJ302" i="3"/>
  <c r="EJ305" i="3" s="1"/>
  <c r="EI302" i="3"/>
  <c r="EI305" i="3" s="1"/>
  <c r="EH302" i="3"/>
  <c r="EG302" i="3"/>
  <c r="EE302" i="3"/>
  <c r="EE305" i="3" s="1"/>
  <c r="ED302" i="3"/>
  <c r="ED305" i="3" s="1"/>
  <c r="EC302" i="3"/>
  <c r="EC305" i="3" s="1"/>
  <c r="EB302" i="3"/>
  <c r="EK298" i="3"/>
  <c r="EF298" i="3"/>
  <c r="EN297" i="3"/>
  <c r="EM297" i="3"/>
  <c r="EL297" i="3"/>
  <c r="EJ297" i="3"/>
  <c r="EI297" i="3"/>
  <c r="EH297" i="3"/>
  <c r="EG297" i="3"/>
  <c r="EE297" i="3"/>
  <c r="ED297" i="3"/>
  <c r="EC297" i="3"/>
  <c r="EB297" i="3"/>
  <c r="EK296" i="3"/>
  <c r="EF296" i="3"/>
  <c r="ET295" i="3"/>
  <c r="ES295" i="3"/>
  <c r="ER295" i="3"/>
  <c r="EN295" i="3"/>
  <c r="EM295" i="3"/>
  <c r="EL295" i="3"/>
  <c r="EJ295" i="3"/>
  <c r="EI295" i="3"/>
  <c r="EH295" i="3"/>
  <c r="EG295" i="3"/>
  <c r="EE295" i="3"/>
  <c r="ED295" i="3"/>
  <c r="EC295" i="3"/>
  <c r="EB295" i="3"/>
  <c r="ET294" i="3"/>
  <c r="ES294" i="3"/>
  <c r="ER294" i="3"/>
  <c r="EQ294" i="3"/>
  <c r="EO294" i="3"/>
  <c r="EL294" i="3"/>
  <c r="EJ294" i="3"/>
  <c r="ET293" i="3"/>
  <c r="ES293" i="3"/>
  <c r="ER293" i="3"/>
  <c r="EQ293" i="3"/>
  <c r="EO293" i="3"/>
  <c r="EN293" i="3"/>
  <c r="EM293" i="3"/>
  <c r="EL293" i="3"/>
  <c r="EJ293" i="3"/>
  <c r="EI293" i="3"/>
  <c r="EH293" i="3"/>
  <c r="EG293" i="3"/>
  <c r="EE293" i="3"/>
  <c r="EU292" i="3"/>
  <c r="EP292" i="3"/>
  <c r="EK292" i="3"/>
  <c r="EF292" i="3"/>
  <c r="CL286" i="3"/>
  <c r="CK286" i="3"/>
  <c r="CJ286" i="3"/>
  <c r="CI286" i="3"/>
  <c r="CG286" i="3"/>
  <c r="CF286" i="3"/>
  <c r="CE286" i="3"/>
  <c r="CD286" i="3"/>
  <c r="CB286" i="3"/>
  <c r="CA286" i="3"/>
  <c r="BZ286" i="3"/>
  <c r="BY286" i="3"/>
  <c r="CL285" i="3"/>
  <c r="CK285" i="3"/>
  <c r="CJ285" i="3"/>
  <c r="CI285" i="3"/>
  <c r="CG285" i="3"/>
  <c r="CF285" i="3"/>
  <c r="CE285" i="3"/>
  <c r="CD285" i="3"/>
  <c r="CB285" i="3"/>
  <c r="CA285" i="3"/>
  <c r="BZ285" i="3"/>
  <c r="BY285" i="3"/>
  <c r="BW285" i="3"/>
  <c r="BV285" i="3"/>
  <c r="BU285" i="3"/>
  <c r="EM284" i="3"/>
  <c r="EL284" i="3"/>
  <c r="EJ284" i="3"/>
  <c r="EI284" i="3"/>
  <c r="EH284" i="3"/>
  <c r="EG284" i="3"/>
  <c r="EE284" i="3"/>
  <c r="ED284" i="3"/>
  <c r="EC284" i="3"/>
  <c r="EB284" i="3"/>
  <c r="DZ284" i="3"/>
  <c r="DY284" i="3"/>
  <c r="DX284" i="3"/>
  <c r="DW284" i="3"/>
  <c r="DU284" i="3"/>
  <c r="DT284" i="3"/>
  <c r="DS284" i="3"/>
  <c r="DR284" i="3"/>
  <c r="DP284" i="3"/>
  <c r="DO284" i="3"/>
  <c r="DN284" i="3"/>
  <c r="DM284" i="3"/>
  <c r="DK284" i="3"/>
  <c r="DJ284" i="3"/>
  <c r="DI284" i="3"/>
  <c r="DH284" i="3"/>
  <c r="DF284" i="3"/>
  <c r="DE284" i="3"/>
  <c r="DD284" i="3"/>
  <c r="DC284" i="3"/>
  <c r="DA284" i="3"/>
  <c r="CZ284" i="3"/>
  <c r="CY284" i="3"/>
  <c r="CX284" i="3"/>
  <c r="CV284" i="3"/>
  <c r="CU284" i="3"/>
  <c r="CT284" i="3"/>
  <c r="CS284" i="3"/>
  <c r="CQ284" i="3"/>
  <c r="CP284" i="3"/>
  <c r="CO284" i="3"/>
  <c r="CN284" i="3"/>
  <c r="CN388" i="3" s="1"/>
  <c r="CM284" i="3"/>
  <c r="CH284" i="3"/>
  <c r="CC284" i="3"/>
  <c r="BX284" i="3"/>
  <c r="EM283" i="3"/>
  <c r="EL283" i="3"/>
  <c r="EJ283" i="3"/>
  <c r="EI283" i="3"/>
  <c r="EH283" i="3"/>
  <c r="EG283" i="3"/>
  <c r="EE283" i="3"/>
  <c r="ED283" i="3"/>
  <c r="EC283" i="3"/>
  <c r="EB283" i="3"/>
  <c r="DZ283" i="3"/>
  <c r="DY283" i="3"/>
  <c r="DX283" i="3"/>
  <c r="DW283" i="3"/>
  <c r="DU283" i="3"/>
  <c r="DT283" i="3"/>
  <c r="DS283" i="3"/>
  <c r="DR283" i="3"/>
  <c r="DP283" i="3"/>
  <c r="DO283" i="3"/>
  <c r="DN283" i="3"/>
  <c r="DM283" i="3"/>
  <c r="DK283" i="3"/>
  <c r="DJ283" i="3"/>
  <c r="DI283" i="3"/>
  <c r="DH283" i="3"/>
  <c r="DF283" i="3"/>
  <c r="DE283" i="3"/>
  <c r="DD283" i="3"/>
  <c r="DC283" i="3"/>
  <c r="DA283" i="3"/>
  <c r="CZ283" i="3"/>
  <c r="CY283" i="3"/>
  <c r="CX283" i="3"/>
  <c r="CV283" i="3"/>
  <c r="CU283" i="3"/>
  <c r="CT283" i="3"/>
  <c r="CS283" i="3"/>
  <c r="EM282" i="3"/>
  <c r="EL282" i="3"/>
  <c r="EJ282" i="3"/>
  <c r="EI282" i="3"/>
  <c r="EH282" i="3"/>
  <c r="EG282" i="3"/>
  <c r="EE282" i="3"/>
  <c r="ED282" i="3"/>
  <c r="EC282" i="3"/>
  <c r="EB282" i="3"/>
  <c r="DZ282" i="3"/>
  <c r="DY282" i="3"/>
  <c r="DX282" i="3"/>
  <c r="DW282" i="3"/>
  <c r="DU282" i="3"/>
  <c r="DT282" i="3"/>
  <c r="DS282" i="3"/>
  <c r="DR282" i="3"/>
  <c r="DP282" i="3"/>
  <c r="DO282" i="3"/>
  <c r="DN282" i="3"/>
  <c r="DM282" i="3"/>
  <c r="DK282" i="3"/>
  <c r="DJ282" i="3"/>
  <c r="DI282" i="3"/>
  <c r="DH282" i="3"/>
  <c r="DF282" i="3"/>
  <c r="DE282" i="3"/>
  <c r="DD282" i="3"/>
  <c r="DC282" i="3"/>
  <c r="DA282" i="3"/>
  <c r="CZ282" i="3"/>
  <c r="CY282" i="3"/>
  <c r="CX282" i="3"/>
  <c r="CV282" i="3"/>
  <c r="CU282" i="3"/>
  <c r="CT282" i="3"/>
  <c r="CS282" i="3"/>
  <c r="CQ282" i="3"/>
  <c r="CP282" i="3"/>
  <c r="CO282" i="3"/>
  <c r="EN281" i="3"/>
  <c r="EO281" i="3" s="1"/>
  <c r="CL281" i="3"/>
  <c r="CK281" i="3"/>
  <c r="CJ281" i="3"/>
  <c r="CI281" i="3"/>
  <c r="CN283" i="3" s="1"/>
  <c r="CG281" i="3"/>
  <c r="CF281" i="3"/>
  <c r="CE281" i="3"/>
  <c r="CD281" i="3"/>
  <c r="CB281" i="3"/>
  <c r="CA281" i="3"/>
  <c r="BZ281" i="3"/>
  <c r="BY281" i="3"/>
  <c r="BW281" i="3"/>
  <c r="BV281" i="3"/>
  <c r="BU281" i="3"/>
  <c r="BT281" i="3"/>
  <c r="EN280" i="3"/>
  <c r="EM280" i="3"/>
  <c r="EL280" i="3"/>
  <c r="EJ280" i="3"/>
  <c r="EI280" i="3"/>
  <c r="EH280" i="3"/>
  <c r="EG280" i="3"/>
  <c r="EE280" i="3"/>
  <c r="ED280" i="3"/>
  <c r="EC280" i="3"/>
  <c r="EB280" i="3"/>
  <c r="DZ280" i="3"/>
  <c r="DY280" i="3"/>
  <c r="DX280" i="3"/>
  <c r="DW280" i="3"/>
  <c r="DU280" i="3"/>
  <c r="DT280" i="3"/>
  <c r="DS280" i="3"/>
  <c r="DR280" i="3"/>
  <c r="DP280" i="3"/>
  <c r="DO280" i="3"/>
  <c r="DN280" i="3"/>
  <c r="DM280" i="3"/>
  <c r="DK280" i="3"/>
  <c r="DJ280" i="3"/>
  <c r="DI280" i="3"/>
  <c r="DH280" i="3"/>
  <c r="DF280" i="3"/>
  <c r="DE280" i="3"/>
  <c r="DD280" i="3"/>
  <c r="DC280" i="3"/>
  <c r="DA280" i="3"/>
  <c r="CZ280" i="3"/>
  <c r="CY280" i="3"/>
  <c r="CX280" i="3"/>
  <c r="CV280" i="3"/>
  <c r="CU280" i="3"/>
  <c r="CT280" i="3"/>
  <c r="CS280" i="3"/>
  <c r="CQ280" i="3"/>
  <c r="CP280" i="3"/>
  <c r="CO280" i="3"/>
  <c r="CN280" i="3"/>
  <c r="CL280" i="3"/>
  <c r="CK280" i="3"/>
  <c r="CJ280" i="3"/>
  <c r="CI280" i="3"/>
  <c r="CG280" i="3"/>
  <c r="CF280" i="3"/>
  <c r="CE280" i="3"/>
  <c r="CD280" i="3"/>
  <c r="CB280" i="3"/>
  <c r="CA280" i="3"/>
  <c r="BZ280" i="3"/>
  <c r="BY280" i="3"/>
  <c r="EN279" i="3"/>
  <c r="EM279" i="3"/>
  <c r="EL279" i="3"/>
  <c r="EJ279" i="3"/>
  <c r="EI279" i="3"/>
  <c r="EH279" i="3"/>
  <c r="EG279" i="3"/>
  <c r="EE279" i="3"/>
  <c r="ED279" i="3"/>
  <c r="EC279" i="3"/>
  <c r="EB279" i="3"/>
  <c r="DZ279" i="3"/>
  <c r="DY279" i="3"/>
  <c r="DX279" i="3"/>
  <c r="DW279" i="3"/>
  <c r="DU279" i="3"/>
  <c r="DT279" i="3"/>
  <c r="DS279" i="3"/>
  <c r="DR279" i="3"/>
  <c r="DP279" i="3"/>
  <c r="DO279" i="3"/>
  <c r="DN279" i="3"/>
  <c r="DM279" i="3"/>
  <c r="DK279" i="3"/>
  <c r="DJ279" i="3"/>
  <c r="DI279" i="3"/>
  <c r="DH279" i="3"/>
  <c r="DF279" i="3"/>
  <c r="DE279" i="3"/>
  <c r="DD279" i="3"/>
  <c r="DC279" i="3"/>
  <c r="DA279" i="3"/>
  <c r="CZ279" i="3"/>
  <c r="CY279" i="3"/>
  <c r="CX279" i="3"/>
  <c r="CV279" i="3"/>
  <c r="CU279" i="3"/>
  <c r="CT279" i="3"/>
  <c r="CS279" i="3"/>
  <c r="CQ279" i="3"/>
  <c r="CP279" i="3"/>
  <c r="CO279" i="3"/>
  <c r="CN279" i="3"/>
  <c r="CL279" i="3"/>
  <c r="CK279" i="3"/>
  <c r="CJ279" i="3"/>
  <c r="CI279" i="3"/>
  <c r="CG279" i="3"/>
  <c r="CF279" i="3"/>
  <c r="CE279" i="3"/>
  <c r="CD279" i="3"/>
  <c r="CB279" i="3"/>
  <c r="CA279" i="3"/>
  <c r="BZ279" i="3"/>
  <c r="BY279" i="3"/>
  <c r="BW279" i="3"/>
  <c r="BV279" i="3"/>
  <c r="BU279" i="3"/>
  <c r="EO278" i="3"/>
  <c r="EK278" i="3"/>
  <c r="EF278" i="3"/>
  <c r="EA278" i="3"/>
  <c r="DV278" i="3"/>
  <c r="DQ278" i="3"/>
  <c r="DL278" i="3"/>
  <c r="DG278" i="3"/>
  <c r="DB278" i="3"/>
  <c r="CW278" i="3"/>
  <c r="CR278" i="3"/>
  <c r="CM278" i="3"/>
  <c r="CH278" i="3"/>
  <c r="CC278" i="3"/>
  <c r="BX278" i="3"/>
  <c r="EK275" i="3"/>
  <c r="EF275" i="3"/>
  <c r="EK274" i="3"/>
  <c r="EF274" i="3"/>
  <c r="ET269" i="3"/>
  <c r="ES269" i="3"/>
  <c r="ER269" i="3"/>
  <c r="EQ269" i="3"/>
  <c r="EO269" i="3"/>
  <c r="ET268" i="3"/>
  <c r="EO268" i="3"/>
  <c r="EJ268" i="3"/>
  <c r="ES267" i="3"/>
  <c r="ER267" i="3"/>
  <c r="EQ267" i="3"/>
  <c r="EN267" i="3"/>
  <c r="EM267" i="3"/>
  <c r="EL267" i="3"/>
  <c r="EI267" i="3"/>
  <c r="EH267" i="3"/>
  <c r="EG267" i="3"/>
  <c r="ET265" i="3"/>
  <c r="ET264" i="3"/>
  <c r="ES264" i="3"/>
  <c r="ER264" i="3"/>
  <c r="EQ264" i="3"/>
  <c r="EU263" i="3"/>
  <c r="EN263" i="3"/>
  <c r="ES265" i="3" s="1"/>
  <c r="EM263" i="3"/>
  <c r="EL263" i="3"/>
  <c r="EJ263" i="3"/>
  <c r="EI263" i="3"/>
  <c r="EI269" i="3" s="1"/>
  <c r="EH263" i="3"/>
  <c r="EH269" i="3" s="1"/>
  <c r="EG263" i="3"/>
  <c r="EG269" i="3" s="1"/>
  <c r="EE263" i="3"/>
  <c r="ED263" i="3"/>
  <c r="EC263" i="3"/>
  <c r="EC269" i="3" s="1"/>
  <c r="EB263" i="3"/>
  <c r="EB269" i="3" s="1"/>
  <c r="ET262" i="3"/>
  <c r="ES262" i="3"/>
  <c r="ER262" i="3"/>
  <c r="EQ262" i="3"/>
  <c r="EO262" i="3"/>
  <c r="EN262" i="3"/>
  <c r="EM262" i="3"/>
  <c r="EL262" i="3"/>
  <c r="EJ262" i="3"/>
  <c r="EI262" i="3"/>
  <c r="EH262" i="3"/>
  <c r="EG262" i="3"/>
  <c r="EE262" i="3"/>
  <c r="ED262" i="3"/>
  <c r="EC262" i="3"/>
  <c r="EB262" i="3"/>
  <c r="ET261" i="3"/>
  <c r="EO261" i="3"/>
  <c r="EJ261" i="3"/>
  <c r="ES260" i="3"/>
  <c r="ER260" i="3"/>
  <c r="EQ260" i="3"/>
  <c r="EN260" i="3"/>
  <c r="EM260" i="3"/>
  <c r="EL260" i="3"/>
  <c r="EI260" i="3"/>
  <c r="EH260" i="3"/>
  <c r="EG260" i="3"/>
  <c r="EE260" i="3"/>
  <c r="ED260" i="3"/>
  <c r="EC260" i="3"/>
  <c r="ET258" i="3"/>
  <c r="ES258" i="3"/>
  <c r="ER258" i="3"/>
  <c r="EQ258" i="3"/>
  <c r="EO258" i="3"/>
  <c r="EN258" i="3"/>
  <c r="EM258" i="3"/>
  <c r="EL258" i="3"/>
  <c r="EJ258" i="3"/>
  <c r="ET257" i="3"/>
  <c r="ES257" i="3"/>
  <c r="ER257" i="3"/>
  <c r="EQ257" i="3"/>
  <c r="EO257" i="3"/>
  <c r="EN257" i="3"/>
  <c r="EM257" i="3"/>
  <c r="EL257" i="3"/>
  <c r="EJ257" i="3"/>
  <c r="EI257" i="3"/>
  <c r="EH257" i="3"/>
  <c r="EG257" i="3"/>
  <c r="EE257" i="3"/>
  <c r="EU256" i="3"/>
  <c r="EP256" i="3"/>
  <c r="EK256" i="3"/>
  <c r="EF256" i="3"/>
  <c r="EN251" i="3"/>
  <c r="EM251" i="3"/>
  <c r="EL251" i="3"/>
  <c r="EJ251" i="3"/>
  <c r="EI251" i="3"/>
  <c r="EH251" i="3"/>
  <c r="EG251" i="3"/>
  <c r="EE251" i="3"/>
  <c r="ED251" i="3"/>
  <c r="EC251" i="3"/>
  <c r="EB251" i="3"/>
  <c r="EK250" i="3"/>
  <c r="EF250" i="3"/>
  <c r="EN249" i="3"/>
  <c r="EM249" i="3"/>
  <c r="EL249" i="3"/>
  <c r="EJ249" i="3"/>
  <c r="EI249" i="3"/>
  <c r="EH249" i="3"/>
  <c r="EG249" i="3"/>
  <c r="EE249" i="3"/>
  <c r="ED249" i="3"/>
  <c r="EC249" i="3"/>
  <c r="EB249" i="3"/>
  <c r="ET248" i="3"/>
  <c r="ES248" i="3"/>
  <c r="ER248" i="3"/>
  <c r="EQ248" i="3"/>
  <c r="EO248" i="3"/>
  <c r="EN248" i="3"/>
  <c r="EM248" i="3"/>
  <c r="EL248" i="3"/>
  <c r="EJ248" i="3"/>
  <c r="EI248" i="3"/>
  <c r="EH248" i="3"/>
  <c r="EG248" i="3"/>
  <c r="ES247" i="3"/>
  <c r="ER247" i="3"/>
  <c r="EQ247" i="3"/>
  <c r="EO247" i="3"/>
  <c r="EN247" i="3"/>
  <c r="EM247" i="3"/>
  <c r="EL247" i="3"/>
  <c r="EJ247" i="3"/>
  <c r="EI247" i="3"/>
  <c r="EH247" i="3"/>
  <c r="EG247" i="3"/>
  <c r="EE247" i="3"/>
  <c r="ED247" i="3"/>
  <c r="EC247" i="3"/>
  <c r="EU246" i="3"/>
  <c r="EP246" i="3"/>
  <c r="EK246" i="3"/>
  <c r="EF246" i="3"/>
  <c r="EN227" i="3"/>
  <c r="EM227" i="3"/>
  <c r="EL227" i="3"/>
  <c r="EJ227" i="3"/>
  <c r="EI227" i="3"/>
  <c r="EH227" i="3"/>
  <c r="EG227" i="3"/>
  <c r="ED227" i="3"/>
  <c r="EC227" i="3"/>
  <c r="EB227" i="3"/>
  <c r="DZ227" i="3"/>
  <c r="DY227" i="3"/>
  <c r="DX227" i="3"/>
  <c r="DW227" i="3"/>
  <c r="DU227" i="3"/>
  <c r="DT227" i="3"/>
  <c r="DS227" i="3"/>
  <c r="DR227" i="3"/>
  <c r="DP227" i="3"/>
  <c r="DO227" i="3"/>
  <c r="DN227" i="3"/>
  <c r="DM227" i="3"/>
  <c r="DK227" i="3"/>
  <c r="DJ227" i="3"/>
  <c r="DI227" i="3"/>
  <c r="DH227" i="3"/>
  <c r="DF227" i="3"/>
  <c r="DE227" i="3"/>
  <c r="DD227" i="3"/>
  <c r="DC227" i="3"/>
  <c r="DA227" i="3"/>
  <c r="CZ227" i="3"/>
  <c r="CZ228" i="3" s="1"/>
  <c r="CY227" i="3"/>
  <c r="CX227" i="3"/>
  <c r="CV227" i="3"/>
  <c r="EB223" i="3"/>
  <c r="DZ223" i="3"/>
  <c r="DY223" i="3"/>
  <c r="DX223" i="3"/>
  <c r="DW223" i="3"/>
  <c r="DU223" i="3"/>
  <c r="DT223" i="3"/>
  <c r="DS223" i="3"/>
  <c r="DR223" i="3"/>
  <c r="DP223" i="3"/>
  <c r="DO223" i="3"/>
  <c r="DN223" i="3"/>
  <c r="DM223" i="3"/>
  <c r="DK223" i="3"/>
  <c r="DJ223" i="3"/>
  <c r="DI223" i="3"/>
  <c r="DH223" i="3"/>
  <c r="DF223" i="3"/>
  <c r="DE223" i="3"/>
  <c r="DD223" i="3"/>
  <c r="DC223" i="3"/>
  <c r="DA223" i="3"/>
  <c r="CZ223" i="3"/>
  <c r="CY223" i="3"/>
  <c r="CX223" i="3"/>
  <c r="EB222" i="3"/>
  <c r="DZ222" i="3"/>
  <c r="DY222" i="3"/>
  <c r="DW222" i="3"/>
  <c r="DU222" i="3"/>
  <c r="DT222" i="3"/>
  <c r="DS222" i="3"/>
  <c r="DR222" i="3"/>
  <c r="DP222" i="3"/>
  <c r="DO222" i="3"/>
  <c r="DN222" i="3"/>
  <c r="DM222" i="3"/>
  <c r="DK222" i="3"/>
  <c r="DJ222" i="3"/>
  <c r="DI222" i="3"/>
  <c r="DH222" i="3"/>
  <c r="DE222" i="3"/>
  <c r="DD222" i="3"/>
  <c r="DC222" i="3"/>
  <c r="EB221" i="3"/>
  <c r="DZ221" i="3"/>
  <c r="DY221" i="3"/>
  <c r="DX221" i="3"/>
  <c r="DW221" i="3"/>
  <c r="DU221" i="3"/>
  <c r="DT221" i="3"/>
  <c r="DS221" i="3"/>
  <c r="DR221" i="3"/>
  <c r="DP221" i="3"/>
  <c r="DO221" i="3"/>
  <c r="DN221" i="3"/>
  <c r="DM221" i="3"/>
  <c r="DK221" i="3"/>
  <c r="DJ221" i="3"/>
  <c r="DI221" i="3"/>
  <c r="DH221" i="3"/>
  <c r="DF221" i="3"/>
  <c r="DE221" i="3"/>
  <c r="DD221" i="3"/>
  <c r="DC221" i="3"/>
  <c r="DA221" i="3"/>
  <c r="CZ221" i="3"/>
  <c r="CY221" i="3"/>
  <c r="ED220" i="3"/>
  <c r="ED223" i="3" s="1"/>
  <c r="EC220" i="3"/>
  <c r="EC223" i="3" s="1"/>
  <c r="EA220" i="3"/>
  <c r="DV220" i="3"/>
  <c r="DQ220" i="3"/>
  <c r="DL220" i="3"/>
  <c r="DG220" i="3"/>
  <c r="DG222" i="3" s="1"/>
  <c r="DB220" i="3"/>
  <c r="DF222" i="3" s="1"/>
  <c r="EN219" i="3"/>
  <c r="EM219" i="3"/>
  <c r="EL219" i="3"/>
  <c r="EI219" i="3"/>
  <c r="EH219" i="3"/>
  <c r="EG219" i="3"/>
  <c r="ED219" i="3"/>
  <c r="EC219" i="3"/>
  <c r="EB219" i="3"/>
  <c r="DZ219" i="3"/>
  <c r="DY219" i="3"/>
  <c r="DX219" i="3"/>
  <c r="DW219" i="3"/>
  <c r="DU219" i="3"/>
  <c r="DT219" i="3"/>
  <c r="DS219" i="3"/>
  <c r="DR219" i="3"/>
  <c r="DP219" i="3"/>
  <c r="DO219" i="3"/>
  <c r="DN219" i="3"/>
  <c r="DM219" i="3"/>
  <c r="DK219" i="3"/>
  <c r="DJ219" i="3"/>
  <c r="DI219" i="3"/>
  <c r="DH219" i="3"/>
  <c r="DF219" i="3"/>
  <c r="DE219" i="3"/>
  <c r="DD219" i="3"/>
  <c r="DC219" i="3"/>
  <c r="EN218" i="3"/>
  <c r="EM218" i="3"/>
  <c r="EL218" i="3"/>
  <c r="EJ218" i="3"/>
  <c r="EI218" i="3"/>
  <c r="EH218" i="3"/>
  <c r="ED218" i="3"/>
  <c r="EC218" i="3"/>
  <c r="EB218" i="3"/>
  <c r="DZ218" i="3"/>
  <c r="DY218" i="3"/>
  <c r="DX218" i="3"/>
  <c r="DW218" i="3"/>
  <c r="DU218" i="3"/>
  <c r="DT218" i="3"/>
  <c r="DS218" i="3"/>
  <c r="DR218" i="3"/>
  <c r="DP218" i="3"/>
  <c r="DO218" i="3"/>
  <c r="DN218" i="3"/>
  <c r="DM218" i="3"/>
  <c r="DK218" i="3"/>
  <c r="DJ218" i="3"/>
  <c r="DI218" i="3"/>
  <c r="DH218" i="3"/>
  <c r="DF218" i="3"/>
  <c r="DE218" i="3"/>
  <c r="DD218" i="3"/>
  <c r="DC218" i="3"/>
  <c r="DA218" i="3"/>
  <c r="CZ218" i="3"/>
  <c r="CY218" i="3"/>
  <c r="CX218" i="3"/>
  <c r="EO217" i="3"/>
  <c r="EP217" i="3" s="1"/>
  <c r="EK217" i="3"/>
  <c r="EE217" i="3"/>
  <c r="EE219" i="3" s="1"/>
  <c r="EA217" i="3"/>
  <c r="DV217" i="3"/>
  <c r="DQ217" i="3"/>
  <c r="DL217" i="3"/>
  <c r="DG217" i="3"/>
  <c r="DB217" i="3"/>
  <c r="EH213" i="3"/>
  <c r="EG213" i="3"/>
  <c r="EE213" i="3"/>
  <c r="ED213" i="3"/>
  <c r="ED311" i="3" s="1"/>
  <c r="EC213" i="3"/>
  <c r="EC311" i="3" s="1"/>
  <c r="EB213" i="3"/>
  <c r="DZ213" i="3"/>
  <c r="DY213" i="3"/>
  <c r="DX213" i="3"/>
  <c r="DW213" i="3"/>
  <c r="DU213" i="3"/>
  <c r="DT213" i="3"/>
  <c r="DS213" i="3"/>
  <c r="DR213" i="3"/>
  <c r="DP213" i="3"/>
  <c r="DO213" i="3"/>
  <c r="DN213" i="3"/>
  <c r="DM213" i="3"/>
  <c r="DK213" i="3"/>
  <c r="DJ213" i="3"/>
  <c r="DI213" i="3"/>
  <c r="DH213" i="3"/>
  <c r="DF213" i="3"/>
  <c r="DE213" i="3"/>
  <c r="DD213" i="3"/>
  <c r="DC213" i="3"/>
  <c r="DA213" i="3"/>
  <c r="CZ213" i="3"/>
  <c r="CY213" i="3"/>
  <c r="CX213" i="3"/>
  <c r="EH212" i="3"/>
  <c r="EG212" i="3"/>
  <c r="EE212" i="3"/>
  <c r="ED212" i="3"/>
  <c r="EC212" i="3"/>
  <c r="EB212" i="3"/>
  <c r="DZ212" i="3"/>
  <c r="DY212" i="3"/>
  <c r="DX212" i="3"/>
  <c r="DW212" i="3"/>
  <c r="DU212" i="3"/>
  <c r="DT212" i="3"/>
  <c r="DS212" i="3"/>
  <c r="DR212" i="3"/>
  <c r="DP212" i="3"/>
  <c r="DO212" i="3"/>
  <c r="DN212" i="3"/>
  <c r="DM212" i="3"/>
  <c r="DK212" i="3"/>
  <c r="DJ212" i="3"/>
  <c r="DI212" i="3"/>
  <c r="DH212" i="3"/>
  <c r="DE212" i="3"/>
  <c r="DD212" i="3"/>
  <c r="DC212" i="3"/>
  <c r="EH211" i="3"/>
  <c r="EG211" i="3"/>
  <c r="EE211" i="3"/>
  <c r="ED211" i="3"/>
  <c r="EC211" i="3"/>
  <c r="EB211" i="3"/>
  <c r="DZ211" i="3"/>
  <c r="DY211" i="3"/>
  <c r="DX211" i="3"/>
  <c r="DW211" i="3"/>
  <c r="DU211" i="3"/>
  <c r="DT211" i="3"/>
  <c r="DS211" i="3"/>
  <c r="DR211" i="3"/>
  <c r="DP211" i="3"/>
  <c r="DO211" i="3"/>
  <c r="DN211" i="3"/>
  <c r="DM211" i="3"/>
  <c r="DK211" i="3"/>
  <c r="DJ211" i="3"/>
  <c r="DI211" i="3"/>
  <c r="DH211" i="3"/>
  <c r="DF211" i="3"/>
  <c r="DE211" i="3"/>
  <c r="DD211" i="3"/>
  <c r="DC211" i="3"/>
  <c r="DA211" i="3"/>
  <c r="CZ211" i="3"/>
  <c r="CY211" i="3"/>
  <c r="EI210" i="3"/>
  <c r="EI212" i="3" s="1"/>
  <c r="EF210" i="3"/>
  <c r="EA210" i="3"/>
  <c r="DV210" i="3"/>
  <c r="DQ210" i="3"/>
  <c r="DL210" i="3"/>
  <c r="DG210" i="3"/>
  <c r="DB210" i="3"/>
  <c r="DF212" i="3" s="1"/>
  <c r="EN209" i="3"/>
  <c r="EM209" i="3"/>
  <c r="EL209" i="3"/>
  <c r="EJ209" i="3"/>
  <c r="EI209" i="3"/>
  <c r="EH209" i="3"/>
  <c r="EG209" i="3"/>
  <c r="EE209" i="3"/>
  <c r="ED209" i="3"/>
  <c r="EC209" i="3"/>
  <c r="EB209" i="3"/>
  <c r="DZ209" i="3"/>
  <c r="DY209" i="3"/>
  <c r="DX209" i="3"/>
  <c r="DW209" i="3"/>
  <c r="DU209" i="3"/>
  <c r="DT209" i="3"/>
  <c r="DS209" i="3"/>
  <c r="DR209" i="3"/>
  <c r="DP209" i="3"/>
  <c r="DO209" i="3"/>
  <c r="DN209" i="3"/>
  <c r="DM209" i="3"/>
  <c r="DK209" i="3"/>
  <c r="DJ209" i="3"/>
  <c r="DI209" i="3"/>
  <c r="DH209" i="3"/>
  <c r="DF209" i="3"/>
  <c r="DE209" i="3"/>
  <c r="DD209" i="3"/>
  <c r="DC209" i="3"/>
  <c r="EN208" i="3"/>
  <c r="EM208" i="3"/>
  <c r="EL208" i="3"/>
  <c r="EJ208" i="3"/>
  <c r="EI208" i="3"/>
  <c r="EH208" i="3"/>
  <c r="EG208" i="3"/>
  <c r="EE208" i="3"/>
  <c r="ED208" i="3"/>
  <c r="EC208" i="3"/>
  <c r="EB208" i="3"/>
  <c r="DZ208" i="3"/>
  <c r="DY208" i="3"/>
  <c r="DX208" i="3"/>
  <c r="DW208" i="3"/>
  <c r="DU208" i="3"/>
  <c r="DT208" i="3"/>
  <c r="DS208" i="3"/>
  <c r="DR208" i="3"/>
  <c r="DP208" i="3"/>
  <c r="DO208" i="3"/>
  <c r="DN208" i="3"/>
  <c r="DM208" i="3"/>
  <c r="DK208" i="3"/>
  <c r="DJ208" i="3"/>
  <c r="DI208" i="3"/>
  <c r="DH208" i="3"/>
  <c r="DF208" i="3"/>
  <c r="DE208" i="3"/>
  <c r="DD208" i="3"/>
  <c r="DC208" i="3"/>
  <c r="DA208" i="3"/>
  <c r="CZ208" i="3"/>
  <c r="CY208" i="3"/>
  <c r="CX208" i="3"/>
  <c r="EO207" i="3"/>
  <c r="EK207" i="3"/>
  <c r="EF207" i="3"/>
  <c r="EA207" i="3"/>
  <c r="DV207" i="3"/>
  <c r="DQ207" i="3"/>
  <c r="DL207" i="3"/>
  <c r="DG207" i="3"/>
  <c r="DB207" i="3"/>
  <c r="CN201" i="3"/>
  <c r="CL201" i="3"/>
  <c r="CK201" i="3"/>
  <c r="CJ201" i="3"/>
  <c r="CI201" i="3"/>
  <c r="CG201" i="3"/>
  <c r="CF201" i="3"/>
  <c r="CE201" i="3"/>
  <c r="CD201" i="3"/>
  <c r="CB201" i="3"/>
  <c r="CA201" i="3"/>
  <c r="BZ201" i="3"/>
  <c r="BY201" i="3"/>
  <c r="BW201" i="3"/>
  <c r="BV201" i="3"/>
  <c r="BU201" i="3"/>
  <c r="BT201" i="3"/>
  <c r="CN199" i="3"/>
  <c r="CL199" i="3"/>
  <c r="CK199" i="3"/>
  <c r="CJ199" i="3"/>
  <c r="CI199" i="3"/>
  <c r="CG199" i="3"/>
  <c r="CF199" i="3"/>
  <c r="CE199" i="3"/>
  <c r="CD199" i="3"/>
  <c r="CB199" i="3"/>
  <c r="CA199" i="3"/>
  <c r="BZ199" i="3"/>
  <c r="BY199" i="3"/>
  <c r="CN198" i="3"/>
  <c r="CL198" i="3"/>
  <c r="CK198" i="3"/>
  <c r="CJ198" i="3"/>
  <c r="CG198" i="3"/>
  <c r="CF198" i="3"/>
  <c r="CE198" i="3"/>
  <c r="CB198" i="3"/>
  <c r="CA198" i="3"/>
  <c r="BZ198" i="3"/>
  <c r="BW198" i="3"/>
  <c r="BV198" i="3"/>
  <c r="BU198" i="3"/>
  <c r="EM197" i="3"/>
  <c r="EL197" i="3"/>
  <c r="EJ197" i="3"/>
  <c r="EI197" i="3"/>
  <c r="EH197" i="3"/>
  <c r="EG197" i="3"/>
  <c r="EE197" i="3"/>
  <c r="ED197" i="3"/>
  <c r="EC197" i="3"/>
  <c r="EB197" i="3"/>
  <c r="DZ197" i="3"/>
  <c r="DY197" i="3"/>
  <c r="DX197" i="3"/>
  <c r="DW197" i="3"/>
  <c r="DU197" i="3"/>
  <c r="DT197" i="3"/>
  <c r="DS197" i="3"/>
  <c r="DR197" i="3"/>
  <c r="DP197" i="3"/>
  <c r="DO197" i="3"/>
  <c r="DN197" i="3"/>
  <c r="DM197" i="3"/>
  <c r="DK197" i="3"/>
  <c r="DJ197" i="3"/>
  <c r="DI197" i="3"/>
  <c r="DH197" i="3"/>
  <c r="DF197" i="3"/>
  <c r="DE197" i="3"/>
  <c r="DD197" i="3"/>
  <c r="DC197" i="3"/>
  <c r="DA197" i="3"/>
  <c r="CZ197" i="3"/>
  <c r="CY197" i="3"/>
  <c r="CX197" i="3"/>
  <c r="CV197" i="3"/>
  <c r="CU197" i="3"/>
  <c r="CT197" i="3"/>
  <c r="CS197" i="3"/>
  <c r="CQ197" i="3"/>
  <c r="CP197" i="3"/>
  <c r="CO197" i="3"/>
  <c r="CO198" i="3" s="1"/>
  <c r="CM197" i="3"/>
  <c r="CH197" i="3"/>
  <c r="CC197" i="3"/>
  <c r="BX197" i="3"/>
  <c r="BY198" i="3" s="1"/>
  <c r="EM196" i="3"/>
  <c r="EL196" i="3"/>
  <c r="EJ196" i="3"/>
  <c r="EI196" i="3"/>
  <c r="EH196" i="3"/>
  <c r="EG196" i="3"/>
  <c r="EE196" i="3"/>
  <c r="ED196" i="3"/>
  <c r="EC196" i="3"/>
  <c r="EB196" i="3"/>
  <c r="DZ196" i="3"/>
  <c r="DY196" i="3"/>
  <c r="DX196" i="3"/>
  <c r="DW196" i="3"/>
  <c r="DU196" i="3"/>
  <c r="DT196" i="3"/>
  <c r="DS196" i="3"/>
  <c r="DR196" i="3"/>
  <c r="DP196" i="3"/>
  <c r="DO196" i="3"/>
  <c r="DN196" i="3"/>
  <c r="DM196" i="3"/>
  <c r="DK196" i="3"/>
  <c r="DJ196" i="3"/>
  <c r="DI196" i="3"/>
  <c r="DH196" i="3"/>
  <c r="DF196" i="3"/>
  <c r="DE196" i="3"/>
  <c r="DD196" i="3"/>
  <c r="DC196" i="3"/>
  <c r="DA196" i="3"/>
  <c r="CZ196" i="3"/>
  <c r="CY196" i="3"/>
  <c r="CX196" i="3"/>
  <c r="CV196" i="3"/>
  <c r="CU196" i="3"/>
  <c r="CT196" i="3"/>
  <c r="EM195" i="3"/>
  <c r="EJ195" i="3"/>
  <c r="EI195" i="3"/>
  <c r="EH195" i="3"/>
  <c r="EG195" i="3"/>
  <c r="EE195" i="3"/>
  <c r="ED195" i="3"/>
  <c r="EC195" i="3"/>
  <c r="EB195" i="3"/>
  <c r="DZ195" i="3"/>
  <c r="DY195" i="3"/>
  <c r="DX195" i="3"/>
  <c r="DW195" i="3"/>
  <c r="DU195" i="3"/>
  <c r="DT195" i="3"/>
  <c r="DS195" i="3"/>
  <c r="DR195" i="3"/>
  <c r="DP195" i="3"/>
  <c r="DO195" i="3"/>
  <c r="DN195" i="3"/>
  <c r="DM195" i="3"/>
  <c r="DK195" i="3"/>
  <c r="DJ195" i="3"/>
  <c r="DI195" i="3"/>
  <c r="DH195" i="3"/>
  <c r="DF195" i="3"/>
  <c r="DE195" i="3"/>
  <c r="DD195" i="3"/>
  <c r="DC195" i="3"/>
  <c r="DA195" i="3"/>
  <c r="CZ195" i="3"/>
  <c r="CY195" i="3"/>
  <c r="CX195" i="3"/>
  <c r="CV195" i="3"/>
  <c r="CU195" i="3"/>
  <c r="CT195" i="3"/>
  <c r="CS195" i="3"/>
  <c r="CQ195" i="3"/>
  <c r="CP195" i="3"/>
  <c r="EN194" i="3"/>
  <c r="EO194" i="3" s="1"/>
  <c r="CN194" i="3"/>
  <c r="CL194" i="3"/>
  <c r="CQ196" i="3" s="1"/>
  <c r="CK194" i="3"/>
  <c r="CP196" i="3" s="1"/>
  <c r="CJ194" i="3"/>
  <c r="CO196" i="3" s="1"/>
  <c r="CI194" i="3"/>
  <c r="CG194" i="3"/>
  <c r="CF194" i="3"/>
  <c r="CE194" i="3"/>
  <c r="CD194" i="3"/>
  <c r="CB194" i="3"/>
  <c r="CA194" i="3"/>
  <c r="BZ194" i="3"/>
  <c r="BY194" i="3"/>
  <c r="BW194" i="3"/>
  <c r="BV194" i="3"/>
  <c r="BU194" i="3"/>
  <c r="BT194" i="3"/>
  <c r="EN193" i="3"/>
  <c r="EM193" i="3"/>
  <c r="EL193" i="3"/>
  <c r="EJ193" i="3"/>
  <c r="EI193" i="3"/>
  <c r="EH193" i="3"/>
  <c r="EG193" i="3"/>
  <c r="EE193" i="3"/>
  <c r="ED193" i="3"/>
  <c r="EC193" i="3"/>
  <c r="EB193" i="3"/>
  <c r="DZ193" i="3"/>
  <c r="DY193" i="3"/>
  <c r="DX193" i="3"/>
  <c r="DW193" i="3"/>
  <c r="DU193" i="3"/>
  <c r="DT193" i="3"/>
  <c r="DS193" i="3"/>
  <c r="DR193" i="3"/>
  <c r="DP193" i="3"/>
  <c r="DO193" i="3"/>
  <c r="DN193" i="3"/>
  <c r="DM193" i="3"/>
  <c r="DK193" i="3"/>
  <c r="DJ193" i="3"/>
  <c r="DI193" i="3"/>
  <c r="DH193" i="3"/>
  <c r="DF193" i="3"/>
  <c r="DE193" i="3"/>
  <c r="DD193" i="3"/>
  <c r="DC193" i="3"/>
  <c r="DA193" i="3"/>
  <c r="CZ193" i="3"/>
  <c r="CY193" i="3"/>
  <c r="CX193" i="3"/>
  <c r="CV193" i="3"/>
  <c r="CU193" i="3"/>
  <c r="CT193" i="3"/>
  <c r="CS193" i="3"/>
  <c r="CQ193" i="3"/>
  <c r="CP193" i="3"/>
  <c r="CO193" i="3"/>
  <c r="CN193" i="3"/>
  <c r="CL193" i="3"/>
  <c r="CK193" i="3"/>
  <c r="CJ193" i="3"/>
  <c r="CI193" i="3"/>
  <c r="CG193" i="3"/>
  <c r="CF193" i="3"/>
  <c r="CE193" i="3"/>
  <c r="CD193" i="3"/>
  <c r="CB193" i="3"/>
  <c r="CA193" i="3"/>
  <c r="BZ193" i="3"/>
  <c r="BY193" i="3"/>
  <c r="EN192" i="3"/>
  <c r="EM192" i="3"/>
  <c r="EL192" i="3"/>
  <c r="EJ192" i="3"/>
  <c r="EI192" i="3"/>
  <c r="EH192" i="3"/>
  <c r="EG192" i="3"/>
  <c r="EE192" i="3"/>
  <c r="ED192" i="3"/>
  <c r="EC192" i="3"/>
  <c r="EB192" i="3"/>
  <c r="DZ192" i="3"/>
  <c r="DY192" i="3"/>
  <c r="DX192" i="3"/>
  <c r="DW192" i="3"/>
  <c r="DU192" i="3"/>
  <c r="DT192" i="3"/>
  <c r="DS192" i="3"/>
  <c r="DR192" i="3"/>
  <c r="DP192" i="3"/>
  <c r="DO192" i="3"/>
  <c r="DN192" i="3"/>
  <c r="DM192" i="3"/>
  <c r="DK192" i="3"/>
  <c r="DJ192" i="3"/>
  <c r="DI192" i="3"/>
  <c r="DH192" i="3"/>
  <c r="DF192" i="3"/>
  <c r="DE192" i="3"/>
  <c r="DD192" i="3"/>
  <c r="DC192" i="3"/>
  <c r="DA192" i="3"/>
  <c r="CZ192" i="3"/>
  <c r="CY192" i="3"/>
  <c r="CX192" i="3"/>
  <c r="CV192" i="3"/>
  <c r="CU192" i="3"/>
  <c r="CT192" i="3"/>
  <c r="CS192" i="3"/>
  <c r="CQ192" i="3"/>
  <c r="CP192" i="3"/>
  <c r="CO192" i="3"/>
  <c r="CN192" i="3"/>
  <c r="CL192" i="3"/>
  <c r="CK192" i="3"/>
  <c r="CJ192" i="3"/>
  <c r="CI192" i="3"/>
  <c r="CG192" i="3"/>
  <c r="CF192" i="3"/>
  <c r="CE192" i="3"/>
  <c r="CD192" i="3"/>
  <c r="CB192" i="3"/>
  <c r="CA192" i="3"/>
  <c r="BZ192" i="3"/>
  <c r="BY192" i="3"/>
  <c r="BW192" i="3"/>
  <c r="BV192" i="3"/>
  <c r="BU192" i="3"/>
  <c r="EO191" i="3"/>
  <c r="EK191" i="3"/>
  <c r="EF191" i="3"/>
  <c r="EA191" i="3"/>
  <c r="DV191" i="3"/>
  <c r="DQ191" i="3"/>
  <c r="DL191" i="3"/>
  <c r="DG191" i="3"/>
  <c r="DB191" i="3"/>
  <c r="CW191" i="3"/>
  <c r="CR191" i="3"/>
  <c r="CM191" i="3"/>
  <c r="CH191" i="3"/>
  <c r="CC191" i="3"/>
  <c r="BX191" i="3"/>
  <c r="CN189" i="3"/>
  <c r="CL189" i="3"/>
  <c r="CK189" i="3"/>
  <c r="CJ189" i="3"/>
  <c r="CI189" i="3"/>
  <c r="CG189" i="3"/>
  <c r="CF189" i="3"/>
  <c r="CE189" i="3"/>
  <c r="CD189" i="3"/>
  <c r="CB189" i="3"/>
  <c r="CA189" i="3"/>
  <c r="BZ189" i="3"/>
  <c r="BY189" i="3"/>
  <c r="CN188" i="3"/>
  <c r="CL188" i="3"/>
  <c r="CK188" i="3"/>
  <c r="CJ188" i="3"/>
  <c r="CI188" i="3"/>
  <c r="CG188" i="3"/>
  <c r="CF188" i="3"/>
  <c r="CE188" i="3"/>
  <c r="CD188" i="3"/>
  <c r="CB188" i="3"/>
  <c r="CA188" i="3"/>
  <c r="BZ188" i="3"/>
  <c r="BY188" i="3"/>
  <c r="BW188" i="3"/>
  <c r="BV188" i="3"/>
  <c r="BU188" i="3"/>
  <c r="EM187" i="3"/>
  <c r="EL187" i="3"/>
  <c r="EL307" i="3" s="1"/>
  <c r="EI187" i="3"/>
  <c r="EH187" i="3"/>
  <c r="EG187" i="3"/>
  <c r="EE187" i="3"/>
  <c r="ED187" i="3"/>
  <c r="EC187" i="3"/>
  <c r="EC307" i="3" s="1"/>
  <c r="EB187" i="3"/>
  <c r="DZ187" i="3"/>
  <c r="DY187" i="3"/>
  <c r="DX187" i="3"/>
  <c r="DW187" i="3"/>
  <c r="DU187" i="3"/>
  <c r="DT187" i="3"/>
  <c r="DS187" i="3"/>
  <c r="DR187" i="3"/>
  <c r="DP187" i="3"/>
  <c r="DO187" i="3"/>
  <c r="DN187" i="3"/>
  <c r="DM187" i="3"/>
  <c r="DK187" i="3"/>
  <c r="DK188" i="3" s="1"/>
  <c r="DJ187" i="3"/>
  <c r="DI187" i="3"/>
  <c r="DH187" i="3"/>
  <c r="DF187" i="3"/>
  <c r="DE187" i="3"/>
  <c r="DD187" i="3"/>
  <c r="DC187" i="3"/>
  <c r="DA187" i="3"/>
  <c r="CZ187" i="3"/>
  <c r="CY187" i="3"/>
  <c r="CX187" i="3"/>
  <c r="CV187" i="3"/>
  <c r="CU187" i="3"/>
  <c r="CT187" i="3"/>
  <c r="CS187" i="3"/>
  <c r="CQ187" i="3"/>
  <c r="CQ189" i="3" s="1"/>
  <c r="CP187" i="3"/>
  <c r="CO187" i="3"/>
  <c r="CO188" i="3" s="1"/>
  <c r="CM187" i="3"/>
  <c r="CH187" i="3"/>
  <c r="CC187" i="3"/>
  <c r="BX187" i="3"/>
  <c r="EM186" i="3"/>
  <c r="EL186" i="3"/>
  <c r="EI186" i="3"/>
  <c r="EH186" i="3"/>
  <c r="EG186" i="3"/>
  <c r="EE186" i="3"/>
  <c r="ED186" i="3"/>
  <c r="EC186" i="3"/>
  <c r="EB186" i="3"/>
  <c r="DZ186" i="3"/>
  <c r="DY186" i="3"/>
  <c r="DX186" i="3"/>
  <c r="DW186" i="3"/>
  <c r="DU186" i="3"/>
  <c r="DT186" i="3"/>
  <c r="DS186" i="3"/>
  <c r="DR186" i="3"/>
  <c r="DP186" i="3"/>
  <c r="DO186" i="3"/>
  <c r="DN186" i="3"/>
  <c r="DM186" i="3"/>
  <c r="DK186" i="3"/>
  <c r="DJ186" i="3"/>
  <c r="DI186" i="3"/>
  <c r="DH186" i="3"/>
  <c r="DF186" i="3"/>
  <c r="DE186" i="3"/>
  <c r="DD186" i="3"/>
  <c r="DC186" i="3"/>
  <c r="DA186" i="3"/>
  <c r="CZ186" i="3"/>
  <c r="CY186" i="3"/>
  <c r="CX186" i="3"/>
  <c r="CV186" i="3"/>
  <c r="CU186" i="3"/>
  <c r="CT186" i="3"/>
  <c r="EM185" i="3"/>
  <c r="EI185" i="3"/>
  <c r="EH185" i="3"/>
  <c r="EG185" i="3"/>
  <c r="EE185" i="3"/>
  <c r="ED185" i="3"/>
  <c r="EC185" i="3"/>
  <c r="EB185" i="3"/>
  <c r="DZ185" i="3"/>
  <c r="DY185" i="3"/>
  <c r="DX185" i="3"/>
  <c r="DW185" i="3"/>
  <c r="DU185" i="3"/>
  <c r="DT185" i="3"/>
  <c r="DS185" i="3"/>
  <c r="DR185" i="3"/>
  <c r="DP185" i="3"/>
  <c r="DO185" i="3"/>
  <c r="DN185" i="3"/>
  <c r="DM185" i="3"/>
  <c r="DK185" i="3"/>
  <c r="DJ185" i="3"/>
  <c r="DI185" i="3"/>
  <c r="DH185" i="3"/>
  <c r="DF185" i="3"/>
  <c r="DE185" i="3"/>
  <c r="DD185" i="3"/>
  <c r="DC185" i="3"/>
  <c r="DA185" i="3"/>
  <c r="CZ185" i="3"/>
  <c r="CY185" i="3"/>
  <c r="CX185" i="3"/>
  <c r="CV185" i="3"/>
  <c r="CU185" i="3"/>
  <c r="CT185" i="3"/>
  <c r="CS185" i="3"/>
  <c r="CQ185" i="3"/>
  <c r="CP185" i="3"/>
  <c r="EN184" i="3"/>
  <c r="EN187" i="3" s="1"/>
  <c r="EJ184" i="3"/>
  <c r="EJ186" i="3" s="1"/>
  <c r="CN184" i="3"/>
  <c r="CS186" i="3" s="1"/>
  <c r="CL184" i="3"/>
  <c r="CK184" i="3"/>
  <c r="CP186" i="3" s="1"/>
  <c r="CJ184" i="3"/>
  <c r="CO186" i="3" s="1"/>
  <c r="CI184" i="3"/>
  <c r="CG184" i="3"/>
  <c r="CF184" i="3"/>
  <c r="CE184" i="3"/>
  <c r="CD184" i="3"/>
  <c r="CB184" i="3"/>
  <c r="CA184" i="3"/>
  <c r="BZ184" i="3"/>
  <c r="BY184" i="3"/>
  <c r="BW184" i="3"/>
  <c r="BV184" i="3"/>
  <c r="BU184" i="3"/>
  <c r="BT184" i="3"/>
  <c r="EN183" i="3"/>
  <c r="EM183" i="3"/>
  <c r="EL183" i="3"/>
  <c r="EJ183" i="3"/>
  <c r="EI183" i="3"/>
  <c r="EG183" i="3"/>
  <c r="EE183" i="3"/>
  <c r="ED183" i="3"/>
  <c r="EC183" i="3"/>
  <c r="EB183" i="3"/>
  <c r="DZ183" i="3"/>
  <c r="DY183" i="3"/>
  <c r="DX183" i="3"/>
  <c r="DW183" i="3"/>
  <c r="DU183" i="3"/>
  <c r="DT183" i="3"/>
  <c r="DS183" i="3"/>
  <c r="DR183" i="3"/>
  <c r="DP183" i="3"/>
  <c r="DO183" i="3"/>
  <c r="DN183" i="3"/>
  <c r="DM183" i="3"/>
  <c r="DK183" i="3"/>
  <c r="DJ183" i="3"/>
  <c r="DI183" i="3"/>
  <c r="DH183" i="3"/>
  <c r="DF183" i="3"/>
  <c r="DE183" i="3"/>
  <c r="DD183" i="3"/>
  <c r="DC183" i="3"/>
  <c r="DA183" i="3"/>
  <c r="CZ183" i="3"/>
  <c r="CY183" i="3"/>
  <c r="CX183" i="3"/>
  <c r="CV183" i="3"/>
  <c r="CU183" i="3"/>
  <c r="CT183" i="3"/>
  <c r="CS183" i="3"/>
  <c r="CQ183" i="3"/>
  <c r="CP183" i="3"/>
  <c r="CO183" i="3"/>
  <c r="CN183" i="3"/>
  <c r="CL183" i="3"/>
  <c r="CK183" i="3"/>
  <c r="CJ183" i="3"/>
  <c r="CI183" i="3"/>
  <c r="CG183" i="3"/>
  <c r="CF183" i="3"/>
  <c r="CE183" i="3"/>
  <c r="CD183" i="3"/>
  <c r="CB183" i="3"/>
  <c r="CA183" i="3"/>
  <c r="BZ183" i="3"/>
  <c r="BY183" i="3"/>
  <c r="EN182" i="3"/>
  <c r="EM182" i="3"/>
  <c r="EL182" i="3"/>
  <c r="EJ182" i="3"/>
  <c r="EI182" i="3"/>
  <c r="EH182" i="3"/>
  <c r="EG182" i="3"/>
  <c r="EE182" i="3"/>
  <c r="ED182" i="3"/>
  <c r="EC182" i="3"/>
  <c r="EB182" i="3"/>
  <c r="DZ182" i="3"/>
  <c r="DY182" i="3"/>
  <c r="DX182" i="3"/>
  <c r="DW182" i="3"/>
  <c r="DU182" i="3"/>
  <c r="DT182" i="3"/>
  <c r="DS182" i="3"/>
  <c r="DR182" i="3"/>
  <c r="DP182" i="3"/>
  <c r="DO182" i="3"/>
  <c r="DN182" i="3"/>
  <c r="DM182" i="3"/>
  <c r="DK182" i="3"/>
  <c r="DJ182" i="3"/>
  <c r="DI182" i="3"/>
  <c r="DH182" i="3"/>
  <c r="DF182" i="3"/>
  <c r="DE182" i="3"/>
  <c r="DD182" i="3"/>
  <c r="DC182" i="3"/>
  <c r="DA182" i="3"/>
  <c r="CZ182" i="3"/>
  <c r="CY182" i="3"/>
  <c r="CX182" i="3"/>
  <c r="CV182" i="3"/>
  <c r="CU182" i="3"/>
  <c r="CT182" i="3"/>
  <c r="CS182" i="3"/>
  <c r="CQ182" i="3"/>
  <c r="CP182" i="3"/>
  <c r="CO182" i="3"/>
  <c r="CN182" i="3"/>
  <c r="CL182" i="3"/>
  <c r="CK182" i="3"/>
  <c r="CJ182" i="3"/>
  <c r="CI182" i="3"/>
  <c r="CG182" i="3"/>
  <c r="CF182" i="3"/>
  <c r="CE182" i="3"/>
  <c r="CD182" i="3"/>
  <c r="CB182" i="3"/>
  <c r="CA182" i="3"/>
  <c r="BZ182" i="3"/>
  <c r="BY182" i="3"/>
  <c r="BW182" i="3"/>
  <c r="BV182" i="3"/>
  <c r="BU182" i="3"/>
  <c r="EO181" i="3"/>
  <c r="EK181" i="3"/>
  <c r="EF181" i="3"/>
  <c r="EA181" i="3"/>
  <c r="DV181" i="3"/>
  <c r="DQ181" i="3"/>
  <c r="DL181" i="3"/>
  <c r="DG181" i="3"/>
  <c r="DB181" i="3"/>
  <c r="CW181" i="3"/>
  <c r="CR181" i="3"/>
  <c r="CM181" i="3"/>
  <c r="CH181" i="3"/>
  <c r="CC181" i="3"/>
  <c r="BX181" i="3"/>
  <c r="EL180" i="3"/>
  <c r="FF164" i="3"/>
  <c r="FG164" i="3" s="1"/>
  <c r="FH164" i="3" s="1"/>
  <c r="FE164" i="3"/>
  <c r="FA164" i="3"/>
  <c r="EZ164" i="3"/>
  <c r="EV164" i="3"/>
  <c r="EW164" i="3" s="1"/>
  <c r="EX164" i="3" s="1"/>
  <c r="EU164" i="3"/>
  <c r="EQ164" i="3"/>
  <c r="ER164" i="3" s="1"/>
  <c r="EP164" i="3"/>
  <c r="EL164" i="3"/>
  <c r="EM164" i="3" s="1"/>
  <c r="EK164" i="3"/>
  <c r="EG164" i="3"/>
  <c r="EF164" i="3"/>
  <c r="EA164" i="3"/>
  <c r="EC164" i="3" s="1"/>
  <c r="ED164" i="3" s="1"/>
  <c r="DW164" i="3"/>
  <c r="DV164" i="3"/>
  <c r="DX164" i="3" s="1"/>
  <c r="DR164" i="3"/>
  <c r="DS164" i="3" s="1"/>
  <c r="DQ164" i="3"/>
  <c r="DK164" i="3"/>
  <c r="DL164" i="3" s="1"/>
  <c r="DG164" i="3"/>
  <c r="DB164" i="3"/>
  <c r="CW164" i="3"/>
  <c r="CR164" i="3"/>
  <c r="CM164" i="3"/>
  <c r="CH164" i="3"/>
  <c r="CC164" i="3"/>
  <c r="BX164" i="3"/>
  <c r="BS164" i="3"/>
  <c r="BN164" i="3"/>
  <c r="FD161" i="3"/>
  <c r="FE161" i="3" s="1"/>
  <c r="EY161" i="3"/>
  <c r="EZ161" i="3" s="1"/>
  <c r="EJ161" i="3"/>
  <c r="EK161" i="3" s="1"/>
  <c r="EE161" i="3"/>
  <c r="EF161" i="3" s="1"/>
  <c r="DZ161" i="3"/>
  <c r="EA161" i="3" s="1"/>
  <c r="DU161" i="3"/>
  <c r="DV161" i="3" s="1"/>
  <c r="DP161" i="3"/>
  <c r="DQ161" i="3" s="1"/>
  <c r="DK161" i="3"/>
  <c r="DL161" i="3" s="1"/>
  <c r="DD161" i="3"/>
  <c r="DC161" i="3"/>
  <c r="DA161" i="3"/>
  <c r="DB161" i="3" s="1"/>
  <c r="CZ161" i="3"/>
  <c r="CY161" i="3"/>
  <c r="CX161" i="3"/>
  <c r="CV161" i="3"/>
  <c r="CW161" i="3" s="1"/>
  <c r="CU161" i="3"/>
  <c r="CT161" i="3"/>
  <c r="CS161" i="3"/>
  <c r="CQ161" i="3"/>
  <c r="CR161" i="3" s="1"/>
  <c r="CP161" i="3"/>
  <c r="CO161" i="3"/>
  <c r="CN161" i="3"/>
  <c r="CL161" i="3"/>
  <c r="CM161" i="3" s="1"/>
  <c r="CK161" i="3"/>
  <c r="CJ161" i="3"/>
  <c r="CI161" i="3"/>
  <c r="CG161" i="3"/>
  <c r="CH161" i="3" s="1"/>
  <c r="CF161" i="3"/>
  <c r="CE161" i="3"/>
  <c r="CD161" i="3"/>
  <c r="CB161" i="3"/>
  <c r="CC161" i="3" s="1"/>
  <c r="CA161" i="3"/>
  <c r="BZ161" i="3"/>
  <c r="BY161" i="3"/>
  <c r="BW161" i="3"/>
  <c r="BX161" i="3" s="1"/>
  <c r="BV161" i="3"/>
  <c r="BU161" i="3"/>
  <c r="BT161" i="3"/>
  <c r="BR161" i="3"/>
  <c r="BS161" i="3" s="1"/>
  <c r="BQ161" i="3"/>
  <c r="BP161" i="3"/>
  <c r="BO161" i="3"/>
  <c r="BM161" i="3"/>
  <c r="BN161" i="3" s="1"/>
  <c r="BL161" i="3"/>
  <c r="BK161" i="3"/>
  <c r="BJ161" i="3"/>
  <c r="BH161" i="3"/>
  <c r="BI161" i="3" s="1"/>
  <c r="BG161" i="3"/>
  <c r="BF161" i="3"/>
  <c r="BE161" i="3"/>
  <c r="BC161" i="3"/>
  <c r="BD161" i="3" s="1"/>
  <c r="BB161" i="3"/>
  <c r="BA161" i="3"/>
  <c r="AZ161" i="3"/>
  <c r="AX161" i="3"/>
  <c r="AY161" i="3" s="1"/>
  <c r="AW161" i="3"/>
  <c r="AV161" i="3"/>
  <c r="AU161" i="3"/>
  <c r="AS161" i="3"/>
  <c r="AT161" i="3" s="1"/>
  <c r="AR161" i="3"/>
  <c r="AQ161" i="3"/>
  <c r="AP161" i="3"/>
  <c r="AN161" i="3"/>
  <c r="AO161" i="3" s="1"/>
  <c r="AM161" i="3"/>
  <c r="AL161" i="3"/>
  <c r="AK161" i="3"/>
  <c r="GO154" i="3"/>
  <c r="GM154" i="3"/>
  <c r="GN154" i="3" s="1"/>
  <c r="GL154" i="3"/>
  <c r="GK154" i="3"/>
  <c r="GJ154" i="3"/>
  <c r="GH154" i="3"/>
  <c r="GI154" i="3" s="1"/>
  <c r="GF154" i="3"/>
  <c r="GE154" i="3"/>
  <c r="GC154" i="3"/>
  <c r="GD154" i="3" s="1"/>
  <c r="GB154" i="3"/>
  <c r="GA154" i="3"/>
  <c r="FZ154" i="3"/>
  <c r="FX154" i="3"/>
  <c r="FY154" i="3" s="1"/>
  <c r="FW154" i="3"/>
  <c r="FV154" i="3"/>
  <c r="FU154" i="3"/>
  <c r="FS154" i="3"/>
  <c r="FT154" i="3" s="1"/>
  <c r="FR154" i="3"/>
  <c r="FQ154" i="3"/>
  <c r="FP154" i="3"/>
  <c r="FN154" i="3"/>
  <c r="FO154" i="3" s="1"/>
  <c r="FM154" i="3"/>
  <c r="FL154" i="3"/>
  <c r="FK154" i="3"/>
  <c r="FI154" i="3"/>
  <c r="FJ154" i="3" s="1"/>
  <c r="FH154" i="3"/>
  <c r="FG154" i="3"/>
  <c r="FF154" i="3"/>
  <c r="FD154" i="3"/>
  <c r="FE154" i="3" s="1"/>
  <c r="FC154" i="3"/>
  <c r="FB154" i="3"/>
  <c r="FA154" i="3"/>
  <c r="EY154" i="3"/>
  <c r="EZ154" i="3" s="1"/>
  <c r="EX154" i="3"/>
  <c r="EW154" i="3"/>
  <c r="EV154" i="3"/>
  <c r="EN154" i="3"/>
  <c r="EM154" i="3"/>
  <c r="EL154" i="3"/>
  <c r="EJ154" i="3"/>
  <c r="EK154" i="3" s="1"/>
  <c r="EI154" i="3"/>
  <c r="EH154" i="3"/>
  <c r="EG154" i="3"/>
  <c r="EE154" i="3"/>
  <c r="EF154" i="3" s="1"/>
  <c r="ED154" i="3"/>
  <c r="EC154" i="3"/>
  <c r="EB154" i="3"/>
  <c r="DZ154" i="3"/>
  <c r="EA154" i="3" s="1"/>
  <c r="DY154" i="3"/>
  <c r="DX154" i="3"/>
  <c r="DW154" i="3"/>
  <c r="DU154" i="3"/>
  <c r="DV154" i="3" s="1"/>
  <c r="DT154" i="3"/>
  <c r="DS154" i="3"/>
  <c r="DR154" i="3"/>
  <c r="DP154" i="3"/>
  <c r="DQ154" i="3" s="1"/>
  <c r="DO154" i="3"/>
  <c r="DN154" i="3"/>
  <c r="DM154" i="3"/>
  <c r="DK154" i="3"/>
  <c r="DL154" i="3" s="1"/>
  <c r="DJ154" i="3"/>
  <c r="DD154" i="3"/>
  <c r="DC154" i="3"/>
  <c r="DA154" i="3"/>
  <c r="DB154" i="3" s="1"/>
  <c r="CZ154" i="3"/>
  <c r="CY154" i="3"/>
  <c r="CX154" i="3"/>
  <c r="CU154" i="3"/>
  <c r="CT154" i="3"/>
  <c r="CS154" i="3"/>
  <c r="CP154" i="3"/>
  <c r="CO154" i="3"/>
  <c r="CN154" i="3"/>
  <c r="CL154" i="3"/>
  <c r="CM154" i="3" s="1"/>
  <c r="CK154" i="3"/>
  <c r="CJ154" i="3"/>
  <c r="CI154" i="3"/>
  <c r="CG154" i="3"/>
  <c r="CH154" i="3" s="1"/>
  <c r="CF154" i="3"/>
  <c r="CE154" i="3"/>
  <c r="CD154" i="3"/>
  <c r="CB154" i="3"/>
  <c r="CC154" i="3" s="1"/>
  <c r="CA154" i="3"/>
  <c r="BZ154" i="3"/>
  <c r="BY154" i="3"/>
  <c r="BW154" i="3"/>
  <c r="BX154" i="3" s="1"/>
  <c r="BV154" i="3"/>
  <c r="BU154" i="3"/>
  <c r="BT154" i="3"/>
  <c r="BR154" i="3"/>
  <c r="BS154" i="3" s="1"/>
  <c r="BQ154" i="3"/>
  <c r="BP154" i="3"/>
  <c r="BO154" i="3"/>
  <c r="BM154" i="3"/>
  <c r="BN154" i="3" s="1"/>
  <c r="BL154" i="3"/>
  <c r="BK154" i="3"/>
  <c r="BJ154" i="3"/>
  <c r="BH154" i="3"/>
  <c r="BI154" i="3" s="1"/>
  <c r="BG154" i="3"/>
  <c r="BF154" i="3"/>
  <c r="BE154" i="3"/>
  <c r="BC154" i="3"/>
  <c r="BD154" i="3" s="1"/>
  <c r="BB154" i="3"/>
  <c r="BA154" i="3"/>
  <c r="AZ154" i="3"/>
  <c r="AX154" i="3"/>
  <c r="AY154" i="3" s="1"/>
  <c r="AW154" i="3"/>
  <c r="AV154" i="3"/>
  <c r="AU154" i="3"/>
  <c r="AS154" i="3"/>
  <c r="AT154" i="3" s="1"/>
  <c r="AR154" i="3"/>
  <c r="AQ154" i="3"/>
  <c r="AP154" i="3"/>
  <c r="AN154" i="3"/>
  <c r="AO154" i="3" s="1"/>
  <c r="AM154" i="3"/>
  <c r="AL154" i="3"/>
  <c r="AK154" i="3"/>
  <c r="GO152" i="3"/>
  <c r="GM152" i="3"/>
  <c r="GN152" i="3" s="1"/>
  <c r="GL152" i="3"/>
  <c r="GK152" i="3"/>
  <c r="GJ152" i="3"/>
  <c r="GH152" i="3"/>
  <c r="GI152" i="3" s="1"/>
  <c r="GG152" i="3"/>
  <c r="GF152" i="3"/>
  <c r="GE152" i="3"/>
  <c r="GC152" i="3"/>
  <c r="GD152" i="3" s="1"/>
  <c r="GB152" i="3"/>
  <c r="GA152" i="3"/>
  <c r="FZ152" i="3"/>
  <c r="FY152" i="3"/>
  <c r="FX152" i="3"/>
  <c r="FW152" i="3"/>
  <c r="FV152" i="3"/>
  <c r="FU152" i="3"/>
  <c r="FS152" i="3"/>
  <c r="FT152" i="3" s="1"/>
  <c r="FR152" i="3"/>
  <c r="FQ152" i="3"/>
  <c r="FP152" i="3"/>
  <c r="FN152" i="3"/>
  <c r="FO152" i="3" s="1"/>
  <c r="FM152" i="3"/>
  <c r="FL152" i="3"/>
  <c r="FK152" i="3"/>
  <c r="FI152" i="3"/>
  <c r="FJ152" i="3" s="1"/>
  <c r="FH152" i="3"/>
  <c r="FG152" i="3"/>
  <c r="FF152" i="3"/>
  <c r="FD152" i="3"/>
  <c r="FE152" i="3" s="1"/>
  <c r="FC152" i="3"/>
  <c r="FB152" i="3"/>
  <c r="FA152" i="3"/>
  <c r="EY152" i="3"/>
  <c r="EZ152" i="3" s="1"/>
  <c r="EX152" i="3"/>
  <c r="EW152" i="3"/>
  <c r="EV152" i="3"/>
  <c r="ET152" i="3"/>
  <c r="EU152" i="3" s="1"/>
  <c r="ES152" i="3"/>
  <c r="EO152" i="3"/>
  <c r="EP152" i="3" s="1"/>
  <c r="EN152" i="3"/>
  <c r="EM152" i="3"/>
  <c r="EL152" i="3"/>
  <c r="EJ152" i="3"/>
  <c r="EK152" i="3" s="1"/>
  <c r="EI152" i="3"/>
  <c r="EH152" i="3"/>
  <c r="EG152" i="3"/>
  <c r="ED152" i="3"/>
  <c r="EC152" i="3"/>
  <c r="EB152" i="3"/>
  <c r="DZ152" i="3"/>
  <c r="EA152" i="3" s="1"/>
  <c r="DY152" i="3"/>
  <c r="DX152" i="3"/>
  <c r="DW152" i="3"/>
  <c r="DU152" i="3"/>
  <c r="DV152" i="3" s="1"/>
  <c r="DT152" i="3"/>
  <c r="DS152" i="3"/>
  <c r="DR152" i="3"/>
  <c r="DP152" i="3"/>
  <c r="DQ152" i="3" s="1"/>
  <c r="DO152" i="3"/>
  <c r="DN152" i="3"/>
  <c r="DM152" i="3"/>
  <c r="DK152" i="3"/>
  <c r="DL152" i="3" s="1"/>
  <c r="DJ152" i="3"/>
  <c r="DI152" i="3"/>
  <c r="DH152" i="3"/>
  <c r="DF152" i="3"/>
  <c r="DG152" i="3" s="1"/>
  <c r="DE152" i="3"/>
  <c r="DD152" i="3"/>
  <c r="DA152" i="3"/>
  <c r="DB152" i="3" s="1"/>
  <c r="CZ152" i="3"/>
  <c r="CY152" i="3"/>
  <c r="CX152" i="3"/>
  <c r="CV152" i="3"/>
  <c r="CW152" i="3" s="1"/>
  <c r="CU152" i="3"/>
  <c r="CT152" i="3"/>
  <c r="CS152" i="3"/>
  <c r="CP152" i="3"/>
  <c r="CO152" i="3"/>
  <c r="CN152" i="3"/>
  <c r="CL152" i="3"/>
  <c r="CM152" i="3" s="1"/>
  <c r="CK152" i="3"/>
  <c r="CJ152" i="3"/>
  <c r="CI152" i="3"/>
  <c r="CG152" i="3"/>
  <c r="CH152" i="3" s="1"/>
  <c r="CF152" i="3"/>
  <c r="CE152" i="3"/>
  <c r="CD152" i="3"/>
  <c r="CB152" i="3"/>
  <c r="CC152" i="3" s="1"/>
  <c r="CA152" i="3"/>
  <c r="BZ152" i="3"/>
  <c r="BY152" i="3"/>
  <c r="BW152" i="3"/>
  <c r="BX152" i="3" s="1"/>
  <c r="BV152" i="3"/>
  <c r="BU152" i="3"/>
  <c r="BT152" i="3"/>
  <c r="BR152" i="3"/>
  <c r="BS152" i="3" s="1"/>
  <c r="BQ152" i="3"/>
  <c r="BP152" i="3"/>
  <c r="BO152" i="3"/>
  <c r="BM152" i="3"/>
  <c r="BN152" i="3" s="1"/>
  <c r="BL152" i="3"/>
  <c r="BK152" i="3"/>
  <c r="BJ152" i="3"/>
  <c r="BH152" i="3"/>
  <c r="BI152" i="3" s="1"/>
  <c r="BG152" i="3"/>
  <c r="BF152" i="3"/>
  <c r="BE152" i="3"/>
  <c r="BC152" i="3"/>
  <c r="BD152" i="3" s="1"/>
  <c r="BB152" i="3"/>
  <c r="BA152" i="3"/>
  <c r="AZ152" i="3"/>
  <c r="AX152" i="3"/>
  <c r="AY152" i="3" s="1"/>
  <c r="AW152" i="3"/>
  <c r="AV152" i="3"/>
  <c r="AU152" i="3"/>
  <c r="AS152" i="3"/>
  <c r="AT152" i="3" s="1"/>
  <c r="AR152" i="3"/>
  <c r="AQ152" i="3"/>
  <c r="AP152" i="3"/>
  <c r="AN152" i="3"/>
  <c r="AO152" i="3" s="1"/>
  <c r="AM152" i="3"/>
  <c r="AL152" i="3"/>
  <c r="AK152" i="3"/>
  <c r="ET151" i="3"/>
  <c r="EU151" i="3" s="1"/>
  <c r="ES151" i="3"/>
  <c r="EO151" i="3"/>
  <c r="EP151" i="3" s="1"/>
  <c r="EN151" i="3"/>
  <c r="EM151" i="3"/>
  <c r="EL151" i="3"/>
  <c r="EJ151" i="3"/>
  <c r="EK151" i="3" s="1"/>
  <c r="EI151" i="3"/>
  <c r="EH151" i="3"/>
  <c r="EG151" i="3"/>
  <c r="EC151" i="3"/>
  <c r="EB151" i="3"/>
  <c r="DZ151" i="3"/>
  <c r="EA151" i="3" s="1"/>
  <c r="DY151" i="3"/>
  <c r="DX151" i="3"/>
  <c r="DW151" i="3"/>
  <c r="DU151" i="3"/>
  <c r="DV151" i="3" s="1"/>
  <c r="DS151" i="3"/>
  <c r="DR151" i="3"/>
  <c r="CD151" i="3"/>
  <c r="CB151" i="3"/>
  <c r="CC151" i="3" s="1"/>
  <c r="CA151" i="3"/>
  <c r="BZ151" i="3"/>
  <c r="BY151" i="3"/>
  <c r="BW151" i="3"/>
  <c r="BX151" i="3" s="1"/>
  <c r="BV151" i="3"/>
  <c r="BU151" i="3"/>
  <c r="BT151" i="3"/>
  <c r="BR151" i="3"/>
  <c r="BS151" i="3" s="1"/>
  <c r="BQ151" i="3"/>
  <c r="BP151" i="3"/>
  <c r="BO151" i="3"/>
  <c r="BM151" i="3"/>
  <c r="BN151" i="3" s="1"/>
  <c r="BL151" i="3"/>
  <c r="BK151" i="3"/>
  <c r="BJ151" i="3"/>
  <c r="BH151" i="3"/>
  <c r="BI151" i="3" s="1"/>
  <c r="BG151" i="3"/>
  <c r="BF151" i="3"/>
  <c r="BE151" i="3"/>
  <c r="BC151" i="3"/>
  <c r="BD151" i="3" s="1"/>
  <c r="BB151" i="3"/>
  <c r="BA151" i="3"/>
  <c r="AZ151" i="3"/>
  <c r="AX151" i="3"/>
  <c r="AY151" i="3" s="1"/>
  <c r="AW151" i="3"/>
  <c r="AV151" i="3"/>
  <c r="AU151" i="3"/>
  <c r="AS151" i="3"/>
  <c r="AT151" i="3" s="1"/>
  <c r="AR151" i="3"/>
  <c r="AQ151" i="3"/>
  <c r="AP151" i="3"/>
  <c r="AN151" i="3"/>
  <c r="AO151" i="3" s="1"/>
  <c r="AM151" i="3"/>
  <c r="AL151" i="3"/>
  <c r="AK151" i="3"/>
  <c r="ET150" i="3"/>
  <c r="EU150" i="3" s="1"/>
  <c r="ES150" i="3"/>
  <c r="EO150" i="3"/>
  <c r="EP150" i="3" s="1"/>
  <c r="EN150" i="3"/>
  <c r="EM150" i="3"/>
  <c r="EL150" i="3"/>
  <c r="EJ150" i="3"/>
  <c r="EK150" i="3" s="1"/>
  <c r="EI150" i="3"/>
  <c r="EH150" i="3"/>
  <c r="EG150" i="3"/>
  <c r="EC150" i="3"/>
  <c r="EB150" i="3"/>
  <c r="DZ150" i="3"/>
  <c r="EA150" i="3" s="1"/>
  <c r="DY150" i="3"/>
  <c r="DX150" i="3"/>
  <c r="DW150" i="3"/>
  <c r="DU150" i="3"/>
  <c r="DV150" i="3" s="1"/>
  <c r="DS150" i="3"/>
  <c r="DR150" i="3"/>
  <c r="CD150" i="3"/>
  <c r="CB150" i="3"/>
  <c r="CC150" i="3" s="1"/>
  <c r="CA150" i="3"/>
  <c r="BZ150" i="3"/>
  <c r="BY150" i="3"/>
  <c r="BW150" i="3"/>
  <c r="BX150" i="3" s="1"/>
  <c r="BV150" i="3"/>
  <c r="BU150" i="3"/>
  <c r="BT150" i="3"/>
  <c r="BR150" i="3"/>
  <c r="BS150" i="3" s="1"/>
  <c r="BQ150" i="3"/>
  <c r="BP150" i="3"/>
  <c r="BO150" i="3"/>
  <c r="BM150" i="3"/>
  <c r="BN150" i="3" s="1"/>
  <c r="BL150" i="3"/>
  <c r="BK150" i="3"/>
  <c r="BJ150" i="3"/>
  <c r="BH150" i="3"/>
  <c r="BI150" i="3" s="1"/>
  <c r="BG150" i="3"/>
  <c r="BF150" i="3"/>
  <c r="BE150" i="3"/>
  <c r="BC150" i="3"/>
  <c r="BD150" i="3" s="1"/>
  <c r="BB150" i="3"/>
  <c r="BA150" i="3"/>
  <c r="AZ150" i="3"/>
  <c r="AX150" i="3"/>
  <c r="AY150" i="3" s="1"/>
  <c r="AW150" i="3"/>
  <c r="AV150" i="3"/>
  <c r="AU150" i="3"/>
  <c r="AS150" i="3"/>
  <c r="AT150" i="3" s="1"/>
  <c r="AR150" i="3"/>
  <c r="AQ150" i="3"/>
  <c r="AP150" i="3"/>
  <c r="AN150" i="3"/>
  <c r="AO150" i="3" s="1"/>
  <c r="AM150" i="3"/>
  <c r="AL150" i="3"/>
  <c r="AK150" i="3"/>
  <c r="EC149" i="3"/>
  <c r="DZ149" i="3"/>
  <c r="EA149" i="3" s="1"/>
  <c r="DY149" i="3"/>
  <c r="DU149" i="3"/>
  <c r="DV149" i="3" s="1"/>
  <c r="DT149" i="3"/>
  <c r="DS149" i="3"/>
  <c r="DR149" i="3"/>
  <c r="DP149" i="3"/>
  <c r="DQ149" i="3" s="1"/>
  <c r="DO149" i="3"/>
  <c r="DN149" i="3"/>
  <c r="DM149" i="3"/>
  <c r="DK149" i="3"/>
  <c r="DL149" i="3" s="1"/>
  <c r="DJ149" i="3"/>
  <c r="DI149" i="3"/>
  <c r="DH149" i="3"/>
  <c r="DF149" i="3"/>
  <c r="DG149" i="3" s="1"/>
  <c r="DE149" i="3"/>
  <c r="DC149" i="3"/>
  <c r="DA149" i="3"/>
  <c r="DB149" i="3" s="1"/>
  <c r="CY149" i="3"/>
  <c r="BM149" i="3"/>
  <c r="BN149" i="3" s="1"/>
  <c r="EC144" i="3"/>
  <c r="DZ144" i="3"/>
  <c r="EA144" i="3" s="1"/>
  <c r="DY144" i="3"/>
  <c r="DU144" i="3"/>
  <c r="DV144" i="3" s="1"/>
  <c r="DT144" i="3"/>
  <c r="DS144" i="3"/>
  <c r="DR144" i="3"/>
  <c r="DP144" i="3"/>
  <c r="DQ144" i="3" s="1"/>
  <c r="DO144" i="3"/>
  <c r="DN144" i="3"/>
  <c r="DM144" i="3"/>
  <c r="DK144" i="3"/>
  <c r="DL144" i="3" s="1"/>
  <c r="DJ144" i="3"/>
  <c r="DI144" i="3"/>
  <c r="DH144" i="3"/>
  <c r="DF144" i="3"/>
  <c r="DG144" i="3" s="1"/>
  <c r="DC144" i="3"/>
  <c r="DA144" i="3"/>
  <c r="DB144" i="3" s="1"/>
  <c r="CY144" i="3"/>
  <c r="GO143" i="3"/>
  <c r="GM143" i="3"/>
  <c r="GN143" i="3" s="1"/>
  <c r="GL143" i="3"/>
  <c r="GK143" i="3"/>
  <c r="GJ143" i="3"/>
  <c r="GH143" i="3"/>
  <c r="GI143" i="3" s="1"/>
  <c r="GG143" i="3"/>
  <c r="GF143" i="3"/>
  <c r="GE143" i="3"/>
  <c r="GC143" i="3"/>
  <c r="GD143" i="3" s="1"/>
  <c r="GB143" i="3"/>
  <c r="GA143" i="3"/>
  <c r="FZ143" i="3"/>
  <c r="FX143" i="3"/>
  <c r="FY143" i="3" s="1"/>
  <c r="FW143" i="3"/>
  <c r="FV143" i="3"/>
  <c r="FU143" i="3"/>
  <c r="FS143" i="3"/>
  <c r="FT143" i="3" s="1"/>
  <c r="FR143" i="3"/>
  <c r="FQ143" i="3"/>
  <c r="FP143" i="3"/>
  <c r="FN143" i="3"/>
  <c r="FO143" i="3" s="1"/>
  <c r="FM143" i="3"/>
  <c r="FL143" i="3"/>
  <c r="FK143" i="3"/>
  <c r="FI143" i="3"/>
  <c r="FJ143" i="3" s="1"/>
  <c r="FH143" i="3"/>
  <c r="FG143" i="3"/>
  <c r="FF143" i="3"/>
  <c r="FD143" i="3"/>
  <c r="FE143" i="3" s="1"/>
  <c r="FC143" i="3"/>
  <c r="FB143" i="3"/>
  <c r="FA143" i="3"/>
  <c r="EY143" i="3"/>
  <c r="EZ143" i="3" s="1"/>
  <c r="EX143" i="3"/>
  <c r="EW143" i="3"/>
  <c r="EV143" i="3"/>
  <c r="ET143" i="3"/>
  <c r="EU143" i="3" s="1"/>
  <c r="ES143" i="3"/>
  <c r="EQ143" i="3"/>
  <c r="EO143" i="3"/>
  <c r="EP143" i="3" s="1"/>
  <c r="EN143" i="3"/>
  <c r="EM143" i="3"/>
  <c r="EL143" i="3"/>
  <c r="EJ143" i="3"/>
  <c r="EK143" i="3" s="1"/>
  <c r="EI143" i="3"/>
  <c r="EH143" i="3"/>
  <c r="EG143" i="3"/>
  <c r="ED143" i="3"/>
  <c r="EC143" i="3"/>
  <c r="EB143" i="3"/>
  <c r="DZ143" i="3"/>
  <c r="EA143" i="3" s="1"/>
  <c r="DY143" i="3"/>
  <c r="DX143" i="3"/>
  <c r="DW143" i="3"/>
  <c r="DU143" i="3"/>
  <c r="DV143" i="3" s="1"/>
  <c r="DT143" i="3"/>
  <c r="DS143" i="3"/>
  <c r="DR143" i="3"/>
  <c r="DP143" i="3"/>
  <c r="DQ143" i="3" s="1"/>
  <c r="DO143" i="3"/>
  <c r="DN143" i="3"/>
  <c r="DM143" i="3"/>
  <c r="DK143" i="3"/>
  <c r="DL143" i="3" s="1"/>
  <c r="DJ143" i="3"/>
  <c r="DI143" i="3"/>
  <c r="DH143" i="3"/>
  <c r="DF143" i="3"/>
  <c r="DG143" i="3" s="1"/>
  <c r="DD143" i="3"/>
  <c r="DC143" i="3"/>
  <c r="DA143" i="3"/>
  <c r="DB143" i="3" s="1"/>
  <c r="CZ143" i="3"/>
  <c r="CY143" i="3"/>
  <c r="CX143" i="3"/>
  <c r="CV143" i="3"/>
  <c r="CW143" i="3" s="1"/>
  <c r="CU143" i="3"/>
  <c r="CT143" i="3"/>
  <c r="CS143" i="3"/>
  <c r="CP143" i="3"/>
  <c r="CO143" i="3"/>
  <c r="CN143" i="3"/>
  <c r="CL143" i="3"/>
  <c r="CM143" i="3" s="1"/>
  <c r="CK143" i="3"/>
  <c r="CJ143" i="3"/>
  <c r="CI143" i="3"/>
  <c r="CG143" i="3"/>
  <c r="CH143" i="3" s="1"/>
  <c r="CF143" i="3"/>
  <c r="CE143" i="3"/>
  <c r="CD143" i="3"/>
  <c r="CB143" i="3"/>
  <c r="CC143" i="3" s="1"/>
  <c r="CA143" i="3"/>
  <c r="BZ143" i="3"/>
  <c r="BY143" i="3"/>
  <c r="BW143" i="3"/>
  <c r="BX143" i="3" s="1"/>
  <c r="BV143" i="3"/>
  <c r="BU143" i="3"/>
  <c r="BT143" i="3"/>
  <c r="BR143" i="3"/>
  <c r="BS143" i="3" s="1"/>
  <c r="BQ143" i="3"/>
  <c r="GO137" i="3"/>
  <c r="GM137" i="3"/>
  <c r="GL137" i="3"/>
  <c r="GK137" i="3"/>
  <c r="GJ137" i="3"/>
  <c r="GH137" i="3"/>
  <c r="GG137" i="3"/>
  <c r="GF137" i="3"/>
  <c r="GE137" i="3"/>
  <c r="GC137" i="3"/>
  <c r="GB137" i="3"/>
  <c r="GA137" i="3"/>
  <c r="FZ137" i="3"/>
  <c r="FX137" i="3"/>
  <c r="FW137" i="3"/>
  <c r="FV137" i="3"/>
  <c r="FU137" i="3"/>
  <c r="FS137" i="3"/>
  <c r="FR137" i="3"/>
  <c r="FQ137" i="3"/>
  <c r="FP137" i="3"/>
  <c r="FN137" i="3"/>
  <c r="FM137" i="3"/>
  <c r="FL137" i="3"/>
  <c r="FK137" i="3"/>
  <c r="FI137" i="3"/>
  <c r="FH137" i="3"/>
  <c r="FG137" i="3"/>
  <c r="FF137" i="3"/>
  <c r="FD137" i="3"/>
  <c r="FC137" i="3"/>
  <c r="FB137" i="3"/>
  <c r="FA137" i="3"/>
  <c r="EY137" i="3"/>
  <c r="EX137" i="3"/>
  <c r="EW137" i="3"/>
  <c r="EV137" i="3"/>
  <c r="ET137" i="3"/>
  <c r="ES137" i="3"/>
  <c r="ER137" i="3"/>
  <c r="EN137" i="3"/>
  <c r="EM137" i="3"/>
  <c r="EL137" i="3"/>
  <c r="EJ137" i="3"/>
  <c r="EE137" i="3"/>
  <c r="ED137" i="3"/>
  <c r="EC137" i="3"/>
  <c r="EB137" i="3"/>
  <c r="DZ137" i="3"/>
  <c r="DY137" i="3"/>
  <c r="DX137" i="3"/>
  <c r="DW137" i="3"/>
  <c r="DU137" i="3"/>
  <c r="DT137" i="3"/>
  <c r="DS137" i="3"/>
  <c r="DR137" i="3"/>
  <c r="DP137" i="3"/>
  <c r="DO137" i="3"/>
  <c r="DN137" i="3"/>
  <c r="DM137" i="3"/>
  <c r="DK137" i="3"/>
  <c r="DJ137" i="3"/>
  <c r="DC137" i="3"/>
  <c r="CV137" i="3"/>
  <c r="CO137" i="3"/>
  <c r="EI136" i="3"/>
  <c r="EH136" i="3"/>
  <c r="EG136" i="3"/>
  <c r="DI137" i="3"/>
  <c r="DH137" i="3"/>
  <c r="CX137" i="3"/>
  <c r="CZ136" i="3"/>
  <c r="CT137" i="3"/>
  <c r="CS137" i="3"/>
  <c r="CQ137" i="3"/>
  <c r="CP137" i="3"/>
  <c r="DA136" i="3"/>
  <c r="DW129" i="3"/>
  <c r="DQ128" i="3"/>
  <c r="CH128" i="3"/>
  <c r="FX124" i="3"/>
  <c r="FZ124" i="3" s="1"/>
  <c r="GA124" i="3" s="1"/>
  <c r="GB124" i="3" s="1"/>
  <c r="FS124" i="3"/>
  <c r="FN124" i="3"/>
  <c r="FH124" i="3"/>
  <c r="FI124" i="3" s="1"/>
  <c r="FE124" i="3"/>
  <c r="DU124" i="3"/>
  <c r="DW124" i="3" s="1"/>
  <c r="DX124" i="3" s="1"/>
  <c r="DN124" i="3"/>
  <c r="DC124" i="3"/>
  <c r="DD124" i="3" s="1"/>
  <c r="CY124" i="3"/>
  <c r="CZ124" i="3" s="1"/>
  <c r="CT124" i="3"/>
  <c r="CO124" i="3"/>
  <c r="CJ124" i="3"/>
  <c r="CE124" i="3"/>
  <c r="CF124" i="3" s="1"/>
  <c r="BZ124" i="3"/>
  <c r="BU124" i="3"/>
  <c r="BP124" i="3"/>
  <c r="BK124" i="3"/>
  <c r="BL124" i="3" s="1"/>
  <c r="BM124" i="3" s="1"/>
  <c r="BF124" i="3"/>
  <c r="BB124" i="3"/>
  <c r="BC124" i="3" s="1"/>
  <c r="BD124" i="3" s="1"/>
  <c r="AV124" i="3"/>
  <c r="AG124" i="3"/>
  <c r="HI122" i="3"/>
  <c r="GW122" i="3"/>
  <c r="GG122" i="3"/>
  <c r="FU122" i="3"/>
  <c r="FU123" i="3" s="1"/>
  <c r="FQ122" i="3"/>
  <c r="FN122" i="3"/>
  <c r="FK122" i="3"/>
  <c r="FF122" i="3"/>
  <c r="FA122" i="3"/>
  <c r="EY122" i="3"/>
  <c r="EX122" i="3"/>
  <c r="EW122" i="3"/>
  <c r="EV122" i="3"/>
  <c r="ER122" i="3"/>
  <c r="EQ122" i="3"/>
  <c r="EO122" i="3"/>
  <c r="EJ122" i="3"/>
  <c r="EG122" i="3"/>
  <c r="EB122" i="3"/>
  <c r="DY122" i="3"/>
  <c r="DW122" i="3"/>
  <c r="DU122" i="3"/>
  <c r="DT122" i="3"/>
  <c r="DS122" i="3"/>
  <c r="DO122" i="3"/>
  <c r="DN122" i="3"/>
  <c r="CX122" i="3"/>
  <c r="BT122" i="3"/>
  <c r="BJ122" i="3"/>
  <c r="BE122" i="3"/>
  <c r="HM121" i="3"/>
  <c r="HH121" i="3"/>
  <c r="HC121" i="3"/>
  <c r="GX121" i="3"/>
  <c r="GS121" i="3"/>
  <c r="GL121" i="3"/>
  <c r="GL122" i="3" s="1"/>
  <c r="GK121" i="3"/>
  <c r="GK122" i="3" s="1"/>
  <c r="GJ121" i="3"/>
  <c r="GH121" i="3"/>
  <c r="GH122" i="3" s="1"/>
  <c r="GG121" i="3"/>
  <c r="GE121" i="3"/>
  <c r="GE122" i="3" s="1"/>
  <c r="FR121" i="3"/>
  <c r="FT121" i="3" s="1"/>
  <c r="FL121" i="3"/>
  <c r="FM121" i="3" s="1"/>
  <c r="FO121" i="3" s="1"/>
  <c r="FG121" i="3"/>
  <c r="FH121" i="3" s="1"/>
  <c r="FI121" i="3" s="1"/>
  <c r="FB121" i="3"/>
  <c r="FC121" i="3" s="1"/>
  <c r="EZ121" i="3"/>
  <c r="EU121" i="3"/>
  <c r="EN121" i="3"/>
  <c r="EL121" i="3"/>
  <c r="EP121" i="3" s="1"/>
  <c r="EI121" i="3"/>
  <c r="EI122" i="3" s="1"/>
  <c r="EH121" i="3"/>
  <c r="EE121" i="3"/>
  <c r="EE122" i="3" s="1"/>
  <c r="ED121" i="3"/>
  <c r="ED122" i="3" s="1"/>
  <c r="DZ121" i="3"/>
  <c r="DZ122" i="3" s="1"/>
  <c r="DX121" i="3"/>
  <c r="DX122" i="3" s="1"/>
  <c r="DR121" i="3"/>
  <c r="DP121" i="3"/>
  <c r="DP122" i="3" s="1"/>
  <c r="DH121" i="3"/>
  <c r="DI121" i="3" s="1"/>
  <c r="DJ121" i="3" s="1"/>
  <c r="DC121" i="3"/>
  <c r="DD121" i="3" s="1"/>
  <c r="CY121" i="3"/>
  <c r="CT121" i="3"/>
  <c r="CN121" i="3"/>
  <c r="CN122" i="3" s="1"/>
  <c r="CI121" i="3"/>
  <c r="CJ121" i="3" s="1"/>
  <c r="CE121" i="3"/>
  <c r="BY121" i="3"/>
  <c r="BZ121" i="3" s="1"/>
  <c r="BU121" i="3"/>
  <c r="BV121" i="3" s="1"/>
  <c r="BW121" i="3" s="1"/>
  <c r="BX121" i="3" s="1"/>
  <c r="BP121" i="3"/>
  <c r="BQ121" i="3" s="1"/>
  <c r="BK121" i="3"/>
  <c r="BL121" i="3" s="1"/>
  <c r="BF121" i="3"/>
  <c r="BA121" i="3"/>
  <c r="BB121" i="3" s="1"/>
  <c r="BC121" i="3" s="1"/>
  <c r="AV121" i="3"/>
  <c r="AW121" i="3" s="1"/>
  <c r="AQ121" i="3"/>
  <c r="AL121" i="3"/>
  <c r="AG121" i="3"/>
  <c r="AH121" i="3" s="1"/>
  <c r="HM120" i="3"/>
  <c r="HK122" i="3"/>
  <c r="HJ122" i="3"/>
  <c r="HG122" i="3"/>
  <c r="HH120" i="3"/>
  <c r="HE122" i="3"/>
  <c r="HD122" i="3"/>
  <c r="HB122" i="3"/>
  <c r="HA122" i="3"/>
  <c r="GZ122" i="3"/>
  <c r="HC120" i="3"/>
  <c r="GV122" i="3"/>
  <c r="GU122" i="3"/>
  <c r="GT122" i="3"/>
  <c r="GO120" i="3"/>
  <c r="GP120" i="3" s="1"/>
  <c r="GN120" i="3"/>
  <c r="GM120" i="3"/>
  <c r="GM122" i="3" s="1"/>
  <c r="GF120" i="3"/>
  <c r="GI120" i="3" s="1"/>
  <c r="GA120" i="3"/>
  <c r="GB120" i="3" s="1"/>
  <c r="FY120" i="3"/>
  <c r="FP120" i="3"/>
  <c r="FM120" i="3"/>
  <c r="FO120" i="3" s="1"/>
  <c r="FG120" i="3"/>
  <c r="FD120" i="3"/>
  <c r="FE120" i="3" s="1"/>
  <c r="EZ120" i="3"/>
  <c r="ET120" i="3"/>
  <c r="ET122" i="3" s="1"/>
  <c r="ES120" i="3"/>
  <c r="EL120" i="3"/>
  <c r="EM120" i="3" s="1"/>
  <c r="EK120" i="3"/>
  <c r="EC120" i="3"/>
  <c r="EA120" i="3"/>
  <c r="DV120" i="3"/>
  <c r="DM120" i="3"/>
  <c r="DQ120" i="3" s="1"/>
  <c r="DH120" i="3"/>
  <c r="DI120" i="3" s="1"/>
  <c r="DD120" i="3"/>
  <c r="DE120" i="3" s="1"/>
  <c r="CY120" i="3"/>
  <c r="CS120" i="3"/>
  <c r="CO120" i="3"/>
  <c r="CP120" i="3" s="1"/>
  <c r="CQ120" i="3" s="1"/>
  <c r="CR120" i="3" s="1"/>
  <c r="CJ120" i="3"/>
  <c r="CK120" i="3" s="1"/>
  <c r="CE120" i="3"/>
  <c r="CF120" i="3" s="1"/>
  <c r="BZ120" i="3"/>
  <c r="BU120" i="3"/>
  <c r="BV120" i="3" s="1"/>
  <c r="BO120" i="3"/>
  <c r="BK120" i="3"/>
  <c r="BL120" i="3" s="1"/>
  <c r="BF120" i="3"/>
  <c r="BG120" i="3" s="1"/>
  <c r="BA120" i="3"/>
  <c r="AV120" i="3"/>
  <c r="AW120" i="3" s="1"/>
  <c r="AP120" i="3"/>
  <c r="AQ120" i="3" s="1"/>
  <c r="AR120" i="3" s="1"/>
  <c r="AL120" i="3"/>
  <c r="AM120" i="3" s="1"/>
  <c r="AK120" i="3"/>
  <c r="AF120" i="3"/>
  <c r="HM119" i="3"/>
  <c r="HH119" i="3"/>
  <c r="HC119" i="3"/>
  <c r="GX119" i="3"/>
  <c r="GS119" i="3"/>
  <c r="GN119" i="3"/>
  <c r="GI119" i="3"/>
  <c r="GD119" i="3"/>
  <c r="FY119" i="3"/>
  <c r="FR119" i="3"/>
  <c r="FS119" i="3" s="1"/>
  <c r="FT119" i="3" s="1"/>
  <c r="FM119" i="3"/>
  <c r="FO119" i="3" s="1"/>
  <c r="FG119" i="3"/>
  <c r="FB119" i="3"/>
  <c r="EZ119" i="3"/>
  <c r="ES119" i="3"/>
  <c r="EP119" i="3"/>
  <c r="EK119" i="3"/>
  <c r="EF119" i="3"/>
  <c r="EA119" i="3"/>
  <c r="DV119" i="3"/>
  <c r="DQ119" i="3"/>
  <c r="DI119" i="3"/>
  <c r="DD119" i="3"/>
  <c r="DE119" i="3" s="1"/>
  <c r="CY119" i="3"/>
  <c r="CZ119" i="3" s="1"/>
  <c r="CS119" i="3"/>
  <c r="CO119" i="3"/>
  <c r="CP119" i="3" s="1"/>
  <c r="CJ119" i="3"/>
  <c r="CK119" i="3" s="1"/>
  <c r="CD119" i="3"/>
  <c r="CE119" i="3" s="1"/>
  <c r="BZ119" i="3"/>
  <c r="CA119" i="3" s="1"/>
  <c r="BU119" i="3"/>
  <c r="BO119" i="3"/>
  <c r="BP119" i="3" s="1"/>
  <c r="BQ119" i="3" s="1"/>
  <c r="BK119" i="3"/>
  <c r="BF119" i="3"/>
  <c r="AZ119" i="3"/>
  <c r="BA119" i="3" s="1"/>
  <c r="AU119" i="3"/>
  <c r="AU122" i="3" s="1"/>
  <c r="AQ119" i="3"/>
  <c r="AP119" i="3"/>
  <c r="AK119" i="3"/>
  <c r="AL119" i="3" s="1"/>
  <c r="AG119" i="3"/>
  <c r="HM118" i="3"/>
  <c r="HH118" i="3"/>
  <c r="HC118" i="3"/>
  <c r="GX118" i="3"/>
  <c r="GS118" i="3"/>
  <c r="GJ118" i="3"/>
  <c r="GI118" i="3"/>
  <c r="FZ118" i="3"/>
  <c r="GD118" i="3" s="1"/>
  <c r="FX118" i="3"/>
  <c r="FW118" i="3"/>
  <c r="FV118" i="3"/>
  <c r="FR118" i="3"/>
  <c r="FS118" i="3" s="1"/>
  <c r="FL118" i="3"/>
  <c r="FJ118" i="3"/>
  <c r="FE118" i="3"/>
  <c r="EZ118" i="3"/>
  <c r="EU118" i="3"/>
  <c r="EP118" i="3"/>
  <c r="EK118" i="3"/>
  <c r="EF118" i="3"/>
  <c r="EA118" i="3"/>
  <c r="DV118" i="3"/>
  <c r="DQ118" i="3"/>
  <c r="DH118" i="3"/>
  <c r="DD118" i="3"/>
  <c r="CY118" i="3"/>
  <c r="CT118" i="3"/>
  <c r="CU118" i="3" s="1"/>
  <c r="CO118" i="3"/>
  <c r="CI118" i="3"/>
  <c r="CJ118" i="3" s="1"/>
  <c r="CE118" i="3"/>
  <c r="BZ118" i="3"/>
  <c r="BY118" i="3"/>
  <c r="BU118" i="3"/>
  <c r="BV118" i="3" s="1"/>
  <c r="BO118" i="3"/>
  <c r="BP118" i="3" s="1"/>
  <c r="BK118" i="3"/>
  <c r="BL118" i="3" s="1"/>
  <c r="BF118" i="3"/>
  <c r="BG118" i="3" s="1"/>
  <c r="AZ118" i="3"/>
  <c r="AV118" i="3"/>
  <c r="AP118" i="3"/>
  <c r="AP122" i="3" s="1"/>
  <c r="AL118" i="3"/>
  <c r="AM118" i="3" s="1"/>
  <c r="AK118" i="3"/>
  <c r="AG118" i="3"/>
  <c r="HI115" i="3"/>
  <c r="HD115" i="3"/>
  <c r="GY115" i="3"/>
  <c r="GT115" i="3"/>
  <c r="FU115" i="3"/>
  <c r="FU116" i="3" s="1"/>
  <c r="FQ115" i="3"/>
  <c r="FN115" i="3"/>
  <c r="FK115" i="3"/>
  <c r="FA115" i="3"/>
  <c r="EX115" i="3"/>
  <c r="EQ115" i="3"/>
  <c r="EO115" i="3"/>
  <c r="EN115" i="3"/>
  <c r="EI115" i="3"/>
  <c r="DK115" i="3"/>
  <c r="HJ114" i="3"/>
  <c r="HK114" i="3" s="1"/>
  <c r="HE114" i="3"/>
  <c r="GZ114" i="3"/>
  <c r="HA114" i="3" s="1"/>
  <c r="HB114" i="3" s="1"/>
  <c r="GU114" i="3"/>
  <c r="GQ114" i="3"/>
  <c r="GR114" i="3" s="1"/>
  <c r="GO114" i="3"/>
  <c r="GM114" i="3"/>
  <c r="GM115" i="3" s="1"/>
  <c r="GL114" i="3"/>
  <c r="GK114" i="3"/>
  <c r="GK115" i="3" s="1"/>
  <c r="GJ114" i="3"/>
  <c r="GJ115" i="3" s="1"/>
  <c r="GH114" i="3"/>
  <c r="GH115" i="3" s="1"/>
  <c r="GG114" i="3"/>
  <c r="GG115" i="3" s="1"/>
  <c r="GF114" i="3"/>
  <c r="GE114" i="3"/>
  <c r="GE115" i="3" s="1"/>
  <c r="GC114" i="3"/>
  <c r="GC115" i="3" s="1"/>
  <c r="GB114" i="3"/>
  <c r="GB115" i="3" s="1"/>
  <c r="GA114" i="3"/>
  <c r="GA115" i="3" s="1"/>
  <c r="FZ114" i="3"/>
  <c r="FX114" i="3"/>
  <c r="FX115" i="3" s="1"/>
  <c r="FW114" i="3"/>
  <c r="FW115" i="3" s="1"/>
  <c r="FV114" i="3"/>
  <c r="FP114" i="3"/>
  <c r="FL114" i="3"/>
  <c r="FF114" i="3"/>
  <c r="FG114" i="3" s="1"/>
  <c r="FC114" i="3"/>
  <c r="FC115" i="3" s="1"/>
  <c r="EY114" i="3"/>
  <c r="EY115" i="3" s="1"/>
  <c r="EW114" i="3"/>
  <c r="EW115" i="3" s="1"/>
  <c r="EV114" i="3"/>
  <c r="EV115" i="3" s="1"/>
  <c r="ET114" i="3"/>
  <c r="ET115" i="3" s="1"/>
  <c r="ES114" i="3"/>
  <c r="ES115" i="3" s="1"/>
  <c r="ER114" i="3"/>
  <c r="EM114" i="3"/>
  <c r="EM115" i="3" s="1"/>
  <c r="EL114" i="3"/>
  <c r="EJ114" i="3"/>
  <c r="EJ115" i="3" s="1"/>
  <c r="EI114" i="3"/>
  <c r="EH114" i="3"/>
  <c r="EH115" i="3" s="1"/>
  <c r="EG114" i="3"/>
  <c r="EG115" i="3" s="1"/>
  <c r="EE114" i="3"/>
  <c r="ED114" i="3"/>
  <c r="EC114" i="3"/>
  <c r="EC115" i="3" s="1"/>
  <c r="EB114" i="3"/>
  <c r="DZ114" i="3"/>
  <c r="DZ115" i="3" s="1"/>
  <c r="DY114" i="3"/>
  <c r="DY115" i="3" s="1"/>
  <c r="DX114" i="3"/>
  <c r="DX115" i="3" s="1"/>
  <c r="DW114" i="3"/>
  <c r="DW115" i="3" s="1"/>
  <c r="DU114" i="3"/>
  <c r="DU115" i="3" s="1"/>
  <c r="DT114" i="3"/>
  <c r="DS114" i="3"/>
  <c r="DS115" i="3" s="1"/>
  <c r="DR114" i="3"/>
  <c r="DR115" i="3" s="1"/>
  <c r="DP114" i="3"/>
  <c r="DP115" i="3" s="1"/>
  <c r="DO114" i="3"/>
  <c r="DO115" i="3" s="1"/>
  <c r="DN114" i="3"/>
  <c r="DN115" i="3" s="1"/>
  <c r="DM114" i="3"/>
  <c r="DM115" i="3" s="1"/>
  <c r="DH114" i="3"/>
  <c r="DH115" i="3" s="1"/>
  <c r="DC114" i="3"/>
  <c r="DD114" i="3" s="1"/>
  <c r="CX114" i="3"/>
  <c r="CX115" i="3" s="1"/>
  <c r="CS114" i="3"/>
  <c r="CT114" i="3" s="1"/>
  <c r="CO114" i="3"/>
  <c r="CP114" i="3" s="1"/>
  <c r="CN114" i="3"/>
  <c r="CN115" i="3" s="1"/>
  <c r="CI114" i="3"/>
  <c r="CD114" i="3"/>
  <c r="CD115" i="3" s="1"/>
  <c r="BY114" i="3"/>
  <c r="BY115" i="3" s="1"/>
  <c r="BT114" i="3"/>
  <c r="BU114" i="3" s="1"/>
  <c r="BO114" i="3"/>
  <c r="BP114" i="3" s="1"/>
  <c r="BJ114" i="3"/>
  <c r="BJ115" i="3" s="1"/>
  <c r="BE114" i="3"/>
  <c r="BE115" i="3" s="1"/>
  <c r="AZ114" i="3"/>
  <c r="BA114" i="3" s="1"/>
  <c r="AU114" i="3"/>
  <c r="AP114" i="3"/>
  <c r="AP115" i="3" s="1"/>
  <c r="AL114" i="3"/>
  <c r="AK114" i="3"/>
  <c r="AK115" i="3" s="1"/>
  <c r="AF114" i="3"/>
  <c r="HJ113" i="3"/>
  <c r="HJ115" i="3" s="1"/>
  <c r="HE113" i="3"/>
  <c r="GZ113" i="3"/>
  <c r="GU113" i="3"/>
  <c r="GP113" i="3"/>
  <c r="GQ113" i="3" s="1"/>
  <c r="GN113" i="3"/>
  <c r="GI113" i="3"/>
  <c r="GD113" i="3"/>
  <c r="FY113" i="3"/>
  <c r="FR113" i="3"/>
  <c r="FL113" i="3"/>
  <c r="FG113" i="3"/>
  <c r="FH113" i="3" s="1"/>
  <c r="DD86" i="2" s="1"/>
  <c r="FB113" i="3"/>
  <c r="FB115" i="3" s="1"/>
  <c r="EZ113" i="3"/>
  <c r="EU113" i="3"/>
  <c r="EP113" i="3"/>
  <c r="EK113" i="3"/>
  <c r="EE113" i="3"/>
  <c r="ED113" i="3"/>
  <c r="EA113" i="3"/>
  <c r="DT113" i="3"/>
  <c r="DT115" i="3" s="1"/>
  <c r="DQ113" i="3"/>
  <c r="DI113" i="3"/>
  <c r="DD113" i="3"/>
  <c r="DE113" i="3" s="1"/>
  <c r="CY113" i="3"/>
  <c r="CT113" i="3"/>
  <c r="CO113" i="3"/>
  <c r="CJ113" i="3"/>
  <c r="CK113" i="3" s="1"/>
  <c r="CE113" i="3"/>
  <c r="CF113" i="3" s="1"/>
  <c r="BZ113" i="3"/>
  <c r="BU113" i="3"/>
  <c r="AI86" i="2" s="1"/>
  <c r="BT113" i="3"/>
  <c r="BO113" i="3"/>
  <c r="BP113" i="3" s="1"/>
  <c r="BK113" i="3"/>
  <c r="BL113" i="3" s="1"/>
  <c r="BF113" i="3"/>
  <c r="BA113" i="3"/>
  <c r="BB113" i="3" s="1"/>
  <c r="AZ113" i="3"/>
  <c r="AV113" i="3"/>
  <c r="AU113" i="3"/>
  <c r="AQ113" i="3"/>
  <c r="AR113" i="3" s="1"/>
  <c r="AL113" i="3"/>
  <c r="G86" i="2" s="1"/>
  <c r="AG113" i="3"/>
  <c r="AF113" i="3"/>
  <c r="GO109" i="3"/>
  <c r="GM109" i="3"/>
  <c r="GL109" i="3"/>
  <c r="GK109" i="3"/>
  <c r="GJ109" i="3"/>
  <c r="FP109" i="3"/>
  <c r="FN109" i="3"/>
  <c r="FL109" i="3"/>
  <c r="FF109" i="3"/>
  <c r="FG109" i="3" s="1"/>
  <c r="FH109" i="3" s="1"/>
  <c r="FI109" i="3" s="1"/>
  <c r="FA109" i="3"/>
  <c r="FB109" i="3" s="1"/>
  <c r="EY109" i="3"/>
  <c r="EX109" i="3"/>
  <c r="EW109" i="3"/>
  <c r="EV109" i="3"/>
  <c r="ET109" i="3"/>
  <c r="ES109" i="3"/>
  <c r="ER109" i="3"/>
  <c r="EQ109" i="3"/>
  <c r="EO109" i="3"/>
  <c r="EN109" i="3"/>
  <c r="EM109" i="3"/>
  <c r="EL109" i="3"/>
  <c r="EJ109" i="3"/>
  <c r="EI109" i="3"/>
  <c r="EH109" i="3"/>
  <c r="EG109" i="3"/>
  <c r="EE109" i="3"/>
  <c r="ED109" i="3"/>
  <c r="EC109" i="3"/>
  <c r="EB109" i="3"/>
  <c r="DZ109" i="3"/>
  <c r="DY109" i="3"/>
  <c r="DX109" i="3"/>
  <c r="DW109" i="3"/>
  <c r="DU109" i="3"/>
  <c r="DT109" i="3"/>
  <c r="DS109" i="3"/>
  <c r="DR109" i="3"/>
  <c r="DP109" i="3"/>
  <c r="DO109" i="3"/>
  <c r="DN109" i="3"/>
  <c r="DM109" i="3"/>
  <c r="DH109" i="3"/>
  <c r="DI109" i="3" s="1"/>
  <c r="DJ109" i="3" s="1"/>
  <c r="DC109" i="3"/>
  <c r="DD109" i="3" s="1"/>
  <c r="CX109" i="3"/>
  <c r="CY109" i="3" s="1"/>
  <c r="CZ109" i="3" s="1"/>
  <c r="CS109" i="3"/>
  <c r="CT109" i="3" s="1"/>
  <c r="CN109" i="3"/>
  <c r="CI109" i="3"/>
  <c r="CJ109" i="3" s="1"/>
  <c r="CK109" i="3" s="1"/>
  <c r="CL109" i="3" s="1"/>
  <c r="CD109" i="3"/>
  <c r="CE109" i="3" s="1"/>
  <c r="CF109" i="3" s="1"/>
  <c r="BY109" i="3"/>
  <c r="BT109" i="3"/>
  <c r="BU109" i="3" s="1"/>
  <c r="BV109" i="3" s="1"/>
  <c r="BO109" i="3"/>
  <c r="BP109" i="3" s="1"/>
  <c r="BJ109" i="3"/>
  <c r="BE109" i="3"/>
  <c r="BF109" i="3" s="1"/>
  <c r="BG109" i="3" s="1"/>
  <c r="BH109" i="3" s="1"/>
  <c r="AZ109" i="3"/>
  <c r="BA109" i="3" s="1"/>
  <c r="BB109" i="3" s="1"/>
  <c r="AU109" i="3"/>
  <c r="AP109" i="3"/>
  <c r="AQ109" i="3" s="1"/>
  <c r="AR109" i="3" s="1"/>
  <c r="AK109" i="3"/>
  <c r="AL109" i="3" s="1"/>
  <c r="AF109" i="3"/>
  <c r="GO108" i="3"/>
  <c r="GM108" i="3"/>
  <c r="GL108" i="3"/>
  <c r="GK108" i="3"/>
  <c r="GJ108" i="3"/>
  <c r="FP108" i="3"/>
  <c r="FF108" i="3"/>
  <c r="FA108" i="3"/>
  <c r="FB108" i="3" s="1"/>
  <c r="FC108" i="3" s="1"/>
  <c r="FD108" i="3" s="1"/>
  <c r="EY108" i="3"/>
  <c r="EX108" i="3"/>
  <c r="EW108" i="3"/>
  <c r="EV108" i="3"/>
  <c r="ET108" i="3"/>
  <c r="ES108" i="3"/>
  <c r="ER108" i="3"/>
  <c r="EQ108" i="3"/>
  <c r="EO108" i="3"/>
  <c r="EN108" i="3"/>
  <c r="EM108" i="3"/>
  <c r="EL108" i="3"/>
  <c r="EJ108" i="3"/>
  <c r="EI108" i="3"/>
  <c r="EH108" i="3"/>
  <c r="EG108" i="3"/>
  <c r="EE108" i="3"/>
  <c r="ED108" i="3"/>
  <c r="EC108" i="3"/>
  <c r="EB108" i="3"/>
  <c r="DZ108" i="3"/>
  <c r="DY108" i="3"/>
  <c r="DX108" i="3"/>
  <c r="DW108" i="3"/>
  <c r="DU108" i="3"/>
  <c r="DT108" i="3"/>
  <c r="DS108" i="3"/>
  <c r="DR108" i="3"/>
  <c r="DP108" i="3"/>
  <c r="DO108" i="3"/>
  <c r="DN108" i="3"/>
  <c r="DM108" i="3"/>
  <c r="DH108" i="3"/>
  <c r="DI108" i="3" s="1"/>
  <c r="DJ108" i="3" s="1"/>
  <c r="DC108" i="3"/>
  <c r="DD108" i="3" s="1"/>
  <c r="CX108" i="3"/>
  <c r="CS108" i="3"/>
  <c r="CT108" i="3" s="1"/>
  <c r="CU108" i="3" s="1"/>
  <c r="CV108" i="3" s="1"/>
  <c r="CN108" i="3"/>
  <c r="CO108" i="3" s="1"/>
  <c r="CP108" i="3" s="1"/>
  <c r="CI108" i="3"/>
  <c r="CD108" i="3"/>
  <c r="CE108" i="3" s="1"/>
  <c r="CF108" i="3" s="1"/>
  <c r="BZ108" i="3"/>
  <c r="BY108" i="3"/>
  <c r="BT108" i="3"/>
  <c r="BO108" i="3"/>
  <c r="BP108" i="3" s="1"/>
  <c r="BJ108" i="3"/>
  <c r="BK108" i="3" s="1"/>
  <c r="BL108" i="3" s="1"/>
  <c r="BF108" i="3"/>
  <c r="BE108" i="3"/>
  <c r="AZ108" i="3"/>
  <c r="BA108" i="3" s="1"/>
  <c r="BB108" i="3" s="1"/>
  <c r="AU108" i="3"/>
  <c r="AV108" i="3" s="1"/>
  <c r="AP108" i="3"/>
  <c r="AK108" i="3"/>
  <c r="AL108" i="3" s="1"/>
  <c r="AM108" i="3" s="1"/>
  <c r="AN108" i="3" s="1"/>
  <c r="AF108" i="3"/>
  <c r="AG108" i="3" s="1"/>
  <c r="AH108" i="3" s="1"/>
  <c r="GO107" i="3"/>
  <c r="GM107" i="3"/>
  <c r="GL107" i="3"/>
  <c r="GK107" i="3"/>
  <c r="GJ107" i="3"/>
  <c r="GH107" i="3"/>
  <c r="GG107" i="3"/>
  <c r="GF107" i="3"/>
  <c r="GE107" i="3"/>
  <c r="GC107" i="3"/>
  <c r="GB107" i="3"/>
  <c r="GA107" i="3"/>
  <c r="FZ107" i="3"/>
  <c r="FV107" i="3"/>
  <c r="FU107" i="3"/>
  <c r="FP107" i="3"/>
  <c r="FR107" i="3" s="1"/>
  <c r="FS107" i="3" s="1"/>
  <c r="FN107" i="3"/>
  <c r="FK107" i="3"/>
  <c r="FL107" i="3" s="1"/>
  <c r="FM107" i="3" s="1"/>
  <c r="FF107" i="3"/>
  <c r="FG107" i="3" s="1"/>
  <c r="FH107" i="3" s="1"/>
  <c r="FI107" i="3" s="1"/>
  <c r="FD107" i="3"/>
  <c r="FB107" i="3"/>
  <c r="EZ107" i="3"/>
  <c r="EU107" i="3"/>
  <c r="EP107" i="3"/>
  <c r="EK107" i="3"/>
  <c r="EE107" i="3"/>
  <c r="EF107" i="3" s="1"/>
  <c r="EA107" i="3"/>
  <c r="DV107" i="3"/>
  <c r="DM107" i="3"/>
  <c r="DQ107" i="3" s="1"/>
  <c r="DI107" i="3"/>
  <c r="DJ107" i="3" s="1"/>
  <c r="DK107" i="3" s="1"/>
  <c r="DD107" i="3"/>
  <c r="CY107" i="3"/>
  <c r="CZ107" i="3" s="1"/>
  <c r="DA107" i="3" s="1"/>
  <c r="CS107" i="3"/>
  <c r="CT107" i="3" s="1"/>
  <c r="CT89" i="3" s="1"/>
  <c r="CN107" i="3"/>
  <c r="CO107" i="3" s="1"/>
  <c r="CP107" i="3" s="1"/>
  <c r="CI107" i="3"/>
  <c r="CJ107" i="3" s="1"/>
  <c r="CD107" i="3"/>
  <c r="BZ107" i="3"/>
  <c r="CA107" i="3" s="1"/>
  <c r="BY107" i="3"/>
  <c r="BU107" i="3"/>
  <c r="BT107" i="3"/>
  <c r="BO107" i="3"/>
  <c r="BP107" i="3" s="1"/>
  <c r="BJ107" i="3"/>
  <c r="BK107" i="3" s="1"/>
  <c r="BL107" i="3" s="1"/>
  <c r="BE107" i="3"/>
  <c r="BF107" i="3" s="1"/>
  <c r="BF14" i="3" s="1"/>
  <c r="BA107" i="3"/>
  <c r="BB107" i="3" s="1"/>
  <c r="AV107" i="3"/>
  <c r="AV14" i="3" s="1"/>
  <c r="AQ107" i="3"/>
  <c r="AR107" i="3" s="1"/>
  <c r="AL107" i="3"/>
  <c r="AG107" i="3"/>
  <c r="AH107" i="3" s="1"/>
  <c r="AH14" i="3" s="1"/>
  <c r="CR101" i="3"/>
  <c r="CM101" i="3"/>
  <c r="CH101" i="3"/>
  <c r="BI101" i="3"/>
  <c r="EC100" i="3"/>
  <c r="CE99" i="2" s="1"/>
  <c r="DZ100" i="3"/>
  <c r="DY100" i="3"/>
  <c r="DU100" i="3"/>
  <c r="DT100" i="3"/>
  <c r="DS100" i="3"/>
  <c r="DR100" i="3"/>
  <c r="BV99" i="2" s="1"/>
  <c r="DP100" i="3"/>
  <c r="DO100" i="3"/>
  <c r="DN100" i="3"/>
  <c r="DM100" i="3"/>
  <c r="DK100" i="3"/>
  <c r="DJ100" i="3"/>
  <c r="BP99" i="2" s="1"/>
  <c r="DI100" i="3"/>
  <c r="DH100" i="3"/>
  <c r="DF100" i="3"/>
  <c r="DE100" i="3"/>
  <c r="DA100" i="3"/>
  <c r="BI99" i="2" s="1"/>
  <c r="FN99" i="2" s="1"/>
  <c r="CY100" i="3"/>
  <c r="BM100" i="3"/>
  <c r="AH100" i="3"/>
  <c r="AG100" i="3"/>
  <c r="AF100" i="3"/>
  <c r="FH98" i="3"/>
  <c r="ET98" i="3"/>
  <c r="ES98" i="3"/>
  <c r="EO98" i="3"/>
  <c r="EN98" i="3"/>
  <c r="EM98" i="3"/>
  <c r="EL98" i="3"/>
  <c r="EJ98" i="3"/>
  <c r="EI98" i="3"/>
  <c r="EH98" i="3"/>
  <c r="EG98" i="3"/>
  <c r="EC98" i="3"/>
  <c r="EB98" i="3"/>
  <c r="DZ98" i="3"/>
  <c r="DY98" i="3"/>
  <c r="DX98" i="3"/>
  <c r="DW98" i="3"/>
  <c r="DU98" i="3"/>
  <c r="DS98" i="3"/>
  <c r="DR98" i="3"/>
  <c r="CD98" i="3"/>
  <c r="CB98" i="3"/>
  <c r="CA98" i="3"/>
  <c r="BZ98" i="3"/>
  <c r="BY98" i="3"/>
  <c r="BW98" i="3"/>
  <c r="BV98" i="3"/>
  <c r="BU98" i="3"/>
  <c r="BT98" i="3"/>
  <c r="BR98" i="3"/>
  <c r="BQ98" i="3"/>
  <c r="BP98" i="3"/>
  <c r="BO98" i="3"/>
  <c r="BM98" i="3"/>
  <c r="BL98" i="3"/>
  <c r="BK98" i="3"/>
  <c r="BJ98" i="3"/>
  <c r="BH98" i="3"/>
  <c r="BG98" i="3"/>
  <c r="BF98" i="3"/>
  <c r="BE98" i="3"/>
  <c r="BC98" i="3"/>
  <c r="BB98" i="3"/>
  <c r="BA98" i="3"/>
  <c r="AZ98" i="3"/>
  <c r="AX98" i="3"/>
  <c r="AW98" i="3"/>
  <c r="AV98" i="3"/>
  <c r="AU98" i="3"/>
  <c r="AS98" i="3"/>
  <c r="AR98" i="3"/>
  <c r="AQ98" i="3"/>
  <c r="AP98" i="3"/>
  <c r="AN98" i="3"/>
  <c r="AM98" i="3"/>
  <c r="AL98" i="3"/>
  <c r="AK98" i="3"/>
  <c r="AI98" i="3"/>
  <c r="AH98" i="3"/>
  <c r="AG98" i="3"/>
  <c r="AF98" i="3"/>
  <c r="GN97" i="3"/>
  <c r="GI97" i="3"/>
  <c r="GD97" i="3"/>
  <c r="FY97" i="3"/>
  <c r="FT97" i="3"/>
  <c r="FO97" i="3"/>
  <c r="FJ97" i="3"/>
  <c r="FE97" i="3"/>
  <c r="EZ97" i="3"/>
  <c r="EU97" i="3"/>
  <c r="ER97" i="3"/>
  <c r="ER143" i="3" s="1"/>
  <c r="EP97" i="3"/>
  <c r="EK97" i="3"/>
  <c r="EE97" i="3"/>
  <c r="EA97" i="3"/>
  <c r="DV97" i="3"/>
  <c r="DQ97" i="3"/>
  <c r="DL97" i="3"/>
  <c r="DG97" i="3"/>
  <c r="DB97" i="3"/>
  <c r="CW97" i="3"/>
  <c r="CQ97" i="3"/>
  <c r="CQ143" i="3" s="1"/>
  <c r="CR143" i="3" s="1"/>
  <c r="CM97" i="3"/>
  <c r="CH97" i="3"/>
  <c r="CC97" i="3"/>
  <c r="BX97" i="3"/>
  <c r="BS97" i="3"/>
  <c r="BN97" i="3"/>
  <c r="BI97" i="3"/>
  <c r="BD97" i="3"/>
  <c r="AY97" i="3"/>
  <c r="AT97" i="3"/>
  <c r="AO97" i="3"/>
  <c r="AJ97" i="3"/>
  <c r="GO96" i="3"/>
  <c r="GP96" i="3" s="1"/>
  <c r="GQ96" i="3" s="1"/>
  <c r="GR96" i="3" s="1"/>
  <c r="GM96" i="3"/>
  <c r="GN96" i="3" s="1"/>
  <c r="GL96" i="3"/>
  <c r="GK96" i="3"/>
  <c r="GJ96" i="3"/>
  <c r="GH96" i="3"/>
  <c r="GI96" i="3" s="1"/>
  <c r="GG96" i="3"/>
  <c r="GF96" i="3"/>
  <c r="GE96" i="3"/>
  <c r="GC96" i="3"/>
  <c r="GD96" i="3" s="1"/>
  <c r="GB96" i="3"/>
  <c r="GA96" i="3"/>
  <c r="FZ96" i="3"/>
  <c r="FX96" i="3"/>
  <c r="FY96" i="3" s="1"/>
  <c r="FW96" i="3"/>
  <c r="FV96" i="3"/>
  <c r="FU96" i="3"/>
  <c r="FS96" i="3"/>
  <c r="FT96" i="3" s="1"/>
  <c r="FR96" i="3"/>
  <c r="FQ96" i="3"/>
  <c r="FP96" i="3"/>
  <c r="FN96" i="3"/>
  <c r="FO96" i="3" s="1"/>
  <c r="FM96" i="3"/>
  <c r="FL96" i="3"/>
  <c r="FK96" i="3"/>
  <c r="FI96" i="3"/>
  <c r="FJ96" i="3" s="1"/>
  <c r="FH96" i="3"/>
  <c r="FG96" i="3"/>
  <c r="FF96" i="3"/>
  <c r="FE96" i="3"/>
  <c r="EZ96" i="3"/>
  <c r="EU96" i="3"/>
  <c r="ER96" i="3"/>
  <c r="EP96" i="3"/>
  <c r="EK96" i="3"/>
  <c r="EF96" i="3"/>
  <c r="EA96" i="3"/>
  <c r="DV96" i="3"/>
  <c r="DT96" i="3"/>
  <c r="DQ96" i="3"/>
  <c r="DP96" i="3"/>
  <c r="DO96" i="3"/>
  <c r="DN96" i="3"/>
  <c r="DM96" i="3"/>
  <c r="DM98" i="3" s="1"/>
  <c r="DK96" i="3"/>
  <c r="DK98" i="3" s="1"/>
  <c r="DJ96" i="3"/>
  <c r="DI96" i="3"/>
  <c r="DI98" i="3" s="1"/>
  <c r="DH96" i="3"/>
  <c r="DF96" i="3"/>
  <c r="DF98" i="3" s="1"/>
  <c r="DE96" i="3"/>
  <c r="DD96" i="3"/>
  <c r="DC96" i="3"/>
  <c r="DA96" i="3"/>
  <c r="CZ96" i="3"/>
  <c r="CZ98" i="3" s="1"/>
  <c r="CY96" i="3"/>
  <c r="CY98" i="3" s="1"/>
  <c r="CX96" i="3"/>
  <c r="CV96" i="3"/>
  <c r="CW96" i="3" s="1"/>
  <c r="CU96" i="3"/>
  <c r="CT96" i="3"/>
  <c r="CT98" i="3" s="1"/>
  <c r="CS96" i="3"/>
  <c r="CS98" i="3" s="1"/>
  <c r="CQ96" i="3"/>
  <c r="CR96" i="3" s="1"/>
  <c r="CP96" i="3"/>
  <c r="CO96" i="3"/>
  <c r="CO98" i="3" s="1"/>
  <c r="CN96" i="3"/>
  <c r="CN98" i="3" s="1"/>
  <c r="CL96" i="3"/>
  <c r="CK96" i="3"/>
  <c r="CJ96" i="3"/>
  <c r="CI96" i="3"/>
  <c r="CG96" i="3"/>
  <c r="CF96" i="3"/>
  <c r="CE96" i="3"/>
  <c r="CC96" i="3"/>
  <c r="BX96" i="3"/>
  <c r="BS96" i="3"/>
  <c r="BN96" i="3"/>
  <c r="BI96" i="3"/>
  <c r="BD96" i="3"/>
  <c r="AY96" i="3"/>
  <c r="AT96" i="3"/>
  <c r="AO96" i="3"/>
  <c r="AJ96" i="3"/>
  <c r="GP95" i="3"/>
  <c r="GN95" i="3"/>
  <c r="GI95" i="3"/>
  <c r="GD95" i="3"/>
  <c r="FY95" i="3"/>
  <c r="FT95" i="3"/>
  <c r="FO95" i="3"/>
  <c r="FJ95" i="3"/>
  <c r="FE95" i="3"/>
  <c r="EZ95" i="3"/>
  <c r="EU95" i="3"/>
  <c r="ER95" i="3"/>
  <c r="EQ95" i="3"/>
  <c r="EP95" i="3"/>
  <c r="EK95" i="3"/>
  <c r="EF95" i="3"/>
  <c r="EA95" i="3"/>
  <c r="DV95" i="3"/>
  <c r="DQ95" i="3"/>
  <c r="DL95" i="3"/>
  <c r="DG95" i="3"/>
  <c r="DC95" i="3"/>
  <c r="DC100" i="3" s="1"/>
  <c r="BJ99" i="2" s="1"/>
  <c r="DB95" i="3"/>
  <c r="CW95" i="3"/>
  <c r="CQ95" i="3"/>
  <c r="CM95" i="3"/>
  <c r="CH95" i="3"/>
  <c r="CC95" i="3"/>
  <c r="BX95" i="3"/>
  <c r="BS95" i="3"/>
  <c r="BN95" i="3"/>
  <c r="BI95" i="3"/>
  <c r="BD95" i="3"/>
  <c r="AY95" i="3"/>
  <c r="AT95" i="3"/>
  <c r="AO95" i="3"/>
  <c r="AJ95" i="3"/>
  <c r="GO94" i="3"/>
  <c r="GM94" i="3"/>
  <c r="GL94" i="3"/>
  <c r="GL98" i="3" s="1"/>
  <c r="GK94" i="3"/>
  <c r="GJ94" i="3"/>
  <c r="GH94" i="3"/>
  <c r="GI94" i="3" s="1"/>
  <c r="GG94" i="3"/>
  <c r="GF94" i="3"/>
  <c r="GF98" i="3" s="1"/>
  <c r="GE94" i="3"/>
  <c r="GC94" i="3"/>
  <c r="GB94" i="3"/>
  <c r="GA94" i="3"/>
  <c r="FZ94" i="3"/>
  <c r="FZ98" i="3" s="1"/>
  <c r="FX94" i="3"/>
  <c r="FW94" i="3"/>
  <c r="FV94" i="3"/>
  <c r="FU94" i="3"/>
  <c r="FS94" i="3"/>
  <c r="FR94" i="3"/>
  <c r="FQ94" i="3"/>
  <c r="FP94" i="3"/>
  <c r="FN94" i="3"/>
  <c r="FM94" i="3"/>
  <c r="FL94" i="3"/>
  <c r="FK94" i="3"/>
  <c r="FI94" i="3"/>
  <c r="FI98" i="3" s="1"/>
  <c r="FH94" i="3"/>
  <c r="FG94" i="3"/>
  <c r="FF94" i="3"/>
  <c r="FD94" i="3"/>
  <c r="FE94" i="3" s="1"/>
  <c r="FC94" i="3"/>
  <c r="FC98" i="3" s="1"/>
  <c r="FB94" i="3"/>
  <c r="FB98" i="3" s="1"/>
  <c r="FA94" i="3"/>
  <c r="FA98" i="3" s="1"/>
  <c r="EY94" i="3"/>
  <c r="EZ94" i="3" s="1"/>
  <c r="EX94" i="3"/>
  <c r="EW94" i="3"/>
  <c r="EV94" i="3"/>
  <c r="EV98" i="3" s="1"/>
  <c r="EU94" i="3"/>
  <c r="ER94" i="3"/>
  <c r="EP94" i="3"/>
  <c r="EK94" i="3"/>
  <c r="EE94" i="3"/>
  <c r="EF94" i="3" s="1"/>
  <c r="ED94" i="3"/>
  <c r="EA94" i="3"/>
  <c r="DV94" i="3"/>
  <c r="DQ94" i="3"/>
  <c r="DL94" i="3"/>
  <c r="DG94" i="3"/>
  <c r="DB94" i="3"/>
  <c r="CW94" i="3"/>
  <c r="CQ94" i="3"/>
  <c r="CR94" i="3" s="1"/>
  <c r="CM94" i="3"/>
  <c r="CH94" i="3"/>
  <c r="CC94" i="3"/>
  <c r="BX94" i="3"/>
  <c r="BS94" i="3"/>
  <c r="BN94" i="3"/>
  <c r="BI94" i="3"/>
  <c r="BD94" i="3"/>
  <c r="AY94" i="3"/>
  <c r="AT94" i="3"/>
  <c r="AO94" i="3"/>
  <c r="AJ94" i="3"/>
  <c r="GO91" i="3"/>
  <c r="GM91" i="3"/>
  <c r="GN91" i="3" s="1"/>
  <c r="GL91" i="3"/>
  <c r="GK91" i="3"/>
  <c r="GJ91" i="3"/>
  <c r="GH91" i="3"/>
  <c r="GI91" i="3" s="1"/>
  <c r="GG91" i="3"/>
  <c r="GF91" i="3"/>
  <c r="GE91" i="3"/>
  <c r="GC91" i="3"/>
  <c r="GD91" i="3" s="1"/>
  <c r="GB91" i="3"/>
  <c r="GA91" i="3"/>
  <c r="FZ91" i="3"/>
  <c r="FX91" i="3"/>
  <c r="FY91" i="3" s="1"/>
  <c r="FW91" i="3"/>
  <c r="FV91" i="3"/>
  <c r="FU91" i="3"/>
  <c r="FS91" i="3"/>
  <c r="FT91" i="3" s="1"/>
  <c r="FR91" i="3"/>
  <c r="FQ91" i="3"/>
  <c r="FP91" i="3"/>
  <c r="FN91" i="3"/>
  <c r="FO91" i="3" s="1"/>
  <c r="FM91" i="3"/>
  <c r="FL91" i="3"/>
  <c r="FK91" i="3"/>
  <c r="FI91" i="3"/>
  <c r="FJ91" i="3" s="1"/>
  <c r="FH91" i="3"/>
  <c r="FG91" i="3"/>
  <c r="FF91" i="3"/>
  <c r="FD91" i="3"/>
  <c r="FE91" i="3" s="1"/>
  <c r="FC91" i="3"/>
  <c r="FB91" i="3"/>
  <c r="FA91" i="3"/>
  <c r="EY91" i="3"/>
  <c r="EZ91" i="3" s="1"/>
  <c r="EX91" i="3"/>
  <c r="EW91" i="3"/>
  <c r="EV91" i="3"/>
  <c r="ET91" i="3"/>
  <c r="EU91" i="3" s="1"/>
  <c r="ES91" i="3"/>
  <c r="ER91" i="3"/>
  <c r="EQ91" i="3"/>
  <c r="EO91" i="3"/>
  <c r="EP91" i="3" s="1"/>
  <c r="EN91" i="3"/>
  <c r="EM91" i="3"/>
  <c r="EL91" i="3"/>
  <c r="EJ91" i="3"/>
  <c r="EK91" i="3" s="1"/>
  <c r="EI91" i="3"/>
  <c r="EH91" i="3"/>
  <c r="EG91" i="3"/>
  <c r="EE91" i="3"/>
  <c r="EF91" i="3" s="1"/>
  <c r="ED91" i="3"/>
  <c r="EC91" i="3"/>
  <c r="EB91" i="3"/>
  <c r="DZ91" i="3"/>
  <c r="EA91" i="3" s="1"/>
  <c r="DY91" i="3"/>
  <c r="DX91" i="3"/>
  <c r="DW91" i="3"/>
  <c r="DV91" i="3"/>
  <c r="DU91" i="3"/>
  <c r="DT91" i="3"/>
  <c r="DS91" i="3"/>
  <c r="DR91" i="3"/>
  <c r="DP91" i="3"/>
  <c r="DQ91" i="3" s="1"/>
  <c r="DO91" i="3"/>
  <c r="DN91" i="3"/>
  <c r="DM91" i="3"/>
  <c r="DK91" i="3"/>
  <c r="DL91" i="3" s="1"/>
  <c r="DJ91" i="3"/>
  <c r="DI91" i="3"/>
  <c r="DH91" i="3"/>
  <c r="DF91" i="3"/>
  <c r="DG91" i="3" s="1"/>
  <c r="DE91" i="3"/>
  <c r="DD91" i="3"/>
  <c r="DC91" i="3"/>
  <c r="DA91" i="3"/>
  <c r="DB91" i="3" s="1"/>
  <c r="CZ91" i="3"/>
  <c r="CY91" i="3"/>
  <c r="CX91" i="3"/>
  <c r="CV91" i="3"/>
  <c r="CW91" i="3" s="1"/>
  <c r="CU91" i="3"/>
  <c r="CT91" i="3"/>
  <c r="CS91" i="3"/>
  <c r="CQ91" i="3"/>
  <c r="CR91" i="3" s="1"/>
  <c r="CM91" i="3"/>
  <c r="CH91" i="3"/>
  <c r="CF91" i="3"/>
  <c r="CE91" i="3"/>
  <c r="CD91" i="3"/>
  <c r="CB91" i="3"/>
  <c r="CC91" i="3" s="1"/>
  <c r="CA91" i="3"/>
  <c r="BZ91" i="3"/>
  <c r="BY91" i="3"/>
  <c r="BW91" i="3"/>
  <c r="BX91" i="3" s="1"/>
  <c r="BV91" i="3"/>
  <c r="BU91" i="3"/>
  <c r="BT91" i="3"/>
  <c r="BR91" i="3"/>
  <c r="BS91" i="3" s="1"/>
  <c r="BQ91" i="3"/>
  <c r="BP91" i="3"/>
  <c r="BO91" i="3"/>
  <c r="BM91" i="3"/>
  <c r="BN91" i="3" s="1"/>
  <c r="BL91" i="3"/>
  <c r="BK91" i="3"/>
  <c r="BJ91" i="3"/>
  <c r="BH91" i="3"/>
  <c r="BI91" i="3" s="1"/>
  <c r="BG91" i="3"/>
  <c r="BF91" i="3"/>
  <c r="BE91" i="3"/>
  <c r="BC91" i="3"/>
  <c r="BD91" i="3" s="1"/>
  <c r="BB91" i="3"/>
  <c r="BA91" i="3"/>
  <c r="AZ91" i="3"/>
  <c r="AX91" i="3"/>
  <c r="AY91" i="3" s="1"/>
  <c r="AW91" i="3"/>
  <c r="AV91" i="3"/>
  <c r="AU91" i="3"/>
  <c r="AS91" i="3"/>
  <c r="AT91" i="3" s="1"/>
  <c r="AR91" i="3"/>
  <c r="AQ91" i="3"/>
  <c r="AP91" i="3"/>
  <c r="AN91" i="3"/>
  <c r="AO91" i="3" s="1"/>
  <c r="AM91" i="3"/>
  <c r="AL91" i="3"/>
  <c r="AJ91" i="3"/>
  <c r="GN90" i="3"/>
  <c r="GI90" i="3"/>
  <c r="GD90" i="3"/>
  <c r="FY90" i="3"/>
  <c r="FT90" i="3"/>
  <c r="FO90" i="3"/>
  <c r="FJ90" i="3"/>
  <c r="FE90" i="3"/>
  <c r="EZ90" i="3"/>
  <c r="EU90" i="3"/>
  <c r="ER90" i="3"/>
  <c r="EP90" i="3"/>
  <c r="EK90" i="3"/>
  <c r="EF90" i="3"/>
  <c r="EA90" i="3"/>
  <c r="DV90" i="3"/>
  <c r="DQ90" i="3"/>
  <c r="DL90" i="3"/>
  <c r="DH90" i="3"/>
  <c r="DH88" i="3" s="1"/>
  <c r="DF90" i="3"/>
  <c r="DG90" i="3" s="1"/>
  <c r="DB90" i="3"/>
  <c r="CW90" i="3"/>
  <c r="CS90" i="3"/>
  <c r="CQ90" i="3"/>
  <c r="CR90" i="3" s="1"/>
  <c r="CP90" i="3"/>
  <c r="CO90" i="3"/>
  <c r="CN90" i="3"/>
  <c r="CL90" i="3"/>
  <c r="CM90" i="3" s="1"/>
  <c r="CK90" i="3"/>
  <c r="CJ90" i="3"/>
  <c r="CI90" i="3"/>
  <c r="CG90" i="3"/>
  <c r="CH90" i="3" s="1"/>
  <c r="CF90" i="3"/>
  <c r="CE90" i="3"/>
  <c r="CD90" i="3"/>
  <c r="CB90" i="3"/>
  <c r="CC90" i="3" s="1"/>
  <c r="CA90" i="3"/>
  <c r="BZ90" i="3"/>
  <c r="BY90" i="3"/>
  <c r="BW90" i="3"/>
  <c r="BX90" i="3" s="1"/>
  <c r="BV90" i="3"/>
  <c r="BU90" i="3"/>
  <c r="BT90" i="3"/>
  <c r="BR90" i="3"/>
  <c r="BS90" i="3" s="1"/>
  <c r="BQ90" i="3"/>
  <c r="BP90" i="3"/>
  <c r="BO90" i="3"/>
  <c r="BM90" i="3"/>
  <c r="BN90" i="3" s="1"/>
  <c r="BL90" i="3"/>
  <c r="BK90" i="3"/>
  <c r="BJ90" i="3"/>
  <c r="BH90" i="3"/>
  <c r="BI90" i="3" s="1"/>
  <c r="BG90" i="3"/>
  <c r="BF90" i="3"/>
  <c r="BE90" i="3"/>
  <c r="BC90" i="3"/>
  <c r="BD90" i="3" s="1"/>
  <c r="BB90" i="3"/>
  <c r="BA90" i="3"/>
  <c r="AZ90" i="3"/>
  <c r="AX90" i="3"/>
  <c r="AY90" i="3" s="1"/>
  <c r="AW90" i="3"/>
  <c r="AV90" i="3"/>
  <c r="AU90" i="3"/>
  <c r="AS90" i="3"/>
  <c r="AT90" i="3" s="1"/>
  <c r="AR90" i="3"/>
  <c r="AQ90" i="3"/>
  <c r="AP90" i="3"/>
  <c r="AN90" i="3"/>
  <c r="AO90" i="3" s="1"/>
  <c r="AM90" i="3"/>
  <c r="AL90" i="3"/>
  <c r="AK90" i="3"/>
  <c r="AI90" i="3"/>
  <c r="AJ90" i="3" s="1"/>
  <c r="AH90" i="3"/>
  <c r="AG90" i="3"/>
  <c r="AF90" i="3"/>
  <c r="DV89" i="3"/>
  <c r="DQ89" i="3"/>
  <c r="DL89" i="3"/>
  <c r="DG89" i="3"/>
  <c r="DE88" i="3"/>
  <c r="DC89" i="3"/>
  <c r="DC88" i="3" s="1"/>
  <c r="DB89" i="3"/>
  <c r="CW89" i="3"/>
  <c r="CR89" i="3"/>
  <c r="CM89" i="3"/>
  <c r="CH89" i="3"/>
  <c r="CC89" i="3"/>
  <c r="BX89" i="3"/>
  <c r="BS89" i="3"/>
  <c r="BN89" i="3"/>
  <c r="BI89" i="3"/>
  <c r="BD89" i="3"/>
  <c r="AY89" i="3"/>
  <c r="AT89" i="3"/>
  <c r="AO89" i="3"/>
  <c r="AJ89" i="3"/>
  <c r="DX88" i="3"/>
  <c r="DW88" i="3"/>
  <c r="DU88" i="3"/>
  <c r="DV88" i="3" s="1"/>
  <c r="DT88" i="3"/>
  <c r="DS88" i="3"/>
  <c r="DR88" i="3"/>
  <c r="DP88" i="3"/>
  <c r="DQ88" i="3" s="1"/>
  <c r="DO88" i="3"/>
  <c r="DN88" i="3"/>
  <c r="DM88" i="3"/>
  <c r="DK88" i="3"/>
  <c r="DL88" i="3" s="1"/>
  <c r="DJ88" i="3"/>
  <c r="DI88" i="3"/>
  <c r="DF88" i="3"/>
  <c r="DG88" i="3" s="1"/>
  <c r="DD88" i="3"/>
  <c r="CX88" i="3"/>
  <c r="CV88" i="3"/>
  <c r="CW88" i="3" s="1"/>
  <c r="CR88" i="3"/>
  <c r="CM88" i="3"/>
  <c r="CH88" i="3"/>
  <c r="CC88" i="3"/>
  <c r="BX88" i="3"/>
  <c r="BS88" i="3"/>
  <c r="BN88" i="3"/>
  <c r="BI88" i="3"/>
  <c r="BD88" i="3"/>
  <c r="AY88" i="3"/>
  <c r="AT88" i="3"/>
  <c r="AO88" i="3"/>
  <c r="AJ88" i="3"/>
  <c r="EC87" i="3"/>
  <c r="DY87" i="3"/>
  <c r="DU87" i="3"/>
  <c r="DU92" i="3" s="1"/>
  <c r="DT87" i="3"/>
  <c r="DS87" i="3"/>
  <c r="DS92" i="3" s="1"/>
  <c r="DR87" i="3"/>
  <c r="DP87" i="3"/>
  <c r="DP92" i="3" s="1"/>
  <c r="GP86" i="3"/>
  <c r="GQ86" i="3" s="1"/>
  <c r="GN86" i="3"/>
  <c r="GL86" i="3"/>
  <c r="GK86" i="3"/>
  <c r="GH86" i="3"/>
  <c r="GI86" i="3" s="1"/>
  <c r="GG86" i="3"/>
  <c r="GF86" i="3"/>
  <c r="GE86" i="3"/>
  <c r="GC86" i="3"/>
  <c r="GD86" i="3" s="1"/>
  <c r="GB86" i="3"/>
  <c r="GA86" i="3"/>
  <c r="FZ86" i="3"/>
  <c r="FX86" i="3"/>
  <c r="FW86" i="3"/>
  <c r="FV86" i="3"/>
  <c r="FU86" i="3"/>
  <c r="FS86" i="3"/>
  <c r="FT86" i="3" s="1"/>
  <c r="FR86" i="3"/>
  <c r="FQ86" i="3"/>
  <c r="FP86" i="3"/>
  <c r="FN86" i="3"/>
  <c r="FM86" i="3"/>
  <c r="FL86" i="3"/>
  <c r="FK86" i="3"/>
  <c r="FI86" i="3"/>
  <c r="FH86" i="3"/>
  <c r="FG86" i="3"/>
  <c r="FF86" i="3"/>
  <c r="FD86" i="3"/>
  <c r="FE86" i="3" s="1"/>
  <c r="FC86" i="3"/>
  <c r="FB86" i="3"/>
  <c r="FA86" i="3"/>
  <c r="EY86" i="3"/>
  <c r="EZ86" i="3" s="1"/>
  <c r="EX86" i="3"/>
  <c r="EW86" i="3"/>
  <c r="EV86" i="3"/>
  <c r="ET86" i="3"/>
  <c r="ES86" i="3"/>
  <c r="ER86" i="3"/>
  <c r="EQ86" i="3"/>
  <c r="EP86" i="3"/>
  <c r="EO86" i="3"/>
  <c r="EN86" i="3"/>
  <c r="EM86" i="3"/>
  <c r="EL86" i="3"/>
  <c r="EK86" i="3"/>
  <c r="EF86" i="3"/>
  <c r="DZ86" i="3"/>
  <c r="EA86" i="3" s="1"/>
  <c r="DV86" i="3"/>
  <c r="DQ86" i="3"/>
  <c r="DO86" i="3"/>
  <c r="DO87" i="3" s="1"/>
  <c r="DO92" i="3" s="1"/>
  <c r="DN86" i="3"/>
  <c r="DN87" i="3" s="1"/>
  <c r="DM86" i="3"/>
  <c r="DM87" i="3" s="1"/>
  <c r="DK86" i="3"/>
  <c r="DL86" i="3" s="1"/>
  <c r="DJ86" i="3"/>
  <c r="DJ87" i="3" s="1"/>
  <c r="DJ92" i="3" s="1"/>
  <c r="DI86" i="3"/>
  <c r="DH86" i="3"/>
  <c r="DF86" i="3"/>
  <c r="DF87" i="3" s="1"/>
  <c r="DE86" i="3"/>
  <c r="DE87" i="3" s="1"/>
  <c r="DE92" i="3" s="1"/>
  <c r="DD86" i="3"/>
  <c r="DC86" i="3"/>
  <c r="DC87" i="3" s="1"/>
  <c r="DC92" i="3" s="1"/>
  <c r="DA86" i="3"/>
  <c r="DA87" i="3" s="1"/>
  <c r="CZ86" i="3"/>
  <c r="CY86" i="3"/>
  <c r="CY87" i="3" s="1"/>
  <c r="CY92" i="3" s="1"/>
  <c r="CX86" i="3"/>
  <c r="CV86" i="3"/>
  <c r="CW86" i="3" s="1"/>
  <c r="CU86" i="3"/>
  <c r="CT86" i="3"/>
  <c r="CS86" i="3"/>
  <c r="CQ86" i="3"/>
  <c r="CR86" i="3" s="1"/>
  <c r="CP86" i="3"/>
  <c r="CO86" i="3"/>
  <c r="CN86" i="3"/>
  <c r="CM86" i="3"/>
  <c r="CH86" i="3"/>
  <c r="CC86" i="3"/>
  <c r="BX86" i="3"/>
  <c r="BS86" i="3"/>
  <c r="BN86" i="3"/>
  <c r="BI86" i="3"/>
  <c r="BD86" i="3"/>
  <c r="AY86" i="3"/>
  <c r="AT86" i="3"/>
  <c r="AQ86" i="3"/>
  <c r="AO86" i="3"/>
  <c r="AJ86" i="3"/>
  <c r="GN84" i="3"/>
  <c r="GI84" i="3"/>
  <c r="GD84" i="3"/>
  <c r="FY84" i="3"/>
  <c r="FT84" i="3"/>
  <c r="FO84" i="3"/>
  <c r="FJ84" i="3"/>
  <c r="FE84" i="3"/>
  <c r="EZ84" i="3"/>
  <c r="EU84" i="3"/>
  <c r="EP84" i="3"/>
  <c r="EK84" i="3"/>
  <c r="EF84" i="3"/>
  <c r="EA84" i="3"/>
  <c r="DV84" i="3"/>
  <c r="DQ84" i="3"/>
  <c r="DL84" i="3"/>
  <c r="DI84" i="3"/>
  <c r="DH84" i="3"/>
  <c r="DG84" i="3"/>
  <c r="DB84" i="3"/>
  <c r="CW84" i="3"/>
  <c r="CS84" i="3"/>
  <c r="CR84" i="3"/>
  <c r="CP84" i="3"/>
  <c r="CP85" i="3" s="1"/>
  <c r="CO84" i="3"/>
  <c r="CO85" i="3" s="1"/>
  <c r="CN84" i="3"/>
  <c r="AX94" i="2" s="1"/>
  <c r="CL84" i="3"/>
  <c r="CM84" i="3" s="1"/>
  <c r="CK84" i="3"/>
  <c r="CJ84" i="3"/>
  <c r="CI84" i="3"/>
  <c r="CF84" i="3"/>
  <c r="CE84" i="3"/>
  <c r="CB84" i="3"/>
  <c r="CC84" i="3" s="1"/>
  <c r="CA84" i="3"/>
  <c r="BZ84" i="3"/>
  <c r="BY84" i="3"/>
  <c r="BW84" i="3"/>
  <c r="BV84" i="3"/>
  <c r="BU84" i="3"/>
  <c r="BT84" i="3"/>
  <c r="BR84" i="3"/>
  <c r="BQ84" i="3"/>
  <c r="BP84" i="3"/>
  <c r="BO84" i="3"/>
  <c r="BM84" i="3"/>
  <c r="BL84" i="3"/>
  <c r="BK84" i="3"/>
  <c r="BJ84" i="3"/>
  <c r="BH84" i="3"/>
  <c r="BI84" i="3" s="1"/>
  <c r="BG84" i="3"/>
  <c r="BF84" i="3"/>
  <c r="BE84" i="3"/>
  <c r="BC84" i="3"/>
  <c r="BB84" i="3"/>
  <c r="T94" i="2" s="1"/>
  <c r="BA84" i="3"/>
  <c r="AZ84" i="3"/>
  <c r="AX84" i="3"/>
  <c r="AY84" i="3" s="1"/>
  <c r="AW84" i="3"/>
  <c r="AV84" i="3"/>
  <c r="O94" i="2" s="1"/>
  <c r="AU84" i="3"/>
  <c r="AS84" i="3"/>
  <c r="AR84" i="3"/>
  <c r="AQ84" i="3"/>
  <c r="AP84" i="3"/>
  <c r="AN84" i="3"/>
  <c r="I94" i="2" s="1"/>
  <c r="AM84" i="3"/>
  <c r="AL84" i="3"/>
  <c r="AK84" i="3"/>
  <c r="AI84" i="3"/>
  <c r="AJ84" i="3" s="1"/>
  <c r="AH84" i="3"/>
  <c r="AH87" i="3" s="1"/>
  <c r="AG84" i="3"/>
  <c r="C94" i="2" s="1"/>
  <c r="AF84" i="3"/>
  <c r="HM83" i="3"/>
  <c r="HH83" i="3"/>
  <c r="HC83" i="3"/>
  <c r="GX83" i="3"/>
  <c r="GS83" i="3"/>
  <c r="GN83" i="3"/>
  <c r="GI83" i="3"/>
  <c r="GD83" i="3"/>
  <c r="FY83" i="3"/>
  <c r="FT83" i="3"/>
  <c r="FO83" i="3"/>
  <c r="FJ83" i="3"/>
  <c r="FE83" i="3"/>
  <c r="EZ83" i="3"/>
  <c r="EU83" i="3"/>
  <c r="EP83" i="3"/>
  <c r="EK83" i="3"/>
  <c r="EF83" i="3"/>
  <c r="EA83" i="3"/>
  <c r="DV83" i="3"/>
  <c r="DQ83" i="3"/>
  <c r="DL83" i="3"/>
  <c r="DG83" i="3"/>
  <c r="DB83" i="3"/>
  <c r="CW83" i="3"/>
  <c r="CR83" i="3"/>
  <c r="CM83" i="3"/>
  <c r="CH83" i="3"/>
  <c r="CC83" i="3"/>
  <c r="BX83" i="3"/>
  <c r="BS83" i="3"/>
  <c r="BN83" i="3"/>
  <c r="BI83" i="3"/>
  <c r="BD83" i="3"/>
  <c r="AY83" i="3"/>
  <c r="AT83" i="3"/>
  <c r="AO83" i="3"/>
  <c r="AJ83" i="3"/>
  <c r="HM82" i="3"/>
  <c r="HH82" i="3"/>
  <c r="HC82" i="3"/>
  <c r="GX82" i="3"/>
  <c r="GS82" i="3"/>
  <c r="GN82" i="3"/>
  <c r="GI82" i="3"/>
  <c r="GD82" i="3"/>
  <c r="FY82" i="3"/>
  <c r="FT82" i="3"/>
  <c r="FO82" i="3"/>
  <c r="FJ82" i="3"/>
  <c r="FE82" i="3"/>
  <c r="EZ82" i="3"/>
  <c r="EU82" i="3"/>
  <c r="EP82" i="3"/>
  <c r="EK82" i="3"/>
  <c r="EF82" i="3"/>
  <c r="EA82" i="3"/>
  <c r="DV82" i="3"/>
  <c r="DQ82" i="3"/>
  <c r="DL82" i="3"/>
  <c r="DG82" i="3"/>
  <c r="DB82" i="3"/>
  <c r="CW82" i="3"/>
  <c r="CR82" i="3"/>
  <c r="CM82" i="3"/>
  <c r="CH82" i="3"/>
  <c r="CC82" i="3"/>
  <c r="BX82" i="3"/>
  <c r="BS82" i="3"/>
  <c r="BN82" i="3"/>
  <c r="BI82" i="3"/>
  <c r="BD82" i="3"/>
  <c r="AY82" i="3"/>
  <c r="AT82" i="3"/>
  <c r="AO82" i="3"/>
  <c r="AJ82" i="3"/>
  <c r="HM81" i="3"/>
  <c r="HH81" i="3"/>
  <c r="HC81" i="3"/>
  <c r="GX81" i="3"/>
  <c r="GS81" i="3"/>
  <c r="GN81" i="3"/>
  <c r="GI81" i="3"/>
  <c r="GD81" i="3"/>
  <c r="FY81" i="3"/>
  <c r="FT81" i="3"/>
  <c r="FO81" i="3"/>
  <c r="FJ81" i="3"/>
  <c r="FE81" i="3"/>
  <c r="EZ81" i="3"/>
  <c r="EU81" i="3"/>
  <c r="EP81" i="3"/>
  <c r="EK81" i="3"/>
  <c r="EF81" i="3"/>
  <c r="EA81" i="3"/>
  <c r="DV81" i="3"/>
  <c r="DQ81" i="3"/>
  <c r="DL81" i="3"/>
  <c r="DG81" i="3"/>
  <c r="DB81" i="3"/>
  <c r="CW81" i="3"/>
  <c r="CR81" i="3"/>
  <c r="CM81" i="3"/>
  <c r="CG81" i="3"/>
  <c r="CG84" i="3" s="1"/>
  <c r="CD81" i="3"/>
  <c r="CD84" i="3" s="1"/>
  <c r="CC81" i="3"/>
  <c r="BX81" i="3"/>
  <c r="BS81" i="3"/>
  <c r="BN81" i="3"/>
  <c r="BI81" i="3"/>
  <c r="BD81" i="3"/>
  <c r="AY81" i="3"/>
  <c r="AT81" i="3"/>
  <c r="AO81" i="3"/>
  <c r="AJ81" i="3"/>
  <c r="GO79" i="3"/>
  <c r="GM79" i="3"/>
  <c r="GL79" i="3"/>
  <c r="GK79" i="3"/>
  <c r="GJ79" i="3"/>
  <c r="GH79" i="3"/>
  <c r="GG79" i="3"/>
  <c r="GF79" i="3"/>
  <c r="GE79" i="3"/>
  <c r="GC79" i="3"/>
  <c r="GB79" i="3"/>
  <c r="GA79" i="3"/>
  <c r="FZ79" i="3"/>
  <c r="FX79" i="3"/>
  <c r="FW79" i="3"/>
  <c r="FV79" i="3"/>
  <c r="FU79" i="3"/>
  <c r="FS79" i="3"/>
  <c r="FR79" i="3"/>
  <c r="FQ79" i="3"/>
  <c r="FP79" i="3"/>
  <c r="FN79" i="3"/>
  <c r="FM79" i="3"/>
  <c r="FL79" i="3"/>
  <c r="FK79" i="3"/>
  <c r="FI79" i="3"/>
  <c r="FH79" i="3"/>
  <c r="FG79" i="3"/>
  <c r="FF79" i="3"/>
  <c r="FD79" i="3"/>
  <c r="FC79" i="3"/>
  <c r="FB79" i="3"/>
  <c r="FA79" i="3"/>
  <c r="EY79" i="3"/>
  <c r="EX79" i="3"/>
  <c r="EW79" i="3"/>
  <c r="EV79" i="3"/>
  <c r="ET79" i="3"/>
  <c r="ES79" i="3"/>
  <c r="ER79" i="3"/>
  <c r="EN79" i="3"/>
  <c r="EM79" i="3"/>
  <c r="EL79" i="3"/>
  <c r="EJ79" i="3"/>
  <c r="EI79" i="3"/>
  <c r="EH79" i="3"/>
  <c r="EG79" i="3"/>
  <c r="EE79" i="3"/>
  <c r="ED79" i="3"/>
  <c r="EC79" i="3"/>
  <c r="EB79" i="3"/>
  <c r="EB73" i="3" s="1"/>
  <c r="DY79" i="3"/>
  <c r="DZ73" i="3" s="1"/>
  <c r="DX79" i="3"/>
  <c r="DW79" i="3"/>
  <c r="DU79" i="3"/>
  <c r="DT79" i="3"/>
  <c r="DS79" i="3"/>
  <c r="DR79" i="3"/>
  <c r="DP79" i="3"/>
  <c r="DO79" i="3"/>
  <c r="DN79" i="3"/>
  <c r="DM79" i="3"/>
  <c r="DK79" i="3"/>
  <c r="DJ79" i="3"/>
  <c r="DI79" i="3"/>
  <c r="DH79" i="3"/>
  <c r="DF79" i="3"/>
  <c r="DD79" i="3"/>
  <c r="DC79" i="3"/>
  <c r="DA79" i="3"/>
  <c r="CZ79" i="3"/>
  <c r="CY79" i="3"/>
  <c r="CX79" i="3"/>
  <c r="CV79" i="3"/>
  <c r="CU79" i="3"/>
  <c r="CT79" i="3"/>
  <c r="CS79" i="3"/>
  <c r="CP79" i="3"/>
  <c r="CO79" i="3"/>
  <c r="CN79" i="3"/>
  <c r="CL79" i="3"/>
  <c r="CK79" i="3"/>
  <c r="CJ79" i="3"/>
  <c r="CI79" i="3"/>
  <c r="CG79" i="3"/>
  <c r="CF79" i="3"/>
  <c r="CE79" i="3"/>
  <c r="CD79" i="3"/>
  <c r="CB79" i="3"/>
  <c r="CA79" i="3"/>
  <c r="BZ79" i="3"/>
  <c r="BY79" i="3"/>
  <c r="BW79" i="3"/>
  <c r="BV79" i="3"/>
  <c r="BU79" i="3"/>
  <c r="BT79" i="3"/>
  <c r="BR79" i="3"/>
  <c r="BQ79" i="3"/>
  <c r="BP79" i="3"/>
  <c r="BO79" i="3"/>
  <c r="BM79" i="3"/>
  <c r="BL79" i="3"/>
  <c r="BK79" i="3"/>
  <c r="BJ79" i="3"/>
  <c r="BH79" i="3"/>
  <c r="BG79" i="3"/>
  <c r="BF79" i="3"/>
  <c r="BE79" i="3"/>
  <c r="BC79" i="3"/>
  <c r="BB79" i="3"/>
  <c r="BA79" i="3"/>
  <c r="AZ79" i="3"/>
  <c r="AX79" i="3"/>
  <c r="AW79" i="3"/>
  <c r="AV79" i="3"/>
  <c r="AU79" i="3"/>
  <c r="AS79" i="3"/>
  <c r="AR79" i="3"/>
  <c r="AQ79" i="3"/>
  <c r="AP79" i="3"/>
  <c r="AN79" i="3"/>
  <c r="AM79" i="3"/>
  <c r="AL79" i="3"/>
  <c r="AK79" i="3"/>
  <c r="AI79" i="3"/>
  <c r="AH79" i="3"/>
  <c r="AG79" i="3"/>
  <c r="AF79" i="3"/>
  <c r="GN78" i="3"/>
  <c r="GI78" i="3"/>
  <c r="GD78" i="3"/>
  <c r="FY78" i="3"/>
  <c r="FT78" i="3"/>
  <c r="FO78" i="3"/>
  <c r="FJ78" i="3"/>
  <c r="FE78" i="3"/>
  <c r="EZ78" i="3"/>
  <c r="EU78" i="3"/>
  <c r="EP78" i="3"/>
  <c r="EK78" i="3"/>
  <c r="EF78" i="3"/>
  <c r="EA78" i="3"/>
  <c r="DV78" i="3"/>
  <c r="DQ78" i="3"/>
  <c r="DL78" i="3"/>
  <c r="DG78" i="3"/>
  <c r="DB78" i="3"/>
  <c r="CW78" i="3"/>
  <c r="CQ78" i="3"/>
  <c r="CQ79" i="3" s="1"/>
  <c r="CM78" i="3"/>
  <c r="CH78" i="3"/>
  <c r="CC78" i="3"/>
  <c r="BX78" i="3"/>
  <c r="BS78" i="3"/>
  <c r="BN78" i="3"/>
  <c r="BI78" i="3"/>
  <c r="BD78" i="3"/>
  <c r="AY78" i="3"/>
  <c r="AT78" i="3"/>
  <c r="AO78" i="3"/>
  <c r="AJ78" i="3"/>
  <c r="GL77" i="3"/>
  <c r="GK77" i="3"/>
  <c r="EA98" i="2" s="1"/>
  <c r="GH77" i="3"/>
  <c r="GI77" i="3" s="1"/>
  <c r="GG77" i="3"/>
  <c r="GF77" i="3"/>
  <c r="GE77" i="3"/>
  <c r="DV98" i="2" s="1"/>
  <c r="GC77" i="3"/>
  <c r="GB77" i="3"/>
  <c r="DT98" i="2" s="1"/>
  <c r="GA77" i="3"/>
  <c r="FZ77" i="3"/>
  <c r="FX77" i="3"/>
  <c r="DQ98" i="2" s="1"/>
  <c r="GC98" i="2" s="1"/>
  <c r="FW77" i="3"/>
  <c r="FV77" i="3"/>
  <c r="FU77" i="3"/>
  <c r="DN98" i="2" s="1"/>
  <c r="FS77" i="3"/>
  <c r="FR77" i="3"/>
  <c r="FQ77" i="3"/>
  <c r="DK98" i="2" s="1"/>
  <c r="FP77" i="3"/>
  <c r="FN77" i="3"/>
  <c r="FM77" i="3"/>
  <c r="FL77" i="3"/>
  <c r="FH77" i="3"/>
  <c r="FG77" i="3"/>
  <c r="DC98" i="2" s="1"/>
  <c r="FF77" i="3"/>
  <c r="FD77" i="3"/>
  <c r="FE77" i="3" s="1"/>
  <c r="FC77" i="3"/>
  <c r="FC100" i="3" s="1"/>
  <c r="CZ99" i="2" s="1"/>
  <c r="EW77" i="3"/>
  <c r="EW100" i="3" s="1"/>
  <c r="EV77" i="3"/>
  <c r="EN77" i="3"/>
  <c r="EL77" i="3"/>
  <c r="EJ77" i="3"/>
  <c r="CK98" i="2" s="1"/>
  <c r="FU98" i="2" s="1"/>
  <c r="EI77" i="3"/>
  <c r="EH77" i="3"/>
  <c r="EG77" i="3"/>
  <c r="CH98" i="2" s="1"/>
  <c r="ED77" i="3"/>
  <c r="EB77" i="3"/>
  <c r="EA77" i="3"/>
  <c r="DX77" i="3"/>
  <c r="DW77" i="3"/>
  <c r="DV77" i="3"/>
  <c r="DQ77" i="3"/>
  <c r="DL77" i="3"/>
  <c r="DG77" i="3"/>
  <c r="DD77" i="3"/>
  <c r="DB77" i="3"/>
  <c r="CZ77" i="3"/>
  <c r="BH98" i="2" s="1"/>
  <c r="CX77" i="3"/>
  <c r="CV77" i="3"/>
  <c r="CV100" i="3" s="1"/>
  <c r="BE99" i="2" s="1"/>
  <c r="FM99" i="2" s="1"/>
  <c r="CU77" i="3"/>
  <c r="CT77" i="3"/>
  <c r="CO77" i="3"/>
  <c r="CN77" i="3"/>
  <c r="CL77" i="3"/>
  <c r="AW98" i="2" s="1"/>
  <c r="FK98" i="2" s="1"/>
  <c r="CK77" i="3"/>
  <c r="CJ77" i="3"/>
  <c r="CI77" i="3"/>
  <c r="CG77" i="3"/>
  <c r="CF77" i="3"/>
  <c r="CE77" i="3"/>
  <c r="AQ98" i="2" s="1"/>
  <c r="CD77" i="3"/>
  <c r="CB77" i="3"/>
  <c r="CC77" i="3" s="1"/>
  <c r="CA77" i="3"/>
  <c r="CA100" i="3" s="1"/>
  <c r="BZ77" i="3"/>
  <c r="BY77" i="3"/>
  <c r="AL98" i="2" s="1"/>
  <c r="BW77" i="3"/>
  <c r="BV77" i="3"/>
  <c r="BU77" i="3"/>
  <c r="BU100" i="3" s="1"/>
  <c r="BT77" i="3"/>
  <c r="BR77" i="3"/>
  <c r="BS77" i="3" s="1"/>
  <c r="BQ77" i="3"/>
  <c r="AF98" i="2" s="1"/>
  <c r="BP77" i="3"/>
  <c r="BO77" i="3"/>
  <c r="BO100" i="3" s="1"/>
  <c r="BN77" i="3"/>
  <c r="BL77" i="3"/>
  <c r="BK77" i="3"/>
  <c r="BJ77" i="3"/>
  <c r="Z98" i="2" s="1"/>
  <c r="BH77" i="3"/>
  <c r="BI77" i="3" s="1"/>
  <c r="BG77" i="3"/>
  <c r="BG100" i="3" s="1"/>
  <c r="X99" i="2" s="1"/>
  <c r="BF77" i="3"/>
  <c r="BE77" i="3"/>
  <c r="BC77" i="3"/>
  <c r="BD77" i="3" s="1"/>
  <c r="BB77" i="3"/>
  <c r="BA77" i="3"/>
  <c r="BA87" i="3" s="1"/>
  <c r="AX77" i="3"/>
  <c r="AW77" i="3"/>
  <c r="AV77" i="3"/>
  <c r="AU77" i="3"/>
  <c r="AU100" i="3" s="1"/>
  <c r="AS77" i="3"/>
  <c r="AT77" i="3" s="1"/>
  <c r="AR77" i="3"/>
  <c r="AQ77" i="3"/>
  <c r="AP77" i="3"/>
  <c r="AN77" i="3"/>
  <c r="AL77" i="3"/>
  <c r="AK77" i="3"/>
  <c r="GO76" i="3"/>
  <c r="GP76" i="3" s="1"/>
  <c r="GQ76" i="3" s="1"/>
  <c r="GR76" i="3" s="1"/>
  <c r="GT76" i="3" s="1"/>
  <c r="GU76" i="3" s="1"/>
  <c r="GV76" i="3" s="1"/>
  <c r="GW76" i="3" s="1"/>
  <c r="GN76" i="3"/>
  <c r="GJ76" i="3"/>
  <c r="GJ77" i="3" s="1"/>
  <c r="GI76" i="3"/>
  <c r="GD76" i="3"/>
  <c r="FY76" i="3"/>
  <c r="FT76" i="3"/>
  <c r="FO76" i="3"/>
  <c r="FK76" i="3"/>
  <c r="FK77" i="3" s="1"/>
  <c r="FI76" i="3"/>
  <c r="FJ76" i="3" s="1"/>
  <c r="FE76" i="3"/>
  <c r="EY76" i="3"/>
  <c r="EY77" i="3" s="1"/>
  <c r="EO76" i="3"/>
  <c r="EQ76" i="3" s="1"/>
  <c r="EK76" i="3"/>
  <c r="EE76" i="3"/>
  <c r="EF76" i="3" s="1"/>
  <c r="EC76" i="3"/>
  <c r="DZ76" i="3"/>
  <c r="EA76" i="3" s="1"/>
  <c r="DU76" i="3"/>
  <c r="DV76" i="3" s="1"/>
  <c r="DS76" i="3"/>
  <c r="DP76" i="3"/>
  <c r="DQ76" i="3" s="1"/>
  <c r="DO76" i="3"/>
  <c r="DM76" i="3"/>
  <c r="DL76" i="3"/>
  <c r="DG76" i="3"/>
  <c r="DB76" i="3"/>
  <c r="CW76" i="3"/>
  <c r="CS76" i="3"/>
  <c r="CQ76" i="3"/>
  <c r="CQ77" i="3" s="1"/>
  <c r="BA98" i="2" s="1"/>
  <c r="FL98" i="2" s="1"/>
  <c r="CP76" i="3"/>
  <c r="CM76" i="3"/>
  <c r="CH76" i="3"/>
  <c r="CC76" i="3"/>
  <c r="BX76" i="3"/>
  <c r="BS76" i="3"/>
  <c r="BN76" i="3"/>
  <c r="BI76" i="3"/>
  <c r="BD76" i="3"/>
  <c r="AY76" i="3"/>
  <c r="AT76" i="3"/>
  <c r="AO76" i="3"/>
  <c r="AM76" i="3"/>
  <c r="AM77" i="3" s="1"/>
  <c r="AI76" i="3"/>
  <c r="GO75" i="3"/>
  <c r="GM75" i="3"/>
  <c r="GM77" i="3" s="1"/>
  <c r="GI75" i="3"/>
  <c r="GD75" i="3"/>
  <c r="FY75" i="3"/>
  <c r="FT75" i="3"/>
  <c r="FO75" i="3"/>
  <c r="FJ75" i="3"/>
  <c r="FI75" i="3"/>
  <c r="FE75" i="3"/>
  <c r="FB75" i="3"/>
  <c r="FB77" i="3" s="1"/>
  <c r="EZ75" i="3"/>
  <c r="EX75" i="3"/>
  <c r="EX77" i="3" s="1"/>
  <c r="EU75" i="3"/>
  <c r="EP75" i="3"/>
  <c r="EM75" i="3"/>
  <c r="EM77" i="3" s="1"/>
  <c r="CM98" i="2" s="1"/>
  <c r="EK75" i="3"/>
  <c r="EE75" i="3"/>
  <c r="EF75" i="3" s="1"/>
  <c r="EA75" i="3"/>
  <c r="EA129" i="3" s="1"/>
  <c r="DV75" i="3"/>
  <c r="DQ75" i="3"/>
  <c r="DK75" i="3"/>
  <c r="DL75" i="3" s="1"/>
  <c r="DH75" i="3"/>
  <c r="DF75" i="3"/>
  <c r="DG75" i="3" s="1"/>
  <c r="DE75" i="3"/>
  <c r="DA75" i="3"/>
  <c r="CY75" i="3"/>
  <c r="CW75" i="3"/>
  <c r="CS75" i="3"/>
  <c r="CR75" i="3"/>
  <c r="CP75" i="3"/>
  <c r="CM75" i="3"/>
  <c r="CH75" i="3"/>
  <c r="CC75" i="3"/>
  <c r="BX75" i="3"/>
  <c r="BS75" i="3"/>
  <c r="BN75" i="3"/>
  <c r="BI75" i="3"/>
  <c r="BD75" i="3"/>
  <c r="AZ75" i="3"/>
  <c r="AZ77" i="3" s="1"/>
  <c r="R98" i="2" s="1"/>
  <c r="AY75" i="3"/>
  <c r="AT75" i="3"/>
  <c r="AO75" i="3"/>
  <c r="AJ75" i="3"/>
  <c r="GN60" i="3"/>
  <c r="GI60" i="3"/>
  <c r="GD60" i="3"/>
  <c r="FY60" i="3"/>
  <c r="FT60" i="3"/>
  <c r="FO60" i="3"/>
  <c r="FF60" i="3"/>
  <c r="FJ60" i="3" s="1"/>
  <c r="FD60" i="3"/>
  <c r="FE60" i="3" s="1"/>
  <c r="EZ60" i="3"/>
  <c r="GN59" i="3"/>
  <c r="GI59" i="3"/>
  <c r="GD59" i="3"/>
  <c r="FY59" i="3"/>
  <c r="FT59" i="3"/>
  <c r="FO59" i="3"/>
  <c r="FJ59" i="3"/>
  <c r="FE59" i="3"/>
  <c r="EZ59" i="3"/>
  <c r="GN58" i="3"/>
  <c r="GI58" i="3"/>
  <c r="GD58" i="3"/>
  <c r="FY58" i="3"/>
  <c r="FT58" i="3"/>
  <c r="FO58" i="3"/>
  <c r="FJ58" i="3"/>
  <c r="FE58" i="3"/>
  <c r="EZ58" i="3"/>
  <c r="EU58" i="3"/>
  <c r="EP58" i="3"/>
  <c r="EK58" i="3"/>
  <c r="EF58" i="3"/>
  <c r="EA58" i="3"/>
  <c r="DV58" i="3"/>
  <c r="DQ58" i="3"/>
  <c r="DL58" i="3"/>
  <c r="DE58" i="3"/>
  <c r="DG58" i="3" s="1"/>
  <c r="DB58" i="3"/>
  <c r="CW58" i="3"/>
  <c r="CR58" i="3"/>
  <c r="CM58" i="3"/>
  <c r="CH58" i="3"/>
  <c r="CC58" i="3"/>
  <c r="BX58" i="3"/>
  <c r="BP58" i="3"/>
  <c r="BP143" i="3" s="1"/>
  <c r="BO58" i="3"/>
  <c r="BO143" i="3" s="1"/>
  <c r="BM58" i="3"/>
  <c r="BM51" i="3" s="1"/>
  <c r="BL58" i="3"/>
  <c r="BL143" i="3" s="1"/>
  <c r="BK58" i="3"/>
  <c r="BK143" i="3" s="1"/>
  <c r="BJ58" i="3"/>
  <c r="BH58" i="3"/>
  <c r="BH143" i="3" s="1"/>
  <c r="BI143" i="3" s="1"/>
  <c r="BG58" i="3"/>
  <c r="BG143" i="3" s="1"/>
  <c r="BF58" i="3"/>
  <c r="BF143" i="3" s="1"/>
  <c r="BE58" i="3"/>
  <c r="BE143" i="3" s="1"/>
  <c r="BC58" i="3"/>
  <c r="BC143" i="3" s="1"/>
  <c r="BD143" i="3" s="1"/>
  <c r="BB58" i="3"/>
  <c r="BB143" i="3" s="1"/>
  <c r="BA58" i="3"/>
  <c r="BA143" i="3" s="1"/>
  <c r="AZ58" i="3"/>
  <c r="AZ143" i="3" s="1"/>
  <c r="AX58" i="3"/>
  <c r="AX143" i="3" s="1"/>
  <c r="AY143" i="3" s="1"/>
  <c r="AW58" i="3"/>
  <c r="AW143" i="3" s="1"/>
  <c r="AV58" i="3"/>
  <c r="AV143" i="3" s="1"/>
  <c r="AU58" i="3"/>
  <c r="AU143" i="3" s="1"/>
  <c r="AS58" i="3"/>
  <c r="AS143" i="3" s="1"/>
  <c r="AT143" i="3" s="1"/>
  <c r="AR58" i="3"/>
  <c r="AR143" i="3" s="1"/>
  <c r="AQ58" i="3"/>
  <c r="AQ143" i="3" s="1"/>
  <c r="AP58" i="3"/>
  <c r="AP143" i="3" s="1"/>
  <c r="AN58" i="3"/>
  <c r="AN143" i="3" s="1"/>
  <c r="AO143" i="3" s="1"/>
  <c r="AM58" i="3"/>
  <c r="AM143" i="3" s="1"/>
  <c r="AL58" i="3"/>
  <c r="AL143" i="3" s="1"/>
  <c r="AK58" i="3"/>
  <c r="AK143" i="3" s="1"/>
  <c r="AI58" i="3"/>
  <c r="AH58" i="3"/>
  <c r="AG58" i="3"/>
  <c r="AF58" i="3"/>
  <c r="GO55" i="3"/>
  <c r="GM55" i="3"/>
  <c r="GL55" i="3"/>
  <c r="GK55" i="3"/>
  <c r="GJ55" i="3"/>
  <c r="GH55" i="3"/>
  <c r="GG55" i="3"/>
  <c r="GF55" i="3"/>
  <c r="GE55" i="3"/>
  <c r="GC55" i="3"/>
  <c r="GB55" i="3"/>
  <c r="GA55" i="3"/>
  <c r="FZ55" i="3"/>
  <c r="FX55" i="3"/>
  <c r="FW55" i="3"/>
  <c r="FV55" i="3"/>
  <c r="FV109" i="3" s="1"/>
  <c r="FU55" i="3"/>
  <c r="FU109" i="3" s="1"/>
  <c r="FS55" i="3"/>
  <c r="FR55" i="3"/>
  <c r="FQ55" i="3"/>
  <c r="FQ109" i="3" s="1"/>
  <c r="FR109" i="3" s="1"/>
  <c r="FS109" i="3" s="1"/>
  <c r="FP55" i="3"/>
  <c r="FN55" i="3"/>
  <c r="FM55" i="3"/>
  <c r="FL55" i="3"/>
  <c r="FK55" i="3"/>
  <c r="FI55" i="3"/>
  <c r="FH55" i="3"/>
  <c r="FG55" i="3"/>
  <c r="FF55" i="3"/>
  <c r="FC55" i="3"/>
  <c r="FB55" i="3"/>
  <c r="FA55" i="3"/>
  <c r="EY55" i="3"/>
  <c r="EX55" i="3"/>
  <c r="EW55" i="3"/>
  <c r="EV55" i="3"/>
  <c r="ET55" i="3"/>
  <c r="ES55" i="3"/>
  <c r="ER55" i="3"/>
  <c r="EQ55" i="3"/>
  <c r="EO55" i="3"/>
  <c r="EN55" i="3"/>
  <c r="EM55" i="3"/>
  <c r="EL55" i="3"/>
  <c r="EJ55" i="3"/>
  <c r="EI55" i="3"/>
  <c r="EH55" i="3"/>
  <c r="EG55" i="3"/>
  <c r="EE55" i="3"/>
  <c r="ED55" i="3"/>
  <c r="EC55" i="3"/>
  <c r="EB55" i="3"/>
  <c r="DZ55" i="3"/>
  <c r="DY55" i="3"/>
  <c r="DX55" i="3"/>
  <c r="DW55" i="3"/>
  <c r="DU55" i="3"/>
  <c r="DT55" i="3"/>
  <c r="DS55" i="3"/>
  <c r="DR55" i="3"/>
  <c r="DP55" i="3"/>
  <c r="DO55" i="3"/>
  <c r="DN55" i="3"/>
  <c r="DM55" i="3"/>
  <c r="DK55" i="3"/>
  <c r="DK109" i="3" s="1"/>
  <c r="DJ55" i="3"/>
  <c r="DI55" i="3"/>
  <c r="DH55" i="3"/>
  <c r="DF55" i="3"/>
  <c r="DD55" i="3"/>
  <c r="DC55" i="3"/>
  <c r="DA55" i="3"/>
  <c r="CZ55" i="3"/>
  <c r="CY55" i="3"/>
  <c r="CX55" i="3"/>
  <c r="CV55" i="3"/>
  <c r="CU55" i="3"/>
  <c r="CT55" i="3"/>
  <c r="CS55" i="3"/>
  <c r="CQ55" i="3"/>
  <c r="CP55" i="3"/>
  <c r="CO55" i="3"/>
  <c r="CN55" i="3"/>
  <c r="GP54" i="3"/>
  <c r="GP55" i="3" s="1"/>
  <c r="GP109" i="3" s="1"/>
  <c r="GN54" i="3"/>
  <c r="GI54" i="3"/>
  <c r="GD54" i="3"/>
  <c r="FY54" i="3"/>
  <c r="FT54" i="3"/>
  <c r="FO54" i="3"/>
  <c r="FJ54" i="3"/>
  <c r="FE54" i="3"/>
  <c r="EZ54" i="3"/>
  <c r="EU54" i="3"/>
  <c r="EP54" i="3"/>
  <c r="EK54" i="3"/>
  <c r="EF54" i="3"/>
  <c r="EA54" i="3"/>
  <c r="DV54" i="3"/>
  <c r="DQ54" i="3"/>
  <c r="DL54" i="3"/>
  <c r="DG54" i="3"/>
  <c r="DB54" i="3"/>
  <c r="CW54" i="3"/>
  <c r="CR54" i="3"/>
  <c r="GP51" i="3"/>
  <c r="EQ51" i="3"/>
  <c r="EN51" i="3"/>
  <c r="EM51" i="3"/>
  <c r="EI51" i="3"/>
  <c r="EC51" i="3"/>
  <c r="DS51" i="3"/>
  <c r="BU51" i="3"/>
  <c r="BT51" i="3"/>
  <c r="BR51" i="3"/>
  <c r="BO51" i="3"/>
  <c r="BL51" i="3"/>
  <c r="AN48" i="3"/>
  <c r="AM48" i="3"/>
  <c r="AL48" i="3"/>
  <c r="AK48" i="3"/>
  <c r="AI48" i="3"/>
  <c r="AH48" i="3"/>
  <c r="AG48" i="3"/>
  <c r="AF48" i="3"/>
  <c r="AO47" i="3"/>
  <c r="AJ47" i="3"/>
  <c r="HJ46" i="3"/>
  <c r="HE46" i="3"/>
  <c r="HF46" i="3" s="1"/>
  <c r="GZ46" i="3"/>
  <c r="GU46" i="3"/>
  <c r="GQ46" i="3"/>
  <c r="GR46" i="3" s="1"/>
  <c r="GO46" i="3"/>
  <c r="GM46" i="3"/>
  <c r="GL46" i="3"/>
  <c r="GK46" i="3"/>
  <c r="GJ46" i="3"/>
  <c r="GH46" i="3"/>
  <c r="GH51" i="3" s="1"/>
  <c r="GG46" i="3"/>
  <c r="GF46" i="3"/>
  <c r="GE46" i="3"/>
  <c r="GC46" i="3"/>
  <c r="GB46" i="3"/>
  <c r="GB51" i="3" s="1"/>
  <c r="GA46" i="3"/>
  <c r="FZ46" i="3"/>
  <c r="FX46" i="3"/>
  <c r="FW46" i="3"/>
  <c r="FV46" i="3"/>
  <c r="FV51" i="3" s="1"/>
  <c r="FU46" i="3"/>
  <c r="FS46" i="3"/>
  <c r="FR46" i="3"/>
  <c r="FQ46" i="3"/>
  <c r="FP46" i="3"/>
  <c r="FP51" i="3" s="1"/>
  <c r="FN46" i="3"/>
  <c r="FM46" i="3"/>
  <c r="FL46" i="3"/>
  <c r="FK46" i="3"/>
  <c r="FI46" i="3"/>
  <c r="FH46" i="3"/>
  <c r="FG46" i="3"/>
  <c r="FF46" i="3"/>
  <c r="FD46" i="3"/>
  <c r="FD51" i="3" s="1"/>
  <c r="FC46" i="3"/>
  <c r="FB46" i="3"/>
  <c r="FA46" i="3"/>
  <c r="EY46" i="3"/>
  <c r="EX46" i="3"/>
  <c r="EX51" i="3" s="1"/>
  <c r="EW46" i="3"/>
  <c r="EW51" i="3" s="1"/>
  <c r="EV46" i="3"/>
  <c r="EV51" i="3" s="1"/>
  <c r="ET46" i="3"/>
  <c r="ET51" i="3" s="1"/>
  <c r="ES46" i="3"/>
  <c r="ES51" i="3" s="1"/>
  <c r="ER46" i="3"/>
  <c r="ER51" i="3" s="1"/>
  <c r="EP46" i="3"/>
  <c r="EK46" i="3"/>
  <c r="EF46" i="3"/>
  <c r="EA46" i="3"/>
  <c r="DV46" i="3"/>
  <c r="DQ46" i="3"/>
  <c r="DL46" i="3"/>
  <c r="DG46" i="3"/>
  <c r="DB46" i="3"/>
  <c r="CW46" i="3"/>
  <c r="CP46" i="3"/>
  <c r="CR46" i="3" s="1"/>
  <c r="CK46" i="3"/>
  <c r="CJ46" i="3"/>
  <c r="CI46" i="3"/>
  <c r="CH46" i="3"/>
  <c r="CC46" i="3"/>
  <c r="BW46" i="3"/>
  <c r="BX46" i="3" s="1"/>
  <c r="BO46" i="3"/>
  <c r="BR46" i="3" s="1"/>
  <c r="BS46" i="3" s="1"/>
  <c r="BN46" i="3"/>
  <c r="BI46" i="3"/>
  <c r="BD46" i="3"/>
  <c r="AY46" i="3"/>
  <c r="AT46" i="3"/>
  <c r="AO46" i="3"/>
  <c r="AJ46" i="3"/>
  <c r="HM44" i="3"/>
  <c r="HH44" i="3"/>
  <c r="HC44" i="3"/>
  <c r="GX44" i="3"/>
  <c r="GS44" i="3"/>
  <c r="GN44" i="3"/>
  <c r="GI44" i="3"/>
  <c r="GD44" i="3"/>
  <c r="FY44" i="3"/>
  <c r="FT44" i="3"/>
  <c r="FO44" i="3"/>
  <c r="FJ44" i="3"/>
  <c r="FE44" i="3"/>
  <c r="EZ44" i="3"/>
  <c r="EU44" i="3"/>
  <c r="EP44" i="3"/>
  <c r="EK44" i="3"/>
  <c r="EF44" i="3"/>
  <c r="EA44" i="3"/>
  <c r="DV44" i="3"/>
  <c r="DQ44" i="3"/>
  <c r="DL44" i="3"/>
  <c r="DG44" i="3"/>
  <c r="DB44" i="3"/>
  <c r="CW44" i="3"/>
  <c r="CR44" i="3"/>
  <c r="CM44" i="3"/>
  <c r="CH44" i="3"/>
  <c r="CC44" i="3"/>
  <c r="BX44" i="3"/>
  <c r="BS44" i="3"/>
  <c r="BN44" i="3"/>
  <c r="BI44" i="3"/>
  <c r="BD44" i="3"/>
  <c r="AY44" i="3"/>
  <c r="AT44" i="3"/>
  <c r="AO44" i="3"/>
  <c r="AJ44" i="3"/>
  <c r="FW41" i="3"/>
  <c r="FU41" i="3"/>
  <c r="FR41" i="3"/>
  <c r="FP41" i="3"/>
  <c r="FM41" i="3"/>
  <c r="FL41" i="3"/>
  <c r="FK41" i="3"/>
  <c r="FI41" i="3"/>
  <c r="FH41" i="3"/>
  <c r="FG41" i="3"/>
  <c r="FF41" i="3"/>
  <c r="FD41" i="3"/>
  <c r="FC41" i="3"/>
  <c r="FB41" i="3"/>
  <c r="FA41" i="3"/>
  <c r="EY41" i="3"/>
  <c r="EX41" i="3"/>
  <c r="EW41" i="3"/>
  <c r="EV41" i="3"/>
  <c r="ET41" i="3"/>
  <c r="ES41" i="3"/>
  <c r="ER41" i="3"/>
  <c r="EN41" i="3"/>
  <c r="EM41" i="3"/>
  <c r="EL41" i="3"/>
  <c r="EJ41" i="3"/>
  <c r="EI41" i="3"/>
  <c r="EH41" i="3"/>
  <c r="EG41" i="3"/>
  <c r="EE41" i="3"/>
  <c r="ED41" i="3"/>
  <c r="EC41" i="3"/>
  <c r="EB41" i="3"/>
  <c r="DZ41" i="3"/>
  <c r="DY41" i="3"/>
  <c r="DX41" i="3"/>
  <c r="DW41" i="3"/>
  <c r="DU41" i="3"/>
  <c r="DT41" i="3"/>
  <c r="DS41" i="3"/>
  <c r="DR41" i="3"/>
  <c r="DP41" i="3"/>
  <c r="DO41" i="3"/>
  <c r="DN41" i="3"/>
  <c r="DM41" i="3"/>
  <c r="DK41" i="3"/>
  <c r="DJ41" i="3"/>
  <c r="DI41" i="3"/>
  <c r="DH41" i="3"/>
  <c r="DF41" i="3"/>
  <c r="DD41" i="3"/>
  <c r="DC41" i="3"/>
  <c r="DA41" i="3"/>
  <c r="CZ41" i="3"/>
  <c r="CY41" i="3"/>
  <c r="CX41" i="3"/>
  <c r="CU41" i="3"/>
  <c r="CT41" i="3"/>
  <c r="CS41" i="3"/>
  <c r="CQ41" i="3"/>
  <c r="CP41" i="3"/>
  <c r="CO41" i="3"/>
  <c r="CN41" i="3"/>
  <c r="CL41" i="3"/>
  <c r="CK41" i="3"/>
  <c r="CJ41" i="3"/>
  <c r="CI41" i="3"/>
  <c r="CG41" i="3"/>
  <c r="CF41" i="3"/>
  <c r="CE41" i="3"/>
  <c r="CD41" i="3"/>
  <c r="CB41" i="3"/>
  <c r="CA41" i="3"/>
  <c r="BZ41" i="3"/>
  <c r="BY41" i="3"/>
  <c r="BW41" i="3"/>
  <c r="BV41" i="3"/>
  <c r="BU41" i="3"/>
  <c r="BT41" i="3"/>
  <c r="BR41" i="3"/>
  <c r="BQ41" i="3"/>
  <c r="BP41" i="3"/>
  <c r="BO41" i="3"/>
  <c r="BM41" i="3"/>
  <c r="BL41" i="3"/>
  <c r="BK41" i="3"/>
  <c r="BJ41" i="3"/>
  <c r="BH41" i="3"/>
  <c r="BG41" i="3"/>
  <c r="BF41" i="3"/>
  <c r="BE41" i="3"/>
  <c r="BC41" i="3"/>
  <c r="BB41" i="3"/>
  <c r="BA41" i="3"/>
  <c r="AZ41" i="3"/>
  <c r="AX41" i="3"/>
  <c r="AW41" i="3"/>
  <c r="AV41" i="3"/>
  <c r="AU41" i="3"/>
  <c r="AS41" i="3"/>
  <c r="AR41" i="3"/>
  <c r="AQ41" i="3"/>
  <c r="AP41" i="3"/>
  <c r="AN41" i="3"/>
  <c r="AM41" i="3"/>
  <c r="AL41" i="3"/>
  <c r="AK41" i="3"/>
  <c r="AI41" i="3"/>
  <c r="AH41" i="3"/>
  <c r="AG41" i="3"/>
  <c r="AF41" i="3"/>
  <c r="GO40" i="3"/>
  <c r="GP40" i="3" s="1"/>
  <c r="GM40" i="3"/>
  <c r="GM41" i="3" s="1"/>
  <c r="GL40" i="3"/>
  <c r="GL41" i="3" s="1"/>
  <c r="GK40" i="3"/>
  <c r="GK41" i="3" s="1"/>
  <c r="GJ40" i="3"/>
  <c r="GJ41" i="3" s="1"/>
  <c r="GH40" i="3"/>
  <c r="GH41" i="3" s="1"/>
  <c r="GG40" i="3"/>
  <c r="GG41" i="3" s="1"/>
  <c r="GF40" i="3"/>
  <c r="GF41" i="3" s="1"/>
  <c r="GE40" i="3"/>
  <c r="GE41" i="3" s="1"/>
  <c r="GC40" i="3"/>
  <c r="GC41" i="3" s="1"/>
  <c r="GB40" i="3"/>
  <c r="GB41" i="3" s="1"/>
  <c r="GA40" i="3"/>
  <c r="GA41" i="3" s="1"/>
  <c r="FZ40" i="3"/>
  <c r="FZ41" i="3" s="1"/>
  <c r="FX40" i="3"/>
  <c r="FX41" i="3" s="1"/>
  <c r="FV40" i="3"/>
  <c r="FS40" i="3"/>
  <c r="FS41" i="3" s="1"/>
  <c r="FQ40" i="3"/>
  <c r="FQ41" i="3" s="1"/>
  <c r="FN40" i="3"/>
  <c r="FN41" i="3" s="1"/>
  <c r="FJ40" i="3"/>
  <c r="FE40" i="3"/>
  <c r="EZ40" i="3"/>
  <c r="EU40" i="3"/>
  <c r="EP40" i="3"/>
  <c r="EK40" i="3"/>
  <c r="EF40" i="3"/>
  <c r="EA40" i="3"/>
  <c r="DV40" i="3"/>
  <c r="DQ40" i="3"/>
  <c r="DL40" i="3"/>
  <c r="DG40" i="3"/>
  <c r="DB40" i="3"/>
  <c r="CV40" i="3"/>
  <c r="CV41" i="3" s="1"/>
  <c r="CR40" i="3"/>
  <c r="CM40" i="3"/>
  <c r="CH40" i="3"/>
  <c r="CC40" i="3"/>
  <c r="BX40" i="3"/>
  <c r="BS40" i="3"/>
  <c r="BN40" i="3"/>
  <c r="BI40" i="3"/>
  <c r="BD40" i="3"/>
  <c r="AY40" i="3"/>
  <c r="AT40" i="3"/>
  <c r="AO40" i="3"/>
  <c r="AJ40" i="3"/>
  <c r="GO39" i="3"/>
  <c r="GM39" i="3"/>
  <c r="GL39" i="3"/>
  <c r="GK39" i="3"/>
  <c r="GJ39" i="3"/>
  <c r="GH39" i="3"/>
  <c r="GG39" i="3"/>
  <c r="GF39" i="3"/>
  <c r="GE39" i="3"/>
  <c r="GC39" i="3"/>
  <c r="GB39" i="3"/>
  <c r="GA39" i="3"/>
  <c r="FZ39" i="3"/>
  <c r="FX39" i="3"/>
  <c r="FW39" i="3"/>
  <c r="FV39" i="3"/>
  <c r="FU39" i="3"/>
  <c r="FS39" i="3"/>
  <c r="FR39" i="3"/>
  <c r="FQ39" i="3"/>
  <c r="FP39" i="3"/>
  <c r="FN39" i="3"/>
  <c r="FM39" i="3"/>
  <c r="FL39" i="3"/>
  <c r="FK39" i="3"/>
  <c r="FI39" i="3"/>
  <c r="FH39" i="3"/>
  <c r="FG39" i="3"/>
  <c r="FF39" i="3"/>
  <c r="FD39" i="3"/>
  <c r="FC39" i="3"/>
  <c r="FB39" i="3"/>
  <c r="FA39" i="3"/>
  <c r="EY39" i="3"/>
  <c r="EX39" i="3"/>
  <c r="EW39" i="3"/>
  <c r="EV39" i="3"/>
  <c r="ET39" i="3"/>
  <c r="ES39" i="3"/>
  <c r="ER39" i="3"/>
  <c r="EN39" i="3"/>
  <c r="EM39" i="3"/>
  <c r="EL39" i="3"/>
  <c r="EJ39" i="3"/>
  <c r="EI39" i="3"/>
  <c r="EH39" i="3"/>
  <c r="EG39" i="3"/>
  <c r="EE39" i="3"/>
  <c r="ED39" i="3"/>
  <c r="EC39" i="3"/>
  <c r="EB39" i="3"/>
  <c r="DZ39" i="3"/>
  <c r="DY39" i="3"/>
  <c r="DX39" i="3"/>
  <c r="DW39" i="3"/>
  <c r="DU39" i="3"/>
  <c r="DT39" i="3"/>
  <c r="DS39" i="3"/>
  <c r="DR39" i="3"/>
  <c r="DP39" i="3"/>
  <c r="DO39" i="3"/>
  <c r="DN39" i="3"/>
  <c r="DM39" i="3"/>
  <c r="DK39" i="3"/>
  <c r="DJ39" i="3"/>
  <c r="DI39" i="3"/>
  <c r="DH39" i="3"/>
  <c r="DF39" i="3"/>
  <c r="DD39" i="3"/>
  <c r="DC39" i="3"/>
  <c r="DA39" i="3"/>
  <c r="CZ39" i="3"/>
  <c r="CY39" i="3"/>
  <c r="CX39" i="3"/>
  <c r="CV39" i="3"/>
  <c r="CU39" i="3"/>
  <c r="CT39" i="3"/>
  <c r="CS39" i="3"/>
  <c r="CQ39" i="3"/>
  <c r="CP39" i="3"/>
  <c r="CO39" i="3"/>
  <c r="CN39" i="3"/>
  <c r="CL39" i="3"/>
  <c r="CK39" i="3"/>
  <c r="CJ39" i="3"/>
  <c r="CI39" i="3"/>
  <c r="CG39" i="3"/>
  <c r="CF39" i="3"/>
  <c r="CE39" i="3"/>
  <c r="CD39" i="3"/>
  <c r="CB39" i="3"/>
  <c r="CA39" i="3"/>
  <c r="BZ39" i="3"/>
  <c r="BY39" i="3"/>
  <c r="BW39" i="3"/>
  <c r="BV39" i="3"/>
  <c r="BU39" i="3"/>
  <c r="BT39" i="3"/>
  <c r="BR39" i="3"/>
  <c r="BQ39" i="3"/>
  <c r="BP39" i="3"/>
  <c r="BO39" i="3"/>
  <c r="BM39" i="3"/>
  <c r="BL39" i="3"/>
  <c r="BK39" i="3"/>
  <c r="BJ39" i="3"/>
  <c r="BH39" i="3"/>
  <c r="BG39" i="3"/>
  <c r="BF39" i="3"/>
  <c r="BE39" i="3"/>
  <c r="BC39" i="3"/>
  <c r="BB39" i="3"/>
  <c r="BA39" i="3"/>
  <c r="AZ39" i="3"/>
  <c r="AX39" i="3"/>
  <c r="AW39" i="3"/>
  <c r="AV39" i="3"/>
  <c r="AU39" i="3"/>
  <c r="AS39" i="3"/>
  <c r="AR39" i="3"/>
  <c r="AQ39" i="3"/>
  <c r="AP39" i="3"/>
  <c r="AN39" i="3"/>
  <c r="AM39" i="3"/>
  <c r="AL39" i="3"/>
  <c r="AK39" i="3"/>
  <c r="AI39" i="3"/>
  <c r="AH39" i="3"/>
  <c r="AG39" i="3"/>
  <c r="AF39" i="3"/>
  <c r="HM38" i="3"/>
  <c r="HH38" i="3"/>
  <c r="HC38" i="3"/>
  <c r="GX38" i="3"/>
  <c r="GS38" i="3"/>
  <c r="GN38" i="3"/>
  <c r="GI38" i="3"/>
  <c r="GD38" i="3"/>
  <c r="FY38" i="3"/>
  <c r="FT38" i="3"/>
  <c r="FO38" i="3"/>
  <c r="FJ38" i="3"/>
  <c r="FE38" i="3"/>
  <c r="EZ38" i="3"/>
  <c r="EU38" i="3"/>
  <c r="EP38" i="3"/>
  <c r="EK38" i="3"/>
  <c r="EF38" i="3"/>
  <c r="EA38" i="3"/>
  <c r="DV38" i="3"/>
  <c r="DQ38" i="3"/>
  <c r="DL38" i="3"/>
  <c r="DG38" i="3"/>
  <c r="DB38" i="3"/>
  <c r="CW38" i="3"/>
  <c r="CR38" i="3"/>
  <c r="CM38" i="3"/>
  <c r="CH38" i="3"/>
  <c r="CC38" i="3"/>
  <c r="BX38" i="3"/>
  <c r="BS38" i="3"/>
  <c r="BN38" i="3"/>
  <c r="BI38" i="3"/>
  <c r="BD38" i="3"/>
  <c r="AY38" i="3"/>
  <c r="AT38" i="3"/>
  <c r="AO38" i="3"/>
  <c r="AJ38" i="3"/>
  <c r="GO37" i="3"/>
  <c r="GM37" i="3"/>
  <c r="GL37" i="3"/>
  <c r="GK37" i="3"/>
  <c r="GJ37" i="3"/>
  <c r="GH37" i="3"/>
  <c r="GG37" i="3"/>
  <c r="GF37" i="3"/>
  <c r="GE37" i="3"/>
  <c r="GC37" i="3"/>
  <c r="GB37" i="3"/>
  <c r="GA37" i="3"/>
  <c r="FZ37" i="3"/>
  <c r="FX37" i="3"/>
  <c r="FW37" i="3"/>
  <c r="FV37" i="3"/>
  <c r="FU37" i="3"/>
  <c r="FS37" i="3"/>
  <c r="FR37" i="3"/>
  <c r="FQ37" i="3"/>
  <c r="FP37" i="3"/>
  <c r="FN37" i="3"/>
  <c r="FM37" i="3"/>
  <c r="FL37" i="3"/>
  <c r="FK37" i="3"/>
  <c r="FI37" i="3"/>
  <c r="FH37" i="3"/>
  <c r="FG37" i="3"/>
  <c r="FF37" i="3"/>
  <c r="FD37" i="3"/>
  <c r="FC37" i="3"/>
  <c r="FB37" i="3"/>
  <c r="FA37" i="3"/>
  <c r="EY37" i="3"/>
  <c r="EX37" i="3"/>
  <c r="EW37" i="3"/>
  <c r="EV37" i="3"/>
  <c r="ET37" i="3"/>
  <c r="ER37" i="3"/>
  <c r="EN37" i="3"/>
  <c r="EM37" i="3"/>
  <c r="EL37" i="3"/>
  <c r="EJ37" i="3"/>
  <c r="EI37" i="3"/>
  <c r="EH37" i="3"/>
  <c r="EG37" i="3"/>
  <c r="EE37" i="3"/>
  <c r="ED37" i="3"/>
  <c r="EC37" i="3"/>
  <c r="EB37" i="3"/>
  <c r="DZ37" i="3"/>
  <c r="DY37" i="3"/>
  <c r="DX37" i="3"/>
  <c r="DW37" i="3"/>
  <c r="DU37" i="3"/>
  <c r="DT37" i="3"/>
  <c r="DS37" i="3"/>
  <c r="DR37" i="3"/>
  <c r="DP37" i="3"/>
  <c r="DO37" i="3"/>
  <c r="DN37" i="3"/>
  <c r="DM37" i="3"/>
  <c r="DK37" i="3"/>
  <c r="DJ37" i="3"/>
  <c r="DI37" i="3"/>
  <c r="DF37" i="3"/>
  <c r="DD37" i="3"/>
  <c r="DC37" i="3"/>
  <c r="DA37" i="3"/>
  <c r="CY37" i="3"/>
  <c r="CX37" i="3"/>
  <c r="CV37" i="3"/>
  <c r="CQ37" i="3"/>
  <c r="CP37" i="3"/>
  <c r="CO37" i="3"/>
  <c r="CN37" i="3"/>
  <c r="CL37" i="3"/>
  <c r="CK37" i="3"/>
  <c r="CJ37" i="3"/>
  <c r="CI37" i="3"/>
  <c r="CG37" i="3"/>
  <c r="CF37" i="3"/>
  <c r="CE37" i="3"/>
  <c r="CD37" i="3"/>
  <c r="CB37" i="3"/>
  <c r="CA37" i="3"/>
  <c r="BZ37" i="3"/>
  <c r="BY37" i="3"/>
  <c r="BW37" i="3"/>
  <c r="BV37" i="3"/>
  <c r="BU37" i="3"/>
  <c r="BT37" i="3"/>
  <c r="BQ37" i="3"/>
  <c r="BP37" i="3"/>
  <c r="BM37" i="3"/>
  <c r="BL37" i="3"/>
  <c r="BK37" i="3"/>
  <c r="BH37" i="3"/>
  <c r="BG37" i="3"/>
  <c r="BE37" i="3"/>
  <c r="BC37" i="3"/>
  <c r="BB37" i="3"/>
  <c r="BA37" i="3"/>
  <c r="AZ37" i="3"/>
  <c r="AX37" i="3"/>
  <c r="AW37" i="3"/>
  <c r="AV37" i="3"/>
  <c r="AU37" i="3"/>
  <c r="AS37" i="3"/>
  <c r="AR37" i="3"/>
  <c r="AQ37" i="3"/>
  <c r="AP37" i="3"/>
  <c r="AN37" i="3"/>
  <c r="AM37" i="3"/>
  <c r="AL37" i="3"/>
  <c r="AK37" i="3"/>
  <c r="AI37" i="3"/>
  <c r="AH37" i="3"/>
  <c r="AG37" i="3"/>
  <c r="AF37" i="3"/>
  <c r="HM36" i="3"/>
  <c r="HH36" i="3"/>
  <c r="HC36" i="3"/>
  <c r="GX36" i="3"/>
  <c r="GS36" i="3"/>
  <c r="GN36" i="3"/>
  <c r="GI36" i="3"/>
  <c r="GD36" i="3"/>
  <c r="FY36" i="3"/>
  <c r="FT36" i="3"/>
  <c r="FO36" i="3"/>
  <c r="FJ36" i="3"/>
  <c r="FE36" i="3"/>
  <c r="EZ36" i="3"/>
  <c r="ES36" i="3"/>
  <c r="ES37" i="3" s="1"/>
  <c r="EP36" i="3"/>
  <c r="EK36" i="3"/>
  <c r="EF36" i="3"/>
  <c r="EA36" i="3"/>
  <c r="DV36" i="3"/>
  <c r="DQ36" i="3"/>
  <c r="DL36" i="3"/>
  <c r="DH36" i="3"/>
  <c r="DH37" i="3" s="1"/>
  <c r="DG36" i="3"/>
  <c r="DA36" i="3"/>
  <c r="CZ36" i="3"/>
  <c r="DB36" i="3" s="1"/>
  <c r="CU36" i="3"/>
  <c r="CU37" i="3" s="1"/>
  <c r="CT36" i="3"/>
  <c r="CT37" i="3" s="1"/>
  <c r="CS36" i="3"/>
  <c r="CS37" i="3" s="1"/>
  <c r="CR36" i="3"/>
  <c r="CM36" i="3"/>
  <c r="CH36" i="3"/>
  <c r="CC36" i="3"/>
  <c r="BX36" i="3"/>
  <c r="BR36" i="3"/>
  <c r="BR37" i="3" s="1"/>
  <c r="BO36" i="3"/>
  <c r="BO37" i="3" s="1"/>
  <c r="BJ36" i="3"/>
  <c r="BJ37" i="3" s="1"/>
  <c r="BI36" i="3"/>
  <c r="BF36" i="3"/>
  <c r="BF37" i="3" s="1"/>
  <c r="BD36" i="3"/>
  <c r="AY36" i="3"/>
  <c r="AT36" i="3"/>
  <c r="AO36" i="3"/>
  <c r="AJ36" i="3"/>
  <c r="GQ35" i="3"/>
  <c r="GR35" i="3" s="1"/>
  <c r="GT35" i="3" s="1"/>
  <c r="GU35" i="3" s="1"/>
  <c r="GV35" i="3" s="1"/>
  <c r="GW35" i="3" s="1"/>
  <c r="GY35" i="3" s="1"/>
  <c r="GZ35" i="3" s="1"/>
  <c r="HA35" i="3" s="1"/>
  <c r="HB35" i="3" s="1"/>
  <c r="HD35" i="3" s="1"/>
  <c r="HE35" i="3" s="1"/>
  <c r="HF35" i="3" s="1"/>
  <c r="HG35" i="3" s="1"/>
  <c r="HI35" i="3" s="1"/>
  <c r="HJ35" i="3" s="1"/>
  <c r="HK35" i="3" s="1"/>
  <c r="HL35" i="3" s="1"/>
  <c r="GN34" i="3"/>
  <c r="GI34" i="3"/>
  <c r="GD34" i="3"/>
  <c r="FW34" i="3"/>
  <c r="FV34" i="3"/>
  <c r="FS34" i="3"/>
  <c r="FQ34" i="3"/>
  <c r="FP34" i="3"/>
  <c r="FN34" i="3"/>
  <c r="FL34" i="3"/>
  <c r="FK34" i="3"/>
  <c r="FJ34" i="3"/>
  <c r="FE34" i="3"/>
  <c r="EZ34" i="3"/>
  <c r="ET34" i="3"/>
  <c r="ES34" i="3"/>
  <c r="ER34" i="3"/>
  <c r="EO34" i="3"/>
  <c r="EP34" i="3" s="1"/>
  <c r="EK34" i="3"/>
  <c r="EF34" i="3"/>
  <c r="DW34" i="3"/>
  <c r="DV34" i="3"/>
  <c r="DP34" i="3"/>
  <c r="DQ34" i="3" s="1"/>
  <c r="DL34" i="3"/>
  <c r="DG34" i="3"/>
  <c r="DA34" i="3"/>
  <c r="DB34" i="3" s="1"/>
  <c r="CW34" i="3"/>
  <c r="CR34" i="3"/>
  <c r="CM34" i="3"/>
  <c r="CH34" i="3"/>
  <c r="CB34" i="3"/>
  <c r="CC34" i="3" s="1"/>
  <c r="BX34" i="3"/>
  <c r="BQ34" i="3"/>
  <c r="BN34" i="3"/>
  <c r="BI34" i="3"/>
  <c r="BD34" i="3"/>
  <c r="AY34" i="3"/>
  <c r="AT34" i="3"/>
  <c r="AO34" i="3"/>
  <c r="AJ34" i="3"/>
  <c r="GO31" i="3"/>
  <c r="GM31" i="3"/>
  <c r="GL31" i="3"/>
  <c r="GK31" i="3"/>
  <c r="GJ31" i="3"/>
  <c r="GH31" i="3"/>
  <c r="GG31" i="3"/>
  <c r="GF31" i="3"/>
  <c r="GE31" i="3"/>
  <c r="GC31" i="3"/>
  <c r="GB31" i="3"/>
  <c r="GA31" i="3"/>
  <c r="FZ31" i="3"/>
  <c r="FX31" i="3"/>
  <c r="FW31" i="3"/>
  <c r="FV31" i="3"/>
  <c r="FU31" i="3"/>
  <c r="FS31" i="3"/>
  <c r="FR31" i="3"/>
  <c r="FQ31" i="3"/>
  <c r="FP31" i="3"/>
  <c r="FN31" i="3"/>
  <c r="FM31" i="3"/>
  <c r="FL31" i="3"/>
  <c r="FK31" i="3"/>
  <c r="FI31" i="3"/>
  <c r="FH31" i="3"/>
  <c r="FG31" i="3"/>
  <c r="FF31" i="3"/>
  <c r="FD31" i="3"/>
  <c r="FC31" i="3"/>
  <c r="FB31" i="3"/>
  <c r="FA31" i="3"/>
  <c r="EY31" i="3"/>
  <c r="EX31" i="3"/>
  <c r="EW31" i="3"/>
  <c r="EV31" i="3"/>
  <c r="ET31" i="3"/>
  <c r="ES31" i="3"/>
  <c r="ER31" i="3"/>
  <c r="EN31" i="3"/>
  <c r="EM31" i="3"/>
  <c r="EL31" i="3"/>
  <c r="EJ31" i="3"/>
  <c r="EI31" i="3"/>
  <c r="EH31" i="3"/>
  <c r="EG31" i="3"/>
  <c r="EE31" i="3"/>
  <c r="ED31" i="3"/>
  <c r="EC31" i="3"/>
  <c r="EB31" i="3"/>
  <c r="DZ31" i="3"/>
  <c r="DY31" i="3"/>
  <c r="DX31" i="3"/>
  <c r="DW31" i="3"/>
  <c r="DU31" i="3"/>
  <c r="DT31" i="3"/>
  <c r="DS31" i="3"/>
  <c r="DR31" i="3"/>
  <c r="DP31" i="3"/>
  <c r="DO31" i="3"/>
  <c r="DN31" i="3"/>
  <c r="DM31" i="3"/>
  <c r="DK31" i="3"/>
  <c r="DJ31" i="3"/>
  <c r="DI31" i="3"/>
  <c r="DH31" i="3"/>
  <c r="DD31" i="3"/>
  <c r="DC31" i="3"/>
  <c r="DA31" i="3"/>
  <c r="CZ31" i="3"/>
  <c r="CY31" i="3"/>
  <c r="CV31" i="3"/>
  <c r="CU31" i="3"/>
  <c r="CT31" i="3"/>
  <c r="CS31" i="3"/>
  <c r="CQ31" i="3"/>
  <c r="CP31" i="3"/>
  <c r="CO31" i="3"/>
  <c r="CN31" i="3"/>
  <c r="CL31" i="3"/>
  <c r="CK31" i="3"/>
  <c r="CJ31" i="3"/>
  <c r="CI31" i="3"/>
  <c r="CG31" i="3"/>
  <c r="CF31" i="3"/>
  <c r="CE31" i="3"/>
  <c r="CD31" i="3"/>
  <c r="CB31" i="3"/>
  <c r="CA31" i="3"/>
  <c r="BZ31" i="3"/>
  <c r="BY31" i="3"/>
  <c r="BW31" i="3"/>
  <c r="BV31" i="3"/>
  <c r="BU31" i="3"/>
  <c r="BT31" i="3"/>
  <c r="BR31" i="3"/>
  <c r="BQ31" i="3"/>
  <c r="BP31" i="3"/>
  <c r="BO31" i="3"/>
  <c r="BM31" i="3"/>
  <c r="BL31" i="3"/>
  <c r="BK31" i="3"/>
  <c r="BJ31" i="3"/>
  <c r="BH31" i="3"/>
  <c r="BG31" i="3"/>
  <c r="BF31" i="3"/>
  <c r="BE31" i="3"/>
  <c r="BC31" i="3"/>
  <c r="BB31" i="3"/>
  <c r="BA31" i="3"/>
  <c r="AZ31" i="3"/>
  <c r="AX31" i="3"/>
  <c r="AW31" i="3"/>
  <c r="AV31" i="3"/>
  <c r="AU31" i="3"/>
  <c r="AS31" i="3"/>
  <c r="AR31" i="3"/>
  <c r="AQ31" i="3"/>
  <c r="AP31" i="3"/>
  <c r="AN31" i="3"/>
  <c r="AM31" i="3"/>
  <c r="AL31" i="3"/>
  <c r="AK31" i="3"/>
  <c r="AI31" i="3"/>
  <c r="AH31" i="3"/>
  <c r="AG31" i="3"/>
  <c r="AF31" i="3"/>
  <c r="HM30" i="3"/>
  <c r="HH30" i="3"/>
  <c r="HC30" i="3"/>
  <c r="GX30" i="3"/>
  <c r="GS30" i="3"/>
  <c r="GN30" i="3"/>
  <c r="GI30" i="3"/>
  <c r="GD30" i="3"/>
  <c r="FY30" i="3"/>
  <c r="FT30" i="3"/>
  <c r="FO30" i="3"/>
  <c r="FJ30" i="3"/>
  <c r="FE30" i="3"/>
  <c r="EZ30" i="3"/>
  <c r="EU30" i="3"/>
  <c r="EP30" i="3"/>
  <c r="EK30" i="3"/>
  <c r="EF30" i="3"/>
  <c r="EA30" i="3"/>
  <c r="DV30" i="3"/>
  <c r="DQ30" i="3"/>
  <c r="DL30" i="3"/>
  <c r="DF30" i="3"/>
  <c r="DF31" i="3" s="1"/>
  <c r="CX30" i="3"/>
  <c r="CX31" i="3" s="1"/>
  <c r="CW30" i="3"/>
  <c r="CR30" i="3"/>
  <c r="CM30" i="3"/>
  <c r="CH30" i="3"/>
  <c r="CC30" i="3"/>
  <c r="BX30" i="3"/>
  <c r="BS30" i="3"/>
  <c r="BN30" i="3"/>
  <c r="BI30" i="3"/>
  <c r="BD30" i="3"/>
  <c r="AY30" i="3"/>
  <c r="AT30" i="3"/>
  <c r="AO30" i="3"/>
  <c r="AJ30" i="3"/>
  <c r="ES29" i="3"/>
  <c r="EN29" i="3"/>
  <c r="EM29" i="3"/>
  <c r="EL29" i="3"/>
  <c r="BR29" i="3"/>
  <c r="AG29" i="3"/>
  <c r="HJ28" i="3"/>
  <c r="HK28" i="3" s="1"/>
  <c r="HL28" i="3" s="1"/>
  <c r="HE28" i="3"/>
  <c r="HF28" i="3" s="1"/>
  <c r="GZ28" i="3"/>
  <c r="HA28" i="3" s="1"/>
  <c r="GU28" i="3"/>
  <c r="GV28" i="3" s="1"/>
  <c r="GQ28" i="3"/>
  <c r="GR28" i="3" s="1"/>
  <c r="GO28" i="3"/>
  <c r="GO29" i="3" s="1"/>
  <c r="GM28" i="3"/>
  <c r="GM29" i="3" s="1"/>
  <c r="GL28" i="3"/>
  <c r="GL29" i="3" s="1"/>
  <c r="GK28" i="3"/>
  <c r="GK29" i="3" s="1"/>
  <c r="GJ28" i="3"/>
  <c r="GN28" i="3" s="1"/>
  <c r="GH28" i="3"/>
  <c r="GH29" i="3" s="1"/>
  <c r="GG28" i="3"/>
  <c r="GG29" i="3" s="1"/>
  <c r="GF28" i="3"/>
  <c r="GE28" i="3"/>
  <c r="GE29" i="3" s="1"/>
  <c r="GC28" i="3"/>
  <c r="GC29" i="3" s="1"/>
  <c r="GB28" i="3"/>
  <c r="GB29" i="3" s="1"/>
  <c r="GA28" i="3"/>
  <c r="GA29" i="3" s="1"/>
  <c r="FZ28" i="3"/>
  <c r="FX28" i="3"/>
  <c r="FX29" i="3" s="1"/>
  <c r="FW28" i="3"/>
  <c r="FW29" i="3" s="1"/>
  <c r="FV28" i="3"/>
  <c r="FV29" i="3" s="1"/>
  <c r="FU28" i="3"/>
  <c r="FU29" i="3" s="1"/>
  <c r="FS28" i="3"/>
  <c r="FS29" i="3" s="1"/>
  <c r="FR28" i="3"/>
  <c r="FR29" i="3" s="1"/>
  <c r="FQ28" i="3"/>
  <c r="FQ29" i="3" s="1"/>
  <c r="FP28" i="3"/>
  <c r="FP29" i="3" s="1"/>
  <c r="FN28" i="3"/>
  <c r="FM28" i="3"/>
  <c r="FM29" i="3" s="1"/>
  <c r="FL28" i="3"/>
  <c r="FL29" i="3" s="1"/>
  <c r="FK28" i="3"/>
  <c r="FK29" i="3" s="1"/>
  <c r="FI28" i="3"/>
  <c r="FI29" i="3" s="1"/>
  <c r="FH28" i="3"/>
  <c r="FH29" i="3" s="1"/>
  <c r="FG28" i="3"/>
  <c r="FG29" i="3" s="1"/>
  <c r="FF28" i="3"/>
  <c r="FF29" i="3" s="1"/>
  <c r="FD28" i="3"/>
  <c r="FD29" i="3" s="1"/>
  <c r="FC28" i="3"/>
  <c r="FC29" i="3" s="1"/>
  <c r="FB28" i="3"/>
  <c r="FA28" i="3"/>
  <c r="FA29" i="3" s="1"/>
  <c r="EY28" i="3"/>
  <c r="EY29" i="3" s="1"/>
  <c r="EX28" i="3"/>
  <c r="EX29" i="3" s="1"/>
  <c r="EW28" i="3"/>
  <c r="EW29" i="3" s="1"/>
  <c r="EV28" i="3"/>
  <c r="ET28" i="3"/>
  <c r="ET29" i="3" s="1"/>
  <c r="ES28" i="3"/>
  <c r="ER28" i="3"/>
  <c r="ER29" i="3" s="1"/>
  <c r="EQ28" i="3"/>
  <c r="EO28" i="3"/>
  <c r="EP28" i="3" s="1"/>
  <c r="EJ28" i="3"/>
  <c r="EJ29" i="3" s="1"/>
  <c r="EI28" i="3"/>
  <c r="EI29" i="3" s="1"/>
  <c r="EH28" i="3"/>
  <c r="EH29" i="3" s="1"/>
  <c r="EG28" i="3"/>
  <c r="EE28" i="3"/>
  <c r="EE29" i="3" s="1"/>
  <c r="ED28" i="3"/>
  <c r="ED29" i="3" s="1"/>
  <c r="EC28" i="3"/>
  <c r="EC29" i="3" s="1"/>
  <c r="EB28" i="3"/>
  <c r="EB29" i="3" s="1"/>
  <c r="DZ28" i="3"/>
  <c r="DZ29" i="3" s="1"/>
  <c r="DY28" i="3"/>
  <c r="DY29" i="3" s="1"/>
  <c r="DX28" i="3"/>
  <c r="DX29" i="3" s="1"/>
  <c r="DW28" i="3"/>
  <c r="DW29" i="3" s="1"/>
  <c r="DU28" i="3"/>
  <c r="DU29" i="3" s="1"/>
  <c r="DT28" i="3"/>
  <c r="DT29" i="3" s="1"/>
  <c r="DS28" i="3"/>
  <c r="DS29" i="3" s="1"/>
  <c r="DR28" i="3"/>
  <c r="DR29" i="3" s="1"/>
  <c r="DP28" i="3"/>
  <c r="DP29" i="3" s="1"/>
  <c r="DO28" i="3"/>
  <c r="DO29" i="3" s="1"/>
  <c r="DN28" i="3"/>
  <c r="DN29" i="3" s="1"/>
  <c r="DM28" i="3"/>
  <c r="DM29" i="3" s="1"/>
  <c r="DK28" i="3"/>
  <c r="DK29" i="3" s="1"/>
  <c r="DJ28" i="3"/>
  <c r="DJ29" i="3" s="1"/>
  <c r="DI28" i="3"/>
  <c r="DH28" i="3"/>
  <c r="DH29" i="3" s="1"/>
  <c r="DF28" i="3"/>
  <c r="DF29" i="3" s="1"/>
  <c r="DE28" i="3"/>
  <c r="DD28" i="3"/>
  <c r="DD29" i="3" s="1"/>
  <c r="DC28" i="3"/>
  <c r="DA28" i="3"/>
  <c r="DA29" i="3" s="1"/>
  <c r="CZ28" i="3"/>
  <c r="CZ29" i="3" s="1"/>
  <c r="CY28" i="3"/>
  <c r="CY29" i="3" s="1"/>
  <c r="CX28" i="3"/>
  <c r="CX29" i="3" s="1"/>
  <c r="CV28" i="3"/>
  <c r="CV29" i="3" s="1"/>
  <c r="CU28" i="3"/>
  <c r="CU29" i="3" s="1"/>
  <c r="CT28" i="3"/>
  <c r="CT29" i="3" s="1"/>
  <c r="CS28" i="3"/>
  <c r="CS29" i="3" s="1"/>
  <c r="CQ28" i="3"/>
  <c r="CQ29" i="3" s="1"/>
  <c r="CP28" i="3"/>
  <c r="CP29" i="3" s="1"/>
  <c r="CO28" i="3"/>
  <c r="CO29" i="3" s="1"/>
  <c r="CN28" i="3"/>
  <c r="CN29" i="3" s="1"/>
  <c r="CL28" i="3"/>
  <c r="CL29" i="3" s="1"/>
  <c r="CK28" i="3"/>
  <c r="CK29" i="3" s="1"/>
  <c r="CJ28" i="3"/>
  <c r="CJ29" i="3" s="1"/>
  <c r="CI28" i="3"/>
  <c r="CI29" i="3" s="1"/>
  <c r="CG28" i="3"/>
  <c r="CG29" i="3" s="1"/>
  <c r="CF28" i="3"/>
  <c r="CF29" i="3" s="1"/>
  <c r="CE28" i="3"/>
  <c r="CD28" i="3"/>
  <c r="CD29" i="3" s="1"/>
  <c r="CB28" i="3"/>
  <c r="CB29" i="3" s="1"/>
  <c r="CA28" i="3"/>
  <c r="CA29" i="3" s="1"/>
  <c r="BZ28" i="3"/>
  <c r="BZ29" i="3" s="1"/>
  <c r="BY28" i="3"/>
  <c r="BW28" i="3"/>
  <c r="BW29" i="3" s="1"/>
  <c r="BV28" i="3"/>
  <c r="BV29" i="3" s="1"/>
  <c r="BU28" i="3"/>
  <c r="BU29" i="3" s="1"/>
  <c r="BT28" i="3"/>
  <c r="BT29" i="3" s="1"/>
  <c r="BR28" i="3"/>
  <c r="BQ28" i="3"/>
  <c r="BQ29" i="3" s="1"/>
  <c r="BP28" i="3"/>
  <c r="BP29" i="3" s="1"/>
  <c r="BO28" i="3"/>
  <c r="BO29" i="3" s="1"/>
  <c r="BM28" i="3"/>
  <c r="BM29" i="3" s="1"/>
  <c r="BL28" i="3"/>
  <c r="BL29" i="3" s="1"/>
  <c r="BK28" i="3"/>
  <c r="BK29" i="3" s="1"/>
  <c r="BJ28" i="3"/>
  <c r="BJ29" i="3" s="1"/>
  <c r="BH28" i="3"/>
  <c r="BH29" i="3" s="1"/>
  <c r="BG28" i="3"/>
  <c r="BG29" i="3" s="1"/>
  <c r="BF28" i="3"/>
  <c r="BF29" i="3" s="1"/>
  <c r="BE28" i="3"/>
  <c r="BE29" i="3" s="1"/>
  <c r="BC28" i="3"/>
  <c r="BC29" i="3" s="1"/>
  <c r="BB28" i="3"/>
  <c r="BB29" i="3" s="1"/>
  <c r="BA28" i="3"/>
  <c r="AZ28" i="3"/>
  <c r="AZ29" i="3" s="1"/>
  <c r="AX28" i="3"/>
  <c r="AX29" i="3" s="1"/>
  <c r="AW28" i="3"/>
  <c r="AW29" i="3" s="1"/>
  <c r="AV28" i="3"/>
  <c r="AV29" i="3" s="1"/>
  <c r="AU28" i="3"/>
  <c r="AS28" i="3"/>
  <c r="AS29" i="3" s="1"/>
  <c r="AR28" i="3"/>
  <c r="AR29" i="3" s="1"/>
  <c r="AQ28" i="3"/>
  <c r="AQ29" i="3" s="1"/>
  <c r="AP28" i="3"/>
  <c r="AP29" i="3" s="1"/>
  <c r="AN28" i="3"/>
  <c r="AN29" i="3" s="1"/>
  <c r="AM28" i="3"/>
  <c r="AM29" i="3" s="1"/>
  <c r="AL28" i="3"/>
  <c r="AL29" i="3" s="1"/>
  <c r="AK28" i="3"/>
  <c r="AK29" i="3" s="1"/>
  <c r="AI28" i="3"/>
  <c r="AI29" i="3" s="1"/>
  <c r="AH28" i="3"/>
  <c r="AH29" i="3" s="1"/>
  <c r="AG28" i="3"/>
  <c r="AF28" i="3"/>
  <c r="AF29" i="3" s="1"/>
  <c r="GC27" i="3"/>
  <c r="FS27" i="3"/>
  <c r="FR27" i="3"/>
  <c r="FQ27" i="3"/>
  <c r="FP27" i="3"/>
  <c r="FN27" i="3"/>
  <c r="FM27" i="3"/>
  <c r="FK27" i="3"/>
  <c r="FH27" i="3"/>
  <c r="FG27" i="3"/>
  <c r="FF27" i="3"/>
  <c r="FC27" i="3"/>
  <c r="FB27" i="3"/>
  <c r="FA27" i="3"/>
  <c r="EY27" i="3"/>
  <c r="EX27" i="3"/>
  <c r="EW27" i="3"/>
  <c r="EV27" i="3"/>
  <c r="ET27" i="3"/>
  <c r="EN27" i="3"/>
  <c r="EM27" i="3"/>
  <c r="EI27" i="3"/>
  <c r="EC27" i="3"/>
  <c r="DS27" i="3"/>
  <c r="CU27" i="3"/>
  <c r="CT27" i="3"/>
  <c r="CS27" i="3"/>
  <c r="CQ27" i="3"/>
  <c r="CP27" i="3"/>
  <c r="CO27" i="3"/>
  <c r="CN27" i="3"/>
  <c r="CK27" i="3"/>
  <c r="CJ27" i="3"/>
  <c r="CI27" i="3"/>
  <c r="CG27" i="3"/>
  <c r="CF27" i="3"/>
  <c r="CE27" i="3"/>
  <c r="CD27" i="3"/>
  <c r="CA27" i="3"/>
  <c r="BZ27" i="3"/>
  <c r="BY27" i="3"/>
  <c r="BW27" i="3"/>
  <c r="BU27" i="3"/>
  <c r="BT27" i="3"/>
  <c r="BR27" i="3"/>
  <c r="BP27" i="3"/>
  <c r="BO27" i="3"/>
  <c r="BM27" i="3"/>
  <c r="BL27" i="3"/>
  <c r="BJ27" i="3"/>
  <c r="BH27" i="3"/>
  <c r="BG27" i="3"/>
  <c r="BF27" i="3"/>
  <c r="BE27" i="3"/>
  <c r="BC27" i="3"/>
  <c r="BB27" i="3"/>
  <c r="BA27" i="3"/>
  <c r="AZ27" i="3"/>
  <c r="AX27" i="3"/>
  <c r="AW27" i="3"/>
  <c r="AV27" i="3"/>
  <c r="AU27" i="3"/>
  <c r="AS27" i="3"/>
  <c r="AR27" i="3"/>
  <c r="AQ27" i="3"/>
  <c r="AP27" i="3"/>
  <c r="AN27" i="3"/>
  <c r="AM27" i="3"/>
  <c r="AL27" i="3"/>
  <c r="AK27" i="3"/>
  <c r="AI27" i="3"/>
  <c r="AH27" i="3"/>
  <c r="AG27" i="3"/>
  <c r="AF27" i="3"/>
  <c r="HJ26" i="3"/>
  <c r="HE26" i="3"/>
  <c r="HF26" i="3" s="1"/>
  <c r="GZ26" i="3"/>
  <c r="HA26" i="3" s="1"/>
  <c r="HB26" i="3" s="1"/>
  <c r="GU26" i="3"/>
  <c r="GV26" i="3" s="1"/>
  <c r="GQ26" i="3"/>
  <c r="GR26" i="3" s="1"/>
  <c r="GO26" i="3"/>
  <c r="GO27" i="3" s="1"/>
  <c r="GM26" i="3"/>
  <c r="GM27" i="3" s="1"/>
  <c r="GL26" i="3"/>
  <c r="GL27" i="3" s="1"/>
  <c r="GK26" i="3"/>
  <c r="GK27" i="3" s="1"/>
  <c r="GJ26" i="3"/>
  <c r="GJ27" i="3" s="1"/>
  <c r="GH26" i="3"/>
  <c r="GH27" i="3" s="1"/>
  <c r="GG26" i="3"/>
  <c r="GG27" i="3" s="1"/>
  <c r="GF26" i="3"/>
  <c r="GE26" i="3"/>
  <c r="GE27" i="3" s="1"/>
  <c r="GC26" i="3"/>
  <c r="GB26" i="3"/>
  <c r="GB27" i="3" s="1"/>
  <c r="GA26" i="3"/>
  <c r="GA27" i="3" s="1"/>
  <c r="FZ26" i="3"/>
  <c r="FX26" i="3"/>
  <c r="FX27" i="3" s="1"/>
  <c r="FW26" i="3"/>
  <c r="FW27" i="3" s="1"/>
  <c r="FV26" i="3"/>
  <c r="FV27" i="3" s="1"/>
  <c r="FU26" i="3"/>
  <c r="FU27" i="3" s="1"/>
  <c r="FT26" i="3"/>
  <c r="FL26" i="3"/>
  <c r="FO26" i="3" s="1"/>
  <c r="FI26" i="3"/>
  <c r="FJ26" i="3" s="1"/>
  <c r="FD26" i="3"/>
  <c r="FD27" i="3" s="1"/>
  <c r="EZ26" i="3"/>
  <c r="ES26" i="3"/>
  <c r="ES27" i="3" s="1"/>
  <c r="ER26" i="3"/>
  <c r="ER27" i="3" s="1"/>
  <c r="EQ26" i="3"/>
  <c r="EO26" i="3"/>
  <c r="EO51" i="3" s="1"/>
  <c r="EL26" i="3"/>
  <c r="EL51" i="3" s="1"/>
  <c r="EJ26" i="3"/>
  <c r="EJ51" i="3" s="1"/>
  <c r="EH26" i="3"/>
  <c r="EH51" i="3" s="1"/>
  <c r="EG26" i="3"/>
  <c r="EG51" i="3" s="1"/>
  <c r="EE26" i="3"/>
  <c r="ED26" i="3"/>
  <c r="ED51" i="3" s="1"/>
  <c r="EB26" i="3"/>
  <c r="EB51" i="3" s="1"/>
  <c r="DZ26" i="3"/>
  <c r="DZ51" i="3" s="1"/>
  <c r="DY26" i="3"/>
  <c r="DY51" i="3" s="1"/>
  <c r="DX26" i="3"/>
  <c r="DX51" i="3" s="1"/>
  <c r="DW26" i="3"/>
  <c r="DU26" i="3"/>
  <c r="DU51" i="3" s="1"/>
  <c r="DT26" i="3"/>
  <c r="DT51" i="3" s="1"/>
  <c r="DR26" i="3"/>
  <c r="DR51" i="3" s="1"/>
  <c r="DP26" i="3"/>
  <c r="DO26" i="3"/>
  <c r="DO51" i="3" s="1"/>
  <c r="DN26" i="3"/>
  <c r="DN51" i="3" s="1"/>
  <c r="DM26" i="3"/>
  <c r="DM51" i="3" s="1"/>
  <c r="DK26" i="3"/>
  <c r="DK51" i="3" s="1"/>
  <c r="DJ26" i="3"/>
  <c r="DJ51" i="3" s="1"/>
  <c r="DI26" i="3"/>
  <c r="DI51" i="3" s="1"/>
  <c r="DH26" i="3"/>
  <c r="DH51" i="3" s="1"/>
  <c r="DF26" i="3"/>
  <c r="DF51" i="3" s="1"/>
  <c r="DE26" i="3"/>
  <c r="DD26" i="3"/>
  <c r="DD51" i="3" s="1"/>
  <c r="DC26" i="3"/>
  <c r="DC51" i="3" s="1"/>
  <c r="DA26" i="3"/>
  <c r="DA51" i="3" s="1"/>
  <c r="CZ26" i="3"/>
  <c r="CZ51" i="3" s="1"/>
  <c r="CY26" i="3"/>
  <c r="CY51" i="3" s="1"/>
  <c r="CX26" i="3"/>
  <c r="CV26" i="3"/>
  <c r="CV51" i="3" s="1"/>
  <c r="CR26" i="3"/>
  <c r="CQ26" i="3"/>
  <c r="CQ51" i="3" s="1"/>
  <c r="CL26" i="3"/>
  <c r="CH26" i="3"/>
  <c r="CC26" i="3"/>
  <c r="CC51" i="3" s="1"/>
  <c r="CB26" i="3"/>
  <c r="CB51" i="3" s="1"/>
  <c r="BX26" i="3"/>
  <c r="BV26" i="3"/>
  <c r="BV51" i="3" s="1"/>
  <c r="BQ26" i="3"/>
  <c r="BQ51" i="3" s="1"/>
  <c r="BK26" i="3"/>
  <c r="BK51" i="3" s="1"/>
  <c r="BI26" i="3"/>
  <c r="BD26" i="3"/>
  <c r="AY26" i="3"/>
  <c r="AT26" i="3"/>
  <c r="AO26" i="3"/>
  <c r="AJ26" i="3"/>
  <c r="FQ23" i="3"/>
  <c r="FM23" i="3"/>
  <c r="FL23" i="3"/>
  <c r="FK23" i="3"/>
  <c r="FI23" i="3"/>
  <c r="FH23" i="3"/>
  <c r="FD23" i="3"/>
  <c r="FC23" i="3"/>
  <c r="FB23" i="3"/>
  <c r="FA23" i="3"/>
  <c r="EY23" i="3"/>
  <c r="EX23" i="3"/>
  <c r="EW23" i="3"/>
  <c r="EV23" i="3"/>
  <c r="ET23" i="3"/>
  <c r="ES23" i="3"/>
  <c r="ER23" i="3"/>
  <c r="EM23" i="3"/>
  <c r="EL23" i="3"/>
  <c r="EE23" i="3"/>
  <c r="EC23" i="3"/>
  <c r="EB23" i="3"/>
  <c r="DZ23" i="3"/>
  <c r="DY23" i="3"/>
  <c r="DU23" i="3"/>
  <c r="DT23" i="3"/>
  <c r="DS23" i="3"/>
  <c r="DR23" i="3"/>
  <c r="DO23" i="3"/>
  <c r="DM23" i="3"/>
  <c r="DI23" i="3"/>
  <c r="DH23" i="3"/>
  <c r="CX23" i="3"/>
  <c r="CU23" i="3"/>
  <c r="CT23" i="3"/>
  <c r="CP23" i="3"/>
  <c r="CO23" i="3"/>
  <c r="CN23" i="3"/>
  <c r="CL23" i="3"/>
  <c r="CK23" i="3"/>
  <c r="CJ23" i="3"/>
  <c r="CI23" i="3"/>
  <c r="CG23" i="3"/>
  <c r="CF23" i="3"/>
  <c r="CE23" i="3"/>
  <c r="CD23" i="3"/>
  <c r="CB23" i="3"/>
  <c r="CA23" i="3"/>
  <c r="BZ23" i="3"/>
  <c r="BY23" i="3"/>
  <c r="BW23" i="3"/>
  <c r="BV23" i="3"/>
  <c r="BU23" i="3"/>
  <c r="BT23" i="3"/>
  <c r="BR23" i="3"/>
  <c r="BQ23" i="3"/>
  <c r="BP23" i="3"/>
  <c r="BO23" i="3"/>
  <c r="BM23" i="3"/>
  <c r="BL23" i="3"/>
  <c r="BK23" i="3"/>
  <c r="BJ23" i="3"/>
  <c r="BH23" i="3"/>
  <c r="BG23" i="3"/>
  <c r="BF23" i="3"/>
  <c r="BE23" i="3"/>
  <c r="BC23" i="3"/>
  <c r="BB23" i="3"/>
  <c r="BA23" i="3"/>
  <c r="AZ23" i="3"/>
  <c r="AX23" i="3"/>
  <c r="AW23" i="3"/>
  <c r="AV23" i="3"/>
  <c r="AU23" i="3"/>
  <c r="AS23" i="3"/>
  <c r="AR23" i="3"/>
  <c r="AQ23" i="3"/>
  <c r="AP23" i="3"/>
  <c r="AN23" i="3"/>
  <c r="AM23" i="3"/>
  <c r="AL23" i="3"/>
  <c r="AK23" i="3"/>
  <c r="AI23" i="3"/>
  <c r="AH23" i="3"/>
  <c r="AG23" i="3"/>
  <c r="AF23" i="3"/>
  <c r="GO22" i="3"/>
  <c r="GO23" i="3" s="1"/>
  <c r="GM22" i="3"/>
  <c r="GM23" i="3" s="1"/>
  <c r="GL22" i="3"/>
  <c r="GL23" i="3" s="1"/>
  <c r="GK22" i="3"/>
  <c r="GK23" i="3" s="1"/>
  <c r="GJ22" i="3"/>
  <c r="GH22" i="3"/>
  <c r="GH23" i="3" s="1"/>
  <c r="GG22" i="3"/>
  <c r="GG23" i="3" s="1"/>
  <c r="GF22" i="3"/>
  <c r="GF23" i="3" s="1"/>
  <c r="GE22" i="3"/>
  <c r="GC22" i="3"/>
  <c r="GC23" i="3" s="1"/>
  <c r="GB22" i="3"/>
  <c r="GB23" i="3" s="1"/>
  <c r="GA22" i="3"/>
  <c r="GA23" i="3" s="1"/>
  <c r="FZ22" i="3"/>
  <c r="FZ23" i="3" s="1"/>
  <c r="FX22" i="3"/>
  <c r="FX23" i="3" s="1"/>
  <c r="FW22" i="3"/>
  <c r="FW23" i="3" s="1"/>
  <c r="FV22" i="3"/>
  <c r="FV23" i="3" s="1"/>
  <c r="FU22" i="3"/>
  <c r="FU23" i="3" s="1"/>
  <c r="FS22" i="3"/>
  <c r="FS23" i="3" s="1"/>
  <c r="FR22" i="3"/>
  <c r="FR23" i="3" s="1"/>
  <c r="FQ22" i="3"/>
  <c r="FP22" i="3"/>
  <c r="FP23" i="3" s="1"/>
  <c r="FN22" i="3"/>
  <c r="FO22" i="3" s="1"/>
  <c r="FG22" i="3"/>
  <c r="FG23" i="3" s="1"/>
  <c r="FF22" i="3"/>
  <c r="FF23" i="3" s="1"/>
  <c r="FE22" i="3"/>
  <c r="EZ22" i="3"/>
  <c r="EQ22" i="3"/>
  <c r="EO22" i="3"/>
  <c r="EN22" i="3"/>
  <c r="EN23" i="3" s="1"/>
  <c r="EL22" i="3"/>
  <c r="EJ22" i="3"/>
  <c r="EJ23" i="3" s="1"/>
  <c r="EI22" i="3"/>
  <c r="EI23" i="3" s="1"/>
  <c r="EH22" i="3"/>
  <c r="EH23" i="3" s="1"/>
  <c r="EG22" i="3"/>
  <c r="EG23" i="3" s="1"/>
  <c r="ED22" i="3"/>
  <c r="EF22" i="3" s="1"/>
  <c r="DX22" i="3"/>
  <c r="DW22" i="3"/>
  <c r="DW23" i="3" s="1"/>
  <c r="DV22" i="3"/>
  <c r="DP22" i="3"/>
  <c r="DP23" i="3" s="1"/>
  <c r="DN22" i="3"/>
  <c r="DK22" i="3"/>
  <c r="DK23" i="3" s="1"/>
  <c r="DJ22" i="3"/>
  <c r="DJ23" i="3" s="1"/>
  <c r="DF22" i="3"/>
  <c r="DF23" i="3" s="1"/>
  <c r="DD22" i="3"/>
  <c r="DD23" i="3" s="1"/>
  <c r="DC22" i="3"/>
  <c r="DA22" i="3"/>
  <c r="DA23" i="3" s="1"/>
  <c r="CZ22" i="3"/>
  <c r="CZ23" i="3" s="1"/>
  <c r="CY22" i="3"/>
  <c r="CV22" i="3"/>
  <c r="CV23" i="3" s="1"/>
  <c r="CS22" i="3"/>
  <c r="CS23" i="3" s="1"/>
  <c r="CQ22" i="3"/>
  <c r="CM22" i="3"/>
  <c r="CH22" i="3"/>
  <c r="CC22" i="3"/>
  <c r="BX22" i="3"/>
  <c r="BS22" i="3"/>
  <c r="BN22" i="3"/>
  <c r="BI22" i="3"/>
  <c r="BD22" i="3"/>
  <c r="AY22" i="3"/>
  <c r="AT22" i="3"/>
  <c r="AO22" i="3"/>
  <c r="AJ22" i="3"/>
  <c r="GO21" i="3"/>
  <c r="GM21" i="3"/>
  <c r="GL21" i="3"/>
  <c r="GK21" i="3"/>
  <c r="GJ21" i="3"/>
  <c r="GH21" i="3"/>
  <c r="GG21" i="3"/>
  <c r="GF21" i="3"/>
  <c r="GE21" i="3"/>
  <c r="GC21" i="3"/>
  <c r="GB21" i="3"/>
  <c r="GA21" i="3"/>
  <c r="FZ21" i="3"/>
  <c r="FX21" i="3"/>
  <c r="FV21" i="3"/>
  <c r="FU21" i="3"/>
  <c r="FS21" i="3"/>
  <c r="FR21" i="3"/>
  <c r="FQ21" i="3"/>
  <c r="FP21" i="3"/>
  <c r="FN21" i="3"/>
  <c r="FM21" i="3"/>
  <c r="FL21" i="3"/>
  <c r="FK21" i="3"/>
  <c r="FI21" i="3"/>
  <c r="FH21" i="3"/>
  <c r="FG21" i="3"/>
  <c r="FF21" i="3"/>
  <c r="FD21" i="3"/>
  <c r="FC21" i="3"/>
  <c r="FB21" i="3"/>
  <c r="FA21" i="3"/>
  <c r="EY21" i="3"/>
  <c r="EX21" i="3"/>
  <c r="EW21" i="3"/>
  <c r="EV21" i="3"/>
  <c r="ET21" i="3"/>
  <c r="ES21" i="3"/>
  <c r="ER21" i="3"/>
  <c r="EN21" i="3"/>
  <c r="EM21" i="3"/>
  <c r="EL21" i="3"/>
  <c r="EJ21" i="3"/>
  <c r="EI21" i="3"/>
  <c r="EH21" i="3"/>
  <c r="EE21" i="3"/>
  <c r="ED21" i="3"/>
  <c r="EC21" i="3"/>
  <c r="EB21" i="3"/>
  <c r="DZ21" i="3"/>
  <c r="DY21" i="3"/>
  <c r="DX21" i="3"/>
  <c r="DW21" i="3"/>
  <c r="DU21" i="3"/>
  <c r="DT21" i="3"/>
  <c r="DS21" i="3"/>
  <c r="DR21" i="3"/>
  <c r="DO21" i="3"/>
  <c r="DM21" i="3"/>
  <c r="DI21" i="3"/>
  <c r="DF21" i="3"/>
  <c r="CZ21" i="3"/>
  <c r="CX21" i="3"/>
  <c r="CU21" i="3"/>
  <c r="CT21" i="3"/>
  <c r="CP21" i="3"/>
  <c r="CO21" i="3"/>
  <c r="CN21" i="3"/>
  <c r="CL21" i="3"/>
  <c r="CK21" i="3"/>
  <c r="CJ21" i="3"/>
  <c r="CI21" i="3"/>
  <c r="CG21" i="3"/>
  <c r="CF21" i="3"/>
  <c r="CE21" i="3"/>
  <c r="CD21" i="3"/>
  <c r="CA21" i="3"/>
  <c r="BZ21" i="3"/>
  <c r="BY21" i="3"/>
  <c r="BW21" i="3"/>
  <c r="BV21" i="3"/>
  <c r="BU21" i="3"/>
  <c r="BT21" i="3"/>
  <c r="BR21" i="3"/>
  <c r="BQ21" i="3"/>
  <c r="BP21" i="3"/>
  <c r="BO21" i="3"/>
  <c r="BM21" i="3"/>
  <c r="BL21" i="3"/>
  <c r="BK21" i="3"/>
  <c r="BJ21" i="3"/>
  <c r="BH21" i="3"/>
  <c r="BG21" i="3"/>
  <c r="BF21" i="3"/>
  <c r="BE21" i="3"/>
  <c r="BC21" i="3"/>
  <c r="BB21" i="3"/>
  <c r="BA21" i="3"/>
  <c r="AZ21" i="3"/>
  <c r="AX21" i="3"/>
  <c r="AW21" i="3"/>
  <c r="AV21" i="3"/>
  <c r="AU21" i="3"/>
  <c r="AS21" i="3"/>
  <c r="AR21" i="3"/>
  <c r="AQ21" i="3"/>
  <c r="AP21" i="3"/>
  <c r="AN21" i="3"/>
  <c r="AM21" i="3"/>
  <c r="AL21" i="3"/>
  <c r="AK21" i="3"/>
  <c r="AI21" i="3"/>
  <c r="AH21" i="3"/>
  <c r="AG21" i="3"/>
  <c r="AF21" i="3"/>
  <c r="GN20" i="3"/>
  <c r="GI20" i="3"/>
  <c r="GD20" i="3"/>
  <c r="FW20" i="3"/>
  <c r="FW21" i="3" s="1"/>
  <c r="FT20" i="3"/>
  <c r="FO20" i="3"/>
  <c r="FJ20" i="3"/>
  <c r="FE20" i="3"/>
  <c r="EZ20" i="3"/>
  <c r="EQ20" i="3"/>
  <c r="EU20" i="3" s="1"/>
  <c r="EO20" i="3"/>
  <c r="EG20" i="3"/>
  <c r="EK20" i="3" s="1"/>
  <c r="EF20" i="3"/>
  <c r="EA20" i="3"/>
  <c r="DV20" i="3"/>
  <c r="DP20" i="3"/>
  <c r="DP21" i="3" s="1"/>
  <c r="DN20" i="3"/>
  <c r="DN21" i="3" s="1"/>
  <c r="DK20" i="3"/>
  <c r="DK21" i="3" s="1"/>
  <c r="DJ20" i="3"/>
  <c r="DJ21" i="3" s="1"/>
  <c r="DH20" i="3"/>
  <c r="DH21" i="3" s="1"/>
  <c r="DD20" i="3"/>
  <c r="DD21" i="3" s="1"/>
  <c r="DC20" i="3"/>
  <c r="DA20" i="3"/>
  <c r="DA21" i="3" s="1"/>
  <c r="CY20" i="3"/>
  <c r="CV20" i="3"/>
  <c r="CV21" i="3" s="1"/>
  <c r="CS20" i="3"/>
  <c r="CS21" i="3" s="1"/>
  <c r="CQ20" i="3"/>
  <c r="CR20" i="3" s="1"/>
  <c r="CM20" i="3"/>
  <c r="CH20" i="3"/>
  <c r="CB20" i="3"/>
  <c r="CB21" i="3" s="1"/>
  <c r="BX20" i="3"/>
  <c r="BS20" i="3"/>
  <c r="BN20" i="3"/>
  <c r="BI20" i="3"/>
  <c r="BD20" i="3"/>
  <c r="AY20" i="3"/>
  <c r="AT20" i="3"/>
  <c r="AO20" i="3"/>
  <c r="AJ20" i="3"/>
  <c r="CP18" i="3"/>
  <c r="CO18" i="3"/>
  <c r="AY26" i="2" s="1"/>
  <c r="CP17" i="3"/>
  <c r="CO17" i="3"/>
  <c r="CN16" i="3"/>
  <c r="CN17" i="3" s="1"/>
  <c r="GO15" i="3"/>
  <c r="GM15" i="3"/>
  <c r="GL15" i="3"/>
  <c r="GK15" i="3"/>
  <c r="GJ15" i="3"/>
  <c r="GH15" i="3"/>
  <c r="GG15" i="3"/>
  <c r="GF15" i="3"/>
  <c r="GE15" i="3"/>
  <c r="GC15" i="3"/>
  <c r="GB15" i="3"/>
  <c r="GA15" i="3"/>
  <c r="FZ15" i="3"/>
  <c r="FX15" i="3"/>
  <c r="FW15" i="3"/>
  <c r="FV15" i="3"/>
  <c r="FU15" i="3"/>
  <c r="FS15" i="3"/>
  <c r="FR15" i="3"/>
  <c r="FQ15" i="3"/>
  <c r="FP15" i="3"/>
  <c r="FN15" i="3"/>
  <c r="FM15" i="3"/>
  <c r="FL15" i="3"/>
  <c r="FK15" i="3"/>
  <c r="FI15" i="3"/>
  <c r="FH15" i="3"/>
  <c r="FG15" i="3"/>
  <c r="FF15" i="3"/>
  <c r="FD15" i="3"/>
  <c r="FC15" i="3"/>
  <c r="FB15" i="3"/>
  <c r="FA15" i="3"/>
  <c r="EY15" i="3"/>
  <c r="EX15" i="3"/>
  <c r="EW15" i="3"/>
  <c r="EV15" i="3"/>
  <c r="ET15" i="3"/>
  <c r="ES15" i="3"/>
  <c r="ER15" i="3"/>
  <c r="EN15" i="3"/>
  <c r="EM15" i="3"/>
  <c r="EL15" i="3"/>
  <c r="EJ15" i="3"/>
  <c r="EI15" i="3"/>
  <c r="EH15" i="3"/>
  <c r="EG15" i="3"/>
  <c r="EE15" i="3"/>
  <c r="ED15" i="3"/>
  <c r="EC15" i="3"/>
  <c r="EB15" i="3"/>
  <c r="DZ15" i="3"/>
  <c r="DY15" i="3"/>
  <c r="DX15" i="3"/>
  <c r="DW15" i="3"/>
  <c r="DU15" i="3"/>
  <c r="DT15" i="3"/>
  <c r="DS15" i="3"/>
  <c r="DP15" i="3"/>
  <c r="DO15" i="3"/>
  <c r="DN15" i="3"/>
  <c r="DM15" i="3"/>
  <c r="DK15" i="3"/>
  <c r="DJ15" i="3"/>
  <c r="DH15" i="3"/>
  <c r="DF15" i="3"/>
  <c r="DD15" i="3"/>
  <c r="DC15" i="3"/>
  <c r="DA15" i="3"/>
  <c r="CZ15" i="3"/>
  <c r="CY15" i="3"/>
  <c r="CX15" i="3"/>
  <c r="CV15" i="3"/>
  <c r="CU15" i="3"/>
  <c r="CT15" i="3"/>
  <c r="CS15" i="3"/>
  <c r="CP15" i="3"/>
  <c r="CO15" i="3"/>
  <c r="CN15" i="3"/>
  <c r="GN14" i="3"/>
  <c r="GI14" i="3"/>
  <c r="GD14" i="3"/>
  <c r="FY14" i="3"/>
  <c r="FT14" i="3"/>
  <c r="FO14" i="3"/>
  <c r="FJ14" i="3"/>
  <c r="FE14" i="3"/>
  <c r="EZ14" i="3"/>
  <c r="EU14" i="3"/>
  <c r="EP14" i="3"/>
  <c r="EK14" i="3"/>
  <c r="EF14" i="3"/>
  <c r="EA14" i="3"/>
  <c r="DR14" i="3"/>
  <c r="DR12" i="3" s="1"/>
  <c r="BV18" i="2" s="1"/>
  <c r="DQ14" i="3"/>
  <c r="DI14" i="3"/>
  <c r="DL14" i="3" s="1"/>
  <c r="DG14" i="3"/>
  <c r="DB14" i="3"/>
  <c r="CW14" i="3"/>
  <c r="CQ14" i="3"/>
  <c r="CQ15" i="3" s="1"/>
  <c r="CJ14" i="3"/>
  <c r="CJ15" i="3" s="1"/>
  <c r="CI14" i="3"/>
  <c r="CI15" i="3" s="1"/>
  <c r="CD14" i="3"/>
  <c r="CD16" i="3" s="1"/>
  <c r="BY14" i="3"/>
  <c r="BY16" i="3" s="1"/>
  <c r="BY18" i="3" s="1"/>
  <c r="AL26" i="2" s="1"/>
  <c r="BT14" i="3"/>
  <c r="BT15" i="3" s="1"/>
  <c r="BP14" i="3"/>
  <c r="BO14" i="3"/>
  <c r="BO15" i="3" s="1"/>
  <c r="BL14" i="3"/>
  <c r="BL15" i="3" s="1"/>
  <c r="BK14" i="3"/>
  <c r="BK16" i="3" s="1"/>
  <c r="AA10" i="2" s="1"/>
  <c r="BJ14" i="3"/>
  <c r="BE14" i="3"/>
  <c r="BE15" i="3" s="1"/>
  <c r="BB14" i="3"/>
  <c r="BB15" i="3" s="1"/>
  <c r="BA14" i="3"/>
  <c r="BA16" i="3" s="1"/>
  <c r="AZ14" i="3"/>
  <c r="AZ15" i="3" s="1"/>
  <c r="AU14" i="3"/>
  <c r="AU16" i="3" s="1"/>
  <c r="AU18" i="3" s="1"/>
  <c r="AU24" i="3" s="1"/>
  <c r="AR14" i="3"/>
  <c r="AQ14" i="3"/>
  <c r="AQ16" i="3" s="1"/>
  <c r="AP14" i="3"/>
  <c r="AP16" i="3" s="1"/>
  <c r="AL14" i="3"/>
  <c r="AK14" i="3"/>
  <c r="AK15" i="3" s="1"/>
  <c r="AG14" i="3"/>
  <c r="AG16" i="3" s="1"/>
  <c r="AF14" i="3"/>
  <c r="CN13" i="3"/>
  <c r="CL13" i="3"/>
  <c r="CK13" i="3"/>
  <c r="CJ13" i="3"/>
  <c r="CI13" i="3"/>
  <c r="CG13" i="3"/>
  <c r="CF13" i="3"/>
  <c r="CE13" i="3"/>
  <c r="CD13" i="3"/>
  <c r="CB13" i="3"/>
  <c r="CA13" i="3"/>
  <c r="BZ13" i="3"/>
  <c r="BY13" i="3"/>
  <c r="BW13" i="3"/>
  <c r="BU13" i="3"/>
  <c r="BT13" i="3"/>
  <c r="BR13" i="3"/>
  <c r="BQ13" i="3"/>
  <c r="BP13" i="3"/>
  <c r="BO13" i="3"/>
  <c r="BM13" i="3"/>
  <c r="BL13" i="3"/>
  <c r="BK13" i="3"/>
  <c r="BJ13" i="3"/>
  <c r="BH13" i="3"/>
  <c r="BG13" i="3"/>
  <c r="BF13" i="3"/>
  <c r="BE13" i="3"/>
  <c r="BC13" i="3"/>
  <c r="BB13" i="3"/>
  <c r="BA13" i="3"/>
  <c r="AZ13" i="3"/>
  <c r="AX13" i="3"/>
  <c r="AW13" i="3"/>
  <c r="AV13" i="3"/>
  <c r="AU13" i="3"/>
  <c r="AS13" i="3"/>
  <c r="AR13" i="3"/>
  <c r="AQ13" i="3"/>
  <c r="AP13" i="3"/>
  <c r="AN13" i="3"/>
  <c r="AM13" i="3"/>
  <c r="AL13" i="3"/>
  <c r="AK13" i="3"/>
  <c r="AI13" i="3"/>
  <c r="AH13" i="3"/>
  <c r="AG13" i="3"/>
  <c r="AF13" i="3"/>
  <c r="GO12" i="3"/>
  <c r="GO16" i="3" s="1"/>
  <c r="ED10" i="2" s="1"/>
  <c r="GM12" i="3"/>
  <c r="GM13" i="3" s="1"/>
  <c r="GL12" i="3"/>
  <c r="GL16" i="3" s="1"/>
  <c r="EB10" i="2" s="1"/>
  <c r="GK12" i="3"/>
  <c r="GK16" i="3" s="1"/>
  <c r="GJ12" i="3"/>
  <c r="GJ16" i="3" s="1"/>
  <c r="GH12" i="3"/>
  <c r="GH16" i="3" s="1"/>
  <c r="GG12" i="3"/>
  <c r="GG16" i="3" s="1"/>
  <c r="DX10" i="2" s="1"/>
  <c r="GF12" i="3"/>
  <c r="GF16" i="3" s="1"/>
  <c r="GF18" i="3" s="1"/>
  <c r="DW26" i="2" s="1"/>
  <c r="GE12" i="3"/>
  <c r="GE16" i="3" s="1"/>
  <c r="GE85" i="3" s="1"/>
  <c r="GC12" i="3"/>
  <c r="GC16" i="3" s="1"/>
  <c r="DU10" i="2" s="1"/>
  <c r="GB12" i="3"/>
  <c r="GB13" i="3" s="1"/>
  <c r="GA12" i="3"/>
  <c r="GA16" i="3" s="1"/>
  <c r="FZ12" i="3"/>
  <c r="FZ16" i="3" s="1"/>
  <c r="FZ85" i="3" s="1"/>
  <c r="FX12" i="3"/>
  <c r="FX16" i="3" s="1"/>
  <c r="DQ10" i="2" s="1"/>
  <c r="FW12" i="3"/>
  <c r="FW16" i="3" s="1"/>
  <c r="FV12" i="3"/>
  <c r="FV13" i="3" s="1"/>
  <c r="FU12" i="3"/>
  <c r="FU16" i="3" s="1"/>
  <c r="FS12" i="3"/>
  <c r="FS16" i="3" s="1"/>
  <c r="FR12" i="3"/>
  <c r="FR13" i="3" s="1"/>
  <c r="FQ12" i="3"/>
  <c r="FQ16" i="3" s="1"/>
  <c r="DK10" i="2" s="1"/>
  <c r="FP12" i="3"/>
  <c r="FP13" i="3" s="1"/>
  <c r="FN12" i="3"/>
  <c r="FN13" i="3" s="1"/>
  <c r="FM12" i="3"/>
  <c r="FM16" i="3" s="1"/>
  <c r="FM18" i="3" s="1"/>
  <c r="FL12" i="3"/>
  <c r="FL16" i="3" s="1"/>
  <c r="FK12" i="3"/>
  <c r="FK16" i="3" s="1"/>
  <c r="DF10" i="2" s="1"/>
  <c r="FI12" i="3"/>
  <c r="FI16" i="3" s="1"/>
  <c r="FH12" i="3"/>
  <c r="FH16" i="3" s="1"/>
  <c r="DD10" i="2" s="1"/>
  <c r="FG12" i="3"/>
  <c r="FG16" i="3" s="1"/>
  <c r="FG18" i="3" s="1"/>
  <c r="FF12" i="3"/>
  <c r="FF16" i="3" s="1"/>
  <c r="FD12" i="3"/>
  <c r="FD13" i="3" s="1"/>
  <c r="FC12" i="3"/>
  <c r="FC16" i="3" s="1"/>
  <c r="CZ10" i="2" s="1"/>
  <c r="FB12" i="3"/>
  <c r="FB16" i="3" s="1"/>
  <c r="CY10" i="2" s="1"/>
  <c r="FA12" i="3"/>
  <c r="FA16" i="3" s="1"/>
  <c r="FA85" i="3" s="1"/>
  <c r="EY12" i="3"/>
  <c r="EY16" i="3" s="1"/>
  <c r="EX12" i="3"/>
  <c r="EX13" i="3" s="1"/>
  <c r="EW12" i="3"/>
  <c r="EV12" i="3"/>
  <c r="EV16" i="3" s="1"/>
  <c r="CT10" i="2" s="1"/>
  <c r="ET12" i="3"/>
  <c r="ET16" i="3" s="1"/>
  <c r="CS10" i="2" s="1"/>
  <c r="ES12" i="3"/>
  <c r="ES16" i="3" s="1"/>
  <c r="CR10" i="2" s="1"/>
  <c r="ER12" i="3"/>
  <c r="ER13" i="3" s="1"/>
  <c r="EQ12" i="3"/>
  <c r="EQ16" i="3" s="1"/>
  <c r="CP10" i="2" s="1"/>
  <c r="EO12" i="3"/>
  <c r="EO16" i="3" s="1"/>
  <c r="EN12" i="3"/>
  <c r="EN16" i="3" s="1"/>
  <c r="EM12" i="3"/>
  <c r="EM16" i="3" s="1"/>
  <c r="CM10" i="2" s="1"/>
  <c r="EL12" i="3"/>
  <c r="EL13" i="3" s="1"/>
  <c r="EJ12" i="3"/>
  <c r="EJ13" i="3" s="1"/>
  <c r="EI12" i="3"/>
  <c r="EI16" i="3" s="1"/>
  <c r="EH12" i="3"/>
  <c r="EH13" i="3" s="1"/>
  <c r="EG12" i="3"/>
  <c r="EG16" i="3" s="1"/>
  <c r="CH10" i="2" s="1"/>
  <c r="EE12" i="3"/>
  <c r="EE13" i="3" s="1"/>
  <c r="ED12" i="3"/>
  <c r="ED16" i="3" s="1"/>
  <c r="ED18" i="3" s="1"/>
  <c r="EC12" i="3"/>
  <c r="EC16" i="3" s="1"/>
  <c r="EC18" i="3" s="1"/>
  <c r="EB12" i="3"/>
  <c r="EB16" i="3" s="1"/>
  <c r="DZ12" i="3"/>
  <c r="DZ16" i="3" s="1"/>
  <c r="DY12" i="3"/>
  <c r="DY16" i="3" s="1"/>
  <c r="DX12" i="3"/>
  <c r="DX16" i="3" s="1"/>
  <c r="CA10" i="2" s="1"/>
  <c r="DW12" i="3"/>
  <c r="DW16" i="3" s="1"/>
  <c r="DW85" i="3" s="1"/>
  <c r="DU12" i="3"/>
  <c r="DU16" i="3" s="1"/>
  <c r="BY10" i="2" s="1"/>
  <c r="DT12" i="3"/>
  <c r="DT13" i="3" s="1"/>
  <c r="DS12" i="3"/>
  <c r="DS16" i="3" s="1"/>
  <c r="DP12" i="3"/>
  <c r="DP356" i="3" s="1"/>
  <c r="DP358" i="3" s="1"/>
  <c r="DP362" i="3" s="1"/>
  <c r="DP365" i="3" s="1"/>
  <c r="DO12" i="3"/>
  <c r="DO356" i="3" s="1"/>
  <c r="DO358" i="3" s="1"/>
  <c r="DO362" i="3" s="1"/>
  <c r="DO365" i="3" s="1"/>
  <c r="DN12" i="3"/>
  <c r="DN356" i="3" s="1"/>
  <c r="DN358" i="3" s="1"/>
  <c r="DN362" i="3" s="1"/>
  <c r="DN365" i="3" s="1"/>
  <c r="DM12" i="3"/>
  <c r="DM356" i="3" s="1"/>
  <c r="DM358" i="3" s="1"/>
  <c r="DM362" i="3" s="1"/>
  <c r="DM365" i="3" s="1"/>
  <c r="DK12" i="3"/>
  <c r="DK13" i="3" s="1"/>
  <c r="DJ12" i="3"/>
  <c r="DJ357" i="3" s="1"/>
  <c r="DI12" i="3"/>
  <c r="DI357" i="3" s="1"/>
  <c r="DH12" i="3"/>
  <c r="DH357" i="3" s="1"/>
  <c r="DF12" i="3"/>
  <c r="DF16" i="3" s="1"/>
  <c r="DE12" i="3"/>
  <c r="DE16" i="3" s="1"/>
  <c r="DD12" i="3"/>
  <c r="DD16" i="3" s="1"/>
  <c r="DC12" i="3"/>
  <c r="DC16" i="3" s="1"/>
  <c r="DA12" i="3"/>
  <c r="DA13" i="3" s="1"/>
  <c r="CZ12" i="3"/>
  <c r="CZ16" i="3" s="1"/>
  <c r="BH10" i="2" s="1"/>
  <c r="CY12" i="3"/>
  <c r="CY16" i="3" s="1"/>
  <c r="BG10" i="2" s="1"/>
  <c r="CX12" i="3"/>
  <c r="CX13" i="3" s="1"/>
  <c r="CV12" i="3"/>
  <c r="CV13" i="3" s="1"/>
  <c r="CU12" i="3"/>
  <c r="CU16" i="3" s="1"/>
  <c r="CT12" i="3"/>
  <c r="CT13" i="3" s="1"/>
  <c r="CS12" i="3"/>
  <c r="CS16" i="3" s="1"/>
  <c r="CS85" i="3" s="1"/>
  <c r="CP12" i="3"/>
  <c r="CP13" i="3" s="1"/>
  <c r="CO12" i="3"/>
  <c r="CO13" i="3" s="1"/>
  <c r="CM12" i="3"/>
  <c r="CH12" i="3"/>
  <c r="CC12" i="3"/>
  <c r="BV12" i="3"/>
  <c r="BV13" i="3" s="1"/>
  <c r="BS12" i="3"/>
  <c r="BN12" i="3"/>
  <c r="BI12" i="3"/>
  <c r="BD12" i="3"/>
  <c r="AY12" i="3"/>
  <c r="AT12" i="3"/>
  <c r="AO12" i="3"/>
  <c r="AJ12" i="3"/>
  <c r="GO11" i="3"/>
  <c r="GM11" i="3"/>
  <c r="GL11" i="3"/>
  <c r="GK11" i="3"/>
  <c r="GJ11" i="3"/>
  <c r="GH11" i="3"/>
  <c r="GG11" i="3"/>
  <c r="GF11" i="3"/>
  <c r="GE11" i="3"/>
  <c r="GC11" i="3"/>
  <c r="GB11" i="3"/>
  <c r="GA11" i="3"/>
  <c r="FZ11" i="3"/>
  <c r="FX11" i="3"/>
  <c r="FW11" i="3"/>
  <c r="FV11" i="3"/>
  <c r="FU11" i="3"/>
  <c r="FS11" i="3"/>
  <c r="FR11" i="3"/>
  <c r="FQ11" i="3"/>
  <c r="FP11" i="3"/>
  <c r="FN11" i="3"/>
  <c r="FM11" i="3"/>
  <c r="FL11" i="3"/>
  <c r="FK11" i="3"/>
  <c r="FI11" i="3"/>
  <c r="FH11" i="3"/>
  <c r="FG11" i="3"/>
  <c r="FF11" i="3"/>
  <c r="FD11" i="3"/>
  <c r="FC11" i="3"/>
  <c r="FB11" i="3"/>
  <c r="FA11" i="3"/>
  <c r="EY11" i="3"/>
  <c r="EX11" i="3"/>
  <c r="EW11" i="3"/>
  <c r="ES11" i="3"/>
  <c r="ER11" i="3"/>
  <c r="EN11" i="3"/>
  <c r="EM11" i="3"/>
  <c r="EL11" i="3"/>
  <c r="EJ11" i="3"/>
  <c r="EI11" i="3"/>
  <c r="EH11" i="3"/>
  <c r="EG11" i="3"/>
  <c r="EE11" i="3"/>
  <c r="ED11" i="3"/>
  <c r="EC11" i="3"/>
  <c r="EB11" i="3"/>
  <c r="DZ11" i="3"/>
  <c r="DY11" i="3"/>
  <c r="DX11" i="3"/>
  <c r="DW11" i="3"/>
  <c r="DU11" i="3"/>
  <c r="DT11" i="3"/>
  <c r="DS11" i="3"/>
  <c r="DR11" i="3"/>
  <c r="DP11" i="3"/>
  <c r="DO11" i="3"/>
  <c r="DN11" i="3"/>
  <c r="DM11" i="3"/>
  <c r="DK11" i="3"/>
  <c r="DI11" i="3"/>
  <c r="DH11" i="3"/>
  <c r="DF11" i="3"/>
  <c r="DD11" i="3"/>
  <c r="DC11" i="3"/>
  <c r="DA11" i="3"/>
  <c r="CZ11" i="3"/>
  <c r="CY11" i="3"/>
  <c r="CX11" i="3"/>
  <c r="CV11" i="3"/>
  <c r="CU11" i="3"/>
  <c r="CT11" i="3"/>
  <c r="CS11" i="3"/>
  <c r="CQ11" i="3"/>
  <c r="CP11" i="3"/>
  <c r="CO11" i="3"/>
  <c r="CN11" i="3"/>
  <c r="CL11" i="3"/>
  <c r="CK11" i="3"/>
  <c r="CJ11" i="3"/>
  <c r="CI11" i="3"/>
  <c r="CG11" i="3"/>
  <c r="CF11" i="3"/>
  <c r="CE11" i="3"/>
  <c r="CD11" i="3"/>
  <c r="CB11" i="3"/>
  <c r="CA11" i="3"/>
  <c r="BZ11" i="3"/>
  <c r="BY11" i="3"/>
  <c r="BW11" i="3"/>
  <c r="BV11" i="3"/>
  <c r="BU11" i="3"/>
  <c r="BT11" i="3"/>
  <c r="BR11" i="3"/>
  <c r="BQ11" i="3"/>
  <c r="BP11" i="3"/>
  <c r="BO11" i="3"/>
  <c r="BM11" i="3"/>
  <c r="BL11" i="3"/>
  <c r="BK11" i="3"/>
  <c r="BJ11" i="3"/>
  <c r="BH11" i="3"/>
  <c r="BG11" i="3"/>
  <c r="BF11" i="3"/>
  <c r="BE11" i="3"/>
  <c r="BC11" i="3"/>
  <c r="BB11" i="3"/>
  <c r="BA11" i="3"/>
  <c r="AZ11" i="3"/>
  <c r="AX11" i="3"/>
  <c r="AW11" i="3"/>
  <c r="AV11" i="3"/>
  <c r="AU11" i="3"/>
  <c r="AS11" i="3"/>
  <c r="AR11" i="3"/>
  <c r="AQ11" i="3"/>
  <c r="AP11" i="3"/>
  <c r="AN11" i="3"/>
  <c r="AM11" i="3"/>
  <c r="AL11" i="3"/>
  <c r="AK11" i="3"/>
  <c r="GO10" i="3"/>
  <c r="GM10" i="3"/>
  <c r="GL10" i="3"/>
  <c r="GK10" i="3"/>
  <c r="GJ10" i="3"/>
  <c r="GH10" i="3"/>
  <c r="GG10" i="3"/>
  <c r="GF10" i="3"/>
  <c r="GE10" i="3"/>
  <c r="GC10" i="3"/>
  <c r="GB10" i="3"/>
  <c r="GA10" i="3"/>
  <c r="FZ10" i="3"/>
  <c r="FX10" i="3"/>
  <c r="FW10" i="3"/>
  <c r="FV10" i="3"/>
  <c r="FU10" i="3"/>
  <c r="FS10" i="3"/>
  <c r="FR10" i="3"/>
  <c r="FQ10" i="3"/>
  <c r="FP10" i="3"/>
  <c r="FN10" i="3"/>
  <c r="FM10" i="3"/>
  <c r="FL10" i="3"/>
  <c r="FK10" i="3"/>
  <c r="FI10" i="3"/>
  <c r="FH10" i="3"/>
  <c r="FG10" i="3"/>
  <c r="FF10" i="3"/>
  <c r="FD10" i="3"/>
  <c r="FC10" i="3"/>
  <c r="FB10" i="3"/>
  <c r="FA10" i="3"/>
  <c r="EY10" i="3"/>
  <c r="EX10" i="3"/>
  <c r="EW10" i="3"/>
  <c r="EV10" i="3"/>
  <c r="ET10" i="3"/>
  <c r="ES10" i="3"/>
  <c r="EN10" i="3"/>
  <c r="EM10" i="3"/>
  <c r="EL10" i="3"/>
  <c r="EJ10" i="3"/>
  <c r="EI10" i="3"/>
  <c r="EH10" i="3"/>
  <c r="EG10" i="3"/>
  <c r="EE10" i="3"/>
  <c r="ED10" i="3"/>
  <c r="EC10" i="3"/>
  <c r="EB10" i="3"/>
  <c r="DZ10" i="3"/>
  <c r="DY10" i="3"/>
  <c r="DX10" i="3"/>
  <c r="DW10" i="3"/>
  <c r="DU10" i="3"/>
  <c r="DT10" i="3"/>
  <c r="DS10" i="3"/>
  <c r="DR10" i="3"/>
  <c r="DP10" i="3"/>
  <c r="DO10" i="3"/>
  <c r="DN10" i="3"/>
  <c r="DM10" i="3"/>
  <c r="DK10" i="3"/>
  <c r="DJ10" i="3"/>
  <c r="DI10" i="3"/>
  <c r="DH10" i="3"/>
  <c r="DD10" i="3"/>
  <c r="DC10" i="3"/>
  <c r="DA10" i="3"/>
  <c r="CZ10" i="3"/>
  <c r="CY10" i="3"/>
  <c r="CX10" i="3"/>
  <c r="CV10" i="3"/>
  <c r="CU10" i="3"/>
  <c r="CT10" i="3"/>
  <c r="CS10" i="3"/>
  <c r="CQ10" i="3"/>
  <c r="CP10" i="3"/>
  <c r="CO10" i="3"/>
  <c r="CN10" i="3"/>
  <c r="CL10" i="3"/>
  <c r="CK10" i="3"/>
  <c r="CJ10" i="3"/>
  <c r="CI10" i="3"/>
  <c r="CG10" i="3"/>
  <c r="CF10" i="3"/>
  <c r="CE10" i="3"/>
  <c r="CD10" i="3"/>
  <c r="CB10" i="3"/>
  <c r="CA10" i="3"/>
  <c r="BZ10" i="3"/>
  <c r="BY10" i="3"/>
  <c r="BW10" i="3"/>
  <c r="BV10" i="3"/>
  <c r="BU10" i="3"/>
  <c r="BT10" i="3"/>
  <c r="BR10" i="3"/>
  <c r="BQ10" i="3"/>
  <c r="BP10" i="3"/>
  <c r="BO10" i="3"/>
  <c r="BM10" i="3"/>
  <c r="BL10" i="3"/>
  <c r="BK10" i="3"/>
  <c r="BJ10" i="3"/>
  <c r="BH10" i="3"/>
  <c r="BG10" i="3"/>
  <c r="BF10" i="3"/>
  <c r="BE10" i="3"/>
  <c r="BC10" i="3"/>
  <c r="BB10" i="3"/>
  <c r="BA10" i="3"/>
  <c r="AZ10" i="3"/>
  <c r="AX10" i="3"/>
  <c r="AW10" i="3"/>
  <c r="AV10" i="3"/>
  <c r="AU10" i="3"/>
  <c r="AS10" i="3"/>
  <c r="AR10" i="3"/>
  <c r="AQ10" i="3"/>
  <c r="AP10" i="3"/>
  <c r="AN10" i="3"/>
  <c r="AM10" i="3"/>
  <c r="AL10" i="3"/>
  <c r="AK10" i="3"/>
  <c r="AI10" i="3"/>
  <c r="AH10" i="3"/>
  <c r="AG10" i="3"/>
  <c r="GN9" i="3"/>
  <c r="GI9" i="3"/>
  <c r="GD9" i="3"/>
  <c r="FY9" i="3"/>
  <c r="FT9" i="3"/>
  <c r="FO9" i="3"/>
  <c r="FJ9" i="3"/>
  <c r="FE9" i="3"/>
  <c r="EZ9" i="3"/>
  <c r="EQ9" i="3"/>
  <c r="EU9" i="3" s="1"/>
  <c r="EO9" i="3"/>
  <c r="EK9" i="3"/>
  <c r="EF9" i="3"/>
  <c r="EA9" i="3"/>
  <c r="DV9" i="3"/>
  <c r="DQ9" i="3"/>
  <c r="DL9" i="3"/>
  <c r="DE9" i="3"/>
  <c r="DF10" i="3" s="1"/>
  <c r="DB9" i="3"/>
  <c r="CW9" i="3"/>
  <c r="CR9" i="3"/>
  <c r="CM9" i="3"/>
  <c r="CH9" i="3"/>
  <c r="CC9" i="3"/>
  <c r="BX9" i="3"/>
  <c r="BS9" i="3"/>
  <c r="BN9" i="3"/>
  <c r="BI9" i="3"/>
  <c r="BD9" i="3"/>
  <c r="AY9" i="3"/>
  <c r="AT9" i="3"/>
  <c r="AO9" i="3"/>
  <c r="AJ9" i="3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CI538" i="2"/>
  <c r="CH538" i="2"/>
  <c r="CG538" i="2"/>
  <c r="CF538" i="2"/>
  <c r="CE538" i="2"/>
  <c r="CD538" i="2"/>
  <c r="CC538" i="2"/>
  <c r="CB538" i="2"/>
  <c r="CA538" i="2"/>
  <c r="BZ538" i="2"/>
  <c r="BY538" i="2"/>
  <c r="BX538" i="2"/>
  <c r="BW538" i="2"/>
  <c r="BV538" i="2"/>
  <c r="CI537" i="2"/>
  <c r="CH537" i="2"/>
  <c r="CG537" i="2"/>
  <c r="CF537" i="2"/>
  <c r="CE537" i="2"/>
  <c r="CD537" i="2"/>
  <c r="CC537" i="2"/>
  <c r="CB537" i="2"/>
  <c r="CA537" i="2"/>
  <c r="BZ537" i="2"/>
  <c r="BY537" i="2"/>
  <c r="BX537" i="2"/>
  <c r="BW537" i="2"/>
  <c r="BV537" i="2"/>
  <c r="BU537" i="2"/>
  <c r="BT537" i="2"/>
  <c r="BS537" i="2"/>
  <c r="FT536" i="2"/>
  <c r="FS536" i="2"/>
  <c r="FR536" i="2"/>
  <c r="FQ536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CI534" i="2"/>
  <c r="CH534" i="2"/>
  <c r="CG534" i="2"/>
  <c r="CF534" i="2"/>
  <c r="CE534" i="2"/>
  <c r="CD534" i="2"/>
  <c r="CC534" i="2"/>
  <c r="CB534" i="2"/>
  <c r="CA534" i="2"/>
  <c r="BZ534" i="2"/>
  <c r="BY534" i="2"/>
  <c r="BX534" i="2"/>
  <c r="BW534" i="2"/>
  <c r="BV534" i="2"/>
  <c r="BU534" i="2"/>
  <c r="BT534" i="2"/>
  <c r="BS534" i="2"/>
  <c r="FT533" i="2"/>
  <c r="FS533" i="2"/>
  <c r="FR533" i="2"/>
  <c r="FQ533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BU531" i="2"/>
  <c r="BT531" i="2"/>
  <c r="BS531" i="2"/>
  <c r="BR531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FT528" i="2"/>
  <c r="FS528" i="2"/>
  <c r="FR528" i="2"/>
  <c r="FQ528" i="2"/>
  <c r="CI527" i="2"/>
  <c r="CH527" i="2"/>
  <c r="CG527" i="2"/>
  <c r="CF527" i="2"/>
  <c r="CE527" i="2"/>
  <c r="CD527" i="2"/>
  <c r="CC527" i="2"/>
  <c r="CB527" i="2"/>
  <c r="CA527" i="2"/>
  <c r="BZ527" i="2"/>
  <c r="BY527" i="2"/>
  <c r="BX527" i="2"/>
  <c r="BW527" i="2"/>
  <c r="BV527" i="2"/>
  <c r="CI526" i="2"/>
  <c r="CH526" i="2"/>
  <c r="CG526" i="2"/>
  <c r="CF526" i="2"/>
  <c r="CE526" i="2"/>
  <c r="CD526" i="2"/>
  <c r="CC526" i="2"/>
  <c r="CB526" i="2"/>
  <c r="CA526" i="2"/>
  <c r="BZ526" i="2"/>
  <c r="BY526" i="2"/>
  <c r="BX526" i="2"/>
  <c r="BW526" i="2"/>
  <c r="BV526" i="2"/>
  <c r="BU526" i="2"/>
  <c r="BT526" i="2"/>
  <c r="BS526" i="2"/>
  <c r="FT525" i="2"/>
  <c r="FS525" i="2"/>
  <c r="FR525" i="2"/>
  <c r="FQ525" i="2"/>
  <c r="CI523" i="2"/>
  <c r="CH523" i="2"/>
  <c r="CG523" i="2"/>
  <c r="CF523" i="2"/>
  <c r="CE523" i="2"/>
  <c r="CD523" i="2"/>
  <c r="CC523" i="2"/>
  <c r="CB523" i="2"/>
  <c r="CA523" i="2"/>
  <c r="BZ523" i="2"/>
  <c r="BY523" i="2"/>
  <c r="BX523" i="2"/>
  <c r="BW523" i="2"/>
  <c r="BV523" i="2"/>
  <c r="BU523" i="2"/>
  <c r="BT523" i="2"/>
  <c r="BS523" i="2"/>
  <c r="BR523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CI521" i="2"/>
  <c r="CH521" i="2"/>
  <c r="CG521" i="2"/>
  <c r="CF521" i="2"/>
  <c r="CE521" i="2"/>
  <c r="CD521" i="2"/>
  <c r="CC521" i="2"/>
  <c r="CB521" i="2"/>
  <c r="CA521" i="2"/>
  <c r="BZ521" i="2"/>
  <c r="BY521" i="2"/>
  <c r="BX521" i="2"/>
  <c r="BW521" i="2"/>
  <c r="BV521" i="2"/>
  <c r="BU521" i="2"/>
  <c r="BT521" i="2"/>
  <c r="BS521" i="2"/>
  <c r="FT520" i="2"/>
  <c r="FS520" i="2"/>
  <c r="FR520" i="2"/>
  <c r="FQ520" i="2"/>
  <c r="CI519" i="2"/>
  <c r="CH519" i="2"/>
  <c r="CG519" i="2"/>
  <c r="CF519" i="2"/>
  <c r="CE519" i="2"/>
  <c r="CD519" i="2"/>
  <c r="CC519" i="2"/>
  <c r="CB519" i="2"/>
  <c r="CA519" i="2"/>
  <c r="BZ519" i="2"/>
  <c r="BY519" i="2"/>
  <c r="BX519" i="2"/>
  <c r="BW519" i="2"/>
  <c r="BV519" i="2"/>
  <c r="CI518" i="2"/>
  <c r="CH518" i="2"/>
  <c r="CG518" i="2"/>
  <c r="CF518" i="2"/>
  <c r="CE518" i="2"/>
  <c r="CD518" i="2"/>
  <c r="CC518" i="2"/>
  <c r="CB518" i="2"/>
  <c r="CA518" i="2"/>
  <c r="BZ518" i="2"/>
  <c r="BY518" i="2"/>
  <c r="BX518" i="2"/>
  <c r="BW518" i="2"/>
  <c r="BV518" i="2"/>
  <c r="BU518" i="2"/>
  <c r="BT518" i="2"/>
  <c r="BS518" i="2"/>
  <c r="FT517" i="2"/>
  <c r="FS517" i="2"/>
  <c r="FR517" i="2"/>
  <c r="FQ517" i="2"/>
  <c r="GE499" i="2"/>
  <c r="GD499" i="2"/>
  <c r="GD506" i="2" s="1"/>
  <c r="GC499" i="2"/>
  <c r="GC508" i="2" s="1"/>
  <c r="GB499" i="2"/>
  <c r="GB507" i="2" s="1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Z485" i="2"/>
  <c r="DZ486" i="2" s="1"/>
  <c r="DY485" i="2"/>
  <c r="DY486" i="2" s="1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FZ471" i="2"/>
  <c r="FY471" i="2"/>
  <c r="FX471" i="2"/>
  <c r="FW471" i="2"/>
  <c r="FV471" i="2"/>
  <c r="FU471" i="2"/>
  <c r="FT471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DL468" i="2"/>
  <c r="DK468" i="2"/>
  <c r="DJ468" i="2"/>
  <c r="DI468" i="2"/>
  <c r="DH468" i="2"/>
  <c r="DG468" i="2"/>
  <c r="DF468" i="2"/>
  <c r="DE468" i="2"/>
  <c r="DD468" i="2"/>
  <c r="DC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FZ467" i="2"/>
  <c r="FY467" i="2"/>
  <c r="FX467" i="2"/>
  <c r="FW467" i="2"/>
  <c r="FV467" i="2"/>
  <c r="FU467" i="2"/>
  <c r="FT467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FZ463" i="2"/>
  <c r="FY463" i="2"/>
  <c r="FX463" i="2"/>
  <c r="FW463" i="2"/>
  <c r="FV463" i="2"/>
  <c r="FU463" i="2"/>
  <c r="FT463" i="2"/>
  <c r="GK456" i="2"/>
  <c r="GJ456" i="2"/>
  <c r="GI456" i="2"/>
  <c r="GH456" i="2"/>
  <c r="GG456" i="2"/>
  <c r="GF456" i="2"/>
  <c r="GE456" i="2"/>
  <c r="GD456" i="2"/>
  <c r="GC456" i="2"/>
  <c r="GB456" i="2"/>
  <c r="GA456" i="2"/>
  <c r="FZ456" i="2"/>
  <c r="FX456" i="2"/>
  <c r="FW456" i="2"/>
  <c r="CZ456" i="2"/>
  <c r="FY456" i="2" s="1"/>
  <c r="DJ455" i="2"/>
  <c r="DK455" i="2" s="1"/>
  <c r="DL455" i="2" s="1"/>
  <c r="DO451" i="2"/>
  <c r="DP451" i="2" s="1"/>
  <c r="DL450" i="2"/>
  <c r="DK450" i="2"/>
  <c r="DJ450" i="2"/>
  <c r="DI450" i="2"/>
  <c r="DH450" i="2"/>
  <c r="DG450" i="2"/>
  <c r="DF450" i="2"/>
  <c r="DE450" i="2"/>
  <c r="DD450" i="2"/>
  <c r="DC450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DN448" i="2"/>
  <c r="DM448" i="2"/>
  <c r="DM449" i="2" s="1"/>
  <c r="EC447" i="2"/>
  <c r="EC444" i="2" s="1"/>
  <c r="EB444" i="2"/>
  <c r="EA444" i="2"/>
  <c r="DZ444" i="2"/>
  <c r="DY444" i="2"/>
  <c r="DX444" i="2"/>
  <c r="DW444" i="2"/>
  <c r="DV444" i="2"/>
  <c r="ED443" i="2"/>
  <c r="DZ439" i="2"/>
  <c r="EA439" i="2" s="1"/>
  <c r="EB439" i="2" s="1"/>
  <c r="EC439" i="2" s="1"/>
  <c r="ED439" i="2" s="1"/>
  <c r="EE439" i="2" s="1"/>
  <c r="EF439" i="2" s="1"/>
  <c r="DQ439" i="2"/>
  <c r="DZ431" i="2"/>
  <c r="EA431" i="2" s="1"/>
  <c r="EB431" i="2" s="1"/>
  <c r="EC431" i="2" s="1"/>
  <c r="DK431" i="2"/>
  <c r="DL431" i="2" s="1"/>
  <c r="DM431" i="2" s="1"/>
  <c r="DN431" i="2" s="1"/>
  <c r="DG431" i="2"/>
  <c r="DG428" i="2" s="1"/>
  <c r="DJ428" i="2"/>
  <c r="DI428" i="2"/>
  <c r="DH428" i="2"/>
  <c r="DF428" i="2"/>
  <c r="DE428" i="2"/>
  <c r="DD428" i="2"/>
  <c r="EF427" i="2"/>
  <c r="EG427" i="2" s="1"/>
  <c r="DZ427" i="2"/>
  <c r="DX427" i="2"/>
  <c r="DJ427" i="2"/>
  <c r="DE427" i="2"/>
  <c r="CY424" i="2"/>
  <c r="CX424" i="2"/>
  <c r="DZ423" i="2"/>
  <c r="EA423" i="2" s="1"/>
  <c r="EB423" i="2" s="1"/>
  <c r="DW423" i="2"/>
  <c r="DO423" i="2"/>
  <c r="EK419" i="2"/>
  <c r="EL419" i="2" s="1"/>
  <c r="EI419" i="2"/>
  <c r="EF419" i="2"/>
  <c r="EC419" i="2"/>
  <c r="DK419" i="2"/>
  <c r="DM408" i="2"/>
  <c r="DL408" i="2"/>
  <c r="DK408" i="2"/>
  <c r="DJ408" i="2"/>
  <c r="DI408" i="2"/>
  <c r="DH408" i="2"/>
  <c r="DG408" i="2"/>
  <c r="DF408" i="2"/>
  <c r="DE408" i="2"/>
  <c r="DD408" i="2"/>
  <c r="DC408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GB406" i="2"/>
  <c r="DN406" i="2"/>
  <c r="DN408" i="2" s="1"/>
  <c r="DM404" i="2"/>
  <c r="DL404" i="2"/>
  <c r="DK404" i="2"/>
  <c r="DJ404" i="2"/>
  <c r="DI404" i="2"/>
  <c r="DH404" i="2"/>
  <c r="DG404" i="2"/>
  <c r="DF404" i="2"/>
  <c r="DE404" i="2"/>
  <c r="DD404" i="2"/>
  <c r="DC404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GB402" i="2"/>
  <c r="DN402" i="2"/>
  <c r="DN404" i="2" s="1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DM396" i="2"/>
  <c r="DL396" i="2"/>
  <c r="DK396" i="2"/>
  <c r="DJ396" i="2"/>
  <c r="DI396" i="2"/>
  <c r="DH396" i="2"/>
  <c r="DG396" i="2"/>
  <c r="DF396" i="2"/>
  <c r="DE396" i="2"/>
  <c r="DD396" i="2"/>
  <c r="DC396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GB394" i="2"/>
  <c r="EW392" i="2"/>
  <c r="EV392" i="2"/>
  <c r="EU392" i="2"/>
  <c r="ET392" i="2"/>
  <c r="ES392" i="2"/>
  <c r="ER392" i="2"/>
  <c r="EQ392" i="2"/>
  <c r="EP392" i="2"/>
  <c r="EO392" i="2"/>
  <c r="EN392" i="2"/>
  <c r="EM392" i="2"/>
  <c r="EL392" i="2"/>
  <c r="EK392" i="2"/>
  <c r="EJ392" i="2"/>
  <c r="EI392" i="2"/>
  <c r="EH392" i="2"/>
  <c r="EG392" i="2"/>
  <c r="EF392" i="2"/>
  <c r="EE392" i="2"/>
  <c r="ED392" i="2"/>
  <c r="EC392" i="2"/>
  <c r="EB392" i="2"/>
  <c r="EA392" i="2"/>
  <c r="DZ392" i="2"/>
  <c r="DY392" i="2"/>
  <c r="DX392" i="2"/>
  <c r="DW392" i="2"/>
  <c r="DV392" i="2"/>
  <c r="DU392" i="2"/>
  <c r="DT392" i="2"/>
  <c r="DS392" i="2"/>
  <c r="DR392" i="2"/>
  <c r="DP392" i="2"/>
  <c r="DO392" i="2"/>
  <c r="DN392" i="2"/>
  <c r="DL392" i="2"/>
  <c r="DK392" i="2"/>
  <c r="DJ392" i="2"/>
  <c r="DI392" i="2"/>
  <c r="DH392" i="2"/>
  <c r="DG392" i="2"/>
  <c r="DF392" i="2"/>
  <c r="DE392" i="2"/>
  <c r="DD392" i="2"/>
  <c r="DC392" i="2"/>
  <c r="EW391" i="2"/>
  <c r="EV391" i="2"/>
  <c r="EU391" i="2"/>
  <c r="ET391" i="2"/>
  <c r="ES391" i="2"/>
  <c r="ER391" i="2"/>
  <c r="EQ391" i="2"/>
  <c r="EP391" i="2"/>
  <c r="EO391" i="2"/>
  <c r="EN391" i="2"/>
  <c r="EM391" i="2"/>
  <c r="EL391" i="2"/>
  <c r="EK391" i="2"/>
  <c r="EJ391" i="2"/>
  <c r="EI391" i="2"/>
  <c r="EH391" i="2"/>
  <c r="EG391" i="2"/>
  <c r="EF391" i="2"/>
  <c r="EE391" i="2"/>
  <c r="ED391" i="2"/>
  <c r="EC391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GK390" i="2"/>
  <c r="GJ390" i="2"/>
  <c r="GI390" i="2"/>
  <c r="GH390" i="2"/>
  <c r="GG390" i="2"/>
  <c r="GF390" i="2"/>
  <c r="GE390" i="2"/>
  <c r="GD390" i="2"/>
  <c r="GC390" i="2"/>
  <c r="DM390" i="2"/>
  <c r="DM389" i="2"/>
  <c r="DL389" i="2"/>
  <c r="DK389" i="2"/>
  <c r="DJ389" i="2"/>
  <c r="DI389" i="2"/>
  <c r="DH389" i="2"/>
  <c r="DG389" i="2"/>
  <c r="DF389" i="2"/>
  <c r="DE389" i="2"/>
  <c r="DD389" i="2"/>
  <c r="DC389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GB387" i="2"/>
  <c r="DM383" i="2"/>
  <c r="DL383" i="2"/>
  <c r="DL451" i="2" s="1"/>
  <c r="DK383" i="2"/>
  <c r="DK368" i="2" s="1"/>
  <c r="DJ383" i="2"/>
  <c r="DJ376" i="2" s="1"/>
  <c r="DI383" i="2"/>
  <c r="DH383" i="2"/>
  <c r="DH380" i="2" s="1"/>
  <c r="DG383" i="2"/>
  <c r="DF383" i="2"/>
  <c r="DF451" i="2" s="1"/>
  <c r="DE383" i="2"/>
  <c r="DE380" i="2" s="1"/>
  <c r="DD383" i="2"/>
  <c r="DD368" i="2" s="1"/>
  <c r="DC383" i="2"/>
  <c r="DB383" i="2"/>
  <c r="DB380" i="2" s="1"/>
  <c r="DA383" i="2"/>
  <c r="CZ383" i="2"/>
  <c r="CZ451" i="2" s="1"/>
  <c r="CY383" i="2"/>
  <c r="CY405" i="2" s="1"/>
  <c r="GB381" i="2"/>
  <c r="GA381" i="2"/>
  <c r="DN381" i="2"/>
  <c r="DO381" i="2" s="1"/>
  <c r="DP381" i="2" s="1"/>
  <c r="DM379" i="2"/>
  <c r="DL379" i="2"/>
  <c r="DK379" i="2"/>
  <c r="DJ379" i="2"/>
  <c r="DI379" i="2"/>
  <c r="DH379" i="2"/>
  <c r="DG379" i="2"/>
  <c r="DF379" i="2"/>
  <c r="DE379" i="2"/>
  <c r="DD379" i="2"/>
  <c r="DC379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GB377" i="2"/>
  <c r="GA377" i="2"/>
  <c r="DN377" i="2"/>
  <c r="DO377" i="2" s="1"/>
  <c r="DP377" i="2" s="1"/>
  <c r="DP379" i="2" s="1"/>
  <c r="DM375" i="2"/>
  <c r="DL375" i="2"/>
  <c r="DK375" i="2"/>
  <c r="DJ375" i="2"/>
  <c r="DI375" i="2"/>
  <c r="DH375" i="2"/>
  <c r="DG375" i="2"/>
  <c r="DF375" i="2"/>
  <c r="DE375" i="2"/>
  <c r="DD375" i="2"/>
  <c r="DC375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GB373" i="2"/>
  <c r="GA373" i="2"/>
  <c r="DN373" i="2"/>
  <c r="DO373" i="2" s="1"/>
  <c r="DP373" i="2" s="1"/>
  <c r="DP375" i="2" s="1"/>
  <c r="DM371" i="2"/>
  <c r="DL371" i="2"/>
  <c r="DK371" i="2"/>
  <c r="DJ371" i="2"/>
  <c r="DI371" i="2"/>
  <c r="DH371" i="2"/>
  <c r="DG371" i="2"/>
  <c r="DF371" i="2"/>
  <c r="DE371" i="2"/>
  <c r="DD371" i="2"/>
  <c r="DC371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GB369" i="2"/>
  <c r="GA369" i="2"/>
  <c r="DN369" i="2"/>
  <c r="DO369" i="2" s="1"/>
  <c r="DP369" i="2" s="1"/>
  <c r="DP371" i="2" s="1"/>
  <c r="DM367" i="2"/>
  <c r="DL367" i="2"/>
  <c r="DK367" i="2"/>
  <c r="DJ367" i="2"/>
  <c r="DI367" i="2"/>
  <c r="DH367" i="2"/>
  <c r="DG367" i="2"/>
  <c r="DF367" i="2"/>
  <c r="DE367" i="2"/>
  <c r="DD367" i="2"/>
  <c r="DC367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GB365" i="2"/>
  <c r="GA365" i="2"/>
  <c r="DN365" i="2"/>
  <c r="DO365" i="2" s="1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V357" i="2"/>
  <c r="EW356" i="2"/>
  <c r="EV356" i="2"/>
  <c r="EU356" i="2"/>
  <c r="ET356" i="2"/>
  <c r="ES356" i="2"/>
  <c r="ER356" i="2"/>
  <c r="EQ356" i="2"/>
  <c r="EP356" i="2"/>
  <c r="EO356" i="2"/>
  <c r="EN356" i="2"/>
  <c r="EM356" i="2"/>
  <c r="EL356" i="2"/>
  <c r="EK356" i="2"/>
  <c r="EJ356" i="2"/>
  <c r="EI356" i="2"/>
  <c r="EH356" i="2"/>
  <c r="EG356" i="2"/>
  <c r="EF356" i="2"/>
  <c r="EE356" i="2"/>
  <c r="ED356" i="2"/>
  <c r="EC356" i="2"/>
  <c r="EB356" i="2"/>
  <c r="EA356" i="2"/>
  <c r="DZ356" i="2"/>
  <c r="DY356" i="2"/>
  <c r="DX356" i="2"/>
  <c r="DW356" i="2"/>
  <c r="DV356" i="2"/>
  <c r="DU356" i="2"/>
  <c r="GK355" i="2"/>
  <c r="GJ355" i="2"/>
  <c r="GI355" i="2"/>
  <c r="GH355" i="2"/>
  <c r="GG355" i="2"/>
  <c r="GF355" i="2"/>
  <c r="GE355" i="2"/>
  <c r="DS355" i="2"/>
  <c r="EC348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ED346" i="2"/>
  <c r="EC345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EC344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GF343" i="2"/>
  <c r="GE343" i="2"/>
  <c r="GD343" i="2"/>
  <c r="GC343" i="2"/>
  <c r="GB343" i="2"/>
  <c r="GA343" i="2"/>
  <c r="FZ343" i="2"/>
  <c r="FY343" i="2"/>
  <c r="FX343" i="2"/>
  <c r="FW343" i="2"/>
  <c r="FV343" i="2"/>
  <c r="FU343" i="2"/>
  <c r="FT343" i="2"/>
  <c r="FS343" i="2"/>
  <c r="FR343" i="2"/>
  <c r="FQ343" i="2"/>
  <c r="FP343" i="2"/>
  <c r="FO343" i="2"/>
  <c r="FN343" i="2"/>
  <c r="FM343" i="2"/>
  <c r="FL343" i="2"/>
  <c r="FK343" i="2"/>
  <c r="FJ343" i="2"/>
  <c r="FI343" i="2"/>
  <c r="FH343" i="2"/>
  <c r="ED343" i="2"/>
  <c r="ED345" i="2" s="1"/>
  <c r="EC339" i="2"/>
  <c r="EC440" i="2" s="1"/>
  <c r="EB339" i="2"/>
  <c r="EB440" i="2" s="1"/>
  <c r="EA339" i="2"/>
  <c r="EA440" i="2" s="1"/>
  <c r="DZ339" i="2"/>
  <c r="DY339" i="2"/>
  <c r="DY145" i="2" s="1"/>
  <c r="DX339" i="2"/>
  <c r="DX440" i="2" s="1"/>
  <c r="DW339" i="2"/>
  <c r="DW440" i="2" s="1"/>
  <c r="DV339" i="2"/>
  <c r="DV440" i="2" s="1"/>
  <c r="DU339" i="2"/>
  <c r="DU440" i="2" s="1"/>
  <c r="DT339" i="2"/>
  <c r="DT145" i="2" s="1"/>
  <c r="DS339" i="2"/>
  <c r="DS145" i="2" s="1"/>
  <c r="DR339" i="2"/>
  <c r="DR440" i="2" s="1"/>
  <c r="DQ339" i="2"/>
  <c r="DQ440" i="2" s="1"/>
  <c r="DP339" i="2"/>
  <c r="DP440" i="2" s="1"/>
  <c r="DO339" i="2"/>
  <c r="DO440" i="2" s="1"/>
  <c r="DN339" i="2"/>
  <c r="DN440" i="2" s="1"/>
  <c r="DM339" i="2"/>
  <c r="DM440" i="2" s="1"/>
  <c r="DL339" i="2"/>
  <c r="DL440" i="2" s="1"/>
  <c r="DK339" i="2"/>
  <c r="DK440" i="2" s="1"/>
  <c r="DJ339" i="2"/>
  <c r="DJ440" i="2" s="1"/>
  <c r="DI339" i="2"/>
  <c r="DI440" i="2" s="1"/>
  <c r="DH339" i="2"/>
  <c r="DG339" i="2"/>
  <c r="DG440" i="2" s="1"/>
  <c r="DF339" i="2"/>
  <c r="DF440" i="2" s="1"/>
  <c r="DE339" i="2"/>
  <c r="DE440" i="2" s="1"/>
  <c r="DD339" i="2"/>
  <c r="DD440" i="2" s="1"/>
  <c r="DC339" i="2"/>
  <c r="DC440" i="2" s="1"/>
  <c r="DB339" i="2"/>
  <c r="DB440" i="2" s="1"/>
  <c r="DA339" i="2"/>
  <c r="DA440" i="2" s="1"/>
  <c r="CZ339" i="2"/>
  <c r="CZ440" i="2" s="1"/>
  <c r="CY339" i="2"/>
  <c r="CY440" i="2" s="1"/>
  <c r="CX339" i="2"/>
  <c r="CX440" i="2" s="1"/>
  <c r="CW339" i="2"/>
  <c r="CW440" i="2" s="1"/>
  <c r="CV339" i="2"/>
  <c r="CU339" i="2"/>
  <c r="CU440" i="2" s="1"/>
  <c r="CT339" i="2"/>
  <c r="CT440" i="2" s="1"/>
  <c r="CS339" i="2"/>
  <c r="CS440" i="2" s="1"/>
  <c r="CR339" i="2"/>
  <c r="CR440" i="2" s="1"/>
  <c r="CQ339" i="2"/>
  <c r="CQ440" i="2" s="1"/>
  <c r="CP339" i="2"/>
  <c r="CP440" i="2" s="1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EC336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EC335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ED334" i="2"/>
  <c r="ED336" i="2" s="1"/>
  <c r="EC333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EC332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GF331" i="2"/>
  <c r="GE331" i="2"/>
  <c r="GD331" i="2"/>
  <c r="GC331" i="2"/>
  <c r="GB331" i="2"/>
  <c r="GA331" i="2"/>
  <c r="FZ331" i="2"/>
  <c r="FY331" i="2"/>
  <c r="FX331" i="2"/>
  <c r="FW331" i="2"/>
  <c r="FV331" i="2"/>
  <c r="FU331" i="2"/>
  <c r="FT331" i="2"/>
  <c r="ED331" i="2"/>
  <c r="ED333" i="2" s="1"/>
  <c r="EC327" i="2"/>
  <c r="EC133" i="2" s="1"/>
  <c r="EB327" i="2"/>
  <c r="EB133" i="2" s="1"/>
  <c r="EA327" i="2"/>
  <c r="EA133" i="2" s="1"/>
  <c r="DZ327" i="2"/>
  <c r="DZ133" i="2" s="1"/>
  <c r="DY327" i="2"/>
  <c r="DY133" i="2" s="1"/>
  <c r="DX327" i="2"/>
  <c r="DX133" i="2" s="1"/>
  <c r="DW327" i="2"/>
  <c r="DW133" i="2" s="1"/>
  <c r="DV327" i="2"/>
  <c r="DV436" i="2" s="1"/>
  <c r="DU327" i="2"/>
  <c r="DU436" i="2" s="1"/>
  <c r="DT327" i="2"/>
  <c r="DT436" i="2" s="1"/>
  <c r="DS327" i="2"/>
  <c r="DS133" i="2" s="1"/>
  <c r="DR327" i="2"/>
  <c r="DR133" i="2" s="1"/>
  <c r="DQ327" i="2"/>
  <c r="DQ188" i="2" s="1"/>
  <c r="DQ190" i="2" s="1"/>
  <c r="DP327" i="2"/>
  <c r="DP436" i="2" s="1"/>
  <c r="DO327" i="2"/>
  <c r="DO133" i="2" s="1"/>
  <c r="DN327" i="2"/>
  <c r="DN133" i="2" s="1"/>
  <c r="DM327" i="2"/>
  <c r="DM133" i="2" s="1"/>
  <c r="DL327" i="2"/>
  <c r="DL133" i="2" s="1"/>
  <c r="DK327" i="2"/>
  <c r="DK133" i="2" s="1"/>
  <c r="DJ327" i="2"/>
  <c r="DJ436" i="2" s="1"/>
  <c r="DI327" i="2"/>
  <c r="DH327" i="2"/>
  <c r="DG327" i="2"/>
  <c r="DF327" i="2"/>
  <c r="DE327" i="2"/>
  <c r="DD327" i="2"/>
  <c r="DD436" i="2" s="1"/>
  <c r="DC327" i="2"/>
  <c r="DB327" i="2"/>
  <c r="DA327" i="2"/>
  <c r="CZ327" i="2"/>
  <c r="CY327" i="2"/>
  <c r="CX327" i="2"/>
  <c r="CX436" i="2" s="1"/>
  <c r="CW327" i="2"/>
  <c r="CV327" i="2"/>
  <c r="CU327" i="2"/>
  <c r="CT327" i="2"/>
  <c r="CS327" i="2"/>
  <c r="CR327" i="2"/>
  <c r="CR436" i="2" s="1"/>
  <c r="CQ327" i="2"/>
  <c r="CQ436" i="2" s="1"/>
  <c r="CP327" i="2"/>
  <c r="CP436" i="2" s="1"/>
  <c r="CO327" i="2"/>
  <c r="CN327" i="2"/>
  <c r="CM327" i="2"/>
  <c r="CL327" i="2"/>
  <c r="CK327" i="2"/>
  <c r="CJ327" i="2"/>
  <c r="CI327" i="2"/>
  <c r="CH327" i="2"/>
  <c r="CG327" i="2"/>
  <c r="CF327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GB321" i="2"/>
  <c r="GA321" i="2"/>
  <c r="FZ321" i="2"/>
  <c r="FY321" i="2"/>
  <c r="FX321" i="2"/>
  <c r="CS321" i="2"/>
  <c r="CR321" i="2"/>
  <c r="CV323" i="2" s="1"/>
  <c r="CQ321" i="2"/>
  <c r="CU323" i="2" s="1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GC315" i="2"/>
  <c r="GB315" i="2"/>
  <c r="GA315" i="2"/>
  <c r="FZ315" i="2"/>
  <c r="DS315" i="2"/>
  <c r="DS312" i="2"/>
  <c r="DR312" i="2"/>
  <c r="DP312" i="2"/>
  <c r="DO312" i="2"/>
  <c r="DN312" i="2"/>
  <c r="DK312" i="2"/>
  <c r="DJ312" i="2"/>
  <c r="DI312" i="2"/>
  <c r="DG312" i="2"/>
  <c r="DF312" i="2"/>
  <c r="DE312" i="2"/>
  <c r="DD312" i="2"/>
  <c r="DR311" i="2"/>
  <c r="DQ311" i="2"/>
  <c r="DP311" i="2"/>
  <c r="DO311" i="2"/>
  <c r="DL311" i="2"/>
  <c r="DK311" i="2"/>
  <c r="DJ311" i="2"/>
  <c r="DG311" i="2"/>
  <c r="DF311" i="2"/>
  <c r="DE311" i="2"/>
  <c r="DD311" i="2"/>
  <c r="DC311" i="2"/>
  <c r="DB311" i="2"/>
  <c r="DA311" i="2"/>
  <c r="DT310" i="2"/>
  <c r="DT312" i="2" s="1"/>
  <c r="DM310" i="2"/>
  <c r="DN311" i="2" s="1"/>
  <c r="DH310" i="2"/>
  <c r="DH311" i="2" s="1"/>
  <c r="CY310" i="2"/>
  <c r="DC312" i="2" s="1"/>
  <c r="CX310" i="2"/>
  <c r="DB312" i="2" s="1"/>
  <c r="EW306" i="2"/>
  <c r="EV306" i="2"/>
  <c r="EU306" i="2"/>
  <c r="ET306" i="2"/>
  <c r="ES306" i="2"/>
  <c r="ER306" i="2"/>
  <c r="EQ306" i="2"/>
  <c r="EP306" i="2"/>
  <c r="EO306" i="2"/>
  <c r="EN306" i="2"/>
  <c r="EM306" i="2"/>
  <c r="EL306" i="2"/>
  <c r="EK306" i="2"/>
  <c r="EJ306" i="2"/>
  <c r="EI306" i="2"/>
  <c r="EH306" i="2"/>
  <c r="EG306" i="2"/>
  <c r="EF306" i="2"/>
  <c r="EE306" i="2"/>
  <c r="ED306" i="2"/>
  <c r="EC306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X305" i="2"/>
  <c r="CW305" i="2"/>
  <c r="CV305" i="2"/>
  <c r="CU305" i="2"/>
  <c r="CE301" i="2"/>
  <c r="CF301" i="2" s="1"/>
  <c r="CG301" i="2" s="1"/>
  <c r="EC291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EC29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D290" i="2"/>
  <c r="DC290" i="2"/>
  <c r="DB290" i="2"/>
  <c r="DA290" i="2"/>
  <c r="CZ290" i="2"/>
  <c r="CY290" i="2"/>
  <c r="GF289" i="2"/>
  <c r="GE289" i="2"/>
  <c r="GD289" i="2"/>
  <c r="GC289" i="2"/>
  <c r="GB289" i="2"/>
  <c r="GA289" i="2"/>
  <c r="FZ289" i="2"/>
  <c r="FY289" i="2"/>
  <c r="ED289" i="2"/>
  <c r="EC287" i="2"/>
  <c r="EB287" i="2"/>
  <c r="EA287" i="2"/>
  <c r="DZ287" i="2"/>
  <c r="DY287" i="2"/>
  <c r="DX287" i="2"/>
  <c r="DW287" i="2"/>
  <c r="DV287" i="2"/>
  <c r="DU287" i="2"/>
  <c r="DT287" i="2"/>
  <c r="DR287" i="2"/>
  <c r="DQ287" i="2"/>
  <c r="DP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DZ286" i="2"/>
  <c r="DY286" i="2"/>
  <c r="DX286" i="2"/>
  <c r="DW286" i="2"/>
  <c r="DV286" i="2"/>
  <c r="DU286" i="2"/>
  <c r="DT286" i="2"/>
  <c r="DS286" i="2"/>
  <c r="DR286" i="2"/>
  <c r="DQ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GF285" i="2"/>
  <c r="GE285" i="2"/>
  <c r="GD285" i="2"/>
  <c r="GB285" i="2"/>
  <c r="GA285" i="2"/>
  <c r="FZ285" i="2"/>
  <c r="FY285" i="2"/>
  <c r="FX285" i="2"/>
  <c r="FW285" i="2"/>
  <c r="FV285" i="2"/>
  <c r="FU285" i="2"/>
  <c r="FT285" i="2"/>
  <c r="FS285" i="2"/>
  <c r="FR285" i="2"/>
  <c r="FQ285" i="2"/>
  <c r="FP285" i="2"/>
  <c r="FO285" i="2"/>
  <c r="ED285" i="2"/>
  <c r="DO285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CW282" i="2"/>
  <c r="CV282" i="2"/>
  <c r="CV279" i="2" s="1"/>
  <c r="CU282" i="2"/>
  <c r="CT282" i="2"/>
  <c r="CT279" i="2" s="1"/>
  <c r="EC281" i="2"/>
  <c r="EB281" i="2"/>
  <c r="EA281" i="2"/>
  <c r="DZ281" i="2"/>
  <c r="DY281" i="2"/>
  <c r="DX281" i="2"/>
  <c r="DW281" i="2"/>
  <c r="DV281" i="2"/>
  <c r="DU281" i="2"/>
  <c r="DT281" i="2"/>
  <c r="EC280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GF279" i="2"/>
  <c r="GE279" i="2"/>
  <c r="GD279" i="2"/>
  <c r="ED279" i="2"/>
  <c r="EE279" i="2" s="1"/>
  <c r="EE281" i="2" s="1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D254" i="2" s="1"/>
  <c r="CD250" i="2" s="1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FX275" i="2"/>
  <c r="FW275" i="2"/>
  <c r="FV275" i="2"/>
  <c r="FU275" i="2"/>
  <c r="FT275" i="2"/>
  <c r="FS275" i="2"/>
  <c r="FR275" i="2"/>
  <c r="FQ275" i="2"/>
  <c r="FP275" i="2"/>
  <c r="FO275" i="2"/>
  <c r="EC275" i="2"/>
  <c r="EC272" i="2" s="1"/>
  <c r="EB275" i="2"/>
  <c r="EA275" i="2"/>
  <c r="DZ275" i="2"/>
  <c r="DY275" i="2"/>
  <c r="DY272" i="2" s="1"/>
  <c r="DX275" i="2"/>
  <c r="DX272" i="2" s="1"/>
  <c r="DW275" i="2"/>
  <c r="DW272" i="2" s="1"/>
  <c r="DV275" i="2"/>
  <c r="DV272" i="2" s="1"/>
  <c r="DV288" i="2" s="1"/>
  <c r="DU275" i="2"/>
  <c r="DT275" i="2"/>
  <c r="DS275" i="2"/>
  <c r="DS272" i="2" s="1"/>
  <c r="DR275" i="2"/>
  <c r="DR272" i="2" s="1"/>
  <c r="DQ275" i="2"/>
  <c r="DQ272" i="2" s="1"/>
  <c r="DP275" i="2"/>
  <c r="DP272" i="2" s="1"/>
  <c r="DP288" i="2" s="1"/>
  <c r="DO275" i="2"/>
  <c r="DN275" i="2"/>
  <c r="DN279" i="2" s="1"/>
  <c r="DM275" i="2"/>
  <c r="DM272" i="2" s="1"/>
  <c r="DL275" i="2"/>
  <c r="DL272" i="2" s="1"/>
  <c r="DK275" i="2"/>
  <c r="DK272" i="2" s="1"/>
  <c r="DJ275" i="2"/>
  <c r="DJ279" i="2" s="1"/>
  <c r="DI275" i="2"/>
  <c r="DH275" i="2"/>
  <c r="DG275" i="2"/>
  <c r="DG272" i="2" s="1"/>
  <c r="DF275" i="2"/>
  <c r="DF272" i="2" s="1"/>
  <c r="DE275" i="2"/>
  <c r="DE272" i="2" s="1"/>
  <c r="DD275" i="2"/>
  <c r="DD279" i="2" s="1"/>
  <c r="DC275" i="2"/>
  <c r="DB275" i="2"/>
  <c r="DA275" i="2"/>
  <c r="DA272" i="2" s="1"/>
  <c r="CZ275" i="2"/>
  <c r="CZ272" i="2" s="1"/>
  <c r="CY275" i="2"/>
  <c r="CX275" i="2"/>
  <c r="CX272" i="2" s="1"/>
  <c r="CX288" i="2" s="1"/>
  <c r="CW272" i="2"/>
  <c r="CV272" i="2"/>
  <c r="CV278" i="2" s="1"/>
  <c r="CU272" i="2"/>
  <c r="CT272" i="2"/>
  <c r="CS272" i="2"/>
  <c r="CR272" i="2"/>
  <c r="CR288" i="2" s="1"/>
  <c r="CQ272" i="2"/>
  <c r="CP272" i="2"/>
  <c r="CO272" i="2"/>
  <c r="CO288" i="2" s="1"/>
  <c r="CN272" i="2"/>
  <c r="CM272" i="2"/>
  <c r="CL272" i="2"/>
  <c r="CK272" i="2"/>
  <c r="CJ272" i="2"/>
  <c r="CI272" i="2"/>
  <c r="CI288" i="2" s="1"/>
  <c r="CH272" i="2"/>
  <c r="CG272" i="2"/>
  <c r="CF272" i="2"/>
  <c r="CF288" i="2" s="1"/>
  <c r="CE272" i="2"/>
  <c r="CD272" i="2"/>
  <c r="CD278" i="2" s="1"/>
  <c r="CC272" i="2"/>
  <c r="CC288" i="2" s="1"/>
  <c r="CB272" i="2"/>
  <c r="CA272" i="2"/>
  <c r="BZ272" i="2"/>
  <c r="BZ288" i="2" s="1"/>
  <c r="BY272" i="2"/>
  <c r="BX272" i="2"/>
  <c r="BW272" i="2"/>
  <c r="BV272" i="2"/>
  <c r="BU272" i="2"/>
  <c r="BT272" i="2"/>
  <c r="BT288" i="2" s="1"/>
  <c r="BS272" i="2"/>
  <c r="BR272" i="2"/>
  <c r="BQ272" i="2"/>
  <c r="BQ288" i="2" s="1"/>
  <c r="BP272" i="2"/>
  <c r="BO272" i="2"/>
  <c r="BN272" i="2"/>
  <c r="BM272" i="2"/>
  <c r="BL272" i="2"/>
  <c r="BL278" i="2" s="1"/>
  <c r="BK272" i="2"/>
  <c r="BJ272" i="2"/>
  <c r="CY267" i="2"/>
  <c r="DS266" i="2"/>
  <c r="DS424" i="2" s="1"/>
  <c r="DR266" i="2"/>
  <c r="DR424" i="2" s="1"/>
  <c r="DQ266" i="2"/>
  <c r="DQ149" i="2" s="1"/>
  <c r="DP266" i="2"/>
  <c r="DP149" i="2" s="1"/>
  <c r="DO266" i="2"/>
  <c r="DO424" i="2" s="1"/>
  <c r="DN266" i="2"/>
  <c r="DN149" i="2" s="1"/>
  <c r="DL266" i="2"/>
  <c r="DL424" i="2" s="1"/>
  <c r="DK266" i="2"/>
  <c r="DK149" i="2" s="1"/>
  <c r="DJ266" i="2"/>
  <c r="DJ149" i="2" s="1"/>
  <c r="DI266" i="2"/>
  <c r="DI424" i="2" s="1"/>
  <c r="DG266" i="2"/>
  <c r="DG424" i="2" s="1"/>
  <c r="DF266" i="2"/>
  <c r="DF424" i="2" s="1"/>
  <c r="DE266" i="2"/>
  <c r="DD266" i="2"/>
  <c r="DD424" i="2" s="1"/>
  <c r="DC266" i="2"/>
  <c r="DC424" i="2" s="1"/>
  <c r="DB266" i="2"/>
  <c r="DA266" i="2"/>
  <c r="CZ266" i="2"/>
  <c r="CZ424" i="2" s="1"/>
  <c r="FS262" i="2"/>
  <c r="FR262" i="2"/>
  <c r="FQ262" i="2"/>
  <c r="FP262" i="2"/>
  <c r="FO262" i="2"/>
  <c r="CW259" i="2"/>
  <c r="CV259" i="2"/>
  <c r="CU259" i="2"/>
  <c r="FX258" i="2"/>
  <c r="EW258" i="2"/>
  <c r="EV258" i="2"/>
  <c r="EU258" i="2"/>
  <c r="ET258" i="2"/>
  <c r="ES258" i="2"/>
  <c r="ER258" i="2"/>
  <c r="EQ258" i="2"/>
  <c r="EP258" i="2"/>
  <c r="EO258" i="2"/>
  <c r="EN258" i="2"/>
  <c r="EM258" i="2"/>
  <c r="EL258" i="2"/>
  <c r="EK258" i="2"/>
  <c r="EJ258" i="2"/>
  <c r="EI258" i="2"/>
  <c r="EH258" i="2"/>
  <c r="EG258" i="2"/>
  <c r="EF258" i="2"/>
  <c r="EE258" i="2"/>
  <c r="ED258" i="2"/>
  <c r="EC258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EC230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EC229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ED228" i="2"/>
  <c r="EE228" i="2" s="1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EC226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ED225" i="2"/>
  <c r="EC218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GF216" i="2"/>
  <c r="GE216" i="2"/>
  <c r="GD216" i="2"/>
  <c r="GC216" i="2"/>
  <c r="GB216" i="2"/>
  <c r="GA216" i="2"/>
  <c r="FZ216" i="2"/>
  <c r="FY216" i="2"/>
  <c r="FX216" i="2"/>
  <c r="FW216" i="2"/>
  <c r="FV216" i="2"/>
  <c r="FU216" i="2"/>
  <c r="FT216" i="2"/>
  <c r="FS216" i="2"/>
  <c r="FR216" i="2"/>
  <c r="FQ216" i="2"/>
  <c r="FP216" i="2"/>
  <c r="FO216" i="2"/>
  <c r="FN216" i="2"/>
  <c r="FM216" i="2"/>
  <c r="FL216" i="2"/>
  <c r="FK216" i="2"/>
  <c r="FJ216" i="2"/>
  <c r="FI216" i="2"/>
  <c r="FH216" i="2"/>
  <c r="FG216" i="2"/>
  <c r="ED216" i="2"/>
  <c r="EC214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EC213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ED212" i="2"/>
  <c r="EC209" i="2"/>
  <c r="EC219" i="2" s="1"/>
  <c r="EB209" i="2"/>
  <c r="EA209" i="2"/>
  <c r="DZ209" i="2"/>
  <c r="DY209" i="2"/>
  <c r="DY215" i="2" s="1"/>
  <c r="DX209" i="2"/>
  <c r="DX219" i="2" s="1"/>
  <c r="DW209" i="2"/>
  <c r="DW219" i="2" s="1"/>
  <c r="DV209" i="2"/>
  <c r="DU209" i="2"/>
  <c r="DT209" i="2"/>
  <c r="DT219" i="2" s="1"/>
  <c r="DS209" i="2"/>
  <c r="DS219" i="2" s="1"/>
  <c r="DR209" i="2"/>
  <c r="DR219" i="2" s="1"/>
  <c r="DQ209" i="2"/>
  <c r="DQ219" i="2" s="1"/>
  <c r="DP209" i="2"/>
  <c r="DO209" i="2"/>
  <c r="DO219" i="2" s="1"/>
  <c r="DN209" i="2"/>
  <c r="DN219" i="2" s="1"/>
  <c r="DM209" i="2"/>
  <c r="DM219" i="2" s="1"/>
  <c r="DL209" i="2"/>
  <c r="DK209" i="2"/>
  <c r="DJ209" i="2"/>
  <c r="DI209" i="2"/>
  <c r="DH209" i="2"/>
  <c r="DH215" i="2" s="1"/>
  <c r="DG209" i="2"/>
  <c r="DG215" i="2" s="1"/>
  <c r="DF209" i="2"/>
  <c r="DE209" i="2"/>
  <c r="DD209" i="2"/>
  <c r="DC209" i="2"/>
  <c r="DB209" i="2"/>
  <c r="DB215" i="2" s="1"/>
  <c r="DA209" i="2"/>
  <c r="DA219" i="2" s="1"/>
  <c r="CZ209" i="2"/>
  <c r="CY209" i="2"/>
  <c r="CX209" i="2"/>
  <c r="CX219" i="2" s="1"/>
  <c r="CW209" i="2"/>
  <c r="CW219" i="2" s="1"/>
  <c r="CV209" i="2"/>
  <c r="CU209" i="2"/>
  <c r="CU219" i="2" s="1"/>
  <c r="CT209" i="2"/>
  <c r="CS209" i="2"/>
  <c r="CR209" i="2"/>
  <c r="CQ209" i="2"/>
  <c r="CP209" i="2"/>
  <c r="CP215" i="2" s="1"/>
  <c r="CO209" i="2"/>
  <c r="CN209" i="2"/>
  <c r="CM209" i="2"/>
  <c r="CL209" i="2"/>
  <c r="CK209" i="2"/>
  <c r="CJ209" i="2"/>
  <c r="CJ215" i="2" s="1"/>
  <c r="CI209" i="2"/>
  <c r="CI219" i="2" s="1"/>
  <c r="CH209" i="2"/>
  <c r="CG209" i="2"/>
  <c r="CF209" i="2"/>
  <c r="CF219" i="2" s="1"/>
  <c r="CE209" i="2"/>
  <c r="CE219" i="2" s="1"/>
  <c r="CD209" i="2"/>
  <c r="CC209" i="2"/>
  <c r="CC219" i="2" s="1"/>
  <c r="CB209" i="2"/>
  <c r="CA209" i="2"/>
  <c r="BZ209" i="2"/>
  <c r="BY209" i="2"/>
  <c r="BX209" i="2"/>
  <c r="BX215" i="2" s="1"/>
  <c r="BW209" i="2"/>
  <c r="BW215" i="2" s="1"/>
  <c r="BV209" i="2"/>
  <c r="BU209" i="2"/>
  <c r="BT209" i="2"/>
  <c r="BS209" i="2"/>
  <c r="BR209" i="2"/>
  <c r="BR215" i="2" s="1"/>
  <c r="BQ209" i="2"/>
  <c r="BQ219" i="2" s="1"/>
  <c r="BP209" i="2"/>
  <c r="BO209" i="2"/>
  <c r="BN209" i="2"/>
  <c r="BN219" i="2" s="1"/>
  <c r="BM209" i="2"/>
  <c r="BM219" i="2" s="1"/>
  <c r="BL209" i="2"/>
  <c r="BL215" i="2" s="1"/>
  <c r="BK209" i="2"/>
  <c r="BK219" i="2" s="1"/>
  <c r="BJ209" i="2"/>
  <c r="BI209" i="2"/>
  <c r="BH209" i="2"/>
  <c r="BG209" i="2"/>
  <c r="BF209" i="2"/>
  <c r="BF215" i="2" s="1"/>
  <c r="BE209" i="2"/>
  <c r="BD209" i="2"/>
  <c r="BC209" i="2"/>
  <c r="BB209" i="2"/>
  <c r="BA209" i="2"/>
  <c r="AZ209" i="2"/>
  <c r="AZ215" i="2" s="1"/>
  <c r="AY209" i="2"/>
  <c r="AY219" i="2" s="1"/>
  <c r="AX209" i="2"/>
  <c r="AW209" i="2"/>
  <c r="AV209" i="2"/>
  <c r="AV219" i="2" s="1"/>
  <c r="AU209" i="2"/>
  <c r="AU219" i="2" s="1"/>
  <c r="AT209" i="2"/>
  <c r="AT215" i="2" s="1"/>
  <c r="AS209" i="2"/>
  <c r="AS219" i="2" s="1"/>
  <c r="AR209" i="2"/>
  <c r="AQ209" i="2"/>
  <c r="AP209" i="2"/>
  <c r="AO209" i="2"/>
  <c r="AN209" i="2"/>
  <c r="AN215" i="2" s="1"/>
  <c r="AM209" i="2"/>
  <c r="AL209" i="2"/>
  <c r="AK209" i="2"/>
  <c r="AJ209" i="2"/>
  <c r="AI209" i="2"/>
  <c r="AH209" i="2"/>
  <c r="AH215" i="2" s="1"/>
  <c r="AG209" i="2"/>
  <c r="AG219" i="2" s="1"/>
  <c r="AF209" i="2"/>
  <c r="AE209" i="2"/>
  <c r="AD209" i="2"/>
  <c r="AD219" i="2" s="1"/>
  <c r="EC203" i="2"/>
  <c r="EB203" i="2"/>
  <c r="EA203" i="2"/>
  <c r="EA113" i="2" s="1"/>
  <c r="DZ203" i="2"/>
  <c r="DZ113" i="2" s="1"/>
  <c r="DY203" i="2"/>
  <c r="DX203" i="2"/>
  <c r="DW203" i="2"/>
  <c r="DW113" i="2" s="1"/>
  <c r="DV203" i="2"/>
  <c r="DU203" i="2"/>
  <c r="DT203" i="2"/>
  <c r="DT113" i="2" s="1"/>
  <c r="DS203" i="2"/>
  <c r="DR203" i="2"/>
  <c r="DQ203" i="2"/>
  <c r="DP203" i="2"/>
  <c r="DO203" i="2"/>
  <c r="DN203" i="2"/>
  <c r="DN113" i="2" s="1"/>
  <c r="DM203" i="2"/>
  <c r="DL203" i="2"/>
  <c r="DL113" i="2" s="1"/>
  <c r="DK203" i="2"/>
  <c r="DK113" i="2" s="1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EC199" i="2"/>
  <c r="EB199" i="2"/>
  <c r="EB109" i="2" s="1"/>
  <c r="EA199" i="2"/>
  <c r="DZ199" i="2"/>
  <c r="DY199" i="2"/>
  <c r="DX199" i="2"/>
  <c r="DX109" i="2" s="1"/>
  <c r="DW199" i="2"/>
  <c r="DW109" i="2" s="1"/>
  <c r="DV199" i="2"/>
  <c r="DU199" i="2"/>
  <c r="DT199" i="2"/>
  <c r="DT109" i="2" s="1"/>
  <c r="DS199" i="2"/>
  <c r="DS109" i="2" s="1"/>
  <c r="DR199" i="2"/>
  <c r="DR109" i="2" s="1"/>
  <c r="DQ199" i="2"/>
  <c r="DQ109" i="2" s="1"/>
  <c r="DP199" i="2"/>
  <c r="DP109" i="2" s="1"/>
  <c r="DO199" i="2"/>
  <c r="DO109" i="2" s="1"/>
  <c r="DN199" i="2"/>
  <c r="DM199" i="2"/>
  <c r="DL199" i="2"/>
  <c r="DL109" i="2" s="1"/>
  <c r="DK199" i="2"/>
  <c r="DJ199" i="2"/>
  <c r="DJ109" i="2" s="1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GB188" i="2"/>
  <c r="GA188" i="2"/>
  <c r="FZ188" i="2"/>
  <c r="FY188" i="2"/>
  <c r="FX188" i="2"/>
  <c r="DR188" i="2"/>
  <c r="DP188" i="2"/>
  <c r="CS188" i="2"/>
  <c r="CR188" i="2"/>
  <c r="CV190" i="2" s="1"/>
  <c r="CQ188" i="2"/>
  <c r="CU190" i="2" s="1"/>
  <c r="CP188" i="2"/>
  <c r="CT190" i="2" s="1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GD181" i="2"/>
  <c r="GC181" i="2"/>
  <c r="GB181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GD177" i="2"/>
  <c r="GC177" i="2"/>
  <c r="GB177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GD173" i="2"/>
  <c r="GC173" i="2"/>
  <c r="GB173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GD169" i="2"/>
  <c r="GC169" i="2"/>
  <c r="GB169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EB167" i="2"/>
  <c r="EA167" i="2"/>
  <c r="DZ167" i="2"/>
  <c r="DY167" i="2"/>
  <c r="DX167" i="2"/>
  <c r="DO167" i="2"/>
  <c r="DN167" i="2"/>
  <c r="EB166" i="2"/>
  <c r="EA166" i="2"/>
  <c r="DZ166" i="2"/>
  <c r="DY166" i="2"/>
  <c r="DX166" i="2"/>
  <c r="DW166" i="2"/>
  <c r="DV166" i="2"/>
  <c r="DU166" i="2"/>
  <c r="DO166" i="2"/>
  <c r="DN166" i="2"/>
  <c r="DM166" i="2"/>
  <c r="DL166" i="2"/>
  <c r="DK166" i="2"/>
  <c r="GD165" i="2"/>
  <c r="GC165" i="2"/>
  <c r="GB165" i="2"/>
  <c r="ED161" i="2"/>
  <c r="ED108" i="2" s="1"/>
  <c r="EC161" i="2"/>
  <c r="EC124" i="2" s="1"/>
  <c r="EB161" i="2"/>
  <c r="EB144" i="2" s="1"/>
  <c r="EA161" i="2"/>
  <c r="DZ161" i="2"/>
  <c r="DZ160" i="2" s="1"/>
  <c r="DY161" i="2"/>
  <c r="DX161" i="2"/>
  <c r="DX108" i="2" s="1"/>
  <c r="DW161" i="2"/>
  <c r="DW108" i="2" s="1"/>
  <c r="DV161" i="2"/>
  <c r="DV144" i="2" s="1"/>
  <c r="DU161" i="2"/>
  <c r="DU144" i="2" s="1"/>
  <c r="DT161" i="2"/>
  <c r="DS161" i="2"/>
  <c r="DS108" i="2" s="1"/>
  <c r="DR161" i="2"/>
  <c r="DQ161" i="2"/>
  <c r="DQ160" i="2" s="1"/>
  <c r="DP161" i="2"/>
  <c r="DP160" i="2" s="1"/>
  <c r="DO161" i="2"/>
  <c r="DO124" i="2" s="1"/>
  <c r="DN161" i="2"/>
  <c r="DM161" i="2"/>
  <c r="DM124" i="2" s="1"/>
  <c r="DL161" i="2"/>
  <c r="DK161" i="2"/>
  <c r="DK124" i="2" s="1"/>
  <c r="DJ161" i="2"/>
  <c r="DJ144" i="2" s="1"/>
  <c r="ED159" i="2"/>
  <c r="EC159" i="2"/>
  <c r="EB159" i="2"/>
  <c r="EA159" i="2"/>
  <c r="DZ159" i="2"/>
  <c r="DY159" i="2"/>
  <c r="DX159" i="2"/>
  <c r="DW159" i="2"/>
  <c r="DV159" i="2"/>
  <c r="DU159" i="2"/>
  <c r="DT159" i="2"/>
  <c r="DS159" i="2"/>
  <c r="DR159" i="2"/>
  <c r="ED158" i="2"/>
  <c r="EC158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GF157" i="2"/>
  <c r="GE157" i="2"/>
  <c r="GD157" i="2"/>
  <c r="GC157" i="2"/>
  <c r="GB157" i="2"/>
  <c r="EE157" i="2"/>
  <c r="EV155" i="2"/>
  <c r="ER155" i="2"/>
  <c r="EN155" i="2"/>
  <c r="EJ155" i="2"/>
  <c r="EW153" i="2"/>
  <c r="ES153" i="2"/>
  <c r="EO153" i="2"/>
  <c r="EK153" i="2"/>
  <c r="EG153" i="2"/>
  <c r="EH153" i="2" s="1"/>
  <c r="EI153" i="2" s="1"/>
  <c r="EI155" i="2" s="1"/>
  <c r="DZ145" i="2"/>
  <c r="ED143" i="2"/>
  <c r="EC143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GF141" i="2"/>
  <c r="GE141" i="2"/>
  <c r="GD141" i="2"/>
  <c r="GC141" i="2"/>
  <c r="GB141" i="2"/>
  <c r="ED123" i="2"/>
  <c r="EC123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ED122" i="2"/>
  <c r="EC122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GF121" i="2"/>
  <c r="GE121" i="2"/>
  <c r="GD121" i="2"/>
  <c r="GC121" i="2"/>
  <c r="GB121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ED106" i="2"/>
  <c r="EC106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GF105" i="2"/>
  <c r="GE105" i="2"/>
  <c r="GD105" i="2"/>
  <c r="GC105" i="2"/>
  <c r="GB105" i="2"/>
  <c r="EW102" i="2"/>
  <c r="EV102" i="2"/>
  <c r="EU102" i="2"/>
  <c r="ET102" i="2"/>
  <c r="ES102" i="2"/>
  <c r="ER102" i="2"/>
  <c r="EQ102" i="2"/>
  <c r="EP102" i="2"/>
  <c r="EO102" i="2"/>
  <c r="EN102" i="2"/>
  <c r="EM102" i="2"/>
  <c r="EL102" i="2"/>
  <c r="EK102" i="2"/>
  <c r="EJ102" i="2"/>
  <c r="EI102" i="2"/>
  <c r="EH102" i="2"/>
  <c r="EE102" i="2"/>
  <c r="ED102" i="2"/>
  <c r="EC102" i="2"/>
  <c r="EB102" i="2"/>
  <c r="EA102" i="2"/>
  <c r="DZ102" i="2"/>
  <c r="DY102" i="2"/>
  <c r="DX102" i="2"/>
  <c r="DW102" i="2"/>
  <c r="DV102" i="2"/>
  <c r="DT102" i="2"/>
  <c r="DS102" i="2"/>
  <c r="DR102" i="2"/>
  <c r="DQ102" i="2"/>
  <c r="DP102" i="2"/>
  <c r="DO102" i="2"/>
  <c r="DN102" i="2"/>
  <c r="DK102" i="2"/>
  <c r="DJ102" i="2"/>
  <c r="DI102" i="2"/>
  <c r="DH102" i="2"/>
  <c r="DG102" i="2"/>
  <c r="DF102" i="2"/>
  <c r="DC102" i="2"/>
  <c r="DB102" i="2"/>
  <c r="DA102" i="2"/>
  <c r="CZ102" i="2"/>
  <c r="CY102" i="2"/>
  <c r="CX102" i="2"/>
  <c r="CW102" i="2"/>
  <c r="CV102" i="2"/>
  <c r="CU102" i="2"/>
  <c r="CT102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BA100" i="2"/>
  <c r="FL100" i="2" s="1"/>
  <c r="AX100" i="2"/>
  <c r="AW100" i="2"/>
  <c r="FK100" i="2" s="1"/>
  <c r="AV100" i="2"/>
  <c r="AU100" i="2"/>
  <c r="AT100" i="2"/>
  <c r="AS100" i="2"/>
  <c r="FJ100" i="2" s="1"/>
  <c r="AR100" i="2"/>
  <c r="AQ100" i="2"/>
  <c r="AP100" i="2"/>
  <c r="AF100" i="2"/>
  <c r="AA100" i="2"/>
  <c r="Z100" i="2"/>
  <c r="Y100" i="2"/>
  <c r="FE100" i="2" s="1"/>
  <c r="X100" i="2"/>
  <c r="V100" i="2"/>
  <c r="I100" i="2"/>
  <c r="FA100" i="2" s="1"/>
  <c r="H100" i="2"/>
  <c r="G100" i="2"/>
  <c r="F100" i="2"/>
  <c r="E100" i="2"/>
  <c r="EZ100" i="2" s="1"/>
  <c r="D100" i="2"/>
  <c r="C100" i="2"/>
  <c r="B100" i="2"/>
  <c r="CU99" i="2"/>
  <c r="CC99" i="2"/>
  <c r="FS99" i="2" s="1"/>
  <c r="CB99" i="2"/>
  <c r="BY99" i="2"/>
  <c r="FR99" i="2" s="1"/>
  <c r="BX99" i="2"/>
  <c r="BW99" i="2"/>
  <c r="BU99" i="2"/>
  <c r="FQ99" i="2" s="1"/>
  <c r="BT99" i="2"/>
  <c r="BS99" i="2"/>
  <c r="BR99" i="2"/>
  <c r="BQ99" i="2"/>
  <c r="FP99" i="2" s="1"/>
  <c r="BO99" i="2"/>
  <c r="BN99" i="2"/>
  <c r="BM99" i="2"/>
  <c r="FO99" i="2" s="1"/>
  <c r="BL99" i="2"/>
  <c r="BG99" i="2"/>
  <c r="AN99" i="2"/>
  <c r="AI99" i="2"/>
  <c r="AD99" i="2"/>
  <c r="AC99" i="2"/>
  <c r="FF99" i="2" s="1"/>
  <c r="N99" i="2"/>
  <c r="D99" i="2"/>
  <c r="C99" i="2"/>
  <c r="B99" i="2"/>
  <c r="EC98" i="2"/>
  <c r="GF98" i="2" s="1"/>
  <c r="EB98" i="2"/>
  <c r="DZ98" i="2"/>
  <c r="DY98" i="2"/>
  <c r="GE98" i="2" s="1"/>
  <c r="DX98" i="2"/>
  <c r="DW98" i="2"/>
  <c r="DU98" i="2"/>
  <c r="GD98" i="2" s="1"/>
  <c r="DS98" i="2"/>
  <c r="DR98" i="2"/>
  <c r="DP98" i="2"/>
  <c r="DO98" i="2"/>
  <c r="DM98" i="2"/>
  <c r="GB98" i="2" s="1"/>
  <c r="DL98" i="2"/>
  <c r="DJ98" i="2"/>
  <c r="DH98" i="2"/>
  <c r="DG98" i="2"/>
  <c r="DF98" i="2"/>
  <c r="DD98" i="2"/>
  <c r="DB98" i="2"/>
  <c r="DA98" i="2"/>
  <c r="FY98" i="2" s="1"/>
  <c r="CZ98" i="2"/>
  <c r="CY98" i="2"/>
  <c r="CW98" i="2"/>
  <c r="FX98" i="2" s="1"/>
  <c r="CV98" i="2"/>
  <c r="CU98" i="2"/>
  <c r="CT98" i="2"/>
  <c r="CN98" i="2"/>
  <c r="CL98" i="2"/>
  <c r="CJ98" i="2"/>
  <c r="CI98" i="2"/>
  <c r="CF98" i="2"/>
  <c r="CE98" i="2"/>
  <c r="CD98" i="2"/>
  <c r="CC98" i="2"/>
  <c r="FS98" i="2" s="1"/>
  <c r="CB98" i="2"/>
  <c r="CA98" i="2"/>
  <c r="BZ98" i="2"/>
  <c r="BY98" i="2"/>
  <c r="FR98" i="2" s="1"/>
  <c r="BX98" i="2"/>
  <c r="BW98" i="2"/>
  <c r="BV98" i="2"/>
  <c r="BU98" i="2"/>
  <c r="FQ98" i="2" s="1"/>
  <c r="BT98" i="2"/>
  <c r="BS98" i="2"/>
  <c r="BR98" i="2"/>
  <c r="BQ98" i="2"/>
  <c r="FP98" i="2" s="1"/>
  <c r="BP98" i="2"/>
  <c r="BO98" i="2"/>
  <c r="BN98" i="2"/>
  <c r="BM98" i="2"/>
  <c r="FO98" i="2" s="1"/>
  <c r="BL98" i="2"/>
  <c r="BK98" i="2"/>
  <c r="BJ98" i="2"/>
  <c r="BI98" i="2"/>
  <c r="FN98" i="2" s="1"/>
  <c r="BG98" i="2"/>
  <c r="BF98" i="2"/>
  <c r="BD98" i="2"/>
  <c r="BC98" i="2"/>
  <c r="AY98" i="2"/>
  <c r="AX98" i="2"/>
  <c r="AV98" i="2"/>
  <c r="AU98" i="2"/>
  <c r="AT98" i="2"/>
  <c r="AS98" i="2"/>
  <c r="FJ98" i="2" s="1"/>
  <c r="AR98" i="2"/>
  <c r="AP98" i="2"/>
  <c r="AO98" i="2"/>
  <c r="FI98" i="2" s="1"/>
  <c r="AN98" i="2"/>
  <c r="AM98" i="2"/>
  <c r="AK98" i="2"/>
  <c r="FH98" i="2" s="1"/>
  <c r="AJ98" i="2"/>
  <c r="AI98" i="2"/>
  <c r="AH98" i="2"/>
  <c r="AG98" i="2"/>
  <c r="FG98" i="2" s="1"/>
  <c r="AE98" i="2"/>
  <c r="AD98" i="2"/>
  <c r="AC98" i="2"/>
  <c r="FF98" i="2" s="1"/>
  <c r="AB98" i="2"/>
  <c r="AA98" i="2"/>
  <c r="Y98" i="2"/>
  <c r="FE98" i="2" s="1"/>
  <c r="W98" i="2"/>
  <c r="V98" i="2"/>
  <c r="U98" i="2"/>
  <c r="FD98" i="2" s="1"/>
  <c r="T98" i="2"/>
  <c r="Q98" i="2"/>
  <c r="FC98" i="2" s="1"/>
  <c r="P98" i="2"/>
  <c r="O98" i="2"/>
  <c r="N98" i="2"/>
  <c r="M98" i="2"/>
  <c r="FB98" i="2" s="1"/>
  <c r="L98" i="2"/>
  <c r="K98" i="2"/>
  <c r="J98" i="2"/>
  <c r="I98" i="2"/>
  <c r="FA98" i="2" s="1"/>
  <c r="H98" i="2"/>
  <c r="G98" i="2"/>
  <c r="F98" i="2"/>
  <c r="D98" i="2"/>
  <c r="C98" i="2"/>
  <c r="B98" i="2"/>
  <c r="ED94" i="2"/>
  <c r="EC94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S94" i="2"/>
  <c r="R94" i="2"/>
  <c r="Q94" i="2"/>
  <c r="P94" i="2"/>
  <c r="N94" i="2"/>
  <c r="M94" i="2"/>
  <c r="L94" i="2"/>
  <c r="K94" i="2"/>
  <c r="J94" i="2"/>
  <c r="H94" i="2"/>
  <c r="G94" i="2"/>
  <c r="F94" i="2"/>
  <c r="D94" i="2"/>
  <c r="B94" i="2"/>
  <c r="EU86" i="2"/>
  <c r="ET86" i="2"/>
  <c r="EQ86" i="2"/>
  <c r="EP86" i="2"/>
  <c r="EM86" i="2"/>
  <c r="EL86" i="2"/>
  <c r="EI86" i="2"/>
  <c r="EH86" i="2"/>
  <c r="EF86" i="2"/>
  <c r="EE86" i="2"/>
  <c r="ED86" i="2"/>
  <c r="EC86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L86" i="2"/>
  <c r="DK86" i="2"/>
  <c r="DJ86" i="2"/>
  <c r="DI86" i="2"/>
  <c r="DG86" i="2"/>
  <c r="DF86" i="2"/>
  <c r="DC86" i="2"/>
  <c r="DB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O86" i="2"/>
  <c r="BN86" i="2"/>
  <c r="BL86" i="2"/>
  <c r="BK86" i="2"/>
  <c r="BJ86" i="2"/>
  <c r="BG86" i="2"/>
  <c r="BF86" i="2"/>
  <c r="BE86" i="2"/>
  <c r="BC86" i="2"/>
  <c r="BB86" i="2"/>
  <c r="AY86" i="2"/>
  <c r="AX86" i="2"/>
  <c r="AV86" i="2"/>
  <c r="AU86" i="2"/>
  <c r="AT86" i="2"/>
  <c r="AR86" i="2"/>
  <c r="AQ86" i="2"/>
  <c r="AP86" i="2"/>
  <c r="AM86" i="2"/>
  <c r="AL86" i="2"/>
  <c r="AH86" i="2"/>
  <c r="AE86" i="2"/>
  <c r="AD86" i="2"/>
  <c r="AB86" i="2"/>
  <c r="AA86" i="2"/>
  <c r="Z86" i="2"/>
  <c r="W86" i="2"/>
  <c r="V86" i="2"/>
  <c r="S86" i="2"/>
  <c r="R86" i="2"/>
  <c r="O86" i="2"/>
  <c r="N86" i="2"/>
  <c r="L86" i="2"/>
  <c r="K86" i="2"/>
  <c r="J86" i="2"/>
  <c r="F86" i="2"/>
  <c r="C86" i="2"/>
  <c r="B86" i="2"/>
  <c r="EE83" i="2"/>
  <c r="ED83" i="2"/>
  <c r="EC83" i="2"/>
  <c r="GF83" i="2" s="1"/>
  <c r="EB83" i="2"/>
  <c r="EA83" i="2"/>
  <c r="DZ83" i="2"/>
  <c r="DY83" i="2"/>
  <c r="DX83" i="2"/>
  <c r="DW83" i="2"/>
  <c r="DV83" i="2"/>
  <c r="DU83" i="2"/>
  <c r="GD83" i="2" s="1"/>
  <c r="DT83" i="2"/>
  <c r="DS83" i="2"/>
  <c r="DR83" i="2"/>
  <c r="DQ83" i="2"/>
  <c r="DP83" i="2"/>
  <c r="DO83" i="2"/>
  <c r="DN83" i="2"/>
  <c r="DM83" i="2"/>
  <c r="DL83" i="2"/>
  <c r="DK83" i="2"/>
  <c r="DJ83" i="2"/>
  <c r="DI83" i="2"/>
  <c r="GA83" i="2" s="1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FR83" i="2" s="1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FL83" i="2" s="1"/>
  <c r="AZ83" i="2"/>
  <c r="AY83" i="2"/>
  <c r="AX83" i="2"/>
  <c r="AW83" i="2"/>
  <c r="FK83" i="2" s="1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FF83" i="2" s="1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FB83" i="2" s="1"/>
  <c r="L83" i="2"/>
  <c r="K83" i="2"/>
  <c r="J83" i="2"/>
  <c r="I83" i="2"/>
  <c r="H83" i="2"/>
  <c r="G83" i="2"/>
  <c r="F83" i="2"/>
  <c r="E83" i="2"/>
  <c r="EZ83" i="2" s="1"/>
  <c r="D83" i="2"/>
  <c r="C83" i="2"/>
  <c r="B83" i="2"/>
  <c r="FF72" i="2"/>
  <c r="FE72" i="2"/>
  <c r="FD72" i="2"/>
  <c r="FC72" i="2"/>
  <c r="FB72" i="2"/>
  <c r="FA72" i="2"/>
  <c r="EZ72" i="2"/>
  <c r="FQ69" i="2"/>
  <c r="ED59" i="2"/>
  <c r="ED36" i="2" s="1"/>
  <c r="EC59" i="2"/>
  <c r="EB59" i="2"/>
  <c r="EA59" i="2"/>
  <c r="DZ59" i="2"/>
  <c r="DY59" i="2"/>
  <c r="DY36" i="2" s="1"/>
  <c r="DX59" i="2"/>
  <c r="DX36" i="2" s="1"/>
  <c r="DW59" i="2"/>
  <c r="DW36" i="2" s="1"/>
  <c r="DV59" i="2"/>
  <c r="DV36" i="2" s="1"/>
  <c r="DU59" i="2"/>
  <c r="DT59" i="2"/>
  <c r="DT36" i="2" s="1"/>
  <c r="DS59" i="2"/>
  <c r="DR59" i="2"/>
  <c r="DR36" i="2" s="1"/>
  <c r="DQ59" i="2"/>
  <c r="DQ36" i="2" s="1"/>
  <c r="DP59" i="2"/>
  <c r="DP36" i="2" s="1"/>
  <c r="DO59" i="2"/>
  <c r="DN59" i="2"/>
  <c r="DN36" i="2" s="1"/>
  <c r="DM59" i="2"/>
  <c r="DM36" i="2" s="1"/>
  <c r="DL59" i="2"/>
  <c r="DL36" i="2" s="1"/>
  <c r="DK59" i="2"/>
  <c r="DK36" i="2" s="1"/>
  <c r="DJ59" i="2"/>
  <c r="DJ36" i="2" s="1"/>
  <c r="DI59" i="2"/>
  <c r="DH59" i="2"/>
  <c r="DG59" i="2"/>
  <c r="DG36" i="2" s="1"/>
  <c r="DF59" i="2"/>
  <c r="DF36" i="2" s="1"/>
  <c r="DE59" i="2"/>
  <c r="DE36" i="2" s="1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E54" i="2"/>
  <c r="D54" i="2"/>
  <c r="C54" i="2"/>
  <c r="B54" i="2"/>
  <c r="ED45" i="2"/>
  <c r="EE45" i="2" s="1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FY36" i="2"/>
  <c r="FX36" i="2"/>
  <c r="FW36" i="2"/>
  <c r="FV36" i="2"/>
  <c r="GF30" i="2"/>
  <c r="GE30" i="2"/>
  <c r="GD30" i="2"/>
  <c r="GC30" i="2"/>
  <c r="GB30" i="2"/>
  <c r="GA30" i="2"/>
  <c r="FZ30" i="2"/>
  <c r="FY30" i="2"/>
  <c r="FX30" i="2"/>
  <c r="FW30" i="2"/>
  <c r="FV30" i="2"/>
  <c r="EE30" i="2"/>
  <c r="DH26" i="2"/>
  <c r="DC26" i="2"/>
  <c r="CF26" i="2"/>
  <c r="CE26" i="2"/>
  <c r="AZ26" i="2"/>
  <c r="FZ24" i="2"/>
  <c r="FY24" i="2"/>
  <c r="FX24" i="2"/>
  <c r="FW24" i="2"/>
  <c r="FV24" i="2"/>
  <c r="FU24" i="2"/>
  <c r="DB24" i="2"/>
  <c r="CX24" i="2"/>
  <c r="CT24" i="2"/>
  <c r="CR24" i="2"/>
  <c r="CQ24" i="2"/>
  <c r="CJ24" i="2"/>
  <c r="CH24" i="2"/>
  <c r="CR23" i="2"/>
  <c r="CQ23" i="2"/>
  <c r="CN23" i="2"/>
  <c r="DC18" i="2"/>
  <c r="DB18" i="2"/>
  <c r="DA18" i="2"/>
  <c r="CV18" i="2"/>
  <c r="CU18" i="2"/>
  <c r="CR18" i="2"/>
  <c r="CP18" i="2"/>
  <c r="CO18" i="2"/>
  <c r="CN18" i="2"/>
  <c r="CL18" i="2"/>
  <c r="CK18" i="2"/>
  <c r="CJ18" i="2"/>
  <c r="CI18" i="2"/>
  <c r="CE18" i="2"/>
  <c r="CD18" i="2"/>
  <c r="CC18" i="2"/>
  <c r="BY18" i="2"/>
  <c r="BX18" i="2"/>
  <c r="BW18" i="2"/>
  <c r="BS18" i="2"/>
  <c r="BR18" i="2"/>
  <c r="BQ18" i="2"/>
  <c r="BP18" i="2"/>
  <c r="BL18" i="2"/>
  <c r="BK18" i="2"/>
  <c r="BJ18" i="2"/>
  <c r="BF18" i="2"/>
  <c r="BE18" i="2"/>
  <c r="BD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T14" i="2"/>
  <c r="AL14" i="2"/>
  <c r="AE14" i="2"/>
  <c r="AA14" i="2"/>
  <c r="X14" i="2"/>
  <c r="W14" i="2"/>
  <c r="N14" i="2"/>
  <c r="M14" i="2"/>
  <c r="L14" i="2"/>
  <c r="G14" i="2"/>
  <c r="C14" i="2"/>
  <c r="B14" i="2"/>
  <c r="EA10" i="2"/>
  <c r="DZ10" i="2"/>
  <c r="DY10" i="2"/>
  <c r="DV10" i="2"/>
  <c r="DS10" i="2"/>
  <c r="DP10" i="2"/>
  <c r="DM10" i="2"/>
  <c r="DH10" i="2"/>
  <c r="DG10" i="2"/>
  <c r="DE10" i="2"/>
  <c r="DC10" i="2"/>
  <c r="DB10" i="2"/>
  <c r="DB25" i="2" s="1"/>
  <c r="CW10" i="2"/>
  <c r="CO10" i="2"/>
  <c r="CN10" i="2"/>
  <c r="CN25" i="2" s="1"/>
  <c r="CJ10" i="2"/>
  <c r="CE10" i="2"/>
  <c r="CD10" i="2"/>
  <c r="CD25" i="2" s="1"/>
  <c r="CC10" i="2"/>
  <c r="CB10" i="2"/>
  <c r="BW10" i="2"/>
  <c r="BM10" i="2"/>
  <c r="BL10" i="2"/>
  <c r="BK10" i="2"/>
  <c r="BJ10" i="2"/>
  <c r="AZ10" i="2"/>
  <c r="AY10" i="2"/>
  <c r="AP10" i="2"/>
  <c r="S10" i="2"/>
  <c r="K10" i="2"/>
  <c r="J10" i="2"/>
  <c r="C10" i="2"/>
  <c r="ED4" i="2"/>
  <c r="ED358" i="2" s="1"/>
  <c r="EC4" i="2"/>
  <c r="EB4" i="2"/>
  <c r="EA4" i="2"/>
  <c r="DZ4" i="2"/>
  <c r="DY4" i="2"/>
  <c r="DX4" i="2"/>
  <c r="DX358" i="2" s="1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Q89" i="2" s="1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B58" i="2" s="1"/>
  <c r="AA4" i="2"/>
  <c r="AA58" i="2" s="1"/>
  <c r="Z4" i="2"/>
  <c r="Z58" i="2" s="1"/>
  <c r="Y4" i="2"/>
  <c r="Y58" i="2" s="1"/>
  <c r="X4" i="2"/>
  <c r="X58" i="2" s="1"/>
  <c r="W4" i="2"/>
  <c r="V4" i="2"/>
  <c r="V58" i="2" s="1"/>
  <c r="U4" i="2"/>
  <c r="T4" i="2"/>
  <c r="T58" i="2" s="1"/>
  <c r="S4" i="2"/>
  <c r="R4" i="2"/>
  <c r="Q4" i="2"/>
  <c r="P4" i="2"/>
  <c r="P58" i="2" s="1"/>
  <c r="O4" i="2"/>
  <c r="N4" i="2"/>
  <c r="N58" i="2" s="1"/>
  <c r="M4" i="2"/>
  <c r="M58" i="2" s="1"/>
  <c r="L4" i="2"/>
  <c r="K4" i="2"/>
  <c r="J4" i="2"/>
  <c r="J58" i="2" s="1"/>
  <c r="I4" i="2"/>
  <c r="H4" i="2"/>
  <c r="H58" i="2" s="1"/>
  <c r="G4" i="2"/>
  <c r="F4" i="2"/>
  <c r="E4" i="2"/>
  <c r="D4" i="2"/>
  <c r="C4" i="2"/>
  <c r="B4" i="2"/>
  <c r="DH266" i="2" l="1"/>
  <c r="EE275" i="2"/>
  <c r="DO145" i="2"/>
  <c r="DV145" i="2"/>
  <c r="DV148" i="2" s="1"/>
  <c r="EA145" i="2"/>
  <c r="EA146" i="2" s="1"/>
  <c r="DU145" i="2"/>
  <c r="DY147" i="2" s="1"/>
  <c r="DT133" i="2"/>
  <c r="DT134" i="2" s="1"/>
  <c r="DP145" i="2"/>
  <c r="EB145" i="2"/>
  <c r="DJ145" i="2"/>
  <c r="DJ153" i="2" s="1"/>
  <c r="DV133" i="2"/>
  <c r="DZ135" i="2" s="1"/>
  <c r="DO149" i="2"/>
  <c r="DO150" i="2" s="1"/>
  <c r="DK380" i="2"/>
  <c r="DO188" i="2"/>
  <c r="DR149" i="2"/>
  <c r="DF376" i="2"/>
  <c r="DS149" i="2"/>
  <c r="DS152" i="2" s="1"/>
  <c r="DM145" i="2"/>
  <c r="DN145" i="2"/>
  <c r="DL149" i="2"/>
  <c r="DL150" i="2" s="1"/>
  <c r="EB321" i="2"/>
  <c r="DU133" i="2"/>
  <c r="DY135" i="2" s="1"/>
  <c r="DK372" i="2"/>
  <c r="FR522" i="2"/>
  <c r="FS531" i="2"/>
  <c r="DX113" i="2"/>
  <c r="DX116" i="2" s="1"/>
  <c r="DP133" i="2"/>
  <c r="DK145" i="2"/>
  <c r="DQ145" i="2"/>
  <c r="DW145" i="2"/>
  <c r="DW148" i="2" s="1"/>
  <c r="EC145" i="2"/>
  <c r="EC148" i="2" s="1"/>
  <c r="CZ425" i="2"/>
  <c r="FZ470" i="2"/>
  <c r="DX145" i="2"/>
  <c r="EB147" i="2" s="1"/>
  <c r="AE195" i="2"/>
  <c r="AE188" i="2" s="1"/>
  <c r="AE191" i="2" s="1"/>
  <c r="DE195" i="2"/>
  <c r="DE222" i="2" s="1"/>
  <c r="DW117" i="2"/>
  <c r="DW120" i="2" s="1"/>
  <c r="DJ133" i="2"/>
  <c r="DK134" i="2" s="1"/>
  <c r="DL145" i="2"/>
  <c r="DR145" i="2"/>
  <c r="DR153" i="2" s="1"/>
  <c r="DR156" i="2" s="1"/>
  <c r="FT535" i="2"/>
  <c r="CJ195" i="2"/>
  <c r="CJ222" i="2" s="1"/>
  <c r="DC267" i="2"/>
  <c r="DI188" i="3"/>
  <c r="EL198" i="3"/>
  <c r="CE386" i="3"/>
  <c r="DI387" i="3"/>
  <c r="AP14" i="2"/>
  <c r="BM18" i="2"/>
  <c r="BM21" i="2" s="1"/>
  <c r="CF18" i="2"/>
  <c r="CF19" i="2" s="1"/>
  <c r="CW18" i="2"/>
  <c r="CW19" i="2" s="1"/>
  <c r="FG122" i="3"/>
  <c r="AD14" i="2"/>
  <c r="AE15" i="2" s="1"/>
  <c r="BG18" i="2"/>
  <c r="BG21" i="2" s="1"/>
  <c r="BZ18" i="2"/>
  <c r="BZ21" i="2" s="1"/>
  <c r="CQ18" i="2"/>
  <c r="CQ19" i="2" s="1"/>
  <c r="BZ14" i="3"/>
  <c r="CQ12" i="3"/>
  <c r="DB30" i="3"/>
  <c r="EZ46" i="3"/>
  <c r="FN98" i="3"/>
  <c r="CP285" i="3"/>
  <c r="DT285" i="3"/>
  <c r="EO18" i="3"/>
  <c r="CO26" i="2" s="1"/>
  <c r="CO31" i="2" s="1"/>
  <c r="DB26" i="3"/>
  <c r="EH73" i="3"/>
  <c r="CM13" i="3"/>
  <c r="EP26" i="3"/>
  <c r="FE26" i="3"/>
  <c r="CX87" i="3"/>
  <c r="DV108" i="3"/>
  <c r="EU109" i="3"/>
  <c r="DV280" i="3"/>
  <c r="CF376" i="3"/>
  <c r="BP51" i="3"/>
  <c r="DA286" i="3"/>
  <c r="DZ374" i="3"/>
  <c r="DG20" i="3"/>
  <c r="GS46" i="3"/>
  <c r="ES122" i="3"/>
  <c r="AV15" i="3"/>
  <c r="R14" i="2"/>
  <c r="R17" i="2" s="1"/>
  <c r="CQ21" i="3"/>
  <c r="CS77" i="3"/>
  <c r="BB98" i="2" s="1"/>
  <c r="CR78" i="3"/>
  <c r="CH81" i="3"/>
  <c r="DR92" i="3"/>
  <c r="DV113" i="3"/>
  <c r="DI114" i="3"/>
  <c r="EU119" i="3"/>
  <c r="CZ201" i="3"/>
  <c r="EA212" i="3"/>
  <c r="DQ219" i="3"/>
  <c r="CW22" i="3"/>
  <c r="DQ28" i="3"/>
  <c r="EZ108" i="3"/>
  <c r="EP109" i="3"/>
  <c r="BT115" i="3"/>
  <c r="FL122" i="3"/>
  <c r="EG311" i="3"/>
  <c r="DI375" i="3"/>
  <c r="DP375" i="3"/>
  <c r="EE375" i="3"/>
  <c r="EM375" i="3"/>
  <c r="CX10" i="2"/>
  <c r="CX25" i="2" s="1"/>
  <c r="AJ18" i="2"/>
  <c r="AJ19" i="2" s="1"/>
  <c r="DD18" i="2"/>
  <c r="DD21" i="2" s="1"/>
  <c r="DI15" i="3"/>
  <c r="FE28" i="3"/>
  <c r="AJ58" i="3"/>
  <c r="CR76" i="3"/>
  <c r="DG96" i="3"/>
  <c r="DH122" i="3"/>
  <c r="CO121" i="3"/>
  <c r="CP121" i="3" s="1"/>
  <c r="EF121" i="3"/>
  <c r="EG307" i="3"/>
  <c r="DN285" i="3"/>
  <c r="DV114" i="3"/>
  <c r="BZ10" i="2"/>
  <c r="CB97" i="2" s="1"/>
  <c r="CX18" i="2"/>
  <c r="CX21" i="2" s="1"/>
  <c r="BU41" i="2"/>
  <c r="FQ41" i="2" s="1"/>
  <c r="BB45" i="2"/>
  <c r="BB32" i="2" s="1"/>
  <c r="BB35" i="2" s="1"/>
  <c r="GN21" i="3"/>
  <c r="DQ20" i="3"/>
  <c r="DL22" i="3"/>
  <c r="BN26" i="3"/>
  <c r="DE51" i="3"/>
  <c r="BD28" i="3"/>
  <c r="GS28" i="3"/>
  <c r="FT34" i="3"/>
  <c r="FY40" i="3"/>
  <c r="AH92" i="3"/>
  <c r="DB86" i="3"/>
  <c r="DK87" i="3"/>
  <c r="DK92" i="3" s="1"/>
  <c r="DY92" i="3"/>
  <c r="BF114" i="3"/>
  <c r="CL119" i="3"/>
  <c r="CM119" i="3" s="1"/>
  <c r="EU120" i="3"/>
  <c r="GN121" i="3"/>
  <c r="CM184" i="3"/>
  <c r="EF297" i="3"/>
  <c r="ER304" i="3"/>
  <c r="EQ11" i="3"/>
  <c r="EG21" i="3"/>
  <c r="EP22" i="3"/>
  <c r="GD26" i="3"/>
  <c r="GN26" i="3"/>
  <c r="DY27" i="3"/>
  <c r="DG28" i="3"/>
  <c r="ER10" i="3"/>
  <c r="DL20" i="3"/>
  <c r="EQ23" i="3"/>
  <c r="EK28" i="3"/>
  <c r="FJ28" i="3"/>
  <c r="GJ29" i="3"/>
  <c r="CW36" i="3"/>
  <c r="GD46" i="3"/>
  <c r="BJ143" i="3"/>
  <c r="BJ51" i="3"/>
  <c r="DG9" i="3"/>
  <c r="CM28" i="3"/>
  <c r="FO28" i="3"/>
  <c r="DG30" i="3"/>
  <c r="BN36" i="3"/>
  <c r="CE13" i="2"/>
  <c r="EV11" i="3"/>
  <c r="EO17" i="3"/>
  <c r="EA22" i="3"/>
  <c r="FY22" i="3"/>
  <c r="ED23" i="3"/>
  <c r="DG26" i="3"/>
  <c r="DV26" i="3"/>
  <c r="BV27" i="3"/>
  <c r="EL27" i="3"/>
  <c r="BN28" i="3"/>
  <c r="CZ37" i="3"/>
  <c r="EE115" i="3"/>
  <c r="EF113" i="3"/>
  <c r="EE51" i="3"/>
  <c r="EE27" i="3"/>
  <c r="AF122" i="3"/>
  <c r="AG120" i="3"/>
  <c r="DR122" i="3"/>
  <c r="DV121" i="3"/>
  <c r="AE89" i="2"/>
  <c r="BO89" i="2"/>
  <c r="AO11" i="3"/>
  <c r="BS11" i="3"/>
  <c r="CW11" i="3"/>
  <c r="FY11" i="3"/>
  <c r="DE17" i="3"/>
  <c r="DQ22" i="3"/>
  <c r="DN23" i="3"/>
  <c r="EU26" i="3"/>
  <c r="GI26" i="3"/>
  <c r="DX27" i="3"/>
  <c r="AY28" i="3"/>
  <c r="CH28" i="3"/>
  <c r="GD28" i="3"/>
  <c r="EU34" i="3"/>
  <c r="FO34" i="3"/>
  <c r="GI40" i="3"/>
  <c r="BN58" i="3"/>
  <c r="CI115" i="3"/>
  <c r="CJ114" i="3"/>
  <c r="ES271" i="3"/>
  <c r="FD55" i="3"/>
  <c r="CP77" i="3"/>
  <c r="AZ98" i="2" s="1"/>
  <c r="FI77" i="3"/>
  <c r="DE98" i="2" s="1"/>
  <c r="FZ98" i="2" s="1"/>
  <c r="DI87" i="3"/>
  <c r="DI92" i="3" s="1"/>
  <c r="FK98" i="3"/>
  <c r="FX108" i="3"/>
  <c r="DE109" i="3"/>
  <c r="DF109" i="3" s="1"/>
  <c r="EP114" i="3"/>
  <c r="AK122" i="3"/>
  <c r="BY122" i="3"/>
  <c r="EK121" i="3"/>
  <c r="CD186" i="3"/>
  <c r="EF217" i="3"/>
  <c r="EG218" i="3"/>
  <c r="EP248" i="3"/>
  <c r="EP258" i="3"/>
  <c r="CC281" i="3"/>
  <c r="DZ285" i="3"/>
  <c r="CS386" i="3"/>
  <c r="BW389" i="3"/>
  <c r="AT100" i="3"/>
  <c r="DQ108" i="3"/>
  <c r="EK108" i="3"/>
  <c r="EA109" i="3"/>
  <c r="GQ115" i="3"/>
  <c r="CS115" i="3"/>
  <c r="FF115" i="3"/>
  <c r="DP387" i="3"/>
  <c r="GN75" i="3"/>
  <c r="DX73" i="3"/>
  <c r="GA98" i="3"/>
  <c r="EF108" i="3"/>
  <c r="DV109" i="3"/>
  <c r="EK109" i="3"/>
  <c r="GO77" i="3"/>
  <c r="ED98" i="2" s="1"/>
  <c r="CQ152" i="3"/>
  <c r="CR152" i="3" s="1"/>
  <c r="GE98" i="3"/>
  <c r="GK98" i="3"/>
  <c r="GN108" i="3"/>
  <c r="EZ109" i="3"/>
  <c r="BZ114" i="3"/>
  <c r="AQ118" i="3"/>
  <c r="AR118" i="3" s="1"/>
  <c r="AS118" i="3" s="1"/>
  <c r="DY214" i="3"/>
  <c r="DI365" i="3"/>
  <c r="CA390" i="3"/>
  <c r="GS26" i="3"/>
  <c r="CC28" i="3"/>
  <c r="DL28" i="3"/>
  <c r="EZ28" i="3"/>
  <c r="GI28" i="3"/>
  <c r="BS36" i="3"/>
  <c r="CM46" i="3"/>
  <c r="EI73" i="3"/>
  <c r="ES73" i="3"/>
  <c r="DQ87" i="3"/>
  <c r="EC92" i="3"/>
  <c r="FO94" i="3"/>
  <c r="GC98" i="3"/>
  <c r="DC98" i="3"/>
  <c r="DP110" i="3"/>
  <c r="DP132" i="3" s="1"/>
  <c r="BU90" i="2" s="1"/>
  <c r="EA108" i="3"/>
  <c r="DQ109" i="3"/>
  <c r="EF109" i="3"/>
  <c r="ED115" i="3"/>
  <c r="BK114" i="3"/>
  <c r="GS114" i="3"/>
  <c r="DI118" i="3"/>
  <c r="GJ122" i="3"/>
  <c r="AV119" i="3"/>
  <c r="AW119" i="3" s="1"/>
  <c r="DQ121" i="3"/>
  <c r="DR198" i="3"/>
  <c r="DK214" i="3"/>
  <c r="BV282" i="3"/>
  <c r="EL303" i="3"/>
  <c r="ES304" i="3"/>
  <c r="DJ365" i="3"/>
  <c r="EB374" i="3"/>
  <c r="CA386" i="3"/>
  <c r="DE386" i="3"/>
  <c r="EI386" i="3"/>
  <c r="CB107" i="3"/>
  <c r="CB14" i="3" s="1"/>
  <c r="AO14" i="2" s="1"/>
  <c r="AO17" i="2" s="1"/>
  <c r="CA14" i="3"/>
  <c r="CA16" i="3" s="1"/>
  <c r="AN10" i="2" s="1"/>
  <c r="AN13" i="2" s="1"/>
  <c r="DG11" i="3"/>
  <c r="DV55" i="3"/>
  <c r="GD55" i="3"/>
  <c r="EP76" i="3"/>
  <c r="EO77" i="3"/>
  <c r="CO98" i="2" s="1"/>
  <c r="FV98" i="2" s="1"/>
  <c r="CT115" i="3"/>
  <c r="HK113" i="3"/>
  <c r="EV86" i="2" s="1"/>
  <c r="EV87" i="2" s="1"/>
  <c r="FB122" i="3"/>
  <c r="DM164" i="3"/>
  <c r="DV183" i="3"/>
  <c r="BW185" i="3"/>
  <c r="CN185" i="3"/>
  <c r="CY189" i="3"/>
  <c r="DF201" i="3"/>
  <c r="DU188" i="3"/>
  <c r="CR193" i="3"/>
  <c r="DV193" i="3"/>
  <c r="CM194" i="3"/>
  <c r="DL212" i="3"/>
  <c r="DV222" i="3"/>
  <c r="EC222" i="3"/>
  <c r="EG229" i="3"/>
  <c r="EF262" i="3"/>
  <c r="EF259" i="3" s="1"/>
  <c r="EL265" i="3"/>
  <c r="EN269" i="3"/>
  <c r="EO284" i="3"/>
  <c r="EM303" i="3"/>
  <c r="DG368" i="3"/>
  <c r="CV369" i="3"/>
  <c r="EA369" i="3"/>
  <c r="BZ380" i="3"/>
  <c r="CG381" i="3"/>
  <c r="BZ386" i="3"/>
  <c r="CS387" i="3"/>
  <c r="DK386" i="3"/>
  <c r="EN387" i="3"/>
  <c r="BY389" i="3"/>
  <c r="DZ18" i="2"/>
  <c r="CU13" i="3"/>
  <c r="DH189" i="3"/>
  <c r="EM307" i="3"/>
  <c r="CE196" i="3"/>
  <c r="EF219" i="3"/>
  <c r="EK251" i="3"/>
  <c r="DE375" i="3"/>
  <c r="DM375" i="3"/>
  <c r="DT375" i="3"/>
  <c r="FT11" i="3"/>
  <c r="AJ13" i="3"/>
  <c r="DD115" i="3"/>
  <c r="DJ114" i="3"/>
  <c r="FY114" i="3"/>
  <c r="DX161" i="3"/>
  <c r="BZ185" i="3"/>
  <c r="CG186" i="3"/>
  <c r="EE307" i="3"/>
  <c r="CM201" i="3"/>
  <c r="DK229" i="3"/>
  <c r="CR280" i="3"/>
  <c r="EQ304" i="3"/>
  <c r="CB375" i="3"/>
  <c r="CI387" i="3"/>
  <c r="CX387" i="3"/>
  <c r="DT387" i="3"/>
  <c r="FF87" i="3"/>
  <c r="GA87" i="3"/>
  <c r="GG87" i="3"/>
  <c r="CI186" i="3"/>
  <c r="EE311" i="3"/>
  <c r="CD283" i="3"/>
  <c r="CK283" i="3"/>
  <c r="EL309" i="3"/>
  <c r="CQ386" i="3"/>
  <c r="CY386" i="3"/>
  <c r="DW386" i="3"/>
  <c r="BZ398" i="3"/>
  <c r="E32" i="2"/>
  <c r="E35" i="2" s="1"/>
  <c r="BG32" i="2"/>
  <c r="BG35" i="2" s="1"/>
  <c r="BS32" i="2"/>
  <c r="BS35" i="2" s="1"/>
  <c r="BY32" i="2"/>
  <c r="BY35" i="2" s="1"/>
  <c r="CK32" i="2"/>
  <c r="CQ32" i="2"/>
  <c r="CQ37" i="2" s="1"/>
  <c r="DI32" i="2"/>
  <c r="DI35" i="2" s="1"/>
  <c r="DO32" i="2"/>
  <c r="GD15" i="3"/>
  <c r="CW98" i="3"/>
  <c r="EA98" i="3"/>
  <c r="EZ98" i="3"/>
  <c r="HE115" i="3"/>
  <c r="EV161" i="3"/>
  <c r="CH201" i="3"/>
  <c r="DY224" i="3"/>
  <c r="EE309" i="3"/>
  <c r="DQ345" i="3"/>
  <c r="BF15" i="3"/>
  <c r="AB14" i="2"/>
  <c r="AB15" i="2" s="1"/>
  <c r="FC13" i="3"/>
  <c r="CH18" i="2"/>
  <c r="FU18" i="2" s="1"/>
  <c r="BI11" i="3"/>
  <c r="DL11" i="3"/>
  <c r="EW16" i="3"/>
  <c r="CU10" i="2" s="1"/>
  <c r="CU11" i="2" s="1"/>
  <c r="EW13" i="3"/>
  <c r="FU13" i="3"/>
  <c r="DQ15" i="3"/>
  <c r="CR55" i="3"/>
  <c r="DL109" i="3"/>
  <c r="EJ73" i="3"/>
  <c r="CW77" i="3"/>
  <c r="CW100" i="3" s="1"/>
  <c r="EC73" i="3"/>
  <c r="ET73" i="3"/>
  <c r="BG121" i="3"/>
  <c r="BH121" i="3" s="1"/>
  <c r="BI121" i="3" s="1"/>
  <c r="EF345" i="3"/>
  <c r="BU18" i="2"/>
  <c r="BU20" i="2" s="1"/>
  <c r="CB18" i="2"/>
  <c r="CC19" i="2" s="1"/>
  <c r="CR21" i="3"/>
  <c r="BN13" i="3"/>
  <c r="GG13" i="3"/>
  <c r="DA16" i="3"/>
  <c r="AT98" i="3"/>
  <c r="BX98" i="3"/>
  <c r="CT88" i="3"/>
  <c r="BX184" i="3"/>
  <c r="BO18" i="2"/>
  <c r="BO21" i="2" s="1"/>
  <c r="FN16" i="3"/>
  <c r="FN18" i="3" s="1"/>
  <c r="DI26" i="2" s="1"/>
  <c r="DI31" i="2" s="1"/>
  <c r="FL27" i="3"/>
  <c r="EQ77" i="3"/>
  <c r="CP98" i="2" s="1"/>
  <c r="ER76" i="3"/>
  <c r="FC87" i="3"/>
  <c r="CE122" i="3"/>
  <c r="FB164" i="3"/>
  <c r="FC164" i="3" s="1"/>
  <c r="FC161" i="3" s="1"/>
  <c r="FF161" i="3"/>
  <c r="AL10" i="2"/>
  <c r="AP12" i="2" s="1"/>
  <c r="DR10" i="2"/>
  <c r="DR13" i="2" s="1"/>
  <c r="BI18" i="2"/>
  <c r="DL51" i="3"/>
  <c r="EA55" i="3"/>
  <c r="FE55" i="3"/>
  <c r="BM87" i="3"/>
  <c r="BM92" i="3" s="1"/>
  <c r="BN84" i="3"/>
  <c r="DY164" i="3"/>
  <c r="EB161" i="3"/>
  <c r="V14" i="2"/>
  <c r="W15" i="2" s="1"/>
  <c r="CZ18" i="2"/>
  <c r="DA19" i="2" s="1"/>
  <c r="BI32" i="2"/>
  <c r="BI35" i="2" s="1"/>
  <c r="BE98" i="2"/>
  <c r="FM98" i="2" s="1"/>
  <c r="AU14" i="2"/>
  <c r="BC18" i="2"/>
  <c r="BD19" i="2" s="1"/>
  <c r="CT18" i="2"/>
  <c r="CT21" i="2" s="1"/>
  <c r="EE59" i="2"/>
  <c r="EE36" i="2" s="1"/>
  <c r="FE23" i="3"/>
  <c r="GI21" i="3"/>
  <c r="AY13" i="3"/>
  <c r="CC13" i="3"/>
  <c r="DK12" i="2"/>
  <c r="ED13" i="3"/>
  <c r="BV107" i="3"/>
  <c r="BV14" i="3" s="1"/>
  <c r="AJ14" i="2" s="1"/>
  <c r="AJ17" i="2" s="1"/>
  <c r="BU14" i="3"/>
  <c r="FA161" i="3"/>
  <c r="DA198" i="3"/>
  <c r="DB197" i="3"/>
  <c r="CC183" i="3"/>
  <c r="DG183" i="3"/>
  <c r="EK183" i="3"/>
  <c r="CU198" i="3"/>
  <c r="DI198" i="3"/>
  <c r="DX198" i="3"/>
  <c r="DW214" i="3"/>
  <c r="DT224" i="3"/>
  <c r="DX228" i="3"/>
  <c r="EN228" i="3"/>
  <c r="EF263" i="3"/>
  <c r="EH271" i="3"/>
  <c r="DG280" i="3"/>
  <c r="EK280" i="3"/>
  <c r="EE286" i="3"/>
  <c r="DG369" i="3"/>
  <c r="CJ374" i="3"/>
  <c r="CQ374" i="3"/>
  <c r="CY374" i="3"/>
  <c r="DN374" i="3"/>
  <c r="DU374" i="3"/>
  <c r="CI376" i="3"/>
  <c r="CC395" i="3"/>
  <c r="CF397" i="3"/>
  <c r="AK16" i="3"/>
  <c r="AK17" i="3" s="1"/>
  <c r="DW73" i="3"/>
  <c r="ED73" i="3"/>
  <c r="EM73" i="3"/>
  <c r="CY88" i="3"/>
  <c r="BP115" i="3"/>
  <c r="EW161" i="3"/>
  <c r="CT201" i="3"/>
  <c r="BX194" i="3"/>
  <c r="DG197" i="3"/>
  <c r="DS198" i="3"/>
  <c r="DQ209" i="3"/>
  <c r="EF212" i="3"/>
  <c r="DA214" i="3"/>
  <c r="DF225" i="3"/>
  <c r="DC229" i="3"/>
  <c r="DJ228" i="3"/>
  <c r="EN271" i="3"/>
  <c r="BY283" i="3"/>
  <c r="CF283" i="3"/>
  <c r="CU286" i="3"/>
  <c r="DJ285" i="3"/>
  <c r="CV368" i="3"/>
  <c r="EA368" i="3"/>
  <c r="DQ369" i="3"/>
  <c r="BV374" i="3"/>
  <c r="CD374" i="3"/>
  <c r="CK374" i="3"/>
  <c r="CS374" i="3"/>
  <c r="ED374" i="3"/>
  <c r="EL374" i="3"/>
  <c r="DD387" i="3"/>
  <c r="EH387" i="3"/>
  <c r="BV389" i="3"/>
  <c r="CD389" i="3"/>
  <c r="BT398" i="3"/>
  <c r="CU107" i="3"/>
  <c r="CV107" i="3" s="1"/>
  <c r="AI108" i="3"/>
  <c r="AJ108" i="3" s="1"/>
  <c r="DI122" i="3"/>
  <c r="BR119" i="3"/>
  <c r="BS119" i="3" s="1"/>
  <c r="CC193" i="3"/>
  <c r="DG193" i="3"/>
  <c r="EK193" i="3"/>
  <c r="BZ195" i="3"/>
  <c r="EA209" i="3"/>
  <c r="DA224" i="3"/>
  <c r="CX228" i="3"/>
  <c r="DD228" i="3"/>
  <c r="EI229" i="3"/>
  <c r="EK248" i="3"/>
  <c r="EN265" i="3"/>
  <c r="EO271" i="3"/>
  <c r="CV286" i="3"/>
  <c r="EL305" i="3"/>
  <c r="EA345" i="3"/>
  <c r="EB387" i="3"/>
  <c r="CM396" i="3"/>
  <c r="GN107" i="3"/>
  <c r="CV189" i="3"/>
  <c r="CH194" i="3"/>
  <c r="CA196" i="3"/>
  <c r="DD215" i="3"/>
  <c r="EH311" i="3"/>
  <c r="DX225" i="3"/>
  <c r="DT229" i="3"/>
  <c r="CN375" i="3"/>
  <c r="CU375" i="3"/>
  <c r="DG373" i="3"/>
  <c r="DJ375" i="3"/>
  <c r="CB398" i="3"/>
  <c r="AJ21" i="3"/>
  <c r="BN21" i="3"/>
  <c r="DG21" i="3"/>
  <c r="DQ21" i="3"/>
  <c r="BD23" i="3"/>
  <c r="CH23" i="3"/>
  <c r="BS51" i="3"/>
  <c r="EF51" i="3"/>
  <c r="DL55" i="3"/>
  <c r="DQ55" i="3"/>
  <c r="DQ56" i="3" s="1"/>
  <c r="FQ66" i="2" s="1"/>
  <c r="CJ87" i="3"/>
  <c r="CT87" i="3"/>
  <c r="DH87" i="3"/>
  <c r="FR87" i="3"/>
  <c r="GL87" i="3"/>
  <c r="EP98" i="3"/>
  <c r="DG100" i="3"/>
  <c r="EK98" i="3"/>
  <c r="BC107" i="3"/>
  <c r="BC14" i="3" s="1"/>
  <c r="BC15" i="3" s="1"/>
  <c r="BG108" i="3"/>
  <c r="BH108" i="3" s="1"/>
  <c r="FE108" i="3"/>
  <c r="GR113" i="3"/>
  <c r="BZ122" i="3"/>
  <c r="EC161" i="3"/>
  <c r="DT189" i="3"/>
  <c r="EB188" i="3"/>
  <c r="EI307" i="3"/>
  <c r="CJ196" i="3"/>
  <c r="CC199" i="3"/>
  <c r="CT198" i="3"/>
  <c r="EF209" i="3"/>
  <c r="DQ212" i="3"/>
  <c r="CY214" i="3"/>
  <c r="DE215" i="3"/>
  <c r="DS224" i="3"/>
  <c r="DF229" i="3"/>
  <c r="DN229" i="3"/>
  <c r="EU258" i="3"/>
  <c r="EO264" i="3"/>
  <c r="CW280" i="3"/>
  <c r="EA280" i="3"/>
  <c r="BU282" i="3"/>
  <c r="CB283" i="3"/>
  <c r="CJ282" i="3"/>
  <c r="DF286" i="3"/>
  <c r="DU285" i="3"/>
  <c r="DL368" i="3"/>
  <c r="DA369" i="3"/>
  <c r="EF369" i="3"/>
  <c r="BZ376" i="3"/>
  <c r="CG376" i="3"/>
  <c r="CG377" i="3" s="1"/>
  <c r="EH375" i="3"/>
  <c r="CU374" i="3"/>
  <c r="BZ390" i="3"/>
  <c r="CG390" i="3"/>
  <c r="CD398" i="3"/>
  <c r="CK398" i="3"/>
  <c r="CU18" i="3"/>
  <c r="BD26" i="2" s="1"/>
  <c r="BD28" i="2" s="1"/>
  <c r="BD10" i="2"/>
  <c r="BD13" i="2" s="1"/>
  <c r="FU18" i="3"/>
  <c r="DN26" i="2" s="1"/>
  <c r="DN31" i="2" s="1"/>
  <c r="DN10" i="2"/>
  <c r="DN11" i="2" s="1"/>
  <c r="AH16" i="3"/>
  <c r="D10" i="2" s="1"/>
  <c r="D11" i="2" s="1"/>
  <c r="D14" i="2"/>
  <c r="D15" i="2" s="1"/>
  <c r="CQ87" i="3"/>
  <c r="EC122" i="3"/>
  <c r="EF122" i="3" s="1"/>
  <c r="EF120" i="3"/>
  <c r="FD121" i="3"/>
  <c r="FE121" i="3" s="1"/>
  <c r="EE198" i="3"/>
  <c r="EF197" i="3"/>
  <c r="AX10" i="2"/>
  <c r="AX13" i="2" s="1"/>
  <c r="E94" i="2"/>
  <c r="I96" i="2" s="1"/>
  <c r="EZ27" i="3"/>
  <c r="BD13" i="3"/>
  <c r="CH13" i="3"/>
  <c r="CZ13" i="3"/>
  <c r="DY13" i="3"/>
  <c r="FB13" i="3"/>
  <c r="FZ13" i="3"/>
  <c r="CC14" i="3"/>
  <c r="CC15" i="3" s="1"/>
  <c r="CW15" i="3"/>
  <c r="AV16" i="3"/>
  <c r="CT16" i="3"/>
  <c r="EE16" i="3"/>
  <c r="EF16" i="3" s="1"/>
  <c r="EF17" i="3" s="1"/>
  <c r="FZ17" i="3"/>
  <c r="EA23" i="3"/>
  <c r="EP55" i="3"/>
  <c r="EU55" i="3"/>
  <c r="FY55" i="3"/>
  <c r="GI55" i="3"/>
  <c r="EL73" i="3"/>
  <c r="FY77" i="3"/>
  <c r="AM121" i="3"/>
  <c r="AN121" i="3" s="1"/>
  <c r="CZ121" i="3"/>
  <c r="ES164" i="3"/>
  <c r="EX161" i="3" s="1"/>
  <c r="N10" i="2"/>
  <c r="N13" i="2" s="1"/>
  <c r="DW10" i="2"/>
  <c r="DW18" i="2" s="1"/>
  <c r="BB18" i="2"/>
  <c r="BB20" i="2" s="1"/>
  <c r="BH18" i="2"/>
  <c r="BL20" i="2" s="1"/>
  <c r="BN18" i="2"/>
  <c r="BN21" i="2" s="1"/>
  <c r="BT18" i="2"/>
  <c r="BX20" i="2" s="1"/>
  <c r="N26" i="2"/>
  <c r="N29" i="2" s="1"/>
  <c r="X98" i="2"/>
  <c r="BI13" i="3"/>
  <c r="GA13" i="3"/>
  <c r="BB16" i="3"/>
  <c r="T10" i="2" s="1"/>
  <c r="T11" i="2" s="1"/>
  <c r="EJ16" i="3"/>
  <c r="CK10" i="2" s="1"/>
  <c r="CK13" i="2" s="1"/>
  <c r="GM16" i="3"/>
  <c r="GF17" i="3"/>
  <c r="DL23" i="3"/>
  <c r="EK55" i="3"/>
  <c r="FO55" i="3"/>
  <c r="EV87" i="3"/>
  <c r="EV146" i="3" s="1"/>
  <c r="FH87" i="3"/>
  <c r="FM109" i="3"/>
  <c r="FO109" i="3" s="1"/>
  <c r="BM118" i="3"/>
  <c r="BN118" i="3" s="1"/>
  <c r="DT164" i="3"/>
  <c r="EH164" i="3"/>
  <c r="EG161" i="3"/>
  <c r="EL161" i="3"/>
  <c r="EU15" i="3"/>
  <c r="AN14" i="2"/>
  <c r="AN17" i="2" s="1"/>
  <c r="CA18" i="2"/>
  <c r="CA21" i="2" s="1"/>
  <c r="CG18" i="2"/>
  <c r="CM18" i="2"/>
  <c r="CM20" i="2" s="1"/>
  <c r="CS18" i="2"/>
  <c r="CY18" i="2"/>
  <c r="DC20" i="2" s="1"/>
  <c r="DE18" i="2"/>
  <c r="S98" i="2"/>
  <c r="BD11" i="3"/>
  <c r="CH11" i="3"/>
  <c r="EK11" i="3"/>
  <c r="FJ11" i="3"/>
  <c r="DF13" i="3"/>
  <c r="FH13" i="3"/>
  <c r="GF13" i="3"/>
  <c r="FJ15" i="3"/>
  <c r="GN15" i="3"/>
  <c r="CN18" i="3"/>
  <c r="AX26" i="2" s="1"/>
  <c r="AX29" i="2" s="1"/>
  <c r="AY21" i="3"/>
  <c r="EZ21" i="3"/>
  <c r="GD21" i="3"/>
  <c r="DG51" i="3"/>
  <c r="DB55" i="3"/>
  <c r="DE55" i="3"/>
  <c r="DG55" i="3" s="1"/>
  <c r="EE73" i="3"/>
  <c r="CZ87" i="3"/>
  <c r="EW87" i="3"/>
  <c r="GK87" i="3"/>
  <c r="GK147" i="3" s="1"/>
  <c r="CW108" i="3"/>
  <c r="CV118" i="3"/>
  <c r="CW118" i="3" s="1"/>
  <c r="FY15" i="3"/>
  <c r="BV113" i="3"/>
  <c r="AJ86" i="2" s="1"/>
  <c r="AJ89" i="2" s="1"/>
  <c r="FK124" i="3"/>
  <c r="FO124" i="3" s="1"/>
  <c r="FJ124" i="3"/>
  <c r="DX128" i="3"/>
  <c r="F10" i="2"/>
  <c r="J12" i="2" s="1"/>
  <c r="BB10" i="2"/>
  <c r="CF10" i="2"/>
  <c r="CF25" i="2" s="1"/>
  <c r="DI10" i="2"/>
  <c r="FO27" i="3"/>
  <c r="AO13" i="3"/>
  <c r="BS13" i="3"/>
  <c r="DM13" i="3"/>
  <c r="FI13" i="3"/>
  <c r="FO15" i="3"/>
  <c r="BO16" i="3"/>
  <c r="AD10" i="2" s="1"/>
  <c r="AD13" i="2" s="1"/>
  <c r="EF21" i="3"/>
  <c r="FE21" i="3"/>
  <c r="FO23" i="3"/>
  <c r="BN51" i="3"/>
  <c r="EF55" i="3"/>
  <c r="FJ55" i="3"/>
  <c r="FX87" i="3"/>
  <c r="DF119" i="3"/>
  <c r="DG119" i="3" s="1"/>
  <c r="CP124" i="3"/>
  <c r="CQ124" i="3" s="1"/>
  <c r="CR124" i="3" s="1"/>
  <c r="CP189" i="3"/>
  <c r="CR187" i="3"/>
  <c r="CR189" i="3" s="1"/>
  <c r="DT215" i="3"/>
  <c r="DT214" i="3"/>
  <c r="EB311" i="3"/>
  <c r="EB214" i="3"/>
  <c r="DX13" i="3"/>
  <c r="AH14" i="2"/>
  <c r="AL16" i="2" s="1"/>
  <c r="H14" i="2"/>
  <c r="L16" i="2" s="1"/>
  <c r="CW12" i="2"/>
  <c r="Q14" i="2"/>
  <c r="Q17" i="2" s="1"/>
  <c r="T86" i="2"/>
  <c r="T89" i="2" s="1"/>
  <c r="DQ11" i="3"/>
  <c r="AT13" i="3"/>
  <c r="DS13" i="3"/>
  <c r="EV13" i="3"/>
  <c r="GL13" i="3"/>
  <c r="DL15" i="3"/>
  <c r="FT15" i="3"/>
  <c r="EK21" i="3"/>
  <c r="FJ21" i="3"/>
  <c r="CC23" i="3"/>
  <c r="EZ51" i="3"/>
  <c r="CW55" i="3"/>
  <c r="GN55" i="3"/>
  <c r="EZ76" i="3"/>
  <c r="CG100" i="3"/>
  <c r="AS99" i="2" s="1"/>
  <c r="FJ99" i="2" s="1"/>
  <c r="CH77" i="3"/>
  <c r="CH100" i="3" s="1"/>
  <c r="BL114" i="3"/>
  <c r="BM114" i="3" s="1"/>
  <c r="BL119" i="3"/>
  <c r="BM119" i="3" s="1"/>
  <c r="DN164" i="3"/>
  <c r="DS161" i="3" s="1"/>
  <c r="DR161" i="3"/>
  <c r="FB161" i="3"/>
  <c r="FG161" i="3"/>
  <c r="CO375" i="3"/>
  <c r="CO374" i="3"/>
  <c r="CV375" i="3"/>
  <c r="CV374" i="3"/>
  <c r="BI100" i="3"/>
  <c r="BD98" i="3"/>
  <c r="BW107" i="3"/>
  <c r="CG109" i="3"/>
  <c r="CH109" i="3" s="1"/>
  <c r="GU115" i="3"/>
  <c r="CH183" i="3"/>
  <c r="DL183" i="3"/>
  <c r="EO373" i="3"/>
  <c r="BU185" i="3"/>
  <c r="CA185" i="3"/>
  <c r="DJ198" i="3"/>
  <c r="DY198" i="3"/>
  <c r="EM198" i="3"/>
  <c r="CC201" i="3"/>
  <c r="DG209" i="3"/>
  <c r="EK209" i="3"/>
  <c r="DL222" i="3"/>
  <c r="EU262" i="3"/>
  <c r="EU259" i="3" s="1"/>
  <c r="EE264" i="3"/>
  <c r="EG264" i="3"/>
  <c r="ER265" i="3"/>
  <c r="EM269" i="3"/>
  <c r="EM271" i="3" s="1"/>
  <c r="BW282" i="3"/>
  <c r="DY285" i="3"/>
  <c r="CB381" i="3"/>
  <c r="BW376" i="3"/>
  <c r="AY98" i="3"/>
  <c r="CC98" i="3"/>
  <c r="EU98" i="3"/>
  <c r="GI98" i="3"/>
  <c r="DQ100" i="3"/>
  <c r="AM107" i="3"/>
  <c r="AM14" i="3" s="1"/>
  <c r="AM15" i="3" s="1"/>
  <c r="AW107" i="3"/>
  <c r="BM108" i="3"/>
  <c r="BN108" i="3" s="1"/>
  <c r="BQ108" i="3"/>
  <c r="FD113" i="3"/>
  <c r="DA86" i="2" s="1"/>
  <c r="DA87" i="2" s="1"/>
  <c r="GV113" i="3"/>
  <c r="BB114" i="3"/>
  <c r="BB115" i="3" s="1"/>
  <c r="CU114" i="3"/>
  <c r="CV114" i="3" s="1"/>
  <c r="CV115" i="3" s="1"/>
  <c r="FD114" i="3"/>
  <c r="FE114" i="3" s="1"/>
  <c r="EK115" i="3"/>
  <c r="DJ118" i="3"/>
  <c r="BB119" i="3"/>
  <c r="BV119" i="3"/>
  <c r="CA120" i="3"/>
  <c r="CB120" i="3" s="1"/>
  <c r="AH124" i="3"/>
  <c r="AI124" i="3" s="1"/>
  <c r="CA124" i="3"/>
  <c r="CB124" i="3" s="1"/>
  <c r="BV185" i="3"/>
  <c r="CC184" i="3"/>
  <c r="DN188" i="3"/>
  <c r="DN189" i="3"/>
  <c r="DQ187" i="3"/>
  <c r="BU195" i="3"/>
  <c r="DS285" i="3"/>
  <c r="DV284" i="3"/>
  <c r="DV281" i="3" s="1"/>
  <c r="EG73" i="3"/>
  <c r="EN73" i="3"/>
  <c r="CN87" i="3"/>
  <c r="FL87" i="3"/>
  <c r="FZ87" i="3"/>
  <c r="FZ92" i="3" s="1"/>
  <c r="GF87" i="3"/>
  <c r="FO98" i="3"/>
  <c r="CK107" i="3"/>
  <c r="CK14" i="3" s="1"/>
  <c r="DB107" i="3"/>
  <c r="AO108" i="3"/>
  <c r="CQ108" i="3"/>
  <c r="CR108" i="3" s="1"/>
  <c r="BC109" i="3"/>
  <c r="BD109" i="3" s="1"/>
  <c r="CZ113" i="3"/>
  <c r="BH86" i="2" s="1"/>
  <c r="BH89" i="2" s="1"/>
  <c r="DQ115" i="3"/>
  <c r="BF122" i="3"/>
  <c r="CA118" i="3"/>
  <c r="CJ122" i="3"/>
  <c r="BC119" i="3"/>
  <c r="CF119" i="3"/>
  <c r="CG119" i="3" s="1"/>
  <c r="FH119" i="3"/>
  <c r="AR121" i="3"/>
  <c r="AS121" i="3" s="1"/>
  <c r="CU121" i="3"/>
  <c r="CV121" i="3" s="1"/>
  <c r="DV122" i="3"/>
  <c r="EZ122" i="3"/>
  <c r="BN124" i="3"/>
  <c r="CW183" i="3"/>
  <c r="CD185" i="3"/>
  <c r="CH184" i="3"/>
  <c r="CW187" i="3"/>
  <c r="DP188" i="3"/>
  <c r="DO188" i="3"/>
  <c r="EL189" i="3"/>
  <c r="CW193" i="3"/>
  <c r="EA193" i="3"/>
  <c r="DL227" i="3"/>
  <c r="EU248" i="3"/>
  <c r="CR284" i="3"/>
  <c r="DK285" i="3"/>
  <c r="EE374" i="3"/>
  <c r="CL386" i="3"/>
  <c r="CL387" i="3"/>
  <c r="BI98" i="3"/>
  <c r="DB100" i="3"/>
  <c r="EA100" i="3"/>
  <c r="GD107" i="3"/>
  <c r="CM109" i="3"/>
  <c r="EZ115" i="3"/>
  <c r="GN122" i="3"/>
  <c r="DW161" i="3"/>
  <c r="CE186" i="3"/>
  <c r="EC188" i="3"/>
  <c r="EB271" i="3"/>
  <c r="DA375" i="3"/>
  <c r="DA374" i="3"/>
  <c r="DX375" i="3"/>
  <c r="EA373" i="3"/>
  <c r="CA381" i="3"/>
  <c r="CF386" i="3"/>
  <c r="CG386" i="3"/>
  <c r="CF387" i="3"/>
  <c r="DJ387" i="3"/>
  <c r="CJ398" i="3"/>
  <c r="CJ397" i="3"/>
  <c r="DY73" i="3"/>
  <c r="EN87" i="3"/>
  <c r="EN148" i="3" s="1"/>
  <c r="FN87" i="3"/>
  <c r="FU87" i="3"/>
  <c r="FU147" i="3" s="1"/>
  <c r="AI107" i="3"/>
  <c r="BQ107" i="3"/>
  <c r="CC107" i="3"/>
  <c r="FT107" i="3"/>
  <c r="AM109" i="3"/>
  <c r="AH113" i="3"/>
  <c r="D86" i="2" s="1"/>
  <c r="D89" i="2" s="1"/>
  <c r="BC113" i="3"/>
  <c r="U86" i="2" s="1"/>
  <c r="EA115" i="3"/>
  <c r="BK122" i="3"/>
  <c r="CF118" i="3"/>
  <c r="DE118" i="3"/>
  <c r="DF118" i="3" s="1"/>
  <c r="AM119" i="3"/>
  <c r="AN119" i="3" s="1"/>
  <c r="CG120" i="3"/>
  <c r="DH164" i="3"/>
  <c r="DB183" i="3"/>
  <c r="CU189" i="3"/>
  <c r="DV187" i="3"/>
  <c r="EM188" i="3"/>
  <c r="BY196" i="3"/>
  <c r="DQ223" i="3"/>
  <c r="DR228" i="3"/>
  <c r="DY228" i="3"/>
  <c r="EH228" i="3"/>
  <c r="CQ285" i="3"/>
  <c r="CV285" i="3"/>
  <c r="CC373" i="3"/>
  <c r="DR375" i="3"/>
  <c r="DS374" i="3"/>
  <c r="DY375" i="3"/>
  <c r="DY374" i="3"/>
  <c r="BV397" i="3"/>
  <c r="EF183" i="3"/>
  <c r="BY185" i="3"/>
  <c r="CF186" i="3"/>
  <c r="CN186" i="3"/>
  <c r="CM189" i="3"/>
  <c r="DA188" i="3"/>
  <c r="EA187" i="3"/>
  <c r="EA184" i="3" s="1"/>
  <c r="DB193" i="3"/>
  <c r="EF193" i="3"/>
  <c r="CD196" i="3"/>
  <c r="CK196" i="3"/>
  <c r="EK197" i="3"/>
  <c r="BX201" i="3"/>
  <c r="DL209" i="3"/>
  <c r="EO227" i="3"/>
  <c r="CZ214" i="3"/>
  <c r="DF215" i="3"/>
  <c r="DN214" i="3"/>
  <c r="DU214" i="3"/>
  <c r="EE215" i="3"/>
  <c r="EA219" i="3"/>
  <c r="DQ222" i="3"/>
  <c r="DP234" i="3"/>
  <c r="DP230" i="3" s="1"/>
  <c r="DV223" i="3"/>
  <c r="DE229" i="3"/>
  <c r="DS229" i="3"/>
  <c r="DZ229" i="3"/>
  <c r="ET247" i="3"/>
  <c r="EK258" i="3"/>
  <c r="EP262" i="3"/>
  <c r="EP259" i="3" s="1"/>
  <c r="EH264" i="3"/>
  <c r="EU269" i="3"/>
  <c r="EU266" i="3" s="1"/>
  <c r="CE283" i="3"/>
  <c r="CL283" i="3"/>
  <c r="CX286" i="3"/>
  <c r="DM286" i="3"/>
  <c r="EH286" i="3"/>
  <c r="EJ304" i="3"/>
  <c r="ER303" i="3"/>
  <c r="DV345" i="3"/>
  <c r="DL369" i="3"/>
  <c r="DQ368" i="3"/>
  <c r="BT376" i="3"/>
  <c r="CA376" i="3"/>
  <c r="CI375" i="3"/>
  <c r="CP375" i="3"/>
  <c r="CW373" i="3"/>
  <c r="DD375" i="3"/>
  <c r="DK375" i="3"/>
  <c r="DS375" i="3"/>
  <c r="DZ375" i="3"/>
  <c r="EK373" i="3"/>
  <c r="EN375" i="3"/>
  <c r="CN380" i="3"/>
  <c r="CO387" i="3"/>
  <c r="CV387" i="3"/>
  <c r="DS387" i="3"/>
  <c r="DZ387" i="3"/>
  <c r="BU389" i="3"/>
  <c r="CB390" i="3"/>
  <c r="CJ389" i="3"/>
  <c r="BW397" i="3"/>
  <c r="CE398" i="3"/>
  <c r="BX396" i="3"/>
  <c r="BX398" i="3" s="1"/>
  <c r="DX201" i="3"/>
  <c r="DL213" i="3"/>
  <c r="DQ213" i="3"/>
  <c r="DH214" i="3"/>
  <c r="DJ234" i="3"/>
  <c r="DB227" i="3"/>
  <c r="DM229" i="3"/>
  <c r="EG271" i="3"/>
  <c r="ER271" i="3"/>
  <c r="EM304" i="3"/>
  <c r="ES305" i="3"/>
  <c r="CX374" i="3"/>
  <c r="BW374" i="3"/>
  <c r="CB380" i="3"/>
  <c r="CC396" i="3"/>
  <c r="DI215" i="3"/>
  <c r="DP215" i="3"/>
  <c r="DX215" i="3"/>
  <c r="DR214" i="3"/>
  <c r="DD234" i="3"/>
  <c r="DH229" i="3"/>
  <c r="DU229" i="3"/>
  <c r="EL229" i="3"/>
  <c r="EK262" i="3"/>
  <c r="EK259" i="3" s="1"/>
  <c r="EI271" i="3"/>
  <c r="BZ283" i="3"/>
  <c r="CG283" i="3"/>
  <c r="CW284" i="3"/>
  <c r="CZ286" i="3"/>
  <c r="EJ286" i="3"/>
  <c r="DF375" i="3"/>
  <c r="EI375" i="3"/>
  <c r="DT374" i="3"/>
  <c r="BX379" i="3"/>
  <c r="CQ387" i="3"/>
  <c r="DF387" i="3"/>
  <c r="DN387" i="3"/>
  <c r="CI386" i="3"/>
  <c r="EC387" i="3"/>
  <c r="CE390" i="3"/>
  <c r="CL390" i="3"/>
  <c r="BZ397" i="3"/>
  <c r="CG398" i="3"/>
  <c r="CG397" i="3"/>
  <c r="CM401" i="3"/>
  <c r="DQ183" i="3"/>
  <c r="CB186" i="3"/>
  <c r="DE189" i="3"/>
  <c r="DM188" i="3"/>
  <c r="DT188" i="3"/>
  <c r="CG196" i="3"/>
  <c r="CH199" i="3"/>
  <c r="DH198" i="3"/>
  <c r="DO198" i="3"/>
  <c r="DG212" i="3"/>
  <c r="DG213" i="3"/>
  <c r="DJ215" i="3"/>
  <c r="DY215" i="3"/>
  <c r="EK219" i="3"/>
  <c r="CX234" i="3"/>
  <c r="DA228" i="3"/>
  <c r="DI229" i="3"/>
  <c r="DO229" i="3"/>
  <c r="EA227" i="3"/>
  <c r="ED228" i="3"/>
  <c r="EM229" i="3"/>
  <c r="EF251" i="3"/>
  <c r="EJ265" i="3"/>
  <c r="EN264" i="3"/>
  <c r="ET271" i="3"/>
  <c r="BX281" i="3"/>
  <c r="CC283" i="3" s="1"/>
  <c r="CA283" i="3"/>
  <c r="CT286" i="3"/>
  <c r="EA284" i="3"/>
  <c r="ED286" i="3"/>
  <c r="EU294" i="3"/>
  <c r="EL304" i="3"/>
  <c r="EE303" i="3"/>
  <c r="DA368" i="3"/>
  <c r="EF368" i="3"/>
  <c r="DV369" i="3"/>
  <c r="CE376" i="3"/>
  <c r="CF377" i="3" s="1"/>
  <c r="CL376" i="3"/>
  <c r="CT375" i="3"/>
  <c r="CZ374" i="3"/>
  <c r="DH374" i="3"/>
  <c r="DO374" i="3"/>
  <c r="DW374" i="3"/>
  <c r="EC374" i="3"/>
  <c r="EJ375" i="3"/>
  <c r="CP374" i="3"/>
  <c r="CJ381" i="3"/>
  <c r="CK386" i="3"/>
  <c r="EI387" i="3"/>
  <c r="BY390" i="3"/>
  <c r="CF390" i="3"/>
  <c r="CA398" i="3"/>
  <c r="CI398" i="3"/>
  <c r="CZ329" i="2"/>
  <c r="DF368" i="2"/>
  <c r="DS188" i="2"/>
  <c r="DS191" i="2" s="1"/>
  <c r="CF15" i="2"/>
  <c r="DQ133" i="2"/>
  <c r="DQ136" i="2" s="1"/>
  <c r="CO324" i="2"/>
  <c r="DZ32" i="2"/>
  <c r="S20" i="2"/>
  <c r="CO190" i="2"/>
  <c r="CI324" i="2"/>
  <c r="AK20" i="2"/>
  <c r="BC20" i="2"/>
  <c r="AG19" i="2"/>
  <c r="AY19" i="2"/>
  <c r="G32" i="2"/>
  <c r="G35" i="2" s="1"/>
  <c r="M32" i="2"/>
  <c r="M35" i="2" s="1"/>
  <c r="Y32" i="2"/>
  <c r="Y35" i="2" s="1"/>
  <c r="AE32" i="2"/>
  <c r="AK32" i="2"/>
  <c r="AQ32" i="2"/>
  <c r="AW32" i="2"/>
  <c r="AW35" i="2" s="1"/>
  <c r="CA32" i="2"/>
  <c r="CA35" i="2" s="1"/>
  <c r="CG32" i="2"/>
  <c r="CG35" i="2" s="1"/>
  <c r="CS32" i="2"/>
  <c r="CS37" i="2" s="1"/>
  <c r="CY32" i="2"/>
  <c r="CY40" i="2" s="1"/>
  <c r="DE32" i="2"/>
  <c r="DE40" i="2" s="1"/>
  <c r="DK32" i="2"/>
  <c r="DK37" i="2" s="1"/>
  <c r="DQ32" i="2"/>
  <c r="DQ40" i="2" s="1"/>
  <c r="EC32" i="2"/>
  <c r="EC35" i="2" s="1"/>
  <c r="BO42" i="2"/>
  <c r="EA321" i="2"/>
  <c r="EA324" i="2" s="1"/>
  <c r="L32" i="2"/>
  <c r="L35" i="2" s="1"/>
  <c r="AJ32" i="2"/>
  <c r="AJ35" i="2" s="1"/>
  <c r="R88" i="2"/>
  <c r="AI88" i="2"/>
  <c r="DN109" i="2"/>
  <c r="GC109" i="2" s="1"/>
  <c r="DK116" i="2"/>
  <c r="C57" i="2"/>
  <c r="AG21" i="2"/>
  <c r="AS21" i="2"/>
  <c r="BW21" i="2"/>
  <c r="DD13" i="2"/>
  <c r="DH15" i="2"/>
  <c r="I21" i="2"/>
  <c r="O21" i="2"/>
  <c r="AM21" i="2"/>
  <c r="AY21" i="2"/>
  <c r="BQ21" i="2"/>
  <c r="CU21" i="2"/>
  <c r="O20" i="2"/>
  <c r="AY20" i="2"/>
  <c r="CC20" i="2"/>
  <c r="I47" i="2"/>
  <c r="O47" i="2"/>
  <c r="AA47" i="2"/>
  <c r="AN341" i="2"/>
  <c r="DG400" i="2"/>
  <c r="DM400" i="2"/>
  <c r="AO19" i="2"/>
  <c r="DC19" i="2"/>
  <c r="G87" i="2"/>
  <c r="AQ87" i="2"/>
  <c r="AY87" i="2"/>
  <c r="BO87" i="2"/>
  <c r="DG87" i="2"/>
  <c r="DM266" i="2"/>
  <c r="DM269" i="2" s="1"/>
  <c r="CE322" i="2"/>
  <c r="CQ322" i="2"/>
  <c r="AT341" i="2"/>
  <c r="AZ341" i="2"/>
  <c r="BF341" i="2"/>
  <c r="BL341" i="2"/>
  <c r="BR341" i="2"/>
  <c r="BX341" i="2"/>
  <c r="CD341" i="2"/>
  <c r="CJ341" i="2"/>
  <c r="DL372" i="2"/>
  <c r="DF384" i="2"/>
  <c r="CY397" i="2"/>
  <c r="AI19" i="2"/>
  <c r="BS19" i="2"/>
  <c r="CK19" i="2"/>
  <c r="T46" i="2"/>
  <c r="DB21" i="2"/>
  <c r="E19" i="2"/>
  <c r="W19" i="2"/>
  <c r="AD89" i="2"/>
  <c r="DV17" i="2"/>
  <c r="D32" i="2"/>
  <c r="J32" i="2"/>
  <c r="J35" i="2" s="1"/>
  <c r="P32" i="2"/>
  <c r="P35" i="2" s="1"/>
  <c r="V32" i="2"/>
  <c r="AB32" i="2"/>
  <c r="AH32" i="2"/>
  <c r="AT32" i="2"/>
  <c r="AZ32" i="2"/>
  <c r="AZ35" i="2" s="1"/>
  <c r="BR32" i="2"/>
  <c r="BX32" i="2"/>
  <c r="DN32" i="2"/>
  <c r="DN40" i="2" s="1"/>
  <c r="CC47" i="2"/>
  <c r="CI47" i="2"/>
  <c r="CU47" i="2"/>
  <c r="DY136" i="2"/>
  <c r="DH195" i="2"/>
  <c r="DH246" i="2" s="1"/>
  <c r="DZ195" i="2"/>
  <c r="DZ198" i="2" s="1"/>
  <c r="DH272" i="2"/>
  <c r="DL274" i="2" s="1"/>
  <c r="CF322" i="2"/>
  <c r="CL322" i="2"/>
  <c r="DE384" i="2"/>
  <c r="CA89" i="2"/>
  <c r="CM44" i="2"/>
  <c r="CY44" i="2"/>
  <c r="DN136" i="2"/>
  <c r="CQ195" i="2"/>
  <c r="CQ416" i="2" s="1"/>
  <c r="DC195" i="2"/>
  <c r="DC222" i="2" s="1"/>
  <c r="EA195" i="2"/>
  <c r="S44" i="2"/>
  <c r="BU89" i="2"/>
  <c r="CG89" i="2"/>
  <c r="CS89" i="2"/>
  <c r="EC44" i="2"/>
  <c r="BK12" i="2"/>
  <c r="DZ136" i="2"/>
  <c r="DI195" i="2"/>
  <c r="DI416" i="2" s="1"/>
  <c r="DY12" i="2"/>
  <c r="CL63" i="2"/>
  <c r="AQ84" i="2"/>
  <c r="BO84" i="2"/>
  <c r="CM84" i="2"/>
  <c r="DP124" i="2"/>
  <c r="DV195" i="2"/>
  <c r="BQ46" i="2"/>
  <c r="CC63" i="2"/>
  <c r="DA63" i="2"/>
  <c r="EC109" i="2"/>
  <c r="EC112" i="2" s="1"/>
  <c r="AW195" i="2"/>
  <c r="AW188" i="2" s="1"/>
  <c r="AW191" i="2" s="1"/>
  <c r="DK109" i="2"/>
  <c r="DK117" i="2" s="1"/>
  <c r="BX84" i="2"/>
  <c r="BE62" i="2"/>
  <c r="BK62" i="2"/>
  <c r="CC62" i="2"/>
  <c r="DA62" i="2"/>
  <c r="DG62" i="2"/>
  <c r="DQ113" i="2"/>
  <c r="DQ117" i="2" s="1"/>
  <c r="DQ120" i="2" s="1"/>
  <c r="EC113" i="2"/>
  <c r="EC116" i="2" s="1"/>
  <c r="CO46" i="2"/>
  <c r="CU63" i="2"/>
  <c r="CI63" i="2"/>
  <c r="DM63" i="2"/>
  <c r="CD210" i="2"/>
  <c r="FZ333" i="2"/>
  <c r="GF333" i="2"/>
  <c r="EE334" i="2"/>
  <c r="EE336" i="2" s="1"/>
  <c r="DL384" i="2"/>
  <c r="DY62" i="2"/>
  <c r="DF61" i="2"/>
  <c r="DW87" i="2"/>
  <c r="EI87" i="2"/>
  <c r="GD179" i="2"/>
  <c r="DO183" i="2"/>
  <c r="EA183" i="2"/>
  <c r="CF254" i="2"/>
  <c r="CF250" i="2" s="1"/>
  <c r="EE285" i="2"/>
  <c r="DR321" i="2"/>
  <c r="DR324" i="2" s="1"/>
  <c r="DF372" i="2"/>
  <c r="DM62" i="2"/>
  <c r="DS62" i="2"/>
  <c r="K11" i="2"/>
  <c r="CC12" i="2"/>
  <c r="CI19" i="2"/>
  <c r="BC87" i="2"/>
  <c r="DQ87" i="2"/>
  <c r="EC87" i="2"/>
  <c r="EQ87" i="2"/>
  <c r="AZ62" i="2"/>
  <c r="BF62" i="2"/>
  <c r="BL62" i="2"/>
  <c r="BR62" i="2"/>
  <c r="BX62" i="2"/>
  <c r="D19" i="2"/>
  <c r="P19" i="2"/>
  <c r="AH19" i="2"/>
  <c r="DB19" i="2"/>
  <c r="F32" i="2"/>
  <c r="F35" i="2" s="1"/>
  <c r="R32" i="2"/>
  <c r="R35" i="2" s="1"/>
  <c r="X32" i="2"/>
  <c r="X35" i="2" s="1"/>
  <c r="AD32" i="2"/>
  <c r="AD35" i="2" s="1"/>
  <c r="AK42" i="2"/>
  <c r="AQ42" i="2"/>
  <c r="AV32" i="2"/>
  <c r="AV35" i="2" s="1"/>
  <c r="BH32" i="2"/>
  <c r="BN32" i="2"/>
  <c r="BN35" i="2" s="1"/>
  <c r="BT32" i="2"/>
  <c r="BT35" i="2" s="1"/>
  <c r="BZ32" i="2"/>
  <c r="BZ35" i="2" s="1"/>
  <c r="CL32" i="2"/>
  <c r="CL37" i="2" s="1"/>
  <c r="CR32" i="2"/>
  <c r="CX32" i="2"/>
  <c r="DD32" i="2"/>
  <c r="DD35" i="2" s="1"/>
  <c r="DJ32" i="2"/>
  <c r="DJ35" i="2" s="1"/>
  <c r="DP32" i="2"/>
  <c r="DV32" i="2"/>
  <c r="DV37" i="2" s="1"/>
  <c r="EB32" i="2"/>
  <c r="EB35" i="2" s="1"/>
  <c r="BA63" i="2"/>
  <c r="BG63" i="2"/>
  <c r="BM63" i="2"/>
  <c r="P95" i="2"/>
  <c r="AH95" i="2"/>
  <c r="AZ95" i="2"/>
  <c r="BR95" i="2"/>
  <c r="CJ95" i="2"/>
  <c r="DB95" i="2"/>
  <c r="DZ95" i="2"/>
  <c r="DR113" i="2"/>
  <c r="DR116" i="2" s="1"/>
  <c r="DT116" i="2"/>
  <c r="DZ116" i="2"/>
  <c r="FW214" i="2"/>
  <c r="CS280" i="2"/>
  <c r="DL368" i="2"/>
  <c r="CZ376" i="2"/>
  <c r="CZ380" i="2"/>
  <c r="FU469" i="2"/>
  <c r="FT519" i="2"/>
  <c r="Y85" i="2"/>
  <c r="DS135" i="2"/>
  <c r="BU85" i="2"/>
  <c r="DQ85" i="2"/>
  <c r="AV88" i="2"/>
  <c r="FL14" i="2"/>
  <c r="BD15" i="2"/>
  <c r="FR14" i="2"/>
  <c r="CH16" i="2"/>
  <c r="CN15" i="2"/>
  <c r="FX14" i="2"/>
  <c r="DF15" i="2"/>
  <c r="GD14" i="2"/>
  <c r="DX15" i="2"/>
  <c r="DW46" i="2"/>
  <c r="EC63" i="2"/>
  <c r="AG210" i="2"/>
  <c r="AS210" i="2"/>
  <c r="FM345" i="2"/>
  <c r="FS345" i="2"/>
  <c r="FY345" i="2"/>
  <c r="GE345" i="2"/>
  <c r="FS535" i="2"/>
  <c r="CA13" i="2"/>
  <c r="AP32" i="2"/>
  <c r="AP35" i="2" s="1"/>
  <c r="CY42" i="2"/>
  <c r="U46" i="2"/>
  <c r="DY160" i="2"/>
  <c r="DY124" i="2"/>
  <c r="DU109" i="2"/>
  <c r="DU110" i="2" s="1"/>
  <c r="EC36" i="2"/>
  <c r="L43" i="2"/>
  <c r="X43" i="2"/>
  <c r="AJ43" i="2"/>
  <c r="AV43" i="2"/>
  <c r="BH43" i="2"/>
  <c r="BT43" i="2"/>
  <c r="CF43" i="2"/>
  <c r="CR43" i="2"/>
  <c r="DD43" i="2"/>
  <c r="DP43" i="2"/>
  <c r="DX46" i="2"/>
  <c r="DM108" i="2"/>
  <c r="DM136" i="2"/>
  <c r="DM160" i="2"/>
  <c r="BR195" i="2"/>
  <c r="BR222" i="2" s="1"/>
  <c r="BX15" i="2"/>
  <c r="CV15" i="2"/>
  <c r="DM16" i="2"/>
  <c r="EA15" i="2"/>
  <c r="FR18" i="2"/>
  <c r="BO32" i="2"/>
  <c r="Y42" i="2"/>
  <c r="BF84" i="2"/>
  <c r="CP84" i="2"/>
  <c r="DZ84" i="2"/>
  <c r="EU87" i="2"/>
  <c r="BF95" i="2"/>
  <c r="DS124" i="2"/>
  <c r="DM144" i="2"/>
  <c r="DS160" i="2"/>
  <c r="BM11" i="2"/>
  <c r="BL15" i="2"/>
  <c r="DB15" i="2"/>
  <c r="DH31" i="2"/>
  <c r="DO15" i="2"/>
  <c r="L5" i="2"/>
  <c r="Q6" i="2"/>
  <c r="AD5" i="2"/>
  <c r="AO44" i="2"/>
  <c r="AV5" i="2"/>
  <c r="BA44" i="2"/>
  <c r="BG17" i="2"/>
  <c r="BM44" i="2"/>
  <c r="BS6" i="2"/>
  <c r="BY17" i="2"/>
  <c r="CR5" i="2"/>
  <c r="CW17" i="2"/>
  <c r="DD5" i="2"/>
  <c r="DI6" i="2"/>
  <c r="EA6" i="2"/>
  <c r="AZ11" i="2"/>
  <c r="P43" i="2"/>
  <c r="CJ43" i="2"/>
  <c r="CV43" i="2"/>
  <c r="DB43" i="2"/>
  <c r="DT43" i="2"/>
  <c r="FX83" i="2"/>
  <c r="CW85" i="2"/>
  <c r="EC108" i="2"/>
  <c r="DU124" i="2"/>
  <c r="AL29" i="2"/>
  <c r="DK42" i="2"/>
  <c r="F6" i="2"/>
  <c r="L6" i="2"/>
  <c r="AP6" i="2"/>
  <c r="AV6" i="2"/>
  <c r="BH6" i="2"/>
  <c r="BN6" i="2"/>
  <c r="BZ6" i="2"/>
  <c r="CF6" i="2"/>
  <c r="CR6" i="2"/>
  <c r="CX6" i="2"/>
  <c r="DJ6" i="2"/>
  <c r="DP6" i="2"/>
  <c r="EB6" i="2"/>
  <c r="Q43" i="2"/>
  <c r="W43" i="2"/>
  <c r="AO43" i="2"/>
  <c r="BA43" i="2"/>
  <c r="BG43" i="2"/>
  <c r="BM43" i="2"/>
  <c r="DC43" i="2"/>
  <c r="DI43" i="2"/>
  <c r="DU43" i="2"/>
  <c r="DE42" i="2"/>
  <c r="EC85" i="2"/>
  <c r="DU88" i="2"/>
  <c r="EA88" i="2"/>
  <c r="EM88" i="2"/>
  <c r="EA109" i="2"/>
  <c r="EA111" i="2" s="1"/>
  <c r="DW185" i="2"/>
  <c r="CH190" i="2"/>
  <c r="AN242" i="2"/>
  <c r="AZ242" i="2"/>
  <c r="BX242" i="2"/>
  <c r="CD242" i="2"/>
  <c r="DB242" i="2"/>
  <c r="DH242" i="2"/>
  <c r="BX273" i="2"/>
  <c r="CJ273" i="2"/>
  <c r="DC372" i="2"/>
  <c r="DC368" i="2"/>
  <c r="DC380" i="2"/>
  <c r="DI368" i="2"/>
  <c r="DI372" i="2"/>
  <c r="AF46" i="2"/>
  <c r="AR46" i="2"/>
  <c r="BD46" i="2"/>
  <c r="BP46" i="2"/>
  <c r="CB46" i="2"/>
  <c r="CN46" i="2"/>
  <c r="CZ46" i="2"/>
  <c r="DL46" i="2"/>
  <c r="F84" i="2"/>
  <c r="L84" i="2"/>
  <c r="R84" i="2"/>
  <c r="X84" i="2"/>
  <c r="AD84" i="2"/>
  <c r="AJ84" i="2"/>
  <c r="AP84" i="2"/>
  <c r="AV84" i="2"/>
  <c r="BB84" i="2"/>
  <c r="BN84" i="2"/>
  <c r="BT84" i="2"/>
  <c r="BZ84" i="2"/>
  <c r="CF84" i="2"/>
  <c r="CL84" i="2"/>
  <c r="CR84" i="2"/>
  <c r="CX84" i="2"/>
  <c r="DJ84" i="2"/>
  <c r="DP84" i="2"/>
  <c r="DV84" i="2"/>
  <c r="EB84" i="2"/>
  <c r="F88" i="2"/>
  <c r="W88" i="2"/>
  <c r="CY87" i="2"/>
  <c r="DT88" i="2"/>
  <c r="EF88" i="2"/>
  <c r="EL88" i="2"/>
  <c r="V95" i="2"/>
  <c r="CP95" i="2"/>
  <c r="CH189" i="2"/>
  <c r="CM190" i="2"/>
  <c r="FY190" i="2"/>
  <c r="AQ195" i="2"/>
  <c r="AQ188" i="2" s="1"/>
  <c r="AQ191" i="2" s="1"/>
  <c r="BC195" i="2"/>
  <c r="BC188" i="2" s="1"/>
  <c r="BC191" i="2" s="1"/>
  <c r="CA195" i="2"/>
  <c r="CA188" i="2" s="1"/>
  <c r="CA191" i="2" s="1"/>
  <c r="CM195" i="2"/>
  <c r="CM198" i="2" s="1"/>
  <c r="CY195" i="2"/>
  <c r="CY222" i="2" s="1"/>
  <c r="DK195" i="2"/>
  <c r="DK416" i="2" s="1"/>
  <c r="DC376" i="2"/>
  <c r="EB43" i="2"/>
  <c r="L95" i="2"/>
  <c r="R95" i="2"/>
  <c r="X95" i="2"/>
  <c r="AD95" i="2"/>
  <c r="AJ95" i="2"/>
  <c r="AP95" i="2"/>
  <c r="AV95" i="2"/>
  <c r="BB95" i="2"/>
  <c r="BH95" i="2"/>
  <c r="BN95" i="2"/>
  <c r="BT95" i="2"/>
  <c r="BZ95" i="2"/>
  <c r="CF95" i="2"/>
  <c r="CL95" i="2"/>
  <c r="CR95" i="2"/>
  <c r="CX95" i="2"/>
  <c r="DD95" i="2"/>
  <c r="DJ95" i="2"/>
  <c r="DP95" i="2"/>
  <c r="DV95" i="2"/>
  <c r="EB95" i="2"/>
  <c r="CI189" i="2"/>
  <c r="DE400" i="2"/>
  <c r="DK400" i="2"/>
  <c r="CO234" i="2"/>
  <c r="AK243" i="2"/>
  <c r="AQ243" i="2"/>
  <c r="AW243" i="2"/>
  <c r="BI243" i="2"/>
  <c r="BO243" i="2"/>
  <c r="BU243" i="2"/>
  <c r="CA243" i="2"/>
  <c r="CG243" i="2"/>
  <c r="CS243" i="2"/>
  <c r="CY243" i="2"/>
  <c r="DK243" i="2"/>
  <c r="DT272" i="2"/>
  <c r="DT288" i="2" s="1"/>
  <c r="FY323" i="2"/>
  <c r="AJ340" i="2"/>
  <c r="BB340" i="2"/>
  <c r="BT340" i="2"/>
  <c r="CL340" i="2"/>
  <c r="CZ372" i="2"/>
  <c r="DL376" i="2"/>
  <c r="FZ469" i="2"/>
  <c r="DT266" i="2"/>
  <c r="DT149" i="2" s="1"/>
  <c r="DT151" i="2" s="1"/>
  <c r="FP272" i="2"/>
  <c r="FP278" i="2" s="1"/>
  <c r="FV272" i="2"/>
  <c r="FV288" i="2" s="1"/>
  <c r="BS281" i="2"/>
  <c r="BY281" i="2"/>
  <c r="CE281" i="2"/>
  <c r="CZ368" i="2"/>
  <c r="DH430" i="2"/>
  <c r="CT280" i="2"/>
  <c r="CN329" i="2"/>
  <c r="CP5" i="2"/>
  <c r="C13" i="2"/>
  <c r="U20" i="2"/>
  <c r="Q19" i="2"/>
  <c r="AA6" i="2"/>
  <c r="AM6" i="2"/>
  <c r="CK5" i="2"/>
  <c r="DO5" i="2"/>
  <c r="AC20" i="2"/>
  <c r="AF5" i="2"/>
  <c r="AR5" i="2"/>
  <c r="BD5" i="2"/>
  <c r="BJ5" i="2"/>
  <c r="BP5" i="2"/>
  <c r="BV5" i="2"/>
  <c r="CB5" i="2"/>
  <c r="CH5" i="2"/>
  <c r="CN5" i="2"/>
  <c r="DA5" i="2"/>
  <c r="DM5" i="2"/>
  <c r="DV6" i="2"/>
  <c r="FO10" i="2"/>
  <c r="O19" i="2"/>
  <c r="AG20" i="2"/>
  <c r="BA32" i="2"/>
  <c r="DC32" i="2"/>
  <c r="DC35" i="2" s="1"/>
  <c r="DT32" i="2"/>
  <c r="DT40" i="2" s="1"/>
  <c r="CQ43" i="2"/>
  <c r="EB63" i="2"/>
  <c r="EB36" i="2"/>
  <c r="EB61" i="2"/>
  <c r="BY85" i="2"/>
  <c r="AE87" i="2"/>
  <c r="AM87" i="2"/>
  <c r="BT87" i="2"/>
  <c r="CF87" i="2"/>
  <c r="DS87" i="2"/>
  <c r="DY87" i="2"/>
  <c r="EE87" i="2"/>
  <c r="DS5" i="2"/>
  <c r="DY13" i="2"/>
  <c r="BL43" i="2"/>
  <c r="BL32" i="2"/>
  <c r="FT41" i="2"/>
  <c r="H47" i="2"/>
  <c r="CO13" i="2"/>
  <c r="AI32" i="2"/>
  <c r="AI35" i="2" s="1"/>
  <c r="AI43" i="2"/>
  <c r="CW32" i="2"/>
  <c r="CW37" i="2" s="1"/>
  <c r="CW43" i="2"/>
  <c r="GF41" i="2"/>
  <c r="EA32" i="2"/>
  <c r="EA35" i="2" s="1"/>
  <c r="DS36" i="2"/>
  <c r="DS63" i="2"/>
  <c r="CP11" i="2"/>
  <c r="CO20" i="2"/>
  <c r="K20" i="2"/>
  <c r="AU20" i="2"/>
  <c r="DH48" i="2"/>
  <c r="W32" i="2"/>
  <c r="BS43" i="2"/>
  <c r="E46" i="2"/>
  <c r="K46" i="2"/>
  <c r="Q46" i="2"/>
  <c r="W46" i="2"/>
  <c r="AC46" i="2"/>
  <c r="AI46" i="2"/>
  <c r="AO46" i="2"/>
  <c r="AU46" i="2"/>
  <c r="BA46" i="2"/>
  <c r="BG46" i="2"/>
  <c r="BM46" i="2"/>
  <c r="BS46" i="2"/>
  <c r="BY46" i="2"/>
  <c r="CE46" i="2"/>
  <c r="CK46" i="2"/>
  <c r="CQ46" i="2"/>
  <c r="CW46" i="2"/>
  <c r="DC46" i="2"/>
  <c r="DI46" i="2"/>
  <c r="DO46" i="2"/>
  <c r="DU46" i="2"/>
  <c r="EA46" i="2"/>
  <c r="BX63" i="2"/>
  <c r="DN63" i="2"/>
  <c r="DN60" i="2"/>
  <c r="DY6" i="2"/>
  <c r="DJ15" i="2"/>
  <c r="BB17" i="2"/>
  <c r="BH15" i="2"/>
  <c r="BN15" i="2"/>
  <c r="BT17" i="2"/>
  <c r="BZ15" i="2"/>
  <c r="CL17" i="2"/>
  <c r="CR15" i="2"/>
  <c r="CX15" i="2"/>
  <c r="DD17" i="2"/>
  <c r="DP15" i="2"/>
  <c r="EB15" i="2"/>
  <c r="CJ32" i="2"/>
  <c r="CJ35" i="2" s="1"/>
  <c r="DB32" i="2"/>
  <c r="DB40" i="2" s="1"/>
  <c r="FF41" i="2"/>
  <c r="FR41" i="2"/>
  <c r="GD41" i="2"/>
  <c r="CD43" i="2"/>
  <c r="FH83" i="2"/>
  <c r="AK85" i="2"/>
  <c r="FN83" i="2"/>
  <c r="BI85" i="2"/>
  <c r="CS85" i="2"/>
  <c r="FW83" i="2"/>
  <c r="CS63" i="2"/>
  <c r="FZ83" i="2"/>
  <c r="GA85" i="2" s="1"/>
  <c r="DE85" i="2"/>
  <c r="AC85" i="2"/>
  <c r="CM13" i="2"/>
  <c r="DQ12" i="2"/>
  <c r="FI18" i="2"/>
  <c r="AZ19" i="2"/>
  <c r="BR19" i="2"/>
  <c r="CJ19" i="2"/>
  <c r="AZ48" i="2"/>
  <c r="AZ51" i="2" s="1"/>
  <c r="M42" i="2"/>
  <c r="AE42" i="2"/>
  <c r="BI42" i="2"/>
  <c r="CZ63" i="2"/>
  <c r="DR63" i="2"/>
  <c r="BI84" i="2"/>
  <c r="DE84" i="2"/>
  <c r="L87" i="2"/>
  <c r="AT88" i="2"/>
  <c r="BR88" i="2"/>
  <c r="BX88" i="2"/>
  <c r="FT86" i="2"/>
  <c r="CJ88" i="2"/>
  <c r="CP88" i="2"/>
  <c r="CV88" i="2"/>
  <c r="DJ88" i="2"/>
  <c r="DK108" i="2"/>
  <c r="DZ108" i="2"/>
  <c r="DZ109" i="2"/>
  <c r="DZ112" i="2" s="1"/>
  <c r="DY113" i="2"/>
  <c r="DY116" i="2" s="1"/>
  <c r="DQ124" i="2"/>
  <c r="DY144" i="2"/>
  <c r="DN185" i="2"/>
  <c r="DZ184" i="2"/>
  <c r="ED199" i="2"/>
  <c r="ED109" i="2" s="1"/>
  <c r="EE212" i="2"/>
  <c r="DZ215" i="2"/>
  <c r="DQ108" i="2"/>
  <c r="CN190" i="2"/>
  <c r="GC209" i="2"/>
  <c r="GC219" i="2" s="1"/>
  <c r="DO436" i="2"/>
  <c r="DO432" i="2" s="1"/>
  <c r="DO321" i="2"/>
  <c r="DO323" i="2" s="1"/>
  <c r="D84" i="2"/>
  <c r="V84" i="2"/>
  <c r="DH84" i="2"/>
  <c r="AP88" i="2"/>
  <c r="CG87" i="2"/>
  <c r="CM87" i="2"/>
  <c r="C95" i="2"/>
  <c r="H95" i="2"/>
  <c r="Z95" i="2"/>
  <c r="BJ95" i="2"/>
  <c r="BV95" i="2"/>
  <c r="CT95" i="2"/>
  <c r="ED95" i="2"/>
  <c r="GC102" i="2"/>
  <c r="GE107" i="2"/>
  <c r="DS113" i="2"/>
  <c r="DS116" i="2" s="1"/>
  <c r="DW124" i="2"/>
  <c r="DT162" i="2"/>
  <c r="CO189" i="2"/>
  <c r="DQ189" i="2"/>
  <c r="BT195" i="2"/>
  <c r="DW195" i="2"/>
  <c r="DW198" i="2" s="1"/>
  <c r="AH211" i="2"/>
  <c r="FH218" i="2"/>
  <c r="FN218" i="2"/>
  <c r="FT218" i="2"/>
  <c r="FZ218" i="2"/>
  <c r="GF218" i="2"/>
  <c r="DO272" i="2"/>
  <c r="DO278" i="2" s="1"/>
  <c r="CL328" i="2"/>
  <c r="DW160" i="2"/>
  <c r="AD195" i="2"/>
  <c r="AD188" i="2" s="1"/>
  <c r="AD191" i="2" s="1"/>
  <c r="CJ211" i="2"/>
  <c r="CD215" i="2"/>
  <c r="BW13" i="2"/>
  <c r="DG13" i="2"/>
  <c r="DP18" i="2"/>
  <c r="DP21" i="2" s="1"/>
  <c r="EZ18" i="2"/>
  <c r="I20" i="2"/>
  <c r="AA20" i="2"/>
  <c r="AM20" i="2"/>
  <c r="AS20" i="2"/>
  <c r="BW20" i="2"/>
  <c r="CI20" i="2"/>
  <c r="BQ19" i="2"/>
  <c r="AZ43" i="2"/>
  <c r="BR43" i="2"/>
  <c r="CG42" i="2"/>
  <c r="CS42" i="2"/>
  <c r="DQ42" i="2"/>
  <c r="CA63" i="2"/>
  <c r="K85" i="2"/>
  <c r="W85" i="2"/>
  <c r="AI85" i="2"/>
  <c r="AU85" i="2"/>
  <c r="BG85" i="2"/>
  <c r="BS85" i="2"/>
  <c r="CE85" i="2"/>
  <c r="CQ85" i="2"/>
  <c r="DC85" i="2"/>
  <c r="DO85" i="2"/>
  <c r="EA85" i="2"/>
  <c r="DV88" i="2"/>
  <c r="EB88" i="2"/>
  <c r="EH88" i="2"/>
  <c r="D95" i="2"/>
  <c r="GJ102" i="2"/>
  <c r="DY108" i="2"/>
  <c r="GD143" i="2"/>
  <c r="DS144" i="2"/>
  <c r="GD167" i="2"/>
  <c r="GD171" i="2"/>
  <c r="BO195" i="2"/>
  <c r="BO188" i="2" s="1"/>
  <c r="BO191" i="2" s="1"/>
  <c r="CG195" i="2"/>
  <c r="DC272" i="2"/>
  <c r="DC288" i="2" s="1"/>
  <c r="EA272" i="2"/>
  <c r="EA292" i="2" s="1"/>
  <c r="FX277" i="2"/>
  <c r="BO280" i="2"/>
  <c r="BU280" i="2"/>
  <c r="CA280" i="2"/>
  <c r="CK322" i="2"/>
  <c r="GB371" i="2"/>
  <c r="DF429" i="2"/>
  <c r="ED447" i="2"/>
  <c r="ED444" i="2" s="1"/>
  <c r="ED446" i="2" s="1"/>
  <c r="AH239" i="2"/>
  <c r="CG328" i="2"/>
  <c r="CS328" i="2"/>
  <c r="DE328" i="2"/>
  <c r="DQ328" i="2"/>
  <c r="EC328" i="2"/>
  <c r="FK345" i="2"/>
  <c r="FQ345" i="2"/>
  <c r="FW345" i="2"/>
  <c r="GC345" i="2"/>
  <c r="FT277" i="2"/>
  <c r="BP280" i="2"/>
  <c r="BV280" i="2"/>
  <c r="CB280" i="2"/>
  <c r="CH280" i="2"/>
  <c r="CN280" i="2"/>
  <c r="GB291" i="2"/>
  <c r="GA327" i="2"/>
  <c r="GA334" i="2" s="1"/>
  <c r="DL329" i="2"/>
  <c r="DR329" i="2"/>
  <c r="DX321" i="2"/>
  <c r="AK340" i="2"/>
  <c r="CS441" i="2"/>
  <c r="GF357" i="2"/>
  <c r="GK357" i="2"/>
  <c r="DD376" i="2"/>
  <c r="DF380" i="2"/>
  <c r="CZ405" i="2"/>
  <c r="DZ445" i="2"/>
  <c r="FR538" i="2"/>
  <c r="CL323" i="2"/>
  <c r="DD372" i="2"/>
  <c r="DF405" i="2"/>
  <c r="FK218" i="2"/>
  <c r="GC218" i="2"/>
  <c r="AI243" i="2"/>
  <c r="BG243" i="2"/>
  <c r="BM243" i="2"/>
  <c r="BS243" i="2"/>
  <c r="CQ243" i="2"/>
  <c r="DI243" i="2"/>
  <c r="EB243" i="2"/>
  <c r="GC291" i="2"/>
  <c r="GA317" i="2"/>
  <c r="DP321" i="2"/>
  <c r="DP323" i="2" s="1"/>
  <c r="AM340" i="2"/>
  <c r="AS340" i="2"/>
  <c r="AY340" i="2"/>
  <c r="BE340" i="2"/>
  <c r="BK340" i="2"/>
  <c r="BQ340" i="2"/>
  <c r="BW340" i="2"/>
  <c r="CC340" i="2"/>
  <c r="CI340" i="2"/>
  <c r="CO340" i="2"/>
  <c r="DL380" i="2"/>
  <c r="DG385" i="2"/>
  <c r="DB400" i="2"/>
  <c r="DH400" i="2"/>
  <c r="DG401" i="2"/>
  <c r="BQ5" i="2"/>
  <c r="K6" i="2"/>
  <c r="CE6" i="2"/>
  <c r="BJ17" i="2"/>
  <c r="CB17" i="2"/>
  <c r="CZ17" i="2"/>
  <c r="ED17" i="2"/>
  <c r="AH6" i="2"/>
  <c r="AN6" i="2"/>
  <c r="AT6" i="2"/>
  <c r="CZ6" i="2"/>
  <c r="I5" i="2"/>
  <c r="AS5" i="2"/>
  <c r="CC5" i="2"/>
  <c r="AI6" i="2"/>
  <c r="BA6" i="2"/>
  <c r="CK6" i="2"/>
  <c r="DC6" i="2"/>
  <c r="DU6" i="2"/>
  <c r="CR13" i="2"/>
  <c r="EB13" i="2"/>
  <c r="BL11" i="2"/>
  <c r="DC11" i="2"/>
  <c r="X15" i="2"/>
  <c r="BF17" i="2"/>
  <c r="BR16" i="2"/>
  <c r="BX16" i="2"/>
  <c r="CD16" i="2"/>
  <c r="CJ16" i="2"/>
  <c r="CP16" i="2"/>
  <c r="DH16" i="2"/>
  <c r="DN16" i="2"/>
  <c r="DT16" i="2"/>
  <c r="DZ17" i="2"/>
  <c r="DZ15" i="2"/>
  <c r="BY19" i="2"/>
  <c r="AO32" i="2"/>
  <c r="CF32" i="2"/>
  <c r="V43" i="2"/>
  <c r="FH41" i="2"/>
  <c r="AN43" i="2"/>
  <c r="BF43" i="2"/>
  <c r="BX43" i="2"/>
  <c r="CP43" i="2"/>
  <c r="DH43" i="2"/>
  <c r="DZ43" i="2"/>
  <c r="CA42" i="2"/>
  <c r="AT43" i="2"/>
  <c r="EA43" i="2"/>
  <c r="G47" i="2"/>
  <c r="M47" i="2"/>
  <c r="M46" i="2"/>
  <c r="S47" i="2"/>
  <c r="Y47" i="2"/>
  <c r="Y46" i="2"/>
  <c r="AE47" i="2"/>
  <c r="AK47" i="2"/>
  <c r="AK46" i="2"/>
  <c r="AQ47" i="2"/>
  <c r="AW47" i="2"/>
  <c r="AW46" i="2"/>
  <c r="BC47" i="2"/>
  <c r="BI47" i="2"/>
  <c r="BI46" i="2"/>
  <c r="BO47" i="2"/>
  <c r="BU47" i="2"/>
  <c r="BU46" i="2"/>
  <c r="CA47" i="2"/>
  <c r="CG47" i="2"/>
  <c r="CG46" i="2"/>
  <c r="CM47" i="2"/>
  <c r="CS47" i="2"/>
  <c r="CS46" i="2"/>
  <c r="CY47" i="2"/>
  <c r="DE47" i="2"/>
  <c r="DE46" i="2"/>
  <c r="DK47" i="2"/>
  <c r="DQ47" i="2"/>
  <c r="G46" i="2"/>
  <c r="AE46" i="2"/>
  <c r="BC46" i="2"/>
  <c r="CA46" i="2"/>
  <c r="CY46" i="2"/>
  <c r="BD61" i="2"/>
  <c r="BJ61" i="2"/>
  <c r="CB61" i="2"/>
  <c r="CT61" i="2"/>
  <c r="DX61" i="2"/>
  <c r="CL61" i="2"/>
  <c r="CI5" i="2"/>
  <c r="AJ6" i="2"/>
  <c r="BT6" i="2"/>
  <c r="CL6" i="2"/>
  <c r="BH13" i="2"/>
  <c r="CS12" i="2"/>
  <c r="CZ13" i="2"/>
  <c r="DH11" i="2"/>
  <c r="DC17" i="2"/>
  <c r="DU17" i="2"/>
  <c r="J21" i="2"/>
  <c r="AB21" i="2"/>
  <c r="AT21" i="2"/>
  <c r="BL21" i="2"/>
  <c r="CD21" i="2"/>
  <c r="CV21" i="2"/>
  <c r="FC18" i="2"/>
  <c r="J19" i="2"/>
  <c r="AB19" i="2"/>
  <c r="AT19" i="2"/>
  <c r="BL19" i="2"/>
  <c r="CD19" i="2"/>
  <c r="CV19" i="2"/>
  <c r="CO21" i="2"/>
  <c r="K32" i="2"/>
  <c r="K35" i="2" s="1"/>
  <c r="AC32" i="2"/>
  <c r="AU32" i="2"/>
  <c r="AU35" i="2" s="1"/>
  <c r="BM32" i="2"/>
  <c r="CE32" i="2"/>
  <c r="EC42" i="2"/>
  <c r="AB43" i="2"/>
  <c r="AU43" i="2"/>
  <c r="CK43" i="2"/>
  <c r="N47" i="2"/>
  <c r="N46" i="2"/>
  <c r="H46" i="2"/>
  <c r="O5" i="2"/>
  <c r="AY5" i="2"/>
  <c r="R6" i="2"/>
  <c r="BB6" i="2"/>
  <c r="DD6" i="2"/>
  <c r="U5" i="2"/>
  <c r="DY5" i="2"/>
  <c r="BG6" i="2"/>
  <c r="ED18" i="2"/>
  <c r="ED21" i="2" s="1"/>
  <c r="DP13" i="2"/>
  <c r="G42" i="2"/>
  <c r="AW42" i="2"/>
  <c r="J43" i="2"/>
  <c r="AC43" i="2"/>
  <c r="DN43" i="2"/>
  <c r="AS46" i="2"/>
  <c r="AS47" i="2"/>
  <c r="AY47" i="2"/>
  <c r="BK47" i="2"/>
  <c r="DM46" i="2"/>
  <c r="DM47" i="2"/>
  <c r="DS47" i="2"/>
  <c r="EE47" i="2"/>
  <c r="R46" i="2"/>
  <c r="AP46" i="2"/>
  <c r="BN46" i="2"/>
  <c r="CL46" i="2"/>
  <c r="DJ46" i="2"/>
  <c r="AZ63" i="2"/>
  <c r="AZ60" i="2"/>
  <c r="BF63" i="2"/>
  <c r="BF60" i="2"/>
  <c r="BL63" i="2"/>
  <c r="BL60" i="2"/>
  <c r="BR63" i="2"/>
  <c r="BR60" i="2"/>
  <c r="BV61" i="2"/>
  <c r="FT59" i="2"/>
  <c r="CD63" i="2"/>
  <c r="CD60" i="2"/>
  <c r="CJ63" i="2"/>
  <c r="CJ60" i="2"/>
  <c r="CN61" i="2"/>
  <c r="FU59" i="2"/>
  <c r="CP63" i="2"/>
  <c r="CP60" i="2"/>
  <c r="CV63" i="2"/>
  <c r="CV60" i="2"/>
  <c r="FZ59" i="2"/>
  <c r="DB63" i="2"/>
  <c r="DB60" i="2"/>
  <c r="DH63" i="2"/>
  <c r="DH60" i="2"/>
  <c r="DL61" i="2"/>
  <c r="GA59" i="2"/>
  <c r="GA61" i="2" s="1"/>
  <c r="DT60" i="2"/>
  <c r="DT63" i="2"/>
  <c r="DZ63" i="2"/>
  <c r="DZ36" i="2"/>
  <c r="ED61" i="2"/>
  <c r="DZ60" i="2"/>
  <c r="FO59" i="2"/>
  <c r="BE5" i="2"/>
  <c r="CO5" i="2"/>
  <c r="W6" i="2"/>
  <c r="AO6" i="2"/>
  <c r="BY6" i="2"/>
  <c r="CQ6" i="2"/>
  <c r="CE12" i="2"/>
  <c r="CT13" i="2"/>
  <c r="CD11" i="2"/>
  <c r="G6" i="2"/>
  <c r="AW5" i="2"/>
  <c r="BC5" i="2"/>
  <c r="DE6" i="2"/>
  <c r="DK5" i="2"/>
  <c r="DQ6" i="2"/>
  <c r="DW5" i="2"/>
  <c r="AA5" i="2"/>
  <c r="BK5" i="2"/>
  <c r="CU5" i="2"/>
  <c r="X6" i="2"/>
  <c r="DC13" i="2"/>
  <c r="CE11" i="2"/>
  <c r="DV13" i="2"/>
  <c r="DI15" i="2"/>
  <c r="L19" i="2"/>
  <c r="R19" i="2"/>
  <c r="X19" i="2"/>
  <c r="AP19" i="2"/>
  <c r="AV19" i="2"/>
  <c r="CL19" i="2"/>
  <c r="BF32" i="2"/>
  <c r="BF35" i="2" s="1"/>
  <c r="CV32" i="2"/>
  <c r="DH32" i="2"/>
  <c r="DH35" i="2" s="1"/>
  <c r="DH36" i="2"/>
  <c r="S42" i="2"/>
  <c r="S32" i="2"/>
  <c r="BC42" i="2"/>
  <c r="BC32" i="2"/>
  <c r="CM42" i="2"/>
  <c r="CM32" i="2"/>
  <c r="CM37" i="2" s="1"/>
  <c r="DW42" i="2"/>
  <c r="DW32" i="2"/>
  <c r="DW37" i="2" s="1"/>
  <c r="K43" i="2"/>
  <c r="AH43" i="2"/>
  <c r="DO43" i="2"/>
  <c r="D46" i="2"/>
  <c r="J46" i="2"/>
  <c r="P46" i="2"/>
  <c r="V46" i="2"/>
  <c r="AB46" i="2"/>
  <c r="AH46" i="2"/>
  <c r="AN46" i="2"/>
  <c r="AT46" i="2"/>
  <c r="AZ46" i="2"/>
  <c r="BF46" i="2"/>
  <c r="BL46" i="2"/>
  <c r="BR46" i="2"/>
  <c r="FQ45" i="2"/>
  <c r="BX46" i="2"/>
  <c r="CD46" i="2"/>
  <c r="CJ46" i="2"/>
  <c r="CP46" i="2"/>
  <c r="FW45" i="2"/>
  <c r="CV46" i="2"/>
  <c r="DB46" i="2"/>
  <c r="DH46" i="2"/>
  <c r="DN46" i="2"/>
  <c r="GC45" i="2"/>
  <c r="DT46" i="2"/>
  <c r="DZ46" i="2"/>
  <c r="FE45" i="2"/>
  <c r="S46" i="2"/>
  <c r="AQ46" i="2"/>
  <c r="BO46" i="2"/>
  <c r="CM46" i="2"/>
  <c r="DK46" i="2"/>
  <c r="BX60" i="2"/>
  <c r="AU6" i="2"/>
  <c r="BP17" i="2"/>
  <c r="DL17" i="2"/>
  <c r="FK45" i="2"/>
  <c r="BF61" i="2"/>
  <c r="BB61" i="2"/>
  <c r="BL61" i="2"/>
  <c r="BH61" i="2"/>
  <c r="BR61" i="2"/>
  <c r="BN61" i="2"/>
  <c r="BT63" i="2"/>
  <c r="BT61" i="2"/>
  <c r="BZ63" i="2"/>
  <c r="BZ61" i="2"/>
  <c r="CF63" i="2"/>
  <c r="CF61" i="2"/>
  <c r="CR63" i="2"/>
  <c r="CR61" i="2"/>
  <c r="CX63" i="2"/>
  <c r="CX61" i="2"/>
  <c r="DD63" i="2"/>
  <c r="DD61" i="2"/>
  <c r="DJ63" i="2"/>
  <c r="DJ61" i="2"/>
  <c r="DP63" i="2"/>
  <c r="DP61" i="2"/>
  <c r="DV63" i="2"/>
  <c r="DV61" i="2"/>
  <c r="FX4" i="2"/>
  <c r="FX58" i="2" s="1"/>
  <c r="AG5" i="2"/>
  <c r="AC6" i="2"/>
  <c r="BM6" i="2"/>
  <c r="CW6" i="2"/>
  <c r="DO6" i="2"/>
  <c r="DZ11" i="2"/>
  <c r="C5" i="2"/>
  <c r="AM5" i="2"/>
  <c r="BW5" i="2"/>
  <c r="DG5" i="2"/>
  <c r="AD6" i="2"/>
  <c r="BL12" i="2"/>
  <c r="DE13" i="2"/>
  <c r="DU18" i="2"/>
  <c r="DU21" i="2" s="1"/>
  <c r="EA18" i="2"/>
  <c r="EA19" i="2" s="1"/>
  <c r="EA11" i="2"/>
  <c r="FU14" i="2"/>
  <c r="BF15" i="2"/>
  <c r="CP15" i="2"/>
  <c r="C19" i="2"/>
  <c r="DV18" i="2"/>
  <c r="S19" i="2"/>
  <c r="AZ27" i="2"/>
  <c r="CF48" i="2"/>
  <c r="CF51" i="2" s="1"/>
  <c r="Q32" i="2"/>
  <c r="AN32" i="2"/>
  <c r="AN35" i="2" s="1"/>
  <c r="CD32" i="2"/>
  <c r="CD35" i="2" s="1"/>
  <c r="CP32" i="2"/>
  <c r="CP35" i="2" s="1"/>
  <c r="DU32" i="2"/>
  <c r="DU35" i="2" s="1"/>
  <c r="DD36" i="2"/>
  <c r="CE43" i="2"/>
  <c r="F46" i="2"/>
  <c r="AD46" i="2"/>
  <c r="BZ46" i="2"/>
  <c r="CX46" i="2"/>
  <c r="DV46" i="2"/>
  <c r="BP61" i="2"/>
  <c r="AE84" i="2"/>
  <c r="CY84" i="2"/>
  <c r="DO88" i="2"/>
  <c r="DP87" i="2"/>
  <c r="ED96" i="2"/>
  <c r="G84" i="2"/>
  <c r="S84" i="2"/>
  <c r="AW85" i="2"/>
  <c r="AW84" i="2"/>
  <c r="BC84" i="2"/>
  <c r="CA84" i="2"/>
  <c r="FT83" i="2"/>
  <c r="CG84" i="2"/>
  <c r="DK84" i="2"/>
  <c r="DW84" i="2"/>
  <c r="FQ83" i="2"/>
  <c r="FR85" i="2" s="1"/>
  <c r="M84" i="2"/>
  <c r="AK84" i="2"/>
  <c r="BH84" i="2"/>
  <c r="DD84" i="2"/>
  <c r="S87" i="2"/>
  <c r="BU87" i="2"/>
  <c r="DJ87" i="2"/>
  <c r="H96" i="2"/>
  <c r="F85" i="2"/>
  <c r="EC84" i="2"/>
  <c r="K88" i="2"/>
  <c r="N95" i="2"/>
  <c r="N96" i="2"/>
  <c r="T95" i="2"/>
  <c r="T96" i="2"/>
  <c r="AF95" i="2"/>
  <c r="AF96" i="2"/>
  <c r="AL95" i="2"/>
  <c r="AL96" i="2"/>
  <c r="AR95" i="2"/>
  <c r="AR96" i="2"/>
  <c r="AX95" i="2"/>
  <c r="AX96" i="2"/>
  <c r="BD95" i="2"/>
  <c r="BD96" i="2"/>
  <c r="BP95" i="2"/>
  <c r="BP96" i="2"/>
  <c r="CB95" i="2"/>
  <c r="CB96" i="2"/>
  <c r="CH95" i="2"/>
  <c r="CH96" i="2"/>
  <c r="CN95" i="2"/>
  <c r="CN96" i="2"/>
  <c r="CZ95" i="2"/>
  <c r="CZ96" i="2"/>
  <c r="DF95" i="2"/>
  <c r="DF96" i="2"/>
  <c r="DL95" i="2"/>
  <c r="DL96" i="2"/>
  <c r="DR95" i="2"/>
  <c r="DR96" i="2"/>
  <c r="DX95" i="2"/>
  <c r="DX96" i="2"/>
  <c r="Z96" i="2"/>
  <c r="GB36" i="2"/>
  <c r="F47" i="2"/>
  <c r="L47" i="2"/>
  <c r="X47" i="2"/>
  <c r="AD47" i="2"/>
  <c r="AJ47" i="2"/>
  <c r="AV47" i="2"/>
  <c r="BH47" i="2"/>
  <c r="BT47" i="2"/>
  <c r="BZ47" i="2"/>
  <c r="CF47" i="2"/>
  <c r="CR47" i="2"/>
  <c r="CX47" i="2"/>
  <c r="DD47" i="2"/>
  <c r="DP47" i="2"/>
  <c r="DV47" i="2"/>
  <c r="EB47" i="2"/>
  <c r="L46" i="2"/>
  <c r="X46" i="2"/>
  <c r="AJ46" i="2"/>
  <c r="AV46" i="2"/>
  <c r="BH46" i="2"/>
  <c r="BT46" i="2"/>
  <c r="CF46" i="2"/>
  <c r="CR46" i="2"/>
  <c r="DD46" i="2"/>
  <c r="DP46" i="2"/>
  <c r="EB46" i="2"/>
  <c r="DK63" i="2"/>
  <c r="DR61" i="2"/>
  <c r="DK87" i="2"/>
  <c r="DV87" i="2"/>
  <c r="BJ96" i="2"/>
  <c r="DW47" i="2"/>
  <c r="EC47" i="2"/>
  <c r="DQ46" i="2"/>
  <c r="EC46" i="2"/>
  <c r="CH63" i="2"/>
  <c r="CZ61" i="2"/>
  <c r="FE83" i="2"/>
  <c r="FF85" i="2" s="1"/>
  <c r="GC83" i="2"/>
  <c r="GD85" i="2" s="1"/>
  <c r="Y84" i="2"/>
  <c r="BU84" i="2"/>
  <c r="M85" i="2"/>
  <c r="BA85" i="2"/>
  <c r="CG85" i="2"/>
  <c r="DU85" i="2"/>
  <c r="BZ88" i="2"/>
  <c r="BZ87" i="2"/>
  <c r="CF88" i="2"/>
  <c r="CL88" i="2"/>
  <c r="CL87" i="2"/>
  <c r="CR88" i="2"/>
  <c r="CR87" i="2"/>
  <c r="CX88" i="2"/>
  <c r="DD88" i="2"/>
  <c r="DD87" i="2"/>
  <c r="AV87" i="2"/>
  <c r="EB87" i="2"/>
  <c r="BV96" i="2"/>
  <c r="T47" i="2"/>
  <c r="Z47" i="2"/>
  <c r="AF47" i="2"/>
  <c r="AL47" i="2"/>
  <c r="AR47" i="2"/>
  <c r="AX47" i="2"/>
  <c r="BD47" i="2"/>
  <c r="BJ47" i="2"/>
  <c r="BP47" i="2"/>
  <c r="BV47" i="2"/>
  <c r="CB47" i="2"/>
  <c r="CH47" i="2"/>
  <c r="CN47" i="2"/>
  <c r="CT47" i="2"/>
  <c r="CZ47" i="2"/>
  <c r="DF47" i="2"/>
  <c r="DL47" i="2"/>
  <c r="DR47" i="2"/>
  <c r="DX47" i="2"/>
  <c r="ED47" i="2"/>
  <c r="Z46" i="2"/>
  <c r="AL46" i="2"/>
  <c r="AX46" i="2"/>
  <c r="BJ46" i="2"/>
  <c r="BV46" i="2"/>
  <c r="CH46" i="2"/>
  <c r="CT46" i="2"/>
  <c r="DF46" i="2"/>
  <c r="DR46" i="2"/>
  <c r="ED46" i="2"/>
  <c r="AY60" i="2"/>
  <c r="BE60" i="2"/>
  <c r="BK60" i="2"/>
  <c r="BQ60" i="2"/>
  <c r="BW60" i="2"/>
  <c r="CC60" i="2"/>
  <c r="CI60" i="2"/>
  <c r="CO60" i="2"/>
  <c r="CU60" i="2"/>
  <c r="DA60" i="2"/>
  <c r="DG60" i="2"/>
  <c r="DM60" i="2"/>
  <c r="DS60" i="2"/>
  <c r="DY60" i="2"/>
  <c r="CH61" i="2"/>
  <c r="FC83" i="2"/>
  <c r="FC85" i="2" s="1"/>
  <c r="Q85" i="2"/>
  <c r="AO85" i="2"/>
  <c r="FL85" i="2"/>
  <c r="BM85" i="2"/>
  <c r="FO83" i="2"/>
  <c r="FU83" i="2"/>
  <c r="CK85" i="2"/>
  <c r="DI85" i="2"/>
  <c r="FI83" i="2"/>
  <c r="CS84" i="2"/>
  <c r="DQ84" i="2"/>
  <c r="BG88" i="2"/>
  <c r="BN88" i="2"/>
  <c r="CA87" i="2"/>
  <c r="CS87" i="2"/>
  <c r="DN88" i="2"/>
  <c r="GF86" i="2"/>
  <c r="CX87" i="2"/>
  <c r="CT96" i="2"/>
  <c r="J96" i="2"/>
  <c r="P96" i="2"/>
  <c r="V96" i="2"/>
  <c r="AB96" i="2"/>
  <c r="AH96" i="2"/>
  <c r="AN96" i="2"/>
  <c r="AT96" i="2"/>
  <c r="AZ96" i="2"/>
  <c r="BF96" i="2"/>
  <c r="BL96" i="2"/>
  <c r="BR96" i="2"/>
  <c r="BX96" i="2"/>
  <c r="CD96" i="2"/>
  <c r="CJ96" i="2"/>
  <c r="CP96" i="2"/>
  <c r="CV96" i="2"/>
  <c r="DB96" i="2"/>
  <c r="DH96" i="2"/>
  <c r="DN96" i="2"/>
  <c r="DT96" i="2"/>
  <c r="DT95" i="2"/>
  <c r="DZ96" i="2"/>
  <c r="J95" i="2"/>
  <c r="AT95" i="2"/>
  <c r="CD95" i="2"/>
  <c r="DN95" i="2"/>
  <c r="GH102" i="2"/>
  <c r="DS136" i="2"/>
  <c r="FZ466" i="2"/>
  <c r="FZ190" i="2"/>
  <c r="BI195" i="2"/>
  <c r="BI188" i="2" s="1"/>
  <c r="BI191" i="2" s="1"/>
  <c r="CV195" i="2"/>
  <c r="CV198" i="2" s="1"/>
  <c r="AJ195" i="2"/>
  <c r="AJ222" i="2" s="1"/>
  <c r="AN224" i="2" s="1"/>
  <c r="DV109" i="2"/>
  <c r="DJ108" i="2"/>
  <c r="DJ124" i="2"/>
  <c r="DV160" i="2"/>
  <c r="DV108" i="2"/>
  <c r="EB160" i="2"/>
  <c r="EB124" i="2"/>
  <c r="EB108" i="2"/>
  <c r="BU195" i="2"/>
  <c r="BU188" i="2" s="1"/>
  <c r="AH195" i="2"/>
  <c r="AH222" i="2" s="1"/>
  <c r="BB88" i="2"/>
  <c r="BW87" i="2"/>
  <c r="CC87" i="2"/>
  <c r="CI87" i="2"/>
  <c r="CO87" i="2"/>
  <c r="CU87" i="2"/>
  <c r="DP88" i="2"/>
  <c r="G95" i="2"/>
  <c r="M95" i="2"/>
  <c r="S95" i="2"/>
  <c r="Y95" i="2"/>
  <c r="AE95" i="2"/>
  <c r="AK95" i="2"/>
  <c r="AQ95" i="2"/>
  <c r="AW95" i="2"/>
  <c r="BC95" i="2"/>
  <c r="BI95" i="2"/>
  <c r="BO95" i="2"/>
  <c r="BU95" i="2"/>
  <c r="CA95" i="2"/>
  <c r="CG95" i="2"/>
  <c r="CM95" i="2"/>
  <c r="CS95" i="2"/>
  <c r="CY95" i="2"/>
  <c r="DE95" i="2"/>
  <c r="DK95" i="2"/>
  <c r="DQ95" i="2"/>
  <c r="DW95" i="2"/>
  <c r="EC95" i="2"/>
  <c r="AB95" i="2"/>
  <c r="BL95" i="2"/>
  <c r="CV95" i="2"/>
  <c r="GF102" i="2"/>
  <c r="GK102" i="2"/>
  <c r="DP108" i="2"/>
  <c r="CG189" i="2"/>
  <c r="AK195" i="2"/>
  <c r="AK188" i="2" s="1"/>
  <c r="AK191" i="2" s="1"/>
  <c r="DN195" i="2"/>
  <c r="DN246" i="2" s="1"/>
  <c r="AH200" i="2"/>
  <c r="AT200" i="2"/>
  <c r="BF200" i="2"/>
  <c r="BR200" i="2"/>
  <c r="CD200" i="2"/>
  <c r="CP200" i="2"/>
  <c r="DB200" i="2"/>
  <c r="DN200" i="2"/>
  <c r="DM109" i="2"/>
  <c r="DM110" i="2" s="1"/>
  <c r="DZ200" i="2"/>
  <c r="DY109" i="2"/>
  <c r="DY112" i="2" s="1"/>
  <c r="GE199" i="2"/>
  <c r="GE225" i="2" s="1"/>
  <c r="EC134" i="2"/>
  <c r="EC135" i="2"/>
  <c r="AN195" i="2"/>
  <c r="AN222" i="2" s="1"/>
  <c r="AT195" i="2"/>
  <c r="AT222" i="2" s="1"/>
  <c r="BF195" i="2"/>
  <c r="BF222" i="2" s="1"/>
  <c r="BL195" i="2"/>
  <c r="BL222" i="2" s="1"/>
  <c r="BX195" i="2"/>
  <c r="BX222" i="2" s="1"/>
  <c r="CD195" i="2"/>
  <c r="CD222" i="2" s="1"/>
  <c r="CP195" i="2"/>
  <c r="CP416" i="2" s="1"/>
  <c r="DB195" i="2"/>
  <c r="DB416" i="2" s="1"/>
  <c r="DT195" i="2"/>
  <c r="DT222" i="2" s="1"/>
  <c r="CG63" i="2"/>
  <c r="CY63" i="2"/>
  <c r="DQ63" i="2"/>
  <c r="E84" i="2"/>
  <c r="J85" i="2"/>
  <c r="P85" i="2"/>
  <c r="V85" i="2"/>
  <c r="AB85" i="2"/>
  <c r="AH85" i="2"/>
  <c r="AN85" i="2"/>
  <c r="AT85" i="2"/>
  <c r="AZ85" i="2"/>
  <c r="BF85" i="2"/>
  <c r="BL85" i="2"/>
  <c r="BR85" i="2"/>
  <c r="BX85" i="2"/>
  <c r="CD85" i="2"/>
  <c r="CJ85" i="2"/>
  <c r="CP85" i="2"/>
  <c r="CV85" i="2"/>
  <c r="DB85" i="2"/>
  <c r="DH85" i="2"/>
  <c r="DN85" i="2"/>
  <c r="DT85" i="2"/>
  <c r="DZ85" i="2"/>
  <c r="AN84" i="2"/>
  <c r="AD88" i="2"/>
  <c r="AU88" i="2"/>
  <c r="BK87" i="2"/>
  <c r="BS88" i="2"/>
  <c r="BY88" i="2"/>
  <c r="CE88" i="2"/>
  <c r="CK88" i="2"/>
  <c r="CQ88" i="2"/>
  <c r="CW88" i="2"/>
  <c r="DC88" i="2"/>
  <c r="ET88" i="2"/>
  <c r="AN95" i="2"/>
  <c r="BX95" i="2"/>
  <c r="DH95" i="2"/>
  <c r="DV124" i="2"/>
  <c r="DR150" i="2"/>
  <c r="EE159" i="2"/>
  <c r="EF157" i="2"/>
  <c r="EF159" i="2" s="1"/>
  <c r="CP189" i="2"/>
  <c r="AZ195" i="2"/>
  <c r="AZ222" i="2" s="1"/>
  <c r="GC172" i="2"/>
  <c r="DM113" i="2"/>
  <c r="DM116" i="2" s="1"/>
  <c r="EC146" i="2"/>
  <c r="DJ152" i="2"/>
  <c r="GC171" i="2"/>
  <c r="DR189" i="2"/>
  <c r="AI204" i="2"/>
  <c r="BM204" i="2"/>
  <c r="CW204" i="2"/>
  <c r="DV204" i="2"/>
  <c r="BK211" i="2"/>
  <c r="FX218" i="2"/>
  <c r="FG237" i="2"/>
  <c r="BP238" i="2"/>
  <c r="AH242" i="2"/>
  <c r="AY210" i="2"/>
  <c r="FK209" i="2"/>
  <c r="FK219" i="2" s="1"/>
  <c r="CP210" i="2"/>
  <c r="CC211" i="2"/>
  <c r="FM214" i="2"/>
  <c r="FS214" i="2"/>
  <c r="FY214" i="2"/>
  <c r="GE214" i="2"/>
  <c r="DN207" i="2" s="1"/>
  <c r="AY215" i="2"/>
  <c r="BV238" i="2"/>
  <c r="CV210" i="2"/>
  <c r="BE215" i="2"/>
  <c r="CI215" i="2"/>
  <c r="DM215" i="2"/>
  <c r="AF238" i="2"/>
  <c r="CH238" i="2"/>
  <c r="CT238" i="2"/>
  <c r="CI470" i="2"/>
  <c r="CI323" i="2"/>
  <c r="FU321" i="2"/>
  <c r="FU470" i="2" s="1"/>
  <c r="CO470" i="2"/>
  <c r="CO323" i="2"/>
  <c r="CK340" i="2"/>
  <c r="GE102" i="2"/>
  <c r="GE123" i="2"/>
  <c r="DN134" i="2"/>
  <c r="GE159" i="2"/>
  <c r="GC179" i="2"/>
  <c r="DT185" i="2"/>
  <c r="CS195" i="2"/>
  <c r="CS416" i="2" s="1"/>
  <c r="EC195" i="2"/>
  <c r="EC222" i="2" s="1"/>
  <c r="CX200" i="2"/>
  <c r="AT211" i="2"/>
  <c r="BL211" i="2"/>
  <c r="CD211" i="2"/>
  <c r="CV211" i="2"/>
  <c r="AH210" i="2"/>
  <c r="DN210" i="2"/>
  <c r="DB211" i="2"/>
  <c r="AG215" i="2"/>
  <c r="DN215" i="2"/>
  <c r="AS238" i="2"/>
  <c r="CU238" i="2"/>
  <c r="DU239" i="2"/>
  <c r="DL238" i="2"/>
  <c r="FR287" i="2"/>
  <c r="AM211" i="2"/>
  <c r="AS211" i="2"/>
  <c r="CO211" i="2"/>
  <c r="CU211" i="2"/>
  <c r="AT210" i="2"/>
  <c r="DM211" i="2"/>
  <c r="CU215" i="2"/>
  <c r="AR238" i="2"/>
  <c r="CV440" i="2"/>
  <c r="CV441" i="2" s="1"/>
  <c r="CV341" i="2"/>
  <c r="DH440" i="2"/>
  <c r="DH441" i="2" s="1"/>
  <c r="DH341" i="2"/>
  <c r="DT440" i="2"/>
  <c r="DT442" i="2" s="1"/>
  <c r="DT341" i="2"/>
  <c r="DT321" i="2"/>
  <c r="DZ440" i="2"/>
  <c r="EA441" i="2" s="1"/>
  <c r="DZ321" i="2"/>
  <c r="GI102" i="2"/>
  <c r="GB180" i="2"/>
  <c r="DJ185" i="2"/>
  <c r="DQ195" i="2"/>
  <c r="DQ416" i="2" s="1"/>
  <c r="BZ211" i="2"/>
  <c r="CR211" i="2"/>
  <c r="DJ211" i="2"/>
  <c r="BL210" i="2"/>
  <c r="AZ211" i="2"/>
  <c r="FP214" i="2"/>
  <c r="AS215" i="2"/>
  <c r="CV215" i="2"/>
  <c r="AI239" i="2"/>
  <c r="AO239" i="2"/>
  <c r="AU239" i="2"/>
  <c r="BA239" i="2"/>
  <c r="BG239" i="2"/>
  <c r="BM239" i="2"/>
  <c r="BS239" i="2"/>
  <c r="BJ238" i="2"/>
  <c r="DC276" i="2"/>
  <c r="BL280" i="2"/>
  <c r="DB279" i="2"/>
  <c r="GF281" i="2"/>
  <c r="FX287" i="2"/>
  <c r="GE287" i="2"/>
  <c r="GB317" i="2"/>
  <c r="DF329" i="2"/>
  <c r="AO340" i="2"/>
  <c r="AU340" i="2"/>
  <c r="BG340" i="2"/>
  <c r="BM340" i="2"/>
  <c r="BY340" i="2"/>
  <c r="CE340" i="2"/>
  <c r="DC340" i="2"/>
  <c r="FI345" i="2"/>
  <c r="FO345" i="2"/>
  <c r="FU345" i="2"/>
  <c r="GA345" i="2"/>
  <c r="DB372" i="2"/>
  <c r="GB375" i="2"/>
  <c r="FS527" i="2"/>
  <c r="AN239" i="2"/>
  <c r="AT239" i="2"/>
  <c r="FL237" i="2"/>
  <c r="BF239" i="2"/>
  <c r="BL239" i="2"/>
  <c r="BR239" i="2"/>
  <c r="FR237" i="2"/>
  <c r="CD239" i="2"/>
  <c r="CJ239" i="2"/>
  <c r="CP239" i="2"/>
  <c r="FX237" i="2"/>
  <c r="DB239" i="2"/>
  <c r="AE242" i="2"/>
  <c r="FU272" i="2"/>
  <c r="FU278" i="2" s="1"/>
  <c r="DB272" i="2"/>
  <c r="DB273" i="2" s="1"/>
  <c r="DJ272" i="2"/>
  <c r="DK273" i="2" s="1"/>
  <c r="DO276" i="2"/>
  <c r="CK281" i="2"/>
  <c r="CQ281" i="2"/>
  <c r="DH279" i="2"/>
  <c r="DH281" i="2" s="1"/>
  <c r="ED281" i="2"/>
  <c r="GC317" i="2"/>
  <c r="DP329" i="2"/>
  <c r="FW333" i="2"/>
  <c r="GC333" i="2"/>
  <c r="AP340" i="2"/>
  <c r="AV340" i="2"/>
  <c r="BH340" i="2"/>
  <c r="BN340" i="2"/>
  <c r="BZ340" i="2"/>
  <c r="CF340" i="2"/>
  <c r="DU340" i="2"/>
  <c r="GB367" i="2"/>
  <c r="DI376" i="2"/>
  <c r="DF397" i="2"/>
  <c r="DO406" i="2"/>
  <c r="DP406" i="2" s="1"/>
  <c r="DQ406" i="2" s="1"/>
  <c r="FR523" i="2"/>
  <c r="FS522" i="2"/>
  <c r="DZ272" i="2"/>
  <c r="DZ288" i="2" s="1"/>
  <c r="DV321" i="2"/>
  <c r="DV324" i="2" s="1"/>
  <c r="DV328" i="2"/>
  <c r="DV329" i="2"/>
  <c r="DH368" i="2"/>
  <c r="DI380" i="2"/>
  <c r="AJ239" i="2"/>
  <c r="AP239" i="2"/>
  <c r="AV239" i="2"/>
  <c r="BB239" i="2"/>
  <c r="BH239" i="2"/>
  <c r="BN239" i="2"/>
  <c r="BT239" i="2"/>
  <c r="BZ239" i="2"/>
  <c r="CF239" i="2"/>
  <c r="CL239" i="2"/>
  <c r="CR239" i="2"/>
  <c r="CX239" i="2"/>
  <c r="BR242" i="2"/>
  <c r="CP273" i="2"/>
  <c r="DD272" i="2"/>
  <c r="DD288" i="2" s="1"/>
  <c r="FS277" i="2"/>
  <c r="CP278" i="2"/>
  <c r="CU283" i="2"/>
  <c r="CK323" i="2"/>
  <c r="CS322" i="2"/>
  <c r="CP323" i="2"/>
  <c r="DJ328" i="2"/>
  <c r="EB328" i="2"/>
  <c r="CR329" i="2"/>
  <c r="DX329" i="2"/>
  <c r="BA340" i="2"/>
  <c r="FL345" i="2"/>
  <c r="FR345" i="2"/>
  <c r="FX345" i="2"/>
  <c r="GD345" i="2"/>
  <c r="DB376" i="2"/>
  <c r="FT538" i="2"/>
  <c r="CJ242" i="2"/>
  <c r="GA258" i="2"/>
  <c r="GC258" i="2"/>
  <c r="GE258" i="2"/>
  <c r="GH258" i="2"/>
  <c r="GK258" i="2"/>
  <c r="CZ311" i="2"/>
  <c r="CL329" i="2"/>
  <c r="EB329" i="2"/>
  <c r="CX329" i="2"/>
  <c r="BS340" i="2"/>
  <c r="DN383" i="2"/>
  <c r="DN363" i="2" s="1"/>
  <c r="DB368" i="2"/>
  <c r="DH372" i="2"/>
  <c r="DY445" i="2"/>
  <c r="GB505" i="2"/>
  <c r="FR527" i="2"/>
  <c r="EA115" i="2"/>
  <c r="BZ200" i="2"/>
  <c r="BG204" i="2"/>
  <c r="CE204" i="2"/>
  <c r="CK204" i="2"/>
  <c r="DO204" i="2"/>
  <c r="GC123" i="2"/>
  <c r="DZ134" i="2"/>
  <c r="DU183" i="2"/>
  <c r="DZ185" i="2"/>
  <c r="CK195" i="2"/>
  <c r="CK246" i="2" s="1"/>
  <c r="AP195" i="2"/>
  <c r="AV195" i="2"/>
  <c r="BH195" i="2"/>
  <c r="BH188" i="2" s="1"/>
  <c r="BH191" i="2" s="1"/>
  <c r="BN195" i="2"/>
  <c r="BN188" i="2" s="1"/>
  <c r="FS199" i="2"/>
  <c r="FS225" i="2" s="1"/>
  <c r="BZ195" i="2"/>
  <c r="BZ198" i="2" s="1"/>
  <c r="CF195" i="2"/>
  <c r="CR195" i="2"/>
  <c r="CR246" i="2" s="1"/>
  <c r="CX195" i="2"/>
  <c r="CX246" i="2" s="1"/>
  <c r="DJ195" i="2"/>
  <c r="DJ416" i="2" s="1"/>
  <c r="DP195" i="2"/>
  <c r="DP222" i="2" s="1"/>
  <c r="EB195" i="2"/>
  <c r="AJ200" i="2"/>
  <c r="BH200" i="2"/>
  <c r="CF200" i="2"/>
  <c r="DD200" i="2"/>
  <c r="EB200" i="2"/>
  <c r="AP204" i="2"/>
  <c r="AV204" i="2"/>
  <c r="BH204" i="2"/>
  <c r="BN204" i="2"/>
  <c r="BT204" i="2"/>
  <c r="CG204" i="2"/>
  <c r="CL204" i="2"/>
  <c r="CR204" i="2"/>
  <c r="CX204" i="2"/>
  <c r="DJ113" i="2"/>
  <c r="DJ116" i="2" s="1"/>
  <c r="DJ204" i="2"/>
  <c r="DP204" i="2"/>
  <c r="DP113" i="2"/>
  <c r="DP116" i="2" s="1"/>
  <c r="AW204" i="2"/>
  <c r="CQ204" i="2"/>
  <c r="FK214" i="2"/>
  <c r="FJ214" i="2"/>
  <c r="GC214" i="2"/>
  <c r="GB214" i="2"/>
  <c r="GD161" i="2"/>
  <c r="GD160" i="2" s="1"/>
  <c r="DR124" i="2"/>
  <c r="DN184" i="2"/>
  <c r="GC182" i="2"/>
  <c r="GC185" i="2" s="1"/>
  <c r="FT199" i="2"/>
  <c r="FT225" i="2" s="1"/>
  <c r="CE200" i="2"/>
  <c r="CE195" i="2"/>
  <c r="CE198" i="2" s="1"/>
  <c r="AU204" i="2"/>
  <c r="DU204" i="2"/>
  <c r="DA284" i="2"/>
  <c r="CW279" i="2"/>
  <c r="CW281" i="2" s="1"/>
  <c r="EF30" i="2"/>
  <c r="EG30" i="2" s="1"/>
  <c r="EH30" i="2" s="1"/>
  <c r="EI30" i="2" s="1"/>
  <c r="EJ30" i="2" s="1"/>
  <c r="EK30" i="2" s="1"/>
  <c r="EL30" i="2" s="1"/>
  <c r="GE36" i="2"/>
  <c r="DL108" i="2"/>
  <c r="DR108" i="2"/>
  <c r="EB136" i="2"/>
  <c r="EB135" i="2"/>
  <c r="EA148" i="2"/>
  <c r="DN162" i="2"/>
  <c r="DN160" i="2"/>
  <c r="DN124" i="2"/>
  <c r="DT160" i="2"/>
  <c r="DT144" i="2"/>
  <c r="DT124" i="2"/>
  <c r="DZ144" i="2"/>
  <c r="DZ124" i="2"/>
  <c r="DZ162" i="2"/>
  <c r="DV183" i="2"/>
  <c r="AO195" i="2"/>
  <c r="AO188" i="2" s="1"/>
  <c r="BA195" i="2"/>
  <c r="BM195" i="2"/>
  <c r="BM198" i="2" s="1"/>
  <c r="BY195" i="2"/>
  <c r="BY198" i="2" s="1"/>
  <c r="CL195" i="2"/>
  <c r="AO200" i="2"/>
  <c r="BM200" i="2"/>
  <c r="CK200" i="2"/>
  <c r="DI200" i="2"/>
  <c r="BB204" i="2"/>
  <c r="CS204" i="2"/>
  <c r="DC204" i="2"/>
  <c r="FZ203" i="2"/>
  <c r="FZ228" i="2" s="1"/>
  <c r="AO204" i="2"/>
  <c r="DO112" i="2"/>
  <c r="DO160" i="2"/>
  <c r="DO144" i="2"/>
  <c r="DU160" i="2"/>
  <c r="DU108" i="2"/>
  <c r="EA160" i="2"/>
  <c r="EA108" i="2"/>
  <c r="BB195" i="2"/>
  <c r="BB198" i="2" s="1"/>
  <c r="AP200" i="2"/>
  <c r="BN200" i="2"/>
  <c r="CL200" i="2"/>
  <c r="DJ200" i="2"/>
  <c r="FH203" i="2"/>
  <c r="FH228" i="2" s="1"/>
  <c r="DD204" i="2"/>
  <c r="ED209" i="2"/>
  <c r="ED211" i="2" s="1"/>
  <c r="ED203" i="2"/>
  <c r="ED218" i="2"/>
  <c r="EE216" i="2"/>
  <c r="EE203" i="2" s="1"/>
  <c r="EE205" i="2" s="1"/>
  <c r="ED160" i="2"/>
  <c r="ED124" i="2"/>
  <c r="FH199" i="2"/>
  <c r="FH225" i="2" s="1"/>
  <c r="AI200" i="2"/>
  <c r="AU200" i="2"/>
  <c r="CW195" i="2"/>
  <c r="CW416" i="2" s="1"/>
  <c r="DO200" i="2"/>
  <c r="DO195" i="2"/>
  <c r="BB200" i="2"/>
  <c r="BA204" i="2"/>
  <c r="BY204" i="2"/>
  <c r="CF204" i="2"/>
  <c r="GF107" i="2"/>
  <c r="DN108" i="2"/>
  <c r="DT108" i="2"/>
  <c r="DS111" i="2"/>
  <c r="DN116" i="2"/>
  <c r="DU113" i="2"/>
  <c r="GE143" i="2"/>
  <c r="DN144" i="2"/>
  <c r="DO148" i="2"/>
  <c r="DN163" i="2"/>
  <c r="DR185" i="2"/>
  <c r="DX185" i="2"/>
  <c r="GC188" i="2"/>
  <c r="DD195" i="2"/>
  <c r="DD246" i="2" s="1"/>
  <c r="AV200" i="2"/>
  <c r="BT200" i="2"/>
  <c r="CR200" i="2"/>
  <c r="DP200" i="2"/>
  <c r="FT203" i="2"/>
  <c r="FT228" i="2" s="1"/>
  <c r="BS204" i="2"/>
  <c r="DI204" i="2"/>
  <c r="DL160" i="2"/>
  <c r="DL124" i="2"/>
  <c r="DX124" i="2"/>
  <c r="DX160" i="2"/>
  <c r="FN199" i="2"/>
  <c r="FN225" i="2" s="1"/>
  <c r="BG200" i="2"/>
  <c r="BS200" i="2"/>
  <c r="CQ200" i="2"/>
  <c r="FZ199" i="2"/>
  <c r="FZ225" i="2" s="1"/>
  <c r="DC200" i="2"/>
  <c r="GF199" i="2"/>
  <c r="GF225" i="2" s="1"/>
  <c r="EA200" i="2"/>
  <c r="DV200" i="2"/>
  <c r="GF203" i="2"/>
  <c r="GF228" i="2" s="1"/>
  <c r="EA204" i="2"/>
  <c r="DO108" i="2"/>
  <c r="DT112" i="2"/>
  <c r="DO113" i="2"/>
  <c r="DO115" i="2" s="1"/>
  <c r="DW116" i="2"/>
  <c r="EA124" i="2"/>
  <c r="DM134" i="2"/>
  <c r="DW135" i="2"/>
  <c r="DR160" i="2"/>
  <c r="DR190" i="2"/>
  <c r="AI195" i="2"/>
  <c r="AI188" i="2" s="1"/>
  <c r="AU195" i="2"/>
  <c r="BG195" i="2"/>
  <c r="BG222" i="2" s="1"/>
  <c r="BS195" i="2"/>
  <c r="DU195" i="2"/>
  <c r="DU198" i="2" s="1"/>
  <c r="DT200" i="2"/>
  <c r="FY199" i="2"/>
  <c r="FY225" i="2" s="1"/>
  <c r="BA200" i="2"/>
  <c r="BY200" i="2"/>
  <c r="CW200" i="2"/>
  <c r="DU200" i="2"/>
  <c r="FN203" i="2"/>
  <c r="FN228" i="2" s="1"/>
  <c r="AJ204" i="2"/>
  <c r="BZ204" i="2"/>
  <c r="DQ204" i="2"/>
  <c r="FV214" i="2"/>
  <c r="DL116" i="2"/>
  <c r="GD175" i="2"/>
  <c r="DM185" i="2"/>
  <c r="DS185" i="2"/>
  <c r="DY185" i="2"/>
  <c r="GA190" i="2"/>
  <c r="AN200" i="2"/>
  <c r="AZ200" i="2"/>
  <c r="BL200" i="2"/>
  <c r="BX200" i="2"/>
  <c r="CJ200" i="2"/>
  <c r="CV200" i="2"/>
  <c r="DH200" i="2"/>
  <c r="AK204" i="2"/>
  <c r="DE204" i="2"/>
  <c r="AN210" i="2"/>
  <c r="BX210" i="2"/>
  <c r="DG234" i="2"/>
  <c r="DH210" i="2"/>
  <c r="FW209" i="2"/>
  <c r="FW219" i="2" s="1"/>
  <c r="BR210" i="2"/>
  <c r="DZ210" i="2"/>
  <c r="BE211" i="2"/>
  <c r="CI211" i="2"/>
  <c r="DG211" i="2"/>
  <c r="FQ214" i="2"/>
  <c r="BQ215" i="2"/>
  <c r="CO215" i="2"/>
  <c r="FQ218" i="2"/>
  <c r="FW218" i="2"/>
  <c r="EE225" i="2"/>
  <c r="DN239" i="2"/>
  <c r="DM242" i="2"/>
  <c r="BQ211" i="2"/>
  <c r="DS211" i="2"/>
  <c r="AG242" i="2"/>
  <c r="AS242" i="2"/>
  <c r="AY242" i="2"/>
  <c r="BE242" i="2"/>
  <c r="BW242" i="2"/>
  <c r="CC242" i="2"/>
  <c r="CI242" i="2"/>
  <c r="CU242" i="2"/>
  <c r="DA242" i="2"/>
  <c r="DG242" i="2"/>
  <c r="AE200" i="2"/>
  <c r="AK201" i="2"/>
  <c r="AQ201" i="2"/>
  <c r="AW201" i="2"/>
  <c r="BC201" i="2"/>
  <c r="BI201" i="2"/>
  <c r="BO201" i="2"/>
  <c r="BU201" i="2"/>
  <c r="CA201" i="2"/>
  <c r="CG201" i="2"/>
  <c r="CM201" i="2"/>
  <c r="CS201" i="2"/>
  <c r="CY201" i="2"/>
  <c r="DE201" i="2"/>
  <c r="DK201" i="2"/>
  <c r="DQ201" i="2"/>
  <c r="DW201" i="2"/>
  <c r="EC201" i="2"/>
  <c r="FG203" i="2"/>
  <c r="FG228" i="2" s="1"/>
  <c r="AE204" i="2"/>
  <c r="AQ204" i="2"/>
  <c r="BC204" i="2"/>
  <c r="BO204" i="2"/>
  <c r="CA204" i="2"/>
  <c r="CM204" i="2"/>
  <c r="CY204" i="2"/>
  <c r="DK204" i="2"/>
  <c r="DW204" i="2"/>
  <c r="BU204" i="2"/>
  <c r="EB204" i="2"/>
  <c r="AJ211" i="2"/>
  <c r="AN211" i="2"/>
  <c r="AP211" i="2"/>
  <c r="BB211" i="2"/>
  <c r="BF211" i="2"/>
  <c r="BH211" i="2"/>
  <c r="BT211" i="2"/>
  <c r="BX211" i="2"/>
  <c r="CL211" i="2"/>
  <c r="CP211" i="2"/>
  <c r="DD211" i="2"/>
  <c r="DH211" i="2"/>
  <c r="DZ211" i="2"/>
  <c r="BR211" i="2"/>
  <c r="DT211" i="2"/>
  <c r="FH214" i="2"/>
  <c r="FN214" i="2"/>
  <c r="FT214" i="2"/>
  <c r="FZ214" i="2"/>
  <c r="GF214" i="2"/>
  <c r="AM215" i="2"/>
  <c r="CC215" i="2"/>
  <c r="DS215" i="2"/>
  <c r="BK242" i="2"/>
  <c r="DJ424" i="2"/>
  <c r="DJ425" i="2" s="1"/>
  <c r="DJ267" i="2"/>
  <c r="DP424" i="2"/>
  <c r="DP426" i="2" s="1"/>
  <c r="DP267" i="2"/>
  <c r="DL117" i="2"/>
  <c r="DL120" i="2" s="1"/>
  <c r="DX117" i="2"/>
  <c r="DX118" i="2" s="1"/>
  <c r="DV113" i="2"/>
  <c r="DZ115" i="2" s="1"/>
  <c r="EB113" i="2"/>
  <c r="EB116" i="2" s="1"/>
  <c r="GD123" i="2"/>
  <c r="DO135" i="2"/>
  <c r="GF133" i="2"/>
  <c r="EK155" i="2"/>
  <c r="DK162" i="2"/>
  <c r="EC163" i="2"/>
  <c r="GC167" i="2"/>
  <c r="GC175" i="2"/>
  <c r="DK183" i="2"/>
  <c r="DQ185" i="2"/>
  <c r="AF204" i="2"/>
  <c r="AL205" i="2"/>
  <c r="AR205" i="2"/>
  <c r="AX205" i="2"/>
  <c r="BD205" i="2"/>
  <c r="BJ205" i="2"/>
  <c r="BP205" i="2"/>
  <c r="BV205" i="2"/>
  <c r="CB205" i="2"/>
  <c r="CH205" i="2"/>
  <c r="CN205" i="2"/>
  <c r="CT205" i="2"/>
  <c r="CZ205" i="2"/>
  <c r="DF205" i="2"/>
  <c r="DL205" i="2"/>
  <c r="DR205" i="2"/>
  <c r="DX205" i="2"/>
  <c r="BI204" i="2"/>
  <c r="EC204" i="2"/>
  <c r="AE210" i="2"/>
  <c r="AQ211" i="2"/>
  <c r="AW211" i="2"/>
  <c r="BI211" i="2"/>
  <c r="BO211" i="2"/>
  <c r="CA211" i="2"/>
  <c r="CG211" i="2"/>
  <c r="CS211" i="2"/>
  <c r="CY211" i="2"/>
  <c r="DK211" i="2"/>
  <c r="BF210" i="2"/>
  <c r="DB210" i="2"/>
  <c r="AY211" i="2"/>
  <c r="BW211" i="2"/>
  <c r="DA211" i="2"/>
  <c r="DY211" i="2"/>
  <c r="BK215" i="2"/>
  <c r="DA215" i="2"/>
  <c r="FI218" i="2"/>
  <c r="FO218" i="2"/>
  <c r="FU218" i="2"/>
  <c r="GA218" i="2"/>
  <c r="FQ209" i="2"/>
  <c r="FQ219" i="2" s="1"/>
  <c r="AZ210" i="2"/>
  <c r="CJ210" i="2"/>
  <c r="DT210" i="2"/>
  <c r="DN211" i="2"/>
  <c r="DT215" i="2"/>
  <c r="FS218" i="2"/>
  <c r="AL238" i="2"/>
  <c r="BK238" i="2"/>
  <c r="CN238" i="2"/>
  <c r="DM238" i="2"/>
  <c r="AM242" i="2"/>
  <c r="BQ242" i="2"/>
  <c r="CO242" i="2"/>
  <c r="FR277" i="2"/>
  <c r="DP239" i="2"/>
  <c r="DZ239" i="2"/>
  <c r="CY272" i="2"/>
  <c r="CY292" i="2" s="1"/>
  <c r="CY277" i="2"/>
  <c r="DP243" i="2"/>
  <c r="DT239" i="2"/>
  <c r="AX238" i="2"/>
  <c r="CB238" i="2"/>
  <c r="CZ238" i="2"/>
  <c r="EF279" i="2"/>
  <c r="EF281" i="2" s="1"/>
  <c r="BK210" i="2"/>
  <c r="BQ210" i="2"/>
  <c r="CC210" i="2"/>
  <c r="CI210" i="2"/>
  <c r="CU210" i="2"/>
  <c r="DA210" i="2"/>
  <c r="DM210" i="2"/>
  <c r="FI214" i="2"/>
  <c r="FO214" i="2"/>
  <c r="FU214" i="2"/>
  <c r="GA214" i="2"/>
  <c r="AG238" i="2"/>
  <c r="AM238" i="2"/>
  <c r="AY238" i="2"/>
  <c r="BE238" i="2"/>
  <c r="BQ238" i="2"/>
  <c r="BW238" i="2"/>
  <c r="CI238" i="2"/>
  <c r="CO238" i="2"/>
  <c r="DA238" i="2"/>
  <c r="DG238" i="2"/>
  <c r="BD238" i="2"/>
  <c r="CC238" i="2"/>
  <c r="DF238" i="2"/>
  <c r="GB258" i="2"/>
  <c r="BN274" i="2"/>
  <c r="CR274" i="2"/>
  <c r="CX274" i="2"/>
  <c r="DQ239" i="2"/>
  <c r="FG241" i="2"/>
  <c r="AJ243" i="2"/>
  <c r="AP243" i="2"/>
  <c r="BH243" i="2"/>
  <c r="BN243" i="2"/>
  <c r="BT243" i="2"/>
  <c r="BZ243" i="2"/>
  <c r="CR243" i="2"/>
  <c r="CX243" i="2"/>
  <c r="DJ243" i="2"/>
  <c r="DQ243" i="2"/>
  <c r="AT242" i="2"/>
  <c r="BL242" i="2"/>
  <c r="CV242" i="2"/>
  <c r="DI272" i="2"/>
  <c r="GC275" i="2"/>
  <c r="DU276" i="2"/>
  <c r="BK280" i="2"/>
  <c r="BQ281" i="2"/>
  <c r="BW281" i="2"/>
  <c r="CC281" i="2"/>
  <c r="CI281" i="2"/>
  <c r="CO281" i="2"/>
  <c r="CU279" i="2"/>
  <c r="CU281" i="2" s="1"/>
  <c r="DI279" i="2"/>
  <c r="BW288" i="2"/>
  <c r="BL288" i="2"/>
  <c r="BR288" i="2"/>
  <c r="BX288" i="2"/>
  <c r="CD288" i="2"/>
  <c r="CJ288" i="2"/>
  <c r="CP288" i="2"/>
  <c r="CV288" i="2"/>
  <c r="BL273" i="2"/>
  <c r="CV273" i="2"/>
  <c r="EA276" i="2"/>
  <c r="BR278" i="2"/>
  <c r="BR281" i="2"/>
  <c r="BX281" i="2"/>
  <c r="CD281" i="2"/>
  <c r="CJ281" i="2"/>
  <c r="CP281" i="2"/>
  <c r="CV281" i="2"/>
  <c r="DO286" i="2"/>
  <c r="FZ327" i="2"/>
  <c r="FZ334" i="2" s="1"/>
  <c r="DS440" i="2"/>
  <c r="DW442" i="2" s="1"/>
  <c r="DS321" i="2"/>
  <c r="DY440" i="2"/>
  <c r="EC442" i="2" s="1"/>
  <c r="DY321" i="2"/>
  <c r="DY324" i="2" s="1"/>
  <c r="BM273" i="2"/>
  <c r="BS273" i="2"/>
  <c r="BY273" i="2"/>
  <c r="CE273" i="2"/>
  <c r="CK273" i="2"/>
  <c r="CQ273" i="2"/>
  <c r="CW273" i="2"/>
  <c r="BR273" i="2"/>
  <c r="DP276" i="2"/>
  <c r="DV276" i="2"/>
  <c r="EB276" i="2"/>
  <c r="BX278" i="2"/>
  <c r="BN280" i="2"/>
  <c r="DO279" i="2"/>
  <c r="GC279" i="2" s="1"/>
  <c r="GD281" i="2" s="1"/>
  <c r="FS287" i="2"/>
  <c r="FY287" i="2"/>
  <c r="BN281" i="2"/>
  <c r="BT281" i="2"/>
  <c r="BZ281" i="2"/>
  <c r="CF281" i="2"/>
  <c r="CL281" i="2"/>
  <c r="CR281" i="2"/>
  <c r="CG280" i="2"/>
  <c r="FX282" i="2"/>
  <c r="FX304" i="2" s="1"/>
  <c r="ED291" i="2"/>
  <c r="EE289" i="2"/>
  <c r="EE291" i="2" s="1"/>
  <c r="CN328" i="2"/>
  <c r="CM329" i="2"/>
  <c r="CZ328" i="2"/>
  <c r="CY329" i="2"/>
  <c r="FY327" i="2"/>
  <c r="FY334" i="2" s="1"/>
  <c r="DL328" i="2"/>
  <c r="DK329" i="2"/>
  <c r="DX328" i="2"/>
  <c r="DW329" i="2"/>
  <c r="GE506" i="2"/>
  <c r="GE505" i="2"/>
  <c r="GE502" i="2"/>
  <c r="BY239" i="2"/>
  <c r="CE239" i="2"/>
  <c r="CK239" i="2"/>
  <c r="CQ239" i="2"/>
  <c r="CW239" i="2"/>
  <c r="DO239" i="2"/>
  <c r="FN241" i="2"/>
  <c r="FT241" i="2"/>
  <c r="DO243" i="2"/>
  <c r="EA243" i="2"/>
  <c r="BF242" i="2"/>
  <c r="CP242" i="2"/>
  <c r="CE254" i="2"/>
  <c r="CE255" i="2" s="1"/>
  <c r="DQ267" i="2"/>
  <c r="DC268" i="2"/>
  <c r="FT272" i="2"/>
  <c r="FT288" i="2" s="1"/>
  <c r="DN272" i="2"/>
  <c r="DR274" i="2" s="1"/>
  <c r="DU272" i="2"/>
  <c r="DU278" i="2" s="1"/>
  <c r="EB272" i="2"/>
  <c r="EB292" i="2" s="1"/>
  <c r="CD273" i="2"/>
  <c r="DX278" i="2"/>
  <c r="ED275" i="2"/>
  <c r="ED272" i="2" s="1"/>
  <c r="DI276" i="2"/>
  <c r="CJ278" i="2"/>
  <c r="BO281" i="2"/>
  <c r="BU281" i="2"/>
  <c r="CA281" i="2"/>
  <c r="CG281" i="2"/>
  <c r="CM281" i="2"/>
  <c r="CS281" i="2"/>
  <c r="DC279" i="2"/>
  <c r="CM280" i="2"/>
  <c r="CV283" i="2"/>
  <c r="BK288" i="2"/>
  <c r="CU288" i="2"/>
  <c r="CH328" i="2"/>
  <c r="CT328" i="2"/>
  <c r="DU321" i="2"/>
  <c r="DU324" i="2" s="1"/>
  <c r="CR328" i="2"/>
  <c r="DF328" i="2"/>
  <c r="CT329" i="2"/>
  <c r="DJ329" i="2"/>
  <c r="GA333" i="2"/>
  <c r="DD340" i="2"/>
  <c r="DV340" i="2"/>
  <c r="CP341" i="2"/>
  <c r="DZ341" i="2"/>
  <c r="FT522" i="2"/>
  <c r="FT527" i="2"/>
  <c r="FT531" i="2"/>
  <c r="CQ340" i="2"/>
  <c r="DI340" i="2"/>
  <c r="EA340" i="2"/>
  <c r="GD291" i="2"/>
  <c r="CJ329" i="2"/>
  <c r="DZ436" i="2"/>
  <c r="DZ438" i="2" s="1"/>
  <c r="DP328" i="2"/>
  <c r="FX333" i="2"/>
  <c r="GD333" i="2"/>
  <c r="CR441" i="2"/>
  <c r="CR340" i="2"/>
  <c r="DJ340" i="2"/>
  <c r="EB340" i="2"/>
  <c r="DB341" i="2"/>
  <c r="EE343" i="2"/>
  <c r="EE345" i="2" s="1"/>
  <c r="DD451" i="2"/>
  <c r="DD380" i="2"/>
  <c r="DJ451" i="2"/>
  <c r="DJ372" i="2"/>
  <c r="DJ368" i="2"/>
  <c r="CK329" i="2"/>
  <c r="CW329" i="2"/>
  <c r="DC329" i="2"/>
  <c r="DI329" i="2"/>
  <c r="EA436" i="2"/>
  <c r="CX328" i="2"/>
  <c r="AQ341" i="2"/>
  <c r="AW341" i="2"/>
  <c r="BC341" i="2"/>
  <c r="BI341" i="2"/>
  <c r="BO341" i="2"/>
  <c r="BU341" i="2"/>
  <c r="CA341" i="2"/>
  <c r="CG341" i="2"/>
  <c r="CM341" i="2"/>
  <c r="CW340" i="2"/>
  <c r="DO340" i="2"/>
  <c r="ED348" i="2"/>
  <c r="EE346" i="2"/>
  <c r="DT356" i="2"/>
  <c r="DO355" i="2"/>
  <c r="DS357" i="2" s="1"/>
  <c r="DJ380" i="2"/>
  <c r="CY451" i="2"/>
  <c r="CY376" i="2"/>
  <c r="CY372" i="2"/>
  <c r="CY368" i="2"/>
  <c r="CY380" i="2"/>
  <c r="DE451" i="2"/>
  <c r="DE397" i="2"/>
  <c r="DE376" i="2"/>
  <c r="DE372" i="2"/>
  <c r="DE368" i="2"/>
  <c r="DE405" i="2"/>
  <c r="DK451" i="2"/>
  <c r="DK405" i="2"/>
  <c r="DK384" i="2"/>
  <c r="DK376" i="2"/>
  <c r="DC401" i="2"/>
  <c r="DI401" i="2"/>
  <c r="DM401" i="2"/>
  <c r="FZ291" i="2"/>
  <c r="GF291" i="2"/>
  <c r="CY311" i="2"/>
  <c r="DM312" i="2"/>
  <c r="DD328" i="2"/>
  <c r="DR328" i="2"/>
  <c r="DD329" i="2"/>
  <c r="FY333" i="2"/>
  <c r="GE333" i="2"/>
  <c r="AL340" i="2"/>
  <c r="AR341" i="2"/>
  <c r="AX341" i="2"/>
  <c r="BD341" i="2"/>
  <c r="BJ341" i="2"/>
  <c r="BP341" i="2"/>
  <c r="BV341" i="2"/>
  <c r="CB341" i="2"/>
  <c r="CH341" i="2"/>
  <c r="CN341" i="2"/>
  <c r="ED339" i="2"/>
  <c r="ED342" i="2" s="1"/>
  <c r="CX340" i="2"/>
  <c r="DP340" i="2"/>
  <c r="DN341" i="2"/>
  <c r="DP365" i="2"/>
  <c r="DP355" i="2" s="1"/>
  <c r="DK397" i="2"/>
  <c r="GD507" i="2"/>
  <c r="GD503" i="2"/>
  <c r="GB379" i="2"/>
  <c r="DL397" i="2"/>
  <c r="DH401" i="2"/>
  <c r="GB399" i="2"/>
  <c r="DI430" i="2"/>
  <c r="GB502" i="2"/>
  <c r="GB506" i="2"/>
  <c r="FJ345" i="2"/>
  <c r="FP345" i="2"/>
  <c r="FV345" i="2"/>
  <c r="GB345" i="2"/>
  <c r="CZ397" i="2"/>
  <c r="CZ400" i="2"/>
  <c r="DF400" i="2"/>
  <c r="DL400" i="2"/>
  <c r="CY425" i="2"/>
  <c r="DE429" i="2"/>
  <c r="EA446" i="2"/>
  <c r="GB503" i="2"/>
  <c r="GB508" i="2"/>
  <c r="FR535" i="2"/>
  <c r="DJ384" i="2"/>
  <c r="CZ384" i="2"/>
  <c r="DA400" i="2"/>
  <c r="DL405" i="2"/>
  <c r="GE444" i="2"/>
  <c r="GE447" i="2" s="1"/>
  <c r="EB446" i="2"/>
  <c r="FR530" i="2"/>
  <c r="DZ21" i="2"/>
  <c r="CJ324" i="2"/>
  <c r="CJ330" i="2"/>
  <c r="CJ191" i="2"/>
  <c r="CJ62" i="2"/>
  <c r="DT358" i="2"/>
  <c r="DT330" i="2"/>
  <c r="DT62" i="2"/>
  <c r="FH4" i="2"/>
  <c r="CN12" i="2"/>
  <c r="K13" i="2"/>
  <c r="CS13" i="2"/>
  <c r="G17" i="2"/>
  <c r="M17" i="2"/>
  <c r="M15" i="2"/>
  <c r="AE17" i="2"/>
  <c r="BC17" i="2"/>
  <c r="BC15" i="2"/>
  <c r="BI17" i="2"/>
  <c r="BI15" i="2"/>
  <c r="BO17" i="2"/>
  <c r="BO15" i="2"/>
  <c r="BU17" i="2"/>
  <c r="BU15" i="2"/>
  <c r="CA17" i="2"/>
  <c r="CA15" i="2"/>
  <c r="CG17" i="2"/>
  <c r="CG15" i="2"/>
  <c r="CM17" i="2"/>
  <c r="CM15" i="2"/>
  <c r="CS17" i="2"/>
  <c r="CS15" i="2"/>
  <c r="CY17" i="2"/>
  <c r="CY15" i="2"/>
  <c r="DE17" i="2"/>
  <c r="DE15" i="2"/>
  <c r="DK17" i="2"/>
  <c r="DK15" i="2"/>
  <c r="DQ17" i="2"/>
  <c r="DQ15" i="2"/>
  <c r="DW17" i="2"/>
  <c r="DW15" i="2"/>
  <c r="EC17" i="2"/>
  <c r="EC15" i="2"/>
  <c r="GC14" i="2"/>
  <c r="BB16" i="2"/>
  <c r="BJ16" i="2"/>
  <c r="BT16" i="2"/>
  <c r="CB16" i="2"/>
  <c r="CL16" i="2"/>
  <c r="CT16" i="2"/>
  <c r="DE16" i="2"/>
  <c r="DW16" i="2"/>
  <c r="AT17" i="2"/>
  <c r="BL17" i="2"/>
  <c r="CD17" i="2"/>
  <c r="CV17" i="2"/>
  <c r="DN17" i="2"/>
  <c r="FA18" i="2"/>
  <c r="F19" i="2"/>
  <c r="FG18" i="2"/>
  <c r="AD19" i="2"/>
  <c r="H21" i="2"/>
  <c r="P21" i="2"/>
  <c r="Z21" i="2"/>
  <c r="AH21" i="2"/>
  <c r="AR21" i="2"/>
  <c r="AZ21" i="2"/>
  <c r="BJ21" i="2"/>
  <c r="BR21" i="2"/>
  <c r="CJ21" i="2"/>
  <c r="DC48" i="2"/>
  <c r="DC29" i="2"/>
  <c r="DC31" i="2"/>
  <c r="AY29" i="2"/>
  <c r="AK35" i="2"/>
  <c r="CE35" i="2"/>
  <c r="G44" i="2"/>
  <c r="AQ44" i="2"/>
  <c r="CA44" i="2"/>
  <c r="DK44" i="2"/>
  <c r="I58" i="2"/>
  <c r="BC62" i="2"/>
  <c r="BI62" i="2"/>
  <c r="BO62" i="2"/>
  <c r="BU62" i="2"/>
  <c r="CA62" i="2"/>
  <c r="CM62" i="2"/>
  <c r="CS62" i="2"/>
  <c r="DE62" i="2"/>
  <c r="DK62" i="2"/>
  <c r="DW62" i="2"/>
  <c r="EC62" i="2"/>
  <c r="BQ62" i="2"/>
  <c r="CD324" i="2"/>
  <c r="CD191" i="2"/>
  <c r="CD62" i="2"/>
  <c r="DN362" i="2"/>
  <c r="DN318" i="2"/>
  <c r="DN330" i="2"/>
  <c r="DN324" i="2"/>
  <c r="DN269" i="2"/>
  <c r="DN191" i="2"/>
  <c r="DN62" i="2"/>
  <c r="E44" i="2"/>
  <c r="E58" i="2"/>
  <c r="CE324" i="2"/>
  <c r="CE191" i="2"/>
  <c r="CE89" i="2"/>
  <c r="CE44" i="2"/>
  <c r="DI324" i="2"/>
  <c r="DI318" i="2"/>
  <c r="DI330" i="2"/>
  <c r="DI269" i="2"/>
  <c r="DI261" i="2"/>
  <c r="DI191" i="2"/>
  <c r="DI89" i="2"/>
  <c r="DI44" i="2"/>
  <c r="FI4" i="2"/>
  <c r="P5" i="2"/>
  <c r="BF5" i="2"/>
  <c r="CD5" i="2"/>
  <c r="CV5" i="2"/>
  <c r="CH12" i="2"/>
  <c r="FV14" i="2"/>
  <c r="BP15" i="2"/>
  <c r="CH15" i="2"/>
  <c r="DR15" i="2"/>
  <c r="BC16" i="2"/>
  <c r="BU16" i="2"/>
  <c r="CM16" i="2"/>
  <c r="DO16" i="2"/>
  <c r="B17" i="2"/>
  <c r="AL17" i="2"/>
  <c r="BD17" i="2"/>
  <c r="BM17" i="2"/>
  <c r="BV17" i="2"/>
  <c r="CE17" i="2"/>
  <c r="CN17" i="2"/>
  <c r="DF17" i="2"/>
  <c r="DO17" i="2"/>
  <c r="G21" i="2"/>
  <c r="M21" i="2"/>
  <c r="S21" i="2"/>
  <c r="Y21" i="2"/>
  <c r="AE21" i="2"/>
  <c r="AK21" i="2"/>
  <c r="AQ21" i="2"/>
  <c r="AW21" i="2"/>
  <c r="G19" i="2"/>
  <c r="Y19" i="2"/>
  <c r="AQ19" i="2"/>
  <c r="L20" i="2"/>
  <c r="AD20" i="2"/>
  <c r="AV20" i="2"/>
  <c r="R21" i="2"/>
  <c r="AA21" i="2"/>
  <c r="BK21" i="2"/>
  <c r="CC21" i="2"/>
  <c r="CL21" i="2"/>
  <c r="CP25" i="2"/>
  <c r="DW29" i="2"/>
  <c r="F44" i="2"/>
  <c r="L44" i="2"/>
  <c r="R44" i="2"/>
  <c r="X44" i="2"/>
  <c r="AD44" i="2"/>
  <c r="AJ44" i="2"/>
  <c r="AP44" i="2"/>
  <c r="AV44" i="2"/>
  <c r="BB44" i="2"/>
  <c r="BH44" i="2"/>
  <c r="BN44" i="2"/>
  <c r="BT44" i="2"/>
  <c r="BZ44" i="2"/>
  <c r="CF44" i="2"/>
  <c r="CL44" i="2"/>
  <c r="CR44" i="2"/>
  <c r="CX44" i="2"/>
  <c r="DD44" i="2"/>
  <c r="DJ44" i="2"/>
  <c r="DP44" i="2"/>
  <c r="DV44" i="2"/>
  <c r="EB44" i="2"/>
  <c r="FG41" i="2"/>
  <c r="FS41" i="2"/>
  <c r="GE41" i="2"/>
  <c r="H42" i="2"/>
  <c r="T42" i="2"/>
  <c r="AF42" i="2"/>
  <c r="AR42" i="2"/>
  <c r="BD42" i="2"/>
  <c r="BP42" i="2"/>
  <c r="CB42" i="2"/>
  <c r="CN42" i="2"/>
  <c r="CZ42" i="2"/>
  <c r="DL42" i="2"/>
  <c r="DX42" i="2"/>
  <c r="M44" i="2"/>
  <c r="AW44" i="2"/>
  <c r="CG44" i="2"/>
  <c r="DQ44" i="2"/>
  <c r="O58" i="2"/>
  <c r="AX62" i="2"/>
  <c r="BD62" i="2"/>
  <c r="BJ62" i="2"/>
  <c r="BP62" i="2"/>
  <c r="BV62" i="2"/>
  <c r="CB62" i="2"/>
  <c r="CN62" i="2"/>
  <c r="CT62" i="2"/>
  <c r="DF62" i="2"/>
  <c r="DL62" i="2"/>
  <c r="DX62" i="2"/>
  <c r="ED62" i="2"/>
  <c r="BW62" i="2"/>
  <c r="D57" i="2"/>
  <c r="D58" i="2"/>
  <c r="DB324" i="2"/>
  <c r="DB330" i="2"/>
  <c r="DB191" i="2"/>
  <c r="DB62" i="2"/>
  <c r="FZ4" i="2"/>
  <c r="Q44" i="2"/>
  <c r="Q58" i="2"/>
  <c r="BS89" i="2"/>
  <c r="BS44" i="2"/>
  <c r="CW330" i="2"/>
  <c r="CW324" i="2"/>
  <c r="CW261" i="2"/>
  <c r="CW191" i="2"/>
  <c r="CW89" i="2"/>
  <c r="CW44" i="2"/>
  <c r="EA358" i="2"/>
  <c r="EA330" i="2"/>
  <c r="EA261" i="2"/>
  <c r="EA89" i="2"/>
  <c r="EA44" i="2"/>
  <c r="FC4" i="2"/>
  <c r="GA4" i="2"/>
  <c r="AB5" i="2"/>
  <c r="AZ5" i="2"/>
  <c r="BX5" i="2"/>
  <c r="DN5" i="2"/>
  <c r="DT5" i="2"/>
  <c r="CT25" i="2"/>
  <c r="DF97" i="2"/>
  <c r="CA12" i="2"/>
  <c r="DC12" i="2"/>
  <c r="S13" i="2"/>
  <c r="BJ13" i="2"/>
  <c r="BY13" i="2"/>
  <c r="ED13" i="2"/>
  <c r="FM14" i="2"/>
  <c r="GE14" i="2"/>
  <c r="N15" i="2"/>
  <c r="BG15" i="2"/>
  <c r="BY15" i="2"/>
  <c r="CQ15" i="2"/>
  <c r="CZ15" i="2"/>
  <c r="BL16" i="2"/>
  <c r="CV16" i="2"/>
  <c r="DF16" i="2"/>
  <c r="DX16" i="2"/>
  <c r="DX17" i="2"/>
  <c r="F89" i="2"/>
  <c r="F58" i="2"/>
  <c r="L89" i="2"/>
  <c r="L58" i="2"/>
  <c r="R89" i="2"/>
  <c r="R58" i="2"/>
  <c r="AJ342" i="2"/>
  <c r="AP342" i="2"/>
  <c r="AP89" i="2"/>
  <c r="AV342" i="2"/>
  <c r="AV89" i="2"/>
  <c r="BB342" i="2"/>
  <c r="BB89" i="2"/>
  <c r="BH342" i="2"/>
  <c r="BN342" i="2"/>
  <c r="BN89" i="2"/>
  <c r="BT342" i="2"/>
  <c r="BT89" i="2"/>
  <c r="BZ342" i="2"/>
  <c r="BZ89" i="2"/>
  <c r="CF342" i="2"/>
  <c r="CF324" i="2"/>
  <c r="CF330" i="2"/>
  <c r="CF89" i="2"/>
  <c r="CL342" i="2"/>
  <c r="CL330" i="2"/>
  <c r="CL324" i="2"/>
  <c r="CL89" i="2"/>
  <c r="CR342" i="2"/>
  <c r="CR330" i="2"/>
  <c r="CR89" i="2"/>
  <c r="CX342" i="2"/>
  <c r="CX269" i="2"/>
  <c r="CX258" i="2"/>
  <c r="DB260" i="2" s="1"/>
  <c r="CX330" i="2"/>
  <c r="CX324" i="2"/>
  <c r="CX191" i="2"/>
  <c r="CX89" i="2"/>
  <c r="DD342" i="2"/>
  <c r="DD324" i="2"/>
  <c r="DD318" i="2"/>
  <c r="DD330" i="2"/>
  <c r="DD261" i="2"/>
  <c r="DD89" i="2"/>
  <c r="DD191" i="2"/>
  <c r="DJ342" i="2"/>
  <c r="DJ324" i="2"/>
  <c r="DJ318" i="2"/>
  <c r="DJ330" i="2"/>
  <c r="DJ261" i="2"/>
  <c r="DJ191" i="2"/>
  <c r="DJ89" i="2"/>
  <c r="DP342" i="2"/>
  <c r="DP318" i="2"/>
  <c r="DP330" i="2"/>
  <c r="DP261" i="2"/>
  <c r="DP89" i="2"/>
  <c r="DV358" i="2"/>
  <c r="DV342" i="2"/>
  <c r="DV330" i="2"/>
  <c r="DV261" i="2"/>
  <c r="DV89" i="2"/>
  <c r="EB342" i="2"/>
  <c r="EB358" i="2"/>
  <c r="EB330" i="2"/>
  <c r="EB261" i="2"/>
  <c r="EB89" i="2"/>
  <c r="FD4" i="2"/>
  <c r="FJ4" i="2"/>
  <c r="FP4" i="2"/>
  <c r="FV4" i="2"/>
  <c r="GB4" i="2"/>
  <c r="GB324" i="2" s="1"/>
  <c r="E5" i="2"/>
  <c r="K5" i="2"/>
  <c r="Q5" i="2"/>
  <c r="W5" i="2"/>
  <c r="AC5" i="2"/>
  <c r="AI5" i="2"/>
  <c r="AO5" i="2"/>
  <c r="AU5" i="2"/>
  <c r="BA5" i="2"/>
  <c r="BG5" i="2"/>
  <c r="BM5" i="2"/>
  <c r="BS5" i="2"/>
  <c r="BY5" i="2"/>
  <c r="CE5" i="2"/>
  <c r="CQ5" i="2"/>
  <c r="CW5" i="2"/>
  <c r="DC5" i="2"/>
  <c r="DI5" i="2"/>
  <c r="DU5" i="2"/>
  <c r="EA5" i="2"/>
  <c r="M6" i="2"/>
  <c r="S6" i="2"/>
  <c r="Y6" i="2"/>
  <c r="AE6" i="2"/>
  <c r="AK6" i="2"/>
  <c r="AQ6" i="2"/>
  <c r="AW6" i="2"/>
  <c r="BC6" i="2"/>
  <c r="BI6" i="2"/>
  <c r="BO6" i="2"/>
  <c r="BU6" i="2"/>
  <c r="CA6" i="2"/>
  <c r="CG6" i="2"/>
  <c r="CM6" i="2"/>
  <c r="CS6" i="2"/>
  <c r="CY6" i="2"/>
  <c r="DK6" i="2"/>
  <c r="DW6" i="2"/>
  <c r="EC6" i="2"/>
  <c r="DG97" i="2"/>
  <c r="DG18" i="2"/>
  <c r="DM18" i="2"/>
  <c r="DS18" i="2"/>
  <c r="DY18" i="2"/>
  <c r="BH11" i="2"/>
  <c r="DD11" i="2"/>
  <c r="DV11" i="2"/>
  <c r="EB11" i="2"/>
  <c r="DD12" i="2"/>
  <c r="DZ12" i="2"/>
  <c r="AA13" i="2"/>
  <c r="AP13" i="2"/>
  <c r="BK13" i="2"/>
  <c r="CN13" i="2"/>
  <c r="DQ13" i="2"/>
  <c r="DX13" i="2"/>
  <c r="C17" i="2"/>
  <c r="C15" i="2"/>
  <c r="AA17" i="2"/>
  <c r="AA16" i="2"/>
  <c r="AY17" i="2"/>
  <c r="AY15" i="2"/>
  <c r="BE17" i="2"/>
  <c r="BE15" i="2"/>
  <c r="BE16" i="2"/>
  <c r="BK17" i="2"/>
  <c r="BK15" i="2"/>
  <c r="BK16" i="2"/>
  <c r="BQ17" i="2"/>
  <c r="BQ15" i="2"/>
  <c r="BQ16" i="2"/>
  <c r="BW17" i="2"/>
  <c r="BW15" i="2"/>
  <c r="BW16" i="2"/>
  <c r="CC17" i="2"/>
  <c r="CC15" i="2"/>
  <c r="CC16" i="2"/>
  <c r="CI17" i="2"/>
  <c r="CI15" i="2"/>
  <c r="CI16" i="2"/>
  <c r="CO17" i="2"/>
  <c r="CO15" i="2"/>
  <c r="CO16" i="2"/>
  <c r="CU17" i="2"/>
  <c r="CU15" i="2"/>
  <c r="CU16" i="2"/>
  <c r="DA17" i="2"/>
  <c r="DA15" i="2"/>
  <c r="DG17" i="2"/>
  <c r="DG15" i="2"/>
  <c r="DM17" i="2"/>
  <c r="DM15" i="2"/>
  <c r="DS17" i="2"/>
  <c r="DS15" i="2"/>
  <c r="DY17" i="2"/>
  <c r="DY15" i="2"/>
  <c r="EE14" i="2"/>
  <c r="FO14" i="2"/>
  <c r="FW14" i="2"/>
  <c r="FX16" i="2" s="1"/>
  <c r="AZ15" i="2"/>
  <c r="BR15" i="2"/>
  <c r="CJ15" i="2"/>
  <c r="DT15" i="2"/>
  <c r="BD16" i="2"/>
  <c r="BN16" i="2"/>
  <c r="BV16" i="2"/>
  <c r="CF16" i="2"/>
  <c r="CN16" i="2"/>
  <c r="CY16" i="2"/>
  <c r="DG16" i="2"/>
  <c r="DQ16" i="2"/>
  <c r="DY16" i="2"/>
  <c r="L17" i="2"/>
  <c r="BN17" i="2"/>
  <c r="BX17" i="2"/>
  <c r="CF17" i="2"/>
  <c r="CP17" i="2"/>
  <c r="CX17" i="2"/>
  <c r="DH17" i="2"/>
  <c r="DP17" i="2"/>
  <c r="H19" i="2"/>
  <c r="H20" i="2"/>
  <c r="N19" i="2"/>
  <c r="N20" i="2"/>
  <c r="T19" i="2"/>
  <c r="T20" i="2"/>
  <c r="Z19" i="2"/>
  <c r="Z20" i="2"/>
  <c r="AF19" i="2"/>
  <c r="AF20" i="2"/>
  <c r="AL19" i="2"/>
  <c r="AL20" i="2"/>
  <c r="AR19" i="2"/>
  <c r="AR20" i="2"/>
  <c r="AX19" i="2"/>
  <c r="AX20" i="2"/>
  <c r="BD20" i="2"/>
  <c r="BJ20" i="2"/>
  <c r="BP20" i="2"/>
  <c r="BV20" i="2"/>
  <c r="CN20" i="2"/>
  <c r="DF18" i="2"/>
  <c r="DX18" i="2"/>
  <c r="FB18" i="2"/>
  <c r="FJ18" i="2"/>
  <c r="I19" i="2"/>
  <c r="AA19" i="2"/>
  <c r="AS19" i="2"/>
  <c r="BK19" i="2"/>
  <c r="M20" i="2"/>
  <c r="W20" i="2"/>
  <c r="AE20" i="2"/>
  <c r="AO20" i="2"/>
  <c r="AW20" i="2"/>
  <c r="B21" i="2"/>
  <c r="T21" i="2"/>
  <c r="AL21" i="2"/>
  <c r="BD21" i="2"/>
  <c r="BV21" i="2"/>
  <c r="CN21" i="2"/>
  <c r="CR25" i="2"/>
  <c r="CE48" i="2"/>
  <c r="CE29" i="2"/>
  <c r="I42" i="2"/>
  <c r="U42" i="2"/>
  <c r="AG42" i="2"/>
  <c r="AS42" i="2"/>
  <c r="BE42" i="2"/>
  <c r="BQ42" i="2"/>
  <c r="CC42" i="2"/>
  <c r="CO42" i="2"/>
  <c r="DA42" i="2"/>
  <c r="DM42" i="2"/>
  <c r="DY42" i="2"/>
  <c r="BC44" i="2"/>
  <c r="DW44" i="2"/>
  <c r="C46" i="2"/>
  <c r="EZ45" i="2"/>
  <c r="I46" i="2"/>
  <c r="FA45" i="2"/>
  <c r="FC45" i="2"/>
  <c r="O46" i="2"/>
  <c r="AA46" i="2"/>
  <c r="FF45" i="2"/>
  <c r="AG46" i="2"/>
  <c r="FG45" i="2"/>
  <c r="FI45" i="2"/>
  <c r="AM46" i="2"/>
  <c r="AY46" i="2"/>
  <c r="FL45" i="2"/>
  <c r="BE46" i="2"/>
  <c r="FO45" i="2"/>
  <c r="BK46" i="2"/>
  <c r="BW46" i="2"/>
  <c r="FR45" i="2"/>
  <c r="CC46" i="2"/>
  <c r="FS45" i="2"/>
  <c r="FU45" i="2"/>
  <c r="CI46" i="2"/>
  <c r="CU46" i="2"/>
  <c r="FX45" i="2"/>
  <c r="DA46" i="2"/>
  <c r="FY45" i="2"/>
  <c r="GA45" i="2"/>
  <c r="DG46" i="2"/>
  <c r="DS46" i="2"/>
  <c r="GD45" i="2"/>
  <c r="DY46" i="2"/>
  <c r="GE45" i="2"/>
  <c r="GP22" i="3"/>
  <c r="EF45" i="2"/>
  <c r="U47" i="2"/>
  <c r="BE47" i="2"/>
  <c r="CO47" i="2"/>
  <c r="DY47" i="2"/>
  <c r="U58" i="2"/>
  <c r="CP330" i="2"/>
  <c r="CP324" i="2"/>
  <c r="CP191" i="2"/>
  <c r="CP62" i="2"/>
  <c r="DZ358" i="2"/>
  <c r="DZ330" i="2"/>
  <c r="DZ62" i="2"/>
  <c r="FB4" i="2"/>
  <c r="GF4" i="2"/>
  <c r="CK330" i="2"/>
  <c r="CK324" i="2"/>
  <c r="CK191" i="2"/>
  <c r="CK89" i="2"/>
  <c r="CK44" i="2"/>
  <c r="DO330" i="2"/>
  <c r="DO318" i="2"/>
  <c r="DO269" i="2"/>
  <c r="DO261" i="2"/>
  <c r="DO89" i="2"/>
  <c r="DO44" i="2"/>
  <c r="J5" i="2"/>
  <c r="GC4" i="2"/>
  <c r="BT5" i="2"/>
  <c r="DP5" i="2"/>
  <c r="Z6" i="2"/>
  <c r="AR6" i="2"/>
  <c r="BJ6" i="2"/>
  <c r="CB6" i="2"/>
  <c r="DF6" i="2"/>
  <c r="J13" i="2"/>
  <c r="CJ25" i="2"/>
  <c r="CJ13" i="2"/>
  <c r="DH97" i="2"/>
  <c r="DH13" i="2"/>
  <c r="CS11" i="2"/>
  <c r="DF12" i="2"/>
  <c r="FN14" i="2"/>
  <c r="BS15" i="2"/>
  <c r="DL15" i="2"/>
  <c r="BF16" i="2"/>
  <c r="CZ16" i="2"/>
  <c r="N17" i="2"/>
  <c r="CR20" i="2"/>
  <c r="C21" i="2"/>
  <c r="L21" i="2"/>
  <c r="U21" i="2"/>
  <c r="AD21" i="2"/>
  <c r="AV21" i="2"/>
  <c r="BE21" i="2"/>
  <c r="AY48" i="2"/>
  <c r="CF29" i="2"/>
  <c r="B32" i="2"/>
  <c r="B44" i="2"/>
  <c r="H43" i="2"/>
  <c r="H32" i="2"/>
  <c r="H44" i="2"/>
  <c r="N43" i="2"/>
  <c r="N32" i="2"/>
  <c r="FC41" i="2"/>
  <c r="N44" i="2"/>
  <c r="T43" i="2"/>
  <c r="T32" i="2"/>
  <c r="T44" i="2"/>
  <c r="Z43" i="2"/>
  <c r="Z32" i="2"/>
  <c r="Z44" i="2"/>
  <c r="AF43" i="2"/>
  <c r="AF32" i="2"/>
  <c r="AF44" i="2"/>
  <c r="AL43" i="2"/>
  <c r="AL32" i="2"/>
  <c r="FI41" i="2"/>
  <c r="AL48" i="2"/>
  <c r="AL44" i="2"/>
  <c r="AR43" i="2"/>
  <c r="AR32" i="2"/>
  <c r="AR44" i="2"/>
  <c r="AX43" i="2"/>
  <c r="AX32" i="2"/>
  <c r="AX44" i="2"/>
  <c r="BD43" i="2"/>
  <c r="BD32" i="2"/>
  <c r="BD44" i="2"/>
  <c r="BJ43" i="2"/>
  <c r="BJ32" i="2"/>
  <c r="FO41" i="2"/>
  <c r="BJ44" i="2"/>
  <c r="BP43" i="2"/>
  <c r="BP32" i="2"/>
  <c r="BP44" i="2"/>
  <c r="BV43" i="2"/>
  <c r="BV32" i="2"/>
  <c r="BV44" i="2"/>
  <c r="CB43" i="2"/>
  <c r="CB32" i="2"/>
  <c r="CB44" i="2"/>
  <c r="CH43" i="2"/>
  <c r="CH32" i="2"/>
  <c r="FU41" i="2"/>
  <c r="CH44" i="2"/>
  <c r="CN43" i="2"/>
  <c r="CN32" i="2"/>
  <c r="CN44" i="2"/>
  <c r="CT43" i="2"/>
  <c r="CT32" i="2"/>
  <c r="CT44" i="2"/>
  <c r="CZ43" i="2"/>
  <c r="CZ32" i="2"/>
  <c r="CZ44" i="2"/>
  <c r="DF43" i="2"/>
  <c r="DF32" i="2"/>
  <c r="GA41" i="2"/>
  <c r="DF44" i="2"/>
  <c r="DL43" i="2"/>
  <c r="DL32" i="2"/>
  <c r="DL44" i="2"/>
  <c r="DR43" i="2"/>
  <c r="DR32" i="2"/>
  <c r="DR44" i="2"/>
  <c r="DX43" i="2"/>
  <c r="DX32" i="2"/>
  <c r="DX44" i="2"/>
  <c r="ED43" i="2"/>
  <c r="ED32" i="2"/>
  <c r="ED44" i="2"/>
  <c r="EZ41" i="2"/>
  <c r="FL41" i="2"/>
  <c r="FX41" i="2"/>
  <c r="Y44" i="2"/>
  <c r="BI44" i="2"/>
  <c r="CS44" i="2"/>
  <c r="AY62" i="2"/>
  <c r="CI62" i="2"/>
  <c r="DH318" i="2"/>
  <c r="DH324" i="2"/>
  <c r="DH330" i="2"/>
  <c r="DH191" i="2"/>
  <c r="DH62" i="2"/>
  <c r="FT4" i="2"/>
  <c r="K89" i="2"/>
  <c r="K44" i="2"/>
  <c r="K58" i="2"/>
  <c r="AC44" i="2"/>
  <c r="AC58" i="2"/>
  <c r="BG89" i="2"/>
  <c r="BG44" i="2"/>
  <c r="CQ330" i="2"/>
  <c r="CQ324" i="2"/>
  <c r="CQ191" i="2"/>
  <c r="CQ89" i="2"/>
  <c r="CQ44" i="2"/>
  <c r="FU4" i="2"/>
  <c r="D5" i="2"/>
  <c r="AH5" i="2"/>
  <c r="AN5" i="2"/>
  <c r="BL5" i="2"/>
  <c r="DB5" i="2"/>
  <c r="G89" i="2"/>
  <c r="G58" i="2"/>
  <c r="DE324" i="2"/>
  <c r="DE318" i="2"/>
  <c r="DE261" i="2"/>
  <c r="DE191" i="2"/>
  <c r="DQ318" i="2"/>
  <c r="DQ261" i="2"/>
  <c r="DQ89" i="2"/>
  <c r="FE4" i="2"/>
  <c r="FQ4" i="2"/>
  <c r="FQ265" i="2" s="1"/>
  <c r="R5" i="2"/>
  <c r="AJ5" i="2"/>
  <c r="BB5" i="2"/>
  <c r="BN5" i="2"/>
  <c r="CF5" i="2"/>
  <c r="DV5" i="2"/>
  <c r="H6" i="2"/>
  <c r="T6" i="2"/>
  <c r="AL6" i="2"/>
  <c r="BD6" i="2"/>
  <c r="BV6" i="2"/>
  <c r="CH6" i="2"/>
  <c r="DR6" i="2"/>
  <c r="ED6" i="2"/>
  <c r="AZ13" i="2"/>
  <c r="CD97" i="2"/>
  <c r="CD13" i="2"/>
  <c r="DE11" i="2"/>
  <c r="DW11" i="2"/>
  <c r="CH13" i="2"/>
  <c r="CW13" i="2"/>
  <c r="FT14" i="2"/>
  <c r="FZ14" i="2"/>
  <c r="DB16" i="2"/>
  <c r="BJ15" i="2"/>
  <c r="CK15" i="2"/>
  <c r="DC15" i="2"/>
  <c r="DU15" i="2"/>
  <c r="AE16" i="2"/>
  <c r="BO16" i="2"/>
  <c r="CG16" i="2"/>
  <c r="DI16" i="2"/>
  <c r="W17" i="2"/>
  <c r="CH17" i="2"/>
  <c r="DI17" i="2"/>
  <c r="EA17" i="2"/>
  <c r="DQ18" i="2"/>
  <c r="B58" i="2"/>
  <c r="B57" i="2"/>
  <c r="CZ324" i="2"/>
  <c r="CZ191" i="2"/>
  <c r="DL324" i="2"/>
  <c r="DL318" i="2"/>
  <c r="DL191" i="2"/>
  <c r="FF4" i="2"/>
  <c r="FR4" i="2"/>
  <c r="M5" i="2"/>
  <c r="AE5" i="2"/>
  <c r="AQ5" i="2"/>
  <c r="BI5" i="2"/>
  <c r="BU5" i="2"/>
  <c r="CG5" i="2"/>
  <c r="CY5" i="2"/>
  <c r="O6" i="2"/>
  <c r="BE6" i="2"/>
  <c r="BQ6" i="2"/>
  <c r="CI6" i="2"/>
  <c r="CU6" i="2"/>
  <c r="DA6" i="2"/>
  <c r="DM6" i="2"/>
  <c r="GE10" i="2"/>
  <c r="CB11" i="2"/>
  <c r="CN11" i="2"/>
  <c r="CT11" i="2"/>
  <c r="CZ11" i="2"/>
  <c r="DF11" i="2"/>
  <c r="DX11" i="2"/>
  <c r="CR12" i="2"/>
  <c r="DG12" i="2"/>
  <c r="DU12" i="2"/>
  <c r="EB12" i="2"/>
  <c r="AY13" i="2"/>
  <c r="BG13" i="2"/>
  <c r="CB13" i="2"/>
  <c r="DS13" i="2"/>
  <c r="EA13" i="2"/>
  <c r="BG16" i="2"/>
  <c r="BM16" i="2"/>
  <c r="BS16" i="2"/>
  <c r="BY16" i="2"/>
  <c r="CE16" i="2"/>
  <c r="CK16" i="2"/>
  <c r="CQ16" i="2"/>
  <c r="CW16" i="2"/>
  <c r="FQ14" i="2"/>
  <c r="GA14" i="2"/>
  <c r="BB15" i="2"/>
  <c r="BT15" i="2"/>
  <c r="CD15" i="2"/>
  <c r="CL15" i="2"/>
  <c r="DD15" i="2"/>
  <c r="DN15" i="2"/>
  <c r="DV15" i="2"/>
  <c r="AX16" i="2"/>
  <c r="BH16" i="2"/>
  <c r="BP16" i="2"/>
  <c r="BZ16" i="2"/>
  <c r="CR16" i="2"/>
  <c r="DA16" i="2"/>
  <c r="DK16" i="2"/>
  <c r="DS16" i="2"/>
  <c r="EC16" i="2"/>
  <c r="X17" i="2"/>
  <c r="AZ17" i="2"/>
  <c r="BH17" i="2"/>
  <c r="BR17" i="2"/>
  <c r="BZ17" i="2"/>
  <c r="CJ17" i="2"/>
  <c r="CR17" i="2"/>
  <c r="DB17" i="2"/>
  <c r="DJ17" i="2"/>
  <c r="DT17" i="2"/>
  <c r="EB17" i="2"/>
  <c r="J20" i="2"/>
  <c r="P20" i="2"/>
  <c r="V20" i="2"/>
  <c r="FE18" i="2"/>
  <c r="AB20" i="2"/>
  <c r="AH20" i="2"/>
  <c r="AT20" i="2"/>
  <c r="FK18" i="2"/>
  <c r="AZ20" i="2"/>
  <c r="CP20" i="2"/>
  <c r="CV20" i="2"/>
  <c r="EB18" i="2"/>
  <c r="FD18" i="2"/>
  <c r="K19" i="2"/>
  <c r="U19" i="2"/>
  <c r="AC19" i="2"/>
  <c r="AM19" i="2"/>
  <c r="AU19" i="2"/>
  <c r="BE19" i="2"/>
  <c r="BW19" i="2"/>
  <c r="CE19" i="2"/>
  <c r="CO19" i="2"/>
  <c r="G20" i="2"/>
  <c r="Q20" i="2"/>
  <c r="Y20" i="2"/>
  <c r="AI20" i="2"/>
  <c r="AQ20" i="2"/>
  <c r="D21" i="2"/>
  <c r="N21" i="2"/>
  <c r="V21" i="2"/>
  <c r="AF21" i="2"/>
  <c r="AN21" i="2"/>
  <c r="AX21" i="2"/>
  <c r="BF21" i="2"/>
  <c r="BP21" i="2"/>
  <c r="BX21" i="2"/>
  <c r="CP21" i="2"/>
  <c r="CH25" i="2"/>
  <c r="DW31" i="2"/>
  <c r="DW48" i="2"/>
  <c r="C32" i="2"/>
  <c r="G43" i="2"/>
  <c r="C44" i="2"/>
  <c r="I43" i="2"/>
  <c r="I32" i="2"/>
  <c r="M43" i="2"/>
  <c r="I44" i="2"/>
  <c r="O43" i="2"/>
  <c r="O32" i="2"/>
  <c r="S43" i="2"/>
  <c r="O44" i="2"/>
  <c r="U43" i="2"/>
  <c r="U32" i="2"/>
  <c r="Y43" i="2"/>
  <c r="U44" i="2"/>
  <c r="AA43" i="2"/>
  <c r="AA32" i="2"/>
  <c r="AE43" i="2"/>
  <c r="AA44" i="2"/>
  <c r="AG43" i="2"/>
  <c r="AG32" i="2"/>
  <c r="AK43" i="2"/>
  <c r="AG44" i="2"/>
  <c r="AM43" i="2"/>
  <c r="AM32" i="2"/>
  <c r="AQ43" i="2"/>
  <c r="AM44" i="2"/>
  <c r="AS43" i="2"/>
  <c r="AS32" i="2"/>
  <c r="AW43" i="2"/>
  <c r="AS44" i="2"/>
  <c r="AY43" i="2"/>
  <c r="AY32" i="2"/>
  <c r="BC43" i="2"/>
  <c r="AY44" i="2"/>
  <c r="BE43" i="2"/>
  <c r="BE32" i="2"/>
  <c r="BI43" i="2"/>
  <c r="BE44" i="2"/>
  <c r="BK43" i="2"/>
  <c r="BK32" i="2"/>
  <c r="BO43" i="2"/>
  <c r="BK44" i="2"/>
  <c r="BQ43" i="2"/>
  <c r="BQ32" i="2"/>
  <c r="BQ44" i="2"/>
  <c r="BW43" i="2"/>
  <c r="BW32" i="2"/>
  <c r="CA43" i="2"/>
  <c r="BW44" i="2"/>
  <c r="CC43" i="2"/>
  <c r="CC32" i="2"/>
  <c r="CG43" i="2"/>
  <c r="CC44" i="2"/>
  <c r="CI43" i="2"/>
  <c r="CI32" i="2"/>
  <c r="CM43" i="2"/>
  <c r="CI44" i="2"/>
  <c r="CO43" i="2"/>
  <c r="CO32" i="2"/>
  <c r="CS43" i="2"/>
  <c r="CO44" i="2"/>
  <c r="CU43" i="2"/>
  <c r="CU32" i="2"/>
  <c r="CY43" i="2"/>
  <c r="CU44" i="2"/>
  <c r="DA43" i="2"/>
  <c r="DA32" i="2"/>
  <c r="DE43" i="2"/>
  <c r="DA44" i="2"/>
  <c r="DG43" i="2"/>
  <c r="DG32" i="2"/>
  <c r="DK43" i="2"/>
  <c r="DG44" i="2"/>
  <c r="DM43" i="2"/>
  <c r="DM32" i="2"/>
  <c r="DQ43" i="2"/>
  <c r="DM44" i="2"/>
  <c r="DS43" i="2"/>
  <c r="DS32" i="2"/>
  <c r="DW43" i="2"/>
  <c r="DS44" i="2"/>
  <c r="DY43" i="2"/>
  <c r="DY32" i="2"/>
  <c r="EC43" i="2"/>
  <c r="DY44" i="2"/>
  <c r="EE41" i="2"/>
  <c r="FA41" i="2"/>
  <c r="FM41" i="2"/>
  <c r="FY41" i="2"/>
  <c r="N42" i="2"/>
  <c r="Z42" i="2"/>
  <c r="AL42" i="2"/>
  <c r="AX42" i="2"/>
  <c r="BJ42" i="2"/>
  <c r="CH42" i="2"/>
  <c r="CT42" i="2"/>
  <c r="DF42" i="2"/>
  <c r="DR42" i="2"/>
  <c r="ED42" i="2"/>
  <c r="AE44" i="2"/>
  <c r="BO44" i="2"/>
  <c r="AG47" i="2"/>
  <c r="BQ47" i="2"/>
  <c r="DA47" i="2"/>
  <c r="BA62" i="2"/>
  <c r="BA60" i="2"/>
  <c r="BG61" i="2"/>
  <c r="BG62" i="2"/>
  <c r="BG60" i="2"/>
  <c r="BM61" i="2"/>
  <c r="BM62" i="2"/>
  <c r="BM60" i="2"/>
  <c r="BS61" i="2"/>
  <c r="BS62" i="2"/>
  <c r="FQ59" i="2"/>
  <c r="BS60" i="2"/>
  <c r="BY63" i="2"/>
  <c r="BY61" i="2"/>
  <c r="BY62" i="2"/>
  <c r="BY60" i="2"/>
  <c r="CE63" i="2"/>
  <c r="CE61" i="2"/>
  <c r="CE62" i="2"/>
  <c r="CE60" i="2"/>
  <c r="CK63" i="2"/>
  <c r="CK61" i="2"/>
  <c r="CK62" i="2"/>
  <c r="CK60" i="2"/>
  <c r="CQ63" i="2"/>
  <c r="CQ61" i="2"/>
  <c r="CQ62" i="2"/>
  <c r="FW59" i="2"/>
  <c r="CQ60" i="2"/>
  <c r="CW63" i="2"/>
  <c r="CW61" i="2"/>
  <c r="CW62" i="2"/>
  <c r="CW60" i="2"/>
  <c r="DC63" i="2"/>
  <c r="DC61" i="2"/>
  <c r="DC62" i="2"/>
  <c r="DC60" i="2"/>
  <c r="DI63" i="2"/>
  <c r="DI61" i="2"/>
  <c r="DI36" i="2"/>
  <c r="DI62" i="2"/>
  <c r="DI60" i="2"/>
  <c r="DO63" i="2"/>
  <c r="DO61" i="2"/>
  <c r="DO36" i="2"/>
  <c r="DO62" i="2"/>
  <c r="GC59" i="2"/>
  <c r="DO60" i="2"/>
  <c r="DU63" i="2"/>
  <c r="DU61" i="2"/>
  <c r="DU36" i="2"/>
  <c r="DU62" i="2"/>
  <c r="DU60" i="2"/>
  <c r="EA63" i="2"/>
  <c r="EA61" i="2"/>
  <c r="EA36" i="2"/>
  <c r="EA62" i="2"/>
  <c r="EA60" i="2"/>
  <c r="CO62" i="2"/>
  <c r="BS63" i="2"/>
  <c r="CV330" i="2"/>
  <c r="CV324" i="2"/>
  <c r="CV261" i="2"/>
  <c r="CV191" i="2"/>
  <c r="CV62" i="2"/>
  <c r="FN4" i="2"/>
  <c r="W89" i="2"/>
  <c r="W44" i="2"/>
  <c r="W58" i="2"/>
  <c r="AI89" i="2"/>
  <c r="AI44" i="2"/>
  <c r="AU89" i="2"/>
  <c r="AU44" i="2"/>
  <c r="BY89" i="2"/>
  <c r="BY44" i="2"/>
  <c r="DC330" i="2"/>
  <c r="DC324" i="2"/>
  <c r="DC269" i="2"/>
  <c r="DC191" i="2"/>
  <c r="DC89" i="2"/>
  <c r="DC44" i="2"/>
  <c r="DU358" i="2"/>
  <c r="DU330" i="2"/>
  <c r="DU89" i="2"/>
  <c r="DU44" i="2"/>
  <c r="FO4" i="2"/>
  <c r="V5" i="2"/>
  <c r="AT5" i="2"/>
  <c r="BR5" i="2"/>
  <c r="CJ5" i="2"/>
  <c r="DH5" i="2"/>
  <c r="DZ5" i="2"/>
  <c r="S89" i="2"/>
  <c r="S58" i="2"/>
  <c r="BC89" i="2"/>
  <c r="CM89" i="2"/>
  <c r="CY324" i="2"/>
  <c r="CY269" i="2"/>
  <c r="CY191" i="2"/>
  <c r="CY89" i="2"/>
  <c r="DK324" i="2"/>
  <c r="DK318" i="2"/>
  <c r="DK261" i="2"/>
  <c r="DK191" i="2"/>
  <c r="DK89" i="2"/>
  <c r="DW358" i="2"/>
  <c r="DW261" i="2"/>
  <c r="DW89" i="2"/>
  <c r="EC358" i="2"/>
  <c r="EC261" i="2"/>
  <c r="EC89" i="2"/>
  <c r="FK4" i="2"/>
  <c r="FW4" i="2"/>
  <c r="F5" i="2"/>
  <c r="X5" i="2"/>
  <c r="AP5" i="2"/>
  <c r="BH5" i="2"/>
  <c r="BZ5" i="2"/>
  <c r="CL5" i="2"/>
  <c r="CX5" i="2"/>
  <c r="DJ5" i="2"/>
  <c r="EB5" i="2"/>
  <c r="N6" i="2"/>
  <c r="AF6" i="2"/>
  <c r="AX6" i="2"/>
  <c r="BP6" i="2"/>
  <c r="CN6" i="2"/>
  <c r="CT6" i="2"/>
  <c r="DL6" i="2"/>
  <c r="DX6" i="2"/>
  <c r="BL13" i="2"/>
  <c r="CP97" i="2"/>
  <c r="CP13" i="2"/>
  <c r="DB13" i="2"/>
  <c r="DZ13" i="2"/>
  <c r="DQ11" i="2"/>
  <c r="BM13" i="2"/>
  <c r="DK13" i="2"/>
  <c r="GF14" i="2"/>
  <c r="DZ16" i="2"/>
  <c r="FP14" i="2"/>
  <c r="FY14" i="2"/>
  <c r="BA15" i="2"/>
  <c r="CB15" i="2"/>
  <c r="CT15" i="2"/>
  <c r="ED15" i="2"/>
  <c r="DR16" i="2"/>
  <c r="EA16" i="2"/>
  <c r="AX17" i="2"/>
  <c r="CQ17" i="2"/>
  <c r="DR17" i="2"/>
  <c r="DH18" i="2"/>
  <c r="F20" i="2"/>
  <c r="X20" i="2"/>
  <c r="AP20" i="2"/>
  <c r="CT324" i="2"/>
  <c r="CT261" i="2"/>
  <c r="CT191" i="2"/>
  <c r="DF324" i="2"/>
  <c r="DF318" i="2"/>
  <c r="DF191" i="2"/>
  <c r="DR358" i="2"/>
  <c r="DR318" i="2"/>
  <c r="EZ4" i="2"/>
  <c r="FL4" i="2"/>
  <c r="GD4" i="2"/>
  <c r="G5" i="2"/>
  <c r="S5" i="2"/>
  <c r="Y5" i="2"/>
  <c r="AK5" i="2"/>
  <c r="BO5" i="2"/>
  <c r="CA5" i="2"/>
  <c r="CM5" i="2"/>
  <c r="CS5" i="2"/>
  <c r="DE5" i="2"/>
  <c r="DQ5" i="2"/>
  <c r="EC5" i="2"/>
  <c r="I6" i="2"/>
  <c r="U6" i="2"/>
  <c r="AG6" i="2"/>
  <c r="AS6" i="2"/>
  <c r="AY6" i="2"/>
  <c r="BK6" i="2"/>
  <c r="BW6" i="2"/>
  <c r="CC6" i="2"/>
  <c r="CO6" i="2"/>
  <c r="DG6" i="2"/>
  <c r="DS6" i="2"/>
  <c r="CU324" i="2"/>
  <c r="CU261" i="2"/>
  <c r="CU191" i="2"/>
  <c r="DA324" i="2"/>
  <c r="DA191" i="2"/>
  <c r="DG318" i="2"/>
  <c r="DG324" i="2"/>
  <c r="DG191" i="2"/>
  <c r="DM318" i="2"/>
  <c r="DM324" i="2"/>
  <c r="DM191" i="2"/>
  <c r="DY358" i="2"/>
  <c r="FA4" i="2"/>
  <c r="FG4" i="2"/>
  <c r="FM4" i="2"/>
  <c r="FS4" i="2"/>
  <c r="FY4" i="2"/>
  <c r="GE4" i="2"/>
  <c r="H5" i="2"/>
  <c r="N5" i="2"/>
  <c r="T5" i="2"/>
  <c r="Z5" i="2"/>
  <c r="AL5" i="2"/>
  <c r="AX5" i="2"/>
  <c r="CT5" i="2"/>
  <c r="CZ5" i="2"/>
  <c r="DF5" i="2"/>
  <c r="DL5" i="2"/>
  <c r="DR5" i="2"/>
  <c r="DX5" i="2"/>
  <c r="ED5" i="2"/>
  <c r="J6" i="2"/>
  <c r="P6" i="2"/>
  <c r="V6" i="2"/>
  <c r="AB6" i="2"/>
  <c r="AZ6" i="2"/>
  <c r="BF6" i="2"/>
  <c r="BL6" i="2"/>
  <c r="BR6" i="2"/>
  <c r="BX6" i="2"/>
  <c r="CD6" i="2"/>
  <c r="CJ6" i="2"/>
  <c r="CP6" i="2"/>
  <c r="CV6" i="2"/>
  <c r="DB6" i="2"/>
  <c r="DH6" i="2"/>
  <c r="DN6" i="2"/>
  <c r="DT6" i="2"/>
  <c r="DZ6" i="2"/>
  <c r="FZ10" i="2"/>
  <c r="BK11" i="2"/>
  <c r="CC11" i="2"/>
  <c r="CO11" i="2"/>
  <c r="DG11" i="2"/>
  <c r="DY11" i="2"/>
  <c r="CT12" i="2"/>
  <c r="DH12" i="2"/>
  <c r="ED12" i="2"/>
  <c r="CC13" i="2"/>
  <c r="CY13" i="2"/>
  <c r="DF13" i="2"/>
  <c r="DM13" i="2"/>
  <c r="DU13" i="2"/>
  <c r="DD16" i="2"/>
  <c r="DJ16" i="2"/>
  <c r="DP16" i="2"/>
  <c r="DV16" i="2"/>
  <c r="EB16" i="2"/>
  <c r="FS14" i="2"/>
  <c r="GB14" i="2"/>
  <c r="BM15" i="2"/>
  <c r="BV15" i="2"/>
  <c r="CE15" i="2"/>
  <c r="CW15" i="2"/>
  <c r="G16" i="2"/>
  <c r="BI16" i="2"/>
  <c r="CA16" i="2"/>
  <c r="CS16" i="2"/>
  <c r="DC16" i="2"/>
  <c r="DL16" i="2"/>
  <c r="DU16" i="2"/>
  <c r="ED16" i="2"/>
  <c r="BA17" i="2"/>
  <c r="BS17" i="2"/>
  <c r="CK17" i="2"/>
  <c r="CT17" i="2"/>
  <c r="E21" i="2"/>
  <c r="K21" i="2"/>
  <c r="Q21" i="2"/>
  <c r="W21" i="2"/>
  <c r="AC21" i="2"/>
  <c r="AI21" i="2"/>
  <c r="AO21" i="2"/>
  <c r="AU21" i="2"/>
  <c r="BS21" i="2"/>
  <c r="BY21" i="2"/>
  <c r="CE21" i="2"/>
  <c r="CK21" i="2"/>
  <c r="DC21" i="2"/>
  <c r="DK18" i="2"/>
  <c r="FF18" i="2"/>
  <c r="M19" i="2"/>
  <c r="V19" i="2"/>
  <c r="AE19" i="2"/>
  <c r="AN19" i="2"/>
  <c r="AW19" i="2"/>
  <c r="BF19" i="2"/>
  <c r="BX19" i="2"/>
  <c r="CP19" i="2"/>
  <c r="R20" i="2"/>
  <c r="F21" i="2"/>
  <c r="X21" i="2"/>
  <c r="AP21" i="2"/>
  <c r="CI21" i="2"/>
  <c r="CR21" i="2"/>
  <c r="DA21" i="2"/>
  <c r="CM25" i="2"/>
  <c r="CF27" i="2"/>
  <c r="E42" i="2"/>
  <c r="D44" i="2"/>
  <c r="D42" i="2"/>
  <c r="K42" i="2"/>
  <c r="J44" i="2"/>
  <c r="J42" i="2"/>
  <c r="Q42" i="2"/>
  <c r="P44" i="2"/>
  <c r="P42" i="2"/>
  <c r="FE41" i="2"/>
  <c r="W42" i="2"/>
  <c r="V44" i="2"/>
  <c r="V42" i="2"/>
  <c r="AC42" i="2"/>
  <c r="AB44" i="2"/>
  <c r="AB42" i="2"/>
  <c r="AI42" i="2"/>
  <c r="AH44" i="2"/>
  <c r="AH42" i="2"/>
  <c r="AO42" i="2"/>
  <c r="AN44" i="2"/>
  <c r="AN42" i="2"/>
  <c r="FK41" i="2"/>
  <c r="AU42" i="2"/>
  <c r="AT44" i="2"/>
  <c r="AT42" i="2"/>
  <c r="BA42" i="2"/>
  <c r="AZ44" i="2"/>
  <c r="AZ42" i="2"/>
  <c r="BG42" i="2"/>
  <c r="BF44" i="2"/>
  <c r="BF42" i="2"/>
  <c r="BM42" i="2"/>
  <c r="BL44" i="2"/>
  <c r="BL42" i="2"/>
  <c r="BS42" i="2"/>
  <c r="BR44" i="2"/>
  <c r="BR42" i="2"/>
  <c r="BY42" i="2"/>
  <c r="BX44" i="2"/>
  <c r="BX42" i="2"/>
  <c r="CE42" i="2"/>
  <c r="CD44" i="2"/>
  <c r="CD42" i="2"/>
  <c r="CK42" i="2"/>
  <c r="CJ44" i="2"/>
  <c r="CJ42" i="2"/>
  <c r="FW41" i="2"/>
  <c r="CQ42" i="2"/>
  <c r="CP44" i="2"/>
  <c r="CP42" i="2"/>
  <c r="CW42" i="2"/>
  <c r="CV44" i="2"/>
  <c r="CV42" i="2"/>
  <c r="DC42" i="2"/>
  <c r="DB44" i="2"/>
  <c r="DB42" i="2"/>
  <c r="DI42" i="2"/>
  <c r="DH44" i="2"/>
  <c r="DH42" i="2"/>
  <c r="GC41" i="2"/>
  <c r="DO42" i="2"/>
  <c r="DN44" i="2"/>
  <c r="DN42" i="2"/>
  <c r="DU42" i="2"/>
  <c r="DT44" i="2"/>
  <c r="DT42" i="2"/>
  <c r="EA42" i="2"/>
  <c r="DZ44" i="2"/>
  <c r="DZ42" i="2"/>
  <c r="FB41" i="2"/>
  <c r="FN41" i="2"/>
  <c r="FZ41" i="2"/>
  <c r="C42" i="2"/>
  <c r="O42" i="2"/>
  <c r="AA42" i="2"/>
  <c r="AM42" i="2"/>
  <c r="AY42" i="2"/>
  <c r="BK42" i="2"/>
  <c r="BW42" i="2"/>
  <c r="CI42" i="2"/>
  <c r="CU42" i="2"/>
  <c r="DG42" i="2"/>
  <c r="DS42" i="2"/>
  <c r="F43" i="2"/>
  <c r="R43" i="2"/>
  <c r="AD43" i="2"/>
  <c r="AP43" i="2"/>
  <c r="BB43" i="2"/>
  <c r="BN43" i="2"/>
  <c r="BZ43" i="2"/>
  <c r="CL43" i="2"/>
  <c r="CX43" i="2"/>
  <c r="DJ43" i="2"/>
  <c r="DV43" i="2"/>
  <c r="AK44" i="2"/>
  <c r="DE44" i="2"/>
  <c r="FD45" i="2"/>
  <c r="FJ45" i="2"/>
  <c r="FP45" i="2"/>
  <c r="FV45" i="2"/>
  <c r="GB45" i="2"/>
  <c r="AM47" i="2"/>
  <c r="BW47" i="2"/>
  <c r="DG47" i="2"/>
  <c r="E57" i="2"/>
  <c r="C58" i="2"/>
  <c r="CU62" i="2"/>
  <c r="H84" i="2"/>
  <c r="H85" i="2"/>
  <c r="N84" i="2"/>
  <c r="N85" i="2"/>
  <c r="T84" i="2"/>
  <c r="T85" i="2"/>
  <c r="Z84" i="2"/>
  <c r="Z85" i="2"/>
  <c r="AF84" i="2"/>
  <c r="AF85" i="2"/>
  <c r="AL84" i="2"/>
  <c r="AL85" i="2"/>
  <c r="AR84" i="2"/>
  <c r="AR85" i="2"/>
  <c r="AX84" i="2"/>
  <c r="AX85" i="2"/>
  <c r="BD84" i="2"/>
  <c r="BD85" i="2"/>
  <c r="BJ84" i="2"/>
  <c r="BJ85" i="2"/>
  <c r="BP84" i="2"/>
  <c r="BP85" i="2"/>
  <c r="BV84" i="2"/>
  <c r="BV85" i="2"/>
  <c r="CB84" i="2"/>
  <c r="CB85" i="2"/>
  <c r="CH84" i="2"/>
  <c r="CH85" i="2"/>
  <c r="CN84" i="2"/>
  <c r="CN85" i="2"/>
  <c r="CT84" i="2"/>
  <c r="CT85" i="2"/>
  <c r="CZ84" i="2"/>
  <c r="CZ85" i="2"/>
  <c r="DF84" i="2"/>
  <c r="DF85" i="2"/>
  <c r="DL84" i="2"/>
  <c r="DL85" i="2"/>
  <c r="DR84" i="2"/>
  <c r="DR85" i="2"/>
  <c r="DX84" i="2"/>
  <c r="DX85" i="2"/>
  <c r="ED84" i="2"/>
  <c r="ED85" i="2"/>
  <c r="C87" i="2"/>
  <c r="G88" i="2"/>
  <c r="C89" i="2"/>
  <c r="J88" i="2"/>
  <c r="J89" i="2"/>
  <c r="K87" i="2"/>
  <c r="Z89" i="2"/>
  <c r="BV89" i="2"/>
  <c r="CB89" i="2"/>
  <c r="CH89" i="2"/>
  <c r="CN89" i="2"/>
  <c r="CT89" i="2"/>
  <c r="CZ89" i="2"/>
  <c r="J47" i="2"/>
  <c r="P47" i="2"/>
  <c r="V47" i="2"/>
  <c r="AB47" i="2"/>
  <c r="AH47" i="2"/>
  <c r="AN47" i="2"/>
  <c r="AT47" i="2"/>
  <c r="AZ47" i="2"/>
  <c r="BL47" i="2"/>
  <c r="BR47" i="2"/>
  <c r="BX47" i="2"/>
  <c r="CD47" i="2"/>
  <c r="CJ47" i="2"/>
  <c r="CP47" i="2"/>
  <c r="CV47" i="2"/>
  <c r="DB47" i="2"/>
  <c r="DH47" i="2"/>
  <c r="DN47" i="2"/>
  <c r="DT47" i="2"/>
  <c r="DZ47" i="2"/>
  <c r="FP59" i="2"/>
  <c r="FV59" i="2"/>
  <c r="GB59" i="2"/>
  <c r="BC61" i="2"/>
  <c r="BI61" i="2"/>
  <c r="BO61" i="2"/>
  <c r="BU61" i="2"/>
  <c r="CA61" i="2"/>
  <c r="CG61" i="2"/>
  <c r="CM61" i="2"/>
  <c r="CS61" i="2"/>
  <c r="CY61" i="2"/>
  <c r="DE61" i="2"/>
  <c r="DK61" i="2"/>
  <c r="DQ61" i="2"/>
  <c r="DW61" i="2"/>
  <c r="EC61" i="2"/>
  <c r="BB63" i="2"/>
  <c r="BH63" i="2"/>
  <c r="BN63" i="2"/>
  <c r="BU63" i="2"/>
  <c r="CB63" i="2"/>
  <c r="CT63" i="2"/>
  <c r="DL63" i="2"/>
  <c r="ED63" i="2"/>
  <c r="C84" i="2"/>
  <c r="I85" i="2"/>
  <c r="FA83" i="2"/>
  <c r="FA85" i="2" s="1"/>
  <c r="I84" i="2"/>
  <c r="O85" i="2"/>
  <c r="O84" i="2"/>
  <c r="U85" i="2"/>
  <c r="U84" i="2"/>
  <c r="AA85" i="2"/>
  <c r="AA84" i="2"/>
  <c r="AG85" i="2"/>
  <c r="FG83" i="2"/>
  <c r="FG85" i="2" s="1"/>
  <c r="AG84" i="2"/>
  <c r="AM85" i="2"/>
  <c r="AM84" i="2"/>
  <c r="AS85" i="2"/>
  <c r="AS84" i="2"/>
  <c r="AY85" i="2"/>
  <c r="AY84" i="2"/>
  <c r="BE85" i="2"/>
  <c r="FM83" i="2"/>
  <c r="FM85" i="2" s="1"/>
  <c r="BE84" i="2"/>
  <c r="BK85" i="2"/>
  <c r="BK84" i="2"/>
  <c r="BQ85" i="2"/>
  <c r="BQ84" i="2"/>
  <c r="BW85" i="2"/>
  <c r="BW84" i="2"/>
  <c r="CC85" i="2"/>
  <c r="FS83" i="2"/>
  <c r="FS85" i="2" s="1"/>
  <c r="CC84" i="2"/>
  <c r="CI85" i="2"/>
  <c r="CI84" i="2"/>
  <c r="CO85" i="2"/>
  <c r="CO84" i="2"/>
  <c r="CU85" i="2"/>
  <c r="CU84" i="2"/>
  <c r="DA85" i="2"/>
  <c r="FY83" i="2"/>
  <c r="DA84" i="2"/>
  <c r="DG85" i="2"/>
  <c r="DG84" i="2"/>
  <c r="DM85" i="2"/>
  <c r="DM84" i="2"/>
  <c r="DS85" i="2"/>
  <c r="DS84" i="2"/>
  <c r="DY85" i="2"/>
  <c r="GE83" i="2"/>
  <c r="GE85" i="2" s="1"/>
  <c r="DY84" i="2"/>
  <c r="EE85" i="2"/>
  <c r="EE84" i="2"/>
  <c r="FD83" i="2"/>
  <c r="FP83" i="2"/>
  <c r="GB83" i="2"/>
  <c r="GB85" i="2" s="1"/>
  <c r="W84" i="2"/>
  <c r="AO84" i="2"/>
  <c r="BG84" i="2"/>
  <c r="BY84" i="2"/>
  <c r="CQ84" i="2"/>
  <c r="DI84" i="2"/>
  <c r="EA84" i="2"/>
  <c r="AA87" i="2"/>
  <c r="AA88" i="2"/>
  <c r="AE88" i="2"/>
  <c r="AA89" i="2"/>
  <c r="AR89" i="2"/>
  <c r="BU93" i="2"/>
  <c r="K47" i="2"/>
  <c r="Q47" i="2"/>
  <c r="W47" i="2"/>
  <c r="AC47" i="2"/>
  <c r="AI47" i="2"/>
  <c r="AO47" i="2"/>
  <c r="AU47" i="2"/>
  <c r="BA47" i="2"/>
  <c r="BG47" i="2"/>
  <c r="BM47" i="2"/>
  <c r="BS47" i="2"/>
  <c r="BY47" i="2"/>
  <c r="CE47" i="2"/>
  <c r="CK47" i="2"/>
  <c r="CQ47" i="2"/>
  <c r="CW47" i="2"/>
  <c r="DC47" i="2"/>
  <c r="DI47" i="2"/>
  <c r="DO47" i="2"/>
  <c r="DU47" i="2"/>
  <c r="EA47" i="2"/>
  <c r="BB60" i="2"/>
  <c r="BH60" i="2"/>
  <c r="BN60" i="2"/>
  <c r="BT60" i="2"/>
  <c r="BZ60" i="2"/>
  <c r="CF60" i="2"/>
  <c r="CL60" i="2"/>
  <c r="CR60" i="2"/>
  <c r="CX60" i="2"/>
  <c r="DD60" i="2"/>
  <c r="DJ60" i="2"/>
  <c r="DP60" i="2"/>
  <c r="DV60" i="2"/>
  <c r="EB60" i="2"/>
  <c r="BC63" i="2"/>
  <c r="BI63" i="2"/>
  <c r="BO63" i="2"/>
  <c r="BV63" i="2"/>
  <c r="CM63" i="2"/>
  <c r="DE63" i="2"/>
  <c r="DW63" i="2"/>
  <c r="P84" i="2"/>
  <c r="AH84" i="2"/>
  <c r="AZ84" i="2"/>
  <c r="BR84" i="2"/>
  <c r="CJ84" i="2"/>
  <c r="DB84" i="2"/>
  <c r="DT84" i="2"/>
  <c r="R85" i="2"/>
  <c r="AD85" i="2"/>
  <c r="AP85" i="2"/>
  <c r="BB85" i="2"/>
  <c r="BN85" i="2"/>
  <c r="BZ85" i="2"/>
  <c r="CL85" i="2"/>
  <c r="CX85" i="2"/>
  <c r="DJ85" i="2"/>
  <c r="DV85" i="2"/>
  <c r="AB89" i="2"/>
  <c r="AB87" i="2"/>
  <c r="BJ89" i="2"/>
  <c r="AZ29" i="2"/>
  <c r="DH29" i="2"/>
  <c r="FB45" i="2"/>
  <c r="FH45" i="2"/>
  <c r="FN45" i="2"/>
  <c r="FT45" i="2"/>
  <c r="FZ45" i="2"/>
  <c r="GF45" i="2"/>
  <c r="R47" i="2"/>
  <c r="AP47" i="2"/>
  <c r="BN47" i="2"/>
  <c r="CL47" i="2"/>
  <c r="DJ47" i="2"/>
  <c r="FL59" i="2"/>
  <c r="FR59" i="2"/>
  <c r="FX59" i="2"/>
  <c r="GD59" i="2"/>
  <c r="BC60" i="2"/>
  <c r="BI60" i="2"/>
  <c r="BO60" i="2"/>
  <c r="BU60" i="2"/>
  <c r="CA60" i="2"/>
  <c r="CG60" i="2"/>
  <c r="CM60" i="2"/>
  <c r="CS60" i="2"/>
  <c r="CY60" i="2"/>
  <c r="DE60" i="2"/>
  <c r="DK60" i="2"/>
  <c r="DQ60" i="2"/>
  <c r="DW60" i="2"/>
  <c r="EC60" i="2"/>
  <c r="BE61" i="2"/>
  <c r="BK61" i="2"/>
  <c r="BQ61" i="2"/>
  <c r="BW61" i="2"/>
  <c r="CC61" i="2"/>
  <c r="CI61" i="2"/>
  <c r="CO61" i="2"/>
  <c r="CU61" i="2"/>
  <c r="DA61" i="2"/>
  <c r="DG61" i="2"/>
  <c r="DM61" i="2"/>
  <c r="DS61" i="2"/>
  <c r="DY61" i="2"/>
  <c r="BB62" i="2"/>
  <c r="BH62" i="2"/>
  <c r="BN62" i="2"/>
  <c r="BT62" i="2"/>
  <c r="BZ62" i="2"/>
  <c r="CF62" i="2"/>
  <c r="CL62" i="2"/>
  <c r="CR62" i="2"/>
  <c r="CX62" i="2"/>
  <c r="DD62" i="2"/>
  <c r="DJ62" i="2"/>
  <c r="DP62" i="2"/>
  <c r="DV62" i="2"/>
  <c r="EB62" i="2"/>
  <c r="AX63" i="2"/>
  <c r="BD63" i="2"/>
  <c r="BJ63" i="2"/>
  <c r="BP63" i="2"/>
  <c r="BW63" i="2"/>
  <c r="CN63" i="2"/>
  <c r="DF63" i="2"/>
  <c r="DX63" i="2"/>
  <c r="Q84" i="2"/>
  <c r="AI84" i="2"/>
  <c r="BA84" i="2"/>
  <c r="BS84" i="2"/>
  <c r="CK84" i="2"/>
  <c r="DC84" i="2"/>
  <c r="DU84" i="2"/>
  <c r="G85" i="2"/>
  <c r="S85" i="2"/>
  <c r="AE85" i="2"/>
  <c r="AQ85" i="2"/>
  <c r="BC85" i="2"/>
  <c r="BO85" i="2"/>
  <c r="CA85" i="2"/>
  <c r="CM85" i="2"/>
  <c r="CY85" i="2"/>
  <c r="DK85" i="2"/>
  <c r="DW85" i="2"/>
  <c r="N89" i="2"/>
  <c r="AL89" i="2"/>
  <c r="DR89" i="2"/>
  <c r="DX89" i="2"/>
  <c r="ED89" i="2"/>
  <c r="FD41" i="2"/>
  <c r="FJ41" i="2"/>
  <c r="FP41" i="2"/>
  <c r="FV41" i="2"/>
  <c r="GB41" i="2"/>
  <c r="FM59" i="2"/>
  <c r="FS59" i="2"/>
  <c r="FY59" i="2"/>
  <c r="GE59" i="2"/>
  <c r="BD60" i="2"/>
  <c r="BJ60" i="2"/>
  <c r="BP60" i="2"/>
  <c r="BV60" i="2"/>
  <c r="CB60" i="2"/>
  <c r="CH60" i="2"/>
  <c r="CN60" i="2"/>
  <c r="CT60" i="2"/>
  <c r="CZ60" i="2"/>
  <c r="DF60" i="2"/>
  <c r="DL60" i="2"/>
  <c r="DR60" i="2"/>
  <c r="DX60" i="2"/>
  <c r="ED60" i="2"/>
  <c r="BX61" i="2"/>
  <c r="CD61" i="2"/>
  <c r="CJ61" i="2"/>
  <c r="CP61" i="2"/>
  <c r="CV61" i="2"/>
  <c r="DB61" i="2"/>
  <c r="DH61" i="2"/>
  <c r="DN61" i="2"/>
  <c r="DT61" i="2"/>
  <c r="DZ61" i="2"/>
  <c r="CG62" i="2"/>
  <c r="CY62" i="2"/>
  <c r="DQ62" i="2"/>
  <c r="AY63" i="2"/>
  <c r="BE63" i="2"/>
  <c r="BK63" i="2"/>
  <c r="BQ63" i="2"/>
  <c r="CO63" i="2"/>
  <c r="DG63" i="2"/>
  <c r="DY63" i="2"/>
  <c r="FJ83" i="2"/>
  <c r="FV83" i="2"/>
  <c r="J84" i="2"/>
  <c r="AB84" i="2"/>
  <c r="AT84" i="2"/>
  <c r="BL84" i="2"/>
  <c r="CD84" i="2"/>
  <c r="CV84" i="2"/>
  <c r="DN84" i="2"/>
  <c r="O87" i="2"/>
  <c r="O88" i="2"/>
  <c r="S88" i="2"/>
  <c r="O89" i="2"/>
  <c r="V88" i="2"/>
  <c r="V89" i="2"/>
  <c r="W87" i="2"/>
  <c r="DL89" i="2"/>
  <c r="F42" i="2"/>
  <c r="L42" i="2"/>
  <c r="R42" i="2"/>
  <c r="X42" i="2"/>
  <c r="AD42" i="2"/>
  <c r="AJ42" i="2"/>
  <c r="AP42" i="2"/>
  <c r="AV42" i="2"/>
  <c r="BB42" i="2"/>
  <c r="BH42" i="2"/>
  <c r="BN42" i="2"/>
  <c r="BT42" i="2"/>
  <c r="BZ42" i="2"/>
  <c r="CF42" i="2"/>
  <c r="CL42" i="2"/>
  <c r="CR42" i="2"/>
  <c r="CX42" i="2"/>
  <c r="DD42" i="2"/>
  <c r="DJ42" i="2"/>
  <c r="DP42" i="2"/>
  <c r="DV42" i="2"/>
  <c r="EB42" i="2"/>
  <c r="FN59" i="2"/>
  <c r="GF59" i="2"/>
  <c r="CH62" i="2"/>
  <c r="CZ62" i="2"/>
  <c r="DR62" i="2"/>
  <c r="K84" i="2"/>
  <c r="AC84" i="2"/>
  <c r="AU84" i="2"/>
  <c r="BM84" i="2"/>
  <c r="CE84" i="2"/>
  <c r="CW84" i="2"/>
  <c r="DO84" i="2"/>
  <c r="L85" i="2"/>
  <c r="X85" i="2"/>
  <c r="AJ85" i="2"/>
  <c r="AV85" i="2"/>
  <c r="BH85" i="2"/>
  <c r="BT85" i="2"/>
  <c r="CF85" i="2"/>
  <c r="CR85" i="2"/>
  <c r="DD85" i="2"/>
  <c r="DP85" i="2"/>
  <c r="EB85" i="2"/>
  <c r="B89" i="2"/>
  <c r="AH88" i="2"/>
  <c r="AH89" i="2"/>
  <c r="AI87" i="2"/>
  <c r="AX89" i="2"/>
  <c r="DF89" i="2"/>
  <c r="BM97" i="2"/>
  <c r="CE97" i="2"/>
  <c r="EA97" i="2"/>
  <c r="FU86" i="2"/>
  <c r="BF87" i="2"/>
  <c r="BL87" i="2"/>
  <c r="BR87" i="2"/>
  <c r="BX87" i="2"/>
  <c r="CD87" i="2"/>
  <c r="CJ87" i="2"/>
  <c r="CP87" i="2"/>
  <c r="CV87" i="2"/>
  <c r="DT87" i="2"/>
  <c r="DZ87" i="2"/>
  <c r="EF87" i="2"/>
  <c r="AM89" i="2"/>
  <c r="AY89" i="2"/>
  <c r="BE89" i="2"/>
  <c r="BK89" i="2"/>
  <c r="BQ89" i="2"/>
  <c r="BW89" i="2"/>
  <c r="CC89" i="2"/>
  <c r="CI89" i="2"/>
  <c r="CO89" i="2"/>
  <c r="CU89" i="2"/>
  <c r="DG89" i="2"/>
  <c r="DS89" i="2"/>
  <c r="DY89" i="2"/>
  <c r="I95" i="2"/>
  <c r="O95" i="2"/>
  <c r="U95" i="2"/>
  <c r="AA95" i="2"/>
  <c r="AG95" i="2"/>
  <c r="AM95" i="2"/>
  <c r="AS95" i="2"/>
  <c r="AY95" i="2"/>
  <c r="BE95" i="2"/>
  <c r="BK95" i="2"/>
  <c r="BQ95" i="2"/>
  <c r="BW95" i="2"/>
  <c r="CC95" i="2"/>
  <c r="CI95" i="2"/>
  <c r="CO95" i="2"/>
  <c r="CU95" i="2"/>
  <c r="DA95" i="2"/>
  <c r="DG95" i="2"/>
  <c r="DM95" i="2"/>
  <c r="DS95" i="2"/>
  <c r="DY95" i="2"/>
  <c r="K96" i="2"/>
  <c r="Q96" i="2"/>
  <c r="W96" i="2"/>
  <c r="AC96" i="2"/>
  <c r="AI96" i="2"/>
  <c r="AO96" i="2"/>
  <c r="AU96" i="2"/>
  <c r="BA96" i="2"/>
  <c r="BG96" i="2"/>
  <c r="BM96" i="2"/>
  <c r="BS96" i="2"/>
  <c r="BY96" i="2"/>
  <c r="CE96" i="2"/>
  <c r="CK96" i="2"/>
  <c r="CQ96" i="2"/>
  <c r="CW96" i="2"/>
  <c r="DC96" i="2"/>
  <c r="DI96" i="2"/>
  <c r="DO96" i="2"/>
  <c r="DU96" i="2"/>
  <c r="EA96" i="2"/>
  <c r="EB97" i="2"/>
  <c r="DT110" i="2"/>
  <c r="DT111" i="2"/>
  <c r="DM112" i="2"/>
  <c r="DS112" i="2"/>
  <c r="EA116" i="2"/>
  <c r="DL134" i="2"/>
  <c r="DL136" i="2"/>
  <c r="DR135" i="2"/>
  <c r="DR136" i="2"/>
  <c r="DX134" i="2"/>
  <c r="DX136" i="2"/>
  <c r="EA134" i="2"/>
  <c r="EA135" i="2"/>
  <c r="GC143" i="2"/>
  <c r="EA144" i="2"/>
  <c r="DN151" i="2"/>
  <c r="DK152" i="2"/>
  <c r="GH153" i="2"/>
  <c r="GD159" i="2"/>
  <c r="DU162" i="2"/>
  <c r="EC162" i="2"/>
  <c r="DU163" i="2"/>
  <c r="GC168" i="2"/>
  <c r="GC180" i="2"/>
  <c r="EA184" i="2"/>
  <c r="DW183" i="2"/>
  <c r="GB182" i="2"/>
  <c r="GB185" i="2" s="1"/>
  <c r="DX184" i="2"/>
  <c r="DK185" i="2"/>
  <c r="DU185" i="2"/>
  <c r="BU191" i="2"/>
  <c r="CI466" i="2"/>
  <c r="CI191" i="2"/>
  <c r="CO466" i="2"/>
  <c r="CO191" i="2"/>
  <c r="DP190" i="2"/>
  <c r="DP189" i="2"/>
  <c r="FU188" i="2"/>
  <c r="FU466" i="2" s="1"/>
  <c r="CN189" i="2"/>
  <c r="CJ190" i="2"/>
  <c r="CF191" i="2"/>
  <c r="CR191" i="2"/>
  <c r="DP191" i="2"/>
  <c r="AF195" i="2"/>
  <c r="AF202" i="2"/>
  <c r="AJ201" i="2"/>
  <c r="AG200" i="2"/>
  <c r="AF200" i="2"/>
  <c r="AL195" i="2"/>
  <c r="AL202" i="2"/>
  <c r="AP201" i="2"/>
  <c r="AM200" i="2"/>
  <c r="AL201" i="2"/>
  <c r="AL200" i="2"/>
  <c r="FI199" i="2"/>
  <c r="AR195" i="2"/>
  <c r="AR202" i="2"/>
  <c r="AV201" i="2"/>
  <c r="AS200" i="2"/>
  <c r="AR201" i="2"/>
  <c r="AR200" i="2"/>
  <c r="AX195" i="2"/>
  <c r="BB197" i="2" s="1"/>
  <c r="AX202" i="2"/>
  <c r="BB201" i="2"/>
  <c r="FL199" i="2"/>
  <c r="AY200" i="2"/>
  <c r="AX201" i="2"/>
  <c r="AX200" i="2"/>
  <c r="BD195" i="2"/>
  <c r="BD202" i="2"/>
  <c r="BH201" i="2"/>
  <c r="BE200" i="2"/>
  <c r="BD201" i="2"/>
  <c r="BD200" i="2"/>
  <c r="BJ195" i="2"/>
  <c r="BJ202" i="2"/>
  <c r="BN201" i="2"/>
  <c r="BK200" i="2"/>
  <c r="BJ201" i="2"/>
  <c r="BJ200" i="2"/>
  <c r="FO199" i="2"/>
  <c r="BP195" i="2"/>
  <c r="BP202" i="2"/>
  <c r="BT201" i="2"/>
  <c r="BQ200" i="2"/>
  <c r="BP201" i="2"/>
  <c r="BP200" i="2"/>
  <c r="BV195" i="2"/>
  <c r="BV202" i="2"/>
  <c r="BZ201" i="2"/>
  <c r="FR199" i="2"/>
  <c r="BW200" i="2"/>
  <c r="BV201" i="2"/>
  <c r="BV200" i="2"/>
  <c r="CB195" i="2"/>
  <c r="CB202" i="2"/>
  <c r="CF201" i="2"/>
  <c r="CC200" i="2"/>
  <c r="CB201" i="2"/>
  <c r="CB200" i="2"/>
  <c r="CH195" i="2"/>
  <c r="CH246" i="2" s="1"/>
  <c r="CH202" i="2"/>
  <c r="CL201" i="2"/>
  <c r="CI200" i="2"/>
  <c r="CH201" i="2"/>
  <c r="CH200" i="2"/>
  <c r="FU199" i="2"/>
  <c r="CN195" i="2"/>
  <c r="CN246" i="2" s="1"/>
  <c r="CN202" i="2"/>
  <c r="CR201" i="2"/>
  <c r="CO200" i="2"/>
  <c r="CN201" i="2"/>
  <c r="CN200" i="2"/>
  <c r="CT195" i="2"/>
  <c r="CT202" i="2"/>
  <c r="CX201" i="2"/>
  <c r="FX199" i="2"/>
  <c r="CU200" i="2"/>
  <c r="CT201" i="2"/>
  <c r="CT200" i="2"/>
  <c r="CZ195" i="2"/>
  <c r="CZ202" i="2"/>
  <c r="DD201" i="2"/>
  <c r="DA200" i="2"/>
  <c r="CZ201" i="2"/>
  <c r="CZ200" i="2"/>
  <c r="DF195" i="2"/>
  <c r="DF202" i="2"/>
  <c r="DJ201" i="2"/>
  <c r="DG200" i="2"/>
  <c r="DF201" i="2"/>
  <c r="DF200" i="2"/>
  <c r="GA199" i="2"/>
  <c r="DL195" i="2"/>
  <c r="DL202" i="2"/>
  <c r="DP201" i="2"/>
  <c r="DM200" i="2"/>
  <c r="DL201" i="2"/>
  <c r="DL200" i="2"/>
  <c r="DR195" i="2"/>
  <c r="DR202" i="2"/>
  <c r="DV201" i="2"/>
  <c r="GD199" i="2"/>
  <c r="DS200" i="2"/>
  <c r="DR201" i="2"/>
  <c r="DR200" i="2"/>
  <c r="DX195" i="2"/>
  <c r="DX202" i="2"/>
  <c r="EB201" i="2"/>
  <c r="DY200" i="2"/>
  <c r="DX201" i="2"/>
  <c r="DX200" i="2"/>
  <c r="FM199" i="2"/>
  <c r="AD206" i="2"/>
  <c r="FV86" i="2"/>
  <c r="AU87" i="2"/>
  <c r="BG87" i="2"/>
  <c r="BS87" i="2"/>
  <c r="BY87" i="2"/>
  <c r="CE87" i="2"/>
  <c r="CK87" i="2"/>
  <c r="CQ87" i="2"/>
  <c r="CW87" i="2"/>
  <c r="DC87" i="2"/>
  <c r="DO87" i="2"/>
  <c r="DU87" i="2"/>
  <c r="EA87" i="2"/>
  <c r="EM87" i="2"/>
  <c r="AQ88" i="2"/>
  <c r="BC88" i="2"/>
  <c r="BO88" i="2"/>
  <c r="BU88" i="2"/>
  <c r="CA88" i="2"/>
  <c r="CG88" i="2"/>
  <c r="CM88" i="2"/>
  <c r="CS88" i="2"/>
  <c r="CY88" i="2"/>
  <c r="DK88" i="2"/>
  <c r="DW88" i="2"/>
  <c r="EC88" i="2"/>
  <c r="EI88" i="2"/>
  <c r="EU88" i="2"/>
  <c r="AT89" i="2"/>
  <c r="BF89" i="2"/>
  <c r="BL89" i="2"/>
  <c r="BR89" i="2"/>
  <c r="BX89" i="2"/>
  <c r="CD89" i="2"/>
  <c r="CJ89" i="2"/>
  <c r="CP89" i="2"/>
  <c r="CV89" i="2"/>
  <c r="DB89" i="2"/>
  <c r="DN89" i="2"/>
  <c r="DT89" i="2"/>
  <c r="DZ89" i="2"/>
  <c r="F96" i="2"/>
  <c r="L96" i="2"/>
  <c r="R96" i="2"/>
  <c r="X96" i="2"/>
  <c r="AD96" i="2"/>
  <c r="AJ96" i="2"/>
  <c r="AP96" i="2"/>
  <c r="AV96" i="2"/>
  <c r="BB96" i="2"/>
  <c r="BH96" i="2"/>
  <c r="BN96" i="2"/>
  <c r="BT96" i="2"/>
  <c r="BZ96" i="2"/>
  <c r="CF96" i="2"/>
  <c r="CL96" i="2"/>
  <c r="CR96" i="2"/>
  <c r="CX96" i="2"/>
  <c r="DD96" i="2"/>
  <c r="DJ96" i="2"/>
  <c r="DP96" i="2"/>
  <c r="DV96" i="2"/>
  <c r="EB96" i="2"/>
  <c r="DE97" i="2"/>
  <c r="DO111" i="2"/>
  <c r="DT117" i="2"/>
  <c r="GF123" i="2"/>
  <c r="EB134" i="2"/>
  <c r="DO136" i="2"/>
  <c r="DS148" i="2"/>
  <c r="DY148" i="2"/>
  <c r="ES155" i="2"/>
  <c r="GE161" i="2"/>
  <c r="GE108" i="2" s="1"/>
  <c r="DV162" i="2"/>
  <c r="DV163" i="2"/>
  <c r="GD168" i="2"/>
  <c r="GB176" i="2"/>
  <c r="GD180" i="2"/>
  <c r="DL185" i="2"/>
  <c r="DL183" i="2"/>
  <c r="DX183" i="2"/>
  <c r="DY184" i="2"/>
  <c r="DV185" i="2"/>
  <c r="FV188" i="2"/>
  <c r="FV466" i="2" s="1"/>
  <c r="GB190" i="2"/>
  <c r="AO222" i="2"/>
  <c r="AO198" i="2"/>
  <c r="AG202" i="2"/>
  <c r="AM202" i="2"/>
  <c r="AS202" i="2"/>
  <c r="AY202" i="2"/>
  <c r="BE202" i="2"/>
  <c r="BK202" i="2"/>
  <c r="BQ202" i="2"/>
  <c r="BW202" i="2"/>
  <c r="CC202" i="2"/>
  <c r="CI202" i="2"/>
  <c r="CO202" i="2"/>
  <c r="CU202" i="2"/>
  <c r="DA202" i="2"/>
  <c r="DG202" i="2"/>
  <c r="DM202" i="2"/>
  <c r="DS202" i="2"/>
  <c r="DY202" i="2"/>
  <c r="BV234" i="2"/>
  <c r="FQ86" i="2"/>
  <c r="FW86" i="2"/>
  <c r="GC86" i="2"/>
  <c r="N88" i="2"/>
  <c r="Z88" i="2"/>
  <c r="AL88" i="2"/>
  <c r="AX88" i="2"/>
  <c r="BJ88" i="2"/>
  <c r="BV88" i="2"/>
  <c r="CB88" i="2"/>
  <c r="CH88" i="2"/>
  <c r="CN88" i="2"/>
  <c r="CT88" i="2"/>
  <c r="CZ88" i="2"/>
  <c r="DF88" i="2"/>
  <c r="DR88" i="2"/>
  <c r="DX88" i="2"/>
  <c r="ED88" i="2"/>
  <c r="EP88" i="2"/>
  <c r="K95" i="2"/>
  <c r="Q95" i="2"/>
  <c r="W95" i="2"/>
  <c r="AC95" i="2"/>
  <c r="AI95" i="2"/>
  <c r="AO95" i="2"/>
  <c r="AU95" i="2"/>
  <c r="BA95" i="2"/>
  <c r="BG95" i="2"/>
  <c r="BM95" i="2"/>
  <c r="BS95" i="2"/>
  <c r="BY95" i="2"/>
  <c r="CE95" i="2"/>
  <c r="CK95" i="2"/>
  <c r="CQ95" i="2"/>
  <c r="CW95" i="2"/>
  <c r="DC95" i="2"/>
  <c r="DI95" i="2"/>
  <c r="DO95" i="2"/>
  <c r="DU95" i="2"/>
  <c r="EA95" i="2"/>
  <c r="G96" i="2"/>
  <c r="M96" i="2"/>
  <c r="S96" i="2"/>
  <c r="Y96" i="2"/>
  <c r="AE96" i="2"/>
  <c r="AK96" i="2"/>
  <c r="AQ96" i="2"/>
  <c r="AW96" i="2"/>
  <c r="BC96" i="2"/>
  <c r="BI96" i="2"/>
  <c r="BO96" i="2"/>
  <c r="BU96" i="2"/>
  <c r="CA96" i="2"/>
  <c r="CG96" i="2"/>
  <c r="CM96" i="2"/>
  <c r="CS96" i="2"/>
  <c r="CY96" i="2"/>
  <c r="DE96" i="2"/>
  <c r="DK96" i="2"/>
  <c r="DQ96" i="2"/>
  <c r="DW96" i="2"/>
  <c r="EC96" i="2"/>
  <c r="GC107" i="2"/>
  <c r="DP110" i="2"/>
  <c r="DP111" i="2"/>
  <c r="EB111" i="2"/>
  <c r="DL114" i="2"/>
  <c r="DX114" i="2"/>
  <c r="DX115" i="2"/>
  <c r="DN147" i="2"/>
  <c r="DN153" i="2"/>
  <c r="DN148" i="2"/>
  <c r="DT146" i="2"/>
  <c r="DT148" i="2"/>
  <c r="DZ147" i="2"/>
  <c r="DZ146" i="2"/>
  <c r="DZ148" i="2"/>
  <c r="DR151" i="2"/>
  <c r="ET153" i="2"/>
  <c r="GF159" i="2"/>
  <c r="GB161" i="2"/>
  <c r="DJ160" i="2"/>
  <c r="GF161" i="2"/>
  <c r="DO162" i="2"/>
  <c r="DW162" i="2"/>
  <c r="DO163" i="2"/>
  <c r="DW163" i="2"/>
  <c r="GC176" i="2"/>
  <c r="GD182" i="2"/>
  <c r="DY183" i="2"/>
  <c r="DO185" i="2"/>
  <c r="FW188" i="2"/>
  <c r="FW466" i="2" s="1"/>
  <c r="AH202" i="2"/>
  <c r="AN202" i="2"/>
  <c r="AT202" i="2"/>
  <c r="AZ202" i="2"/>
  <c r="BF202" i="2"/>
  <c r="BL202" i="2"/>
  <c r="BR202" i="2"/>
  <c r="BX202" i="2"/>
  <c r="CD202" i="2"/>
  <c r="CJ202" i="2"/>
  <c r="CP202" i="2"/>
  <c r="CV202" i="2"/>
  <c r="DB202" i="2"/>
  <c r="DH202" i="2"/>
  <c r="DN202" i="2"/>
  <c r="DT202" i="2"/>
  <c r="DZ202" i="2"/>
  <c r="FR86" i="2"/>
  <c r="FX86" i="2"/>
  <c r="GD86" i="2"/>
  <c r="AM88" i="2"/>
  <c r="AY88" i="2"/>
  <c r="BK88" i="2"/>
  <c r="BW88" i="2"/>
  <c r="CC88" i="2"/>
  <c r="CI88" i="2"/>
  <c r="CO88" i="2"/>
  <c r="CU88" i="2"/>
  <c r="DG88" i="2"/>
  <c r="DS88" i="2"/>
  <c r="DY88" i="2"/>
  <c r="EE88" i="2"/>
  <c r="EQ88" i="2"/>
  <c r="GD107" i="2"/>
  <c r="DK110" i="2"/>
  <c r="DQ110" i="2"/>
  <c r="DW111" i="2"/>
  <c r="DJ112" i="2"/>
  <c r="DP112" i="2"/>
  <c r="EB112" i="2"/>
  <c r="EA136" i="2"/>
  <c r="GF143" i="2"/>
  <c r="DS147" i="2"/>
  <c r="DP152" i="2"/>
  <c r="DN152" i="2"/>
  <c r="EL153" i="2"/>
  <c r="DK144" i="2"/>
  <c r="DQ144" i="2"/>
  <c r="DW144" i="2"/>
  <c r="EC144" i="2"/>
  <c r="DP162" i="2"/>
  <c r="DP163" i="2"/>
  <c r="DZ163" i="2"/>
  <c r="GB172" i="2"/>
  <c r="GD176" i="2"/>
  <c r="DM183" i="2"/>
  <c r="DZ183" i="2"/>
  <c r="DP185" i="2"/>
  <c r="CF466" i="2"/>
  <c r="CF189" i="2"/>
  <c r="CL466" i="2"/>
  <c r="CL190" i="2"/>
  <c r="CL189" i="2"/>
  <c r="CR466" i="2"/>
  <c r="CR190" i="2"/>
  <c r="CR189" i="2"/>
  <c r="CS189" i="2"/>
  <c r="DS189" i="2"/>
  <c r="CL191" i="2"/>
  <c r="AG206" i="2"/>
  <c r="FS86" i="2"/>
  <c r="GE86" i="2"/>
  <c r="AR87" i="2"/>
  <c r="BV87" i="2"/>
  <c r="CB87" i="2"/>
  <c r="CH87" i="2"/>
  <c r="CN87" i="2"/>
  <c r="CT87" i="2"/>
  <c r="CZ87" i="2"/>
  <c r="DL87" i="2"/>
  <c r="DR87" i="2"/>
  <c r="DX87" i="2"/>
  <c r="ED87" i="2"/>
  <c r="BF88" i="2"/>
  <c r="CD88" i="2"/>
  <c r="DB88" i="2"/>
  <c r="DZ88" i="2"/>
  <c r="O96" i="2"/>
  <c r="U96" i="2"/>
  <c r="AA96" i="2"/>
  <c r="AG96" i="2"/>
  <c r="AM96" i="2"/>
  <c r="AS96" i="2"/>
  <c r="AY96" i="2"/>
  <c r="BE96" i="2"/>
  <c r="BK96" i="2"/>
  <c r="BQ96" i="2"/>
  <c r="BW96" i="2"/>
  <c r="CC96" i="2"/>
  <c r="CI96" i="2"/>
  <c r="CO96" i="2"/>
  <c r="CU96" i="2"/>
  <c r="DA96" i="2"/>
  <c r="DG96" i="2"/>
  <c r="DM96" i="2"/>
  <c r="DS96" i="2"/>
  <c r="DY96" i="2"/>
  <c r="DR110" i="2"/>
  <c r="DX110" i="2"/>
  <c r="DX111" i="2"/>
  <c r="DQ112" i="2"/>
  <c r="DW112" i="2"/>
  <c r="DO134" i="2"/>
  <c r="DK150" i="2"/>
  <c r="DQ152" i="2"/>
  <c r="EW155" i="2"/>
  <c r="DL162" i="2"/>
  <c r="DL144" i="2"/>
  <c r="DR163" i="2"/>
  <c r="DR162" i="2"/>
  <c r="DR144" i="2"/>
  <c r="DX163" i="2"/>
  <c r="DX162" i="2"/>
  <c r="DX144" i="2"/>
  <c r="ED163" i="2"/>
  <c r="ED162" i="2"/>
  <c r="ED144" i="2"/>
  <c r="DQ162" i="2"/>
  <c r="EA162" i="2"/>
  <c r="DQ163" i="2"/>
  <c r="EA163" i="2"/>
  <c r="DN183" i="2"/>
  <c r="EA185" i="2"/>
  <c r="CG466" i="2"/>
  <c r="CG191" i="2"/>
  <c r="CM466" i="2"/>
  <c r="CM191" i="2"/>
  <c r="CS466" i="2"/>
  <c r="CS191" i="2"/>
  <c r="CW190" i="2"/>
  <c r="CJ189" i="2"/>
  <c r="CT189" i="2"/>
  <c r="CP190" i="2"/>
  <c r="DS190" i="2"/>
  <c r="AD202" i="2"/>
  <c r="AH206" i="2"/>
  <c r="AN206" i="2"/>
  <c r="AT206" i="2"/>
  <c r="AZ206" i="2"/>
  <c r="BF206" i="2"/>
  <c r="BL206" i="2"/>
  <c r="BR206" i="2"/>
  <c r="BX206" i="2"/>
  <c r="CD206" i="2"/>
  <c r="CJ206" i="2"/>
  <c r="CP206" i="2"/>
  <c r="CV206" i="2"/>
  <c r="DB206" i="2"/>
  <c r="DH206" i="2"/>
  <c r="DN206" i="2"/>
  <c r="DT206" i="2"/>
  <c r="DZ206" i="2"/>
  <c r="DS110" i="2"/>
  <c r="DL112" i="2"/>
  <c r="DR112" i="2"/>
  <c r="DX112" i="2"/>
  <c r="EA114" i="2"/>
  <c r="DK136" i="2"/>
  <c r="DW136" i="2"/>
  <c r="EC136" i="2"/>
  <c r="DP144" i="2"/>
  <c r="DJ148" i="2"/>
  <c r="EB148" i="2"/>
  <c r="DR152" i="2"/>
  <c r="EO155" i="2"/>
  <c r="GC159" i="2"/>
  <c r="DK160" i="2"/>
  <c r="EC160" i="2"/>
  <c r="DM162" i="2"/>
  <c r="DS163" i="2"/>
  <c r="DY163" i="2"/>
  <c r="GC161" i="2"/>
  <c r="EB162" i="2"/>
  <c r="DT163" i="2"/>
  <c r="EB163" i="2"/>
  <c r="GB168" i="2"/>
  <c r="GD172" i="2"/>
  <c r="EB183" i="2"/>
  <c r="EB184" i="2"/>
  <c r="DO184" i="2"/>
  <c r="EB185" i="2"/>
  <c r="CH466" i="2"/>
  <c r="CH191" i="2"/>
  <c r="CN466" i="2"/>
  <c r="CN191" i="2"/>
  <c r="DO190" i="2"/>
  <c r="DO189" i="2"/>
  <c r="FT188" i="2"/>
  <c r="CM189" i="2"/>
  <c r="CI190" i="2"/>
  <c r="CS190" i="2"/>
  <c r="DO191" i="2"/>
  <c r="BU222" i="2"/>
  <c r="BU198" i="2"/>
  <c r="FG199" i="2"/>
  <c r="AI206" i="2"/>
  <c r="AO206" i="2"/>
  <c r="AU206" i="2"/>
  <c r="BA206" i="2"/>
  <c r="BG206" i="2"/>
  <c r="BM206" i="2"/>
  <c r="BS206" i="2"/>
  <c r="BY206" i="2"/>
  <c r="CE206" i="2"/>
  <c r="CK206" i="2"/>
  <c r="CQ206" i="2"/>
  <c r="CW206" i="2"/>
  <c r="DC206" i="2"/>
  <c r="DI206" i="2"/>
  <c r="DO206" i="2"/>
  <c r="DU206" i="2"/>
  <c r="EA206" i="2"/>
  <c r="DS134" i="2"/>
  <c r="DY134" i="2"/>
  <c r="DO146" i="2"/>
  <c r="DQ150" i="2"/>
  <c r="EP153" i="2"/>
  <c r="DS162" i="2"/>
  <c r="DY162" i="2"/>
  <c r="CE466" i="2"/>
  <c r="CK466" i="2"/>
  <c r="CQ466" i="2"/>
  <c r="DR191" i="2"/>
  <c r="AG195" i="2"/>
  <c r="AM195" i="2"/>
  <c r="AS195" i="2"/>
  <c r="AY195" i="2"/>
  <c r="BE195" i="2"/>
  <c r="BK195" i="2"/>
  <c r="BQ195" i="2"/>
  <c r="BU197" i="2" s="1"/>
  <c r="BW195" i="2"/>
  <c r="CC195" i="2"/>
  <c r="CI195" i="2"/>
  <c r="CI246" i="2" s="1"/>
  <c r="CO195" i="2"/>
  <c r="CU195" i="2"/>
  <c r="CY197" i="2" s="1"/>
  <c r="DA195" i="2"/>
  <c r="DG195" i="2"/>
  <c r="DM195" i="2"/>
  <c r="DS195" i="2"/>
  <c r="DY195" i="2"/>
  <c r="FJ203" i="2"/>
  <c r="FP203" i="2"/>
  <c r="FV203" i="2"/>
  <c r="GB203" i="2"/>
  <c r="AG204" i="2"/>
  <c r="AM204" i="2"/>
  <c r="AS204" i="2"/>
  <c r="AY204" i="2"/>
  <c r="BE204" i="2"/>
  <c r="BK204" i="2"/>
  <c r="BQ204" i="2"/>
  <c r="BW204" i="2"/>
  <c r="CC204" i="2"/>
  <c r="CI204" i="2"/>
  <c r="CO204" i="2"/>
  <c r="CU204" i="2"/>
  <c r="DA204" i="2"/>
  <c r="DG204" i="2"/>
  <c r="DM204" i="2"/>
  <c r="DS204" i="2"/>
  <c r="DY204" i="2"/>
  <c r="AM205" i="2"/>
  <c r="AS205" i="2"/>
  <c r="AY205" i="2"/>
  <c r="BE205" i="2"/>
  <c r="BK205" i="2"/>
  <c r="BQ205" i="2"/>
  <c r="BW205" i="2"/>
  <c r="CC205" i="2"/>
  <c r="CI205" i="2"/>
  <c r="CO205" i="2"/>
  <c r="CU205" i="2"/>
  <c r="DA205" i="2"/>
  <c r="DG205" i="2"/>
  <c r="DM205" i="2"/>
  <c r="DS205" i="2"/>
  <c r="DY205" i="2"/>
  <c r="FG209" i="2"/>
  <c r="FM209" i="2"/>
  <c r="FS209" i="2"/>
  <c r="FY209" i="2"/>
  <c r="FY219" i="2" s="1"/>
  <c r="GE209" i="2"/>
  <c r="GE215" i="2" s="1"/>
  <c r="AJ210" i="2"/>
  <c r="AP210" i="2"/>
  <c r="AV210" i="2"/>
  <c r="BB210" i="2"/>
  <c r="BH210" i="2"/>
  <c r="BN210" i="2"/>
  <c r="BT210" i="2"/>
  <c r="BZ210" i="2"/>
  <c r="CF210" i="2"/>
  <c r="CL210" i="2"/>
  <c r="CR210" i="2"/>
  <c r="CX210" i="2"/>
  <c r="DD210" i="2"/>
  <c r="DJ210" i="2"/>
  <c r="DP210" i="2"/>
  <c r="DV210" i="2"/>
  <c r="EB210" i="2"/>
  <c r="AV211" i="2"/>
  <c r="BN211" i="2"/>
  <c r="CF211" i="2"/>
  <c r="CX211" i="2"/>
  <c r="DP211" i="2"/>
  <c r="DV211" i="2"/>
  <c r="EB211" i="2"/>
  <c r="AE215" i="2"/>
  <c r="AK215" i="2"/>
  <c r="AQ215" i="2"/>
  <c r="AW215" i="2"/>
  <c r="BC215" i="2"/>
  <c r="BI215" i="2"/>
  <c r="BO215" i="2"/>
  <c r="BU215" i="2"/>
  <c r="CA215" i="2"/>
  <c r="CG215" i="2"/>
  <c r="CM215" i="2"/>
  <c r="CS215" i="2"/>
  <c r="CY215" i="2"/>
  <c r="DE215" i="2"/>
  <c r="DK215" i="2"/>
  <c r="DQ215" i="2"/>
  <c r="DW215" i="2"/>
  <c r="EC215" i="2"/>
  <c r="AM219" i="2"/>
  <c r="BE219" i="2"/>
  <c r="BW219" i="2"/>
  <c r="CO219" i="2"/>
  <c r="DG219" i="2"/>
  <c r="DY219" i="2"/>
  <c r="ED227" i="2"/>
  <c r="EE230" i="2"/>
  <c r="EF228" i="2"/>
  <c r="ED230" i="2"/>
  <c r="BC235" i="2"/>
  <c r="DX239" i="2"/>
  <c r="DX238" i="2"/>
  <c r="DN243" i="2"/>
  <c r="DN242" i="2"/>
  <c r="GC241" i="2"/>
  <c r="DT243" i="2"/>
  <c r="CD198" i="2"/>
  <c r="FJ199" i="2"/>
  <c r="FP199" i="2"/>
  <c r="FV199" i="2"/>
  <c r="GB199" i="2"/>
  <c r="AM201" i="2"/>
  <c r="AS201" i="2"/>
  <c r="AY201" i="2"/>
  <c r="BE201" i="2"/>
  <c r="BK201" i="2"/>
  <c r="BQ201" i="2"/>
  <c r="BW201" i="2"/>
  <c r="CC201" i="2"/>
  <c r="CI201" i="2"/>
  <c r="CO201" i="2"/>
  <c r="CU201" i="2"/>
  <c r="DA201" i="2"/>
  <c r="DG201" i="2"/>
  <c r="DM201" i="2"/>
  <c r="DS201" i="2"/>
  <c r="DY201" i="2"/>
  <c r="AI202" i="2"/>
  <c r="AO202" i="2"/>
  <c r="AU202" i="2"/>
  <c r="BA202" i="2"/>
  <c r="BG202" i="2"/>
  <c r="BM202" i="2"/>
  <c r="BS202" i="2"/>
  <c r="BY202" i="2"/>
  <c r="CE202" i="2"/>
  <c r="CK202" i="2"/>
  <c r="CQ202" i="2"/>
  <c r="CW202" i="2"/>
  <c r="DC202" i="2"/>
  <c r="DI202" i="2"/>
  <c r="DO202" i="2"/>
  <c r="DU202" i="2"/>
  <c r="EA202" i="2"/>
  <c r="FK203" i="2"/>
  <c r="FQ203" i="2"/>
  <c r="FW203" i="2"/>
  <c r="GC203" i="2"/>
  <c r="AH204" i="2"/>
  <c r="AN204" i="2"/>
  <c r="AT204" i="2"/>
  <c r="AZ204" i="2"/>
  <c r="BF204" i="2"/>
  <c r="BL204" i="2"/>
  <c r="BR204" i="2"/>
  <c r="BX204" i="2"/>
  <c r="CD204" i="2"/>
  <c r="CJ204" i="2"/>
  <c r="CP204" i="2"/>
  <c r="CV204" i="2"/>
  <c r="DB204" i="2"/>
  <c r="DH204" i="2"/>
  <c r="DN204" i="2"/>
  <c r="DT204" i="2"/>
  <c r="DZ204" i="2"/>
  <c r="AH205" i="2"/>
  <c r="AN205" i="2"/>
  <c r="AT205" i="2"/>
  <c r="AZ205" i="2"/>
  <c r="BF205" i="2"/>
  <c r="BL205" i="2"/>
  <c r="BR205" i="2"/>
  <c r="BX205" i="2"/>
  <c r="CD205" i="2"/>
  <c r="CJ205" i="2"/>
  <c r="CP205" i="2"/>
  <c r="CV205" i="2"/>
  <c r="DB205" i="2"/>
  <c r="DH205" i="2"/>
  <c r="DN205" i="2"/>
  <c r="DT205" i="2"/>
  <c r="DZ205" i="2"/>
  <c r="AJ206" i="2"/>
  <c r="AP206" i="2"/>
  <c r="AV206" i="2"/>
  <c r="BB206" i="2"/>
  <c r="BH206" i="2"/>
  <c r="BN206" i="2"/>
  <c r="BT206" i="2"/>
  <c r="BZ206" i="2"/>
  <c r="CF206" i="2"/>
  <c r="CL206" i="2"/>
  <c r="CR206" i="2"/>
  <c r="CX206" i="2"/>
  <c r="DD206" i="2"/>
  <c r="DJ206" i="2"/>
  <c r="DP206" i="2"/>
  <c r="DV206" i="2"/>
  <c r="EB206" i="2"/>
  <c r="BE235" i="2"/>
  <c r="BW235" i="2"/>
  <c r="FH209" i="2"/>
  <c r="FH219" i="2" s="1"/>
  <c r="FN209" i="2"/>
  <c r="FT209" i="2"/>
  <c r="FZ209" i="2"/>
  <c r="FZ219" i="2" s="1"/>
  <c r="GF209" i="2"/>
  <c r="GF215" i="2" s="1"/>
  <c r="AK210" i="2"/>
  <c r="AQ210" i="2"/>
  <c r="AW210" i="2"/>
  <c r="BC210" i="2"/>
  <c r="BI210" i="2"/>
  <c r="BO210" i="2"/>
  <c r="BU210" i="2"/>
  <c r="CA210" i="2"/>
  <c r="CG210" i="2"/>
  <c r="CM210" i="2"/>
  <c r="CS210" i="2"/>
  <c r="CY210" i="2"/>
  <c r="DE210" i="2"/>
  <c r="DK210" i="2"/>
  <c r="DQ210" i="2"/>
  <c r="DW210" i="2"/>
  <c r="EC210" i="2"/>
  <c r="AK211" i="2"/>
  <c r="BC211" i="2"/>
  <c r="BU211" i="2"/>
  <c r="CM211" i="2"/>
  <c r="DE211" i="2"/>
  <c r="DQ211" i="2"/>
  <c r="DW211" i="2"/>
  <c r="EC211" i="2"/>
  <c r="AF215" i="2"/>
  <c r="AL215" i="2"/>
  <c r="AR215" i="2"/>
  <c r="AX215" i="2"/>
  <c r="BD215" i="2"/>
  <c r="BJ215" i="2"/>
  <c r="BP215" i="2"/>
  <c r="BV215" i="2"/>
  <c r="CB215" i="2"/>
  <c r="CH215" i="2"/>
  <c r="CN215" i="2"/>
  <c r="CT215" i="2"/>
  <c r="CZ215" i="2"/>
  <c r="DF215" i="2"/>
  <c r="DL215" i="2"/>
  <c r="DR215" i="2"/>
  <c r="DX215" i="2"/>
  <c r="FL218" i="2"/>
  <c r="GD218" i="2"/>
  <c r="AN219" i="2"/>
  <c r="BF219" i="2"/>
  <c r="BX219" i="2"/>
  <c r="CP219" i="2"/>
  <c r="DH219" i="2"/>
  <c r="DP219" i="2"/>
  <c r="DZ219" i="2"/>
  <c r="CE222" i="2"/>
  <c r="BV235" i="2"/>
  <c r="DB269" i="2"/>
  <c r="FK199" i="2"/>
  <c r="FQ199" i="2"/>
  <c r="FW199" i="2"/>
  <c r="GC199" i="2"/>
  <c r="AH201" i="2"/>
  <c r="AN201" i="2"/>
  <c r="AT201" i="2"/>
  <c r="AZ201" i="2"/>
  <c r="BF201" i="2"/>
  <c r="BL201" i="2"/>
  <c r="BR201" i="2"/>
  <c r="BX201" i="2"/>
  <c r="CD201" i="2"/>
  <c r="CJ201" i="2"/>
  <c r="CP201" i="2"/>
  <c r="CV201" i="2"/>
  <c r="DB201" i="2"/>
  <c r="DH201" i="2"/>
  <c r="DN201" i="2"/>
  <c r="DT201" i="2"/>
  <c r="DZ201" i="2"/>
  <c r="AJ202" i="2"/>
  <c r="AP202" i="2"/>
  <c r="AV202" i="2"/>
  <c r="BB202" i="2"/>
  <c r="BH202" i="2"/>
  <c r="BN202" i="2"/>
  <c r="BT202" i="2"/>
  <c r="BZ202" i="2"/>
  <c r="CF202" i="2"/>
  <c r="CL202" i="2"/>
  <c r="CR202" i="2"/>
  <c r="CX202" i="2"/>
  <c r="DD202" i="2"/>
  <c r="DJ202" i="2"/>
  <c r="DP202" i="2"/>
  <c r="DV202" i="2"/>
  <c r="EB202" i="2"/>
  <c r="FL203" i="2"/>
  <c r="FR203" i="2"/>
  <c r="FX203" i="2"/>
  <c r="GD203" i="2"/>
  <c r="AI205" i="2"/>
  <c r="AO205" i="2"/>
  <c r="AU205" i="2"/>
  <c r="BA205" i="2"/>
  <c r="BG205" i="2"/>
  <c r="BM205" i="2"/>
  <c r="BS205" i="2"/>
  <c r="BY205" i="2"/>
  <c r="CE205" i="2"/>
  <c r="CK205" i="2"/>
  <c r="CQ205" i="2"/>
  <c r="CW205" i="2"/>
  <c r="DC205" i="2"/>
  <c r="DI205" i="2"/>
  <c r="DO205" i="2"/>
  <c r="DU205" i="2"/>
  <c r="EA205" i="2"/>
  <c r="AE206" i="2"/>
  <c r="AK206" i="2"/>
  <c r="AQ206" i="2"/>
  <c r="AW206" i="2"/>
  <c r="BC206" i="2"/>
  <c r="BI206" i="2"/>
  <c r="BO206" i="2"/>
  <c r="BU206" i="2"/>
  <c r="CA206" i="2"/>
  <c r="CG206" i="2"/>
  <c r="CM206" i="2"/>
  <c r="CS206" i="2"/>
  <c r="CY206" i="2"/>
  <c r="DE206" i="2"/>
  <c r="DK206" i="2"/>
  <c r="DQ206" i="2"/>
  <c r="DW206" i="2"/>
  <c r="EC206" i="2"/>
  <c r="FI209" i="2"/>
  <c r="FO209" i="2"/>
  <c r="FU209" i="2"/>
  <c r="FU219" i="2" s="1"/>
  <c r="GA209" i="2"/>
  <c r="AF210" i="2"/>
  <c r="AL210" i="2"/>
  <c r="AR210" i="2"/>
  <c r="AX210" i="2"/>
  <c r="BD210" i="2"/>
  <c r="BJ210" i="2"/>
  <c r="BP210" i="2"/>
  <c r="BV210" i="2"/>
  <c r="CB210" i="2"/>
  <c r="CH210" i="2"/>
  <c r="CN210" i="2"/>
  <c r="CT210" i="2"/>
  <c r="CZ210" i="2"/>
  <c r="DF210" i="2"/>
  <c r="DL210" i="2"/>
  <c r="DR210" i="2"/>
  <c r="DX210" i="2"/>
  <c r="AL211" i="2"/>
  <c r="AR211" i="2"/>
  <c r="AX211" i="2"/>
  <c r="BD211" i="2"/>
  <c r="BJ211" i="2"/>
  <c r="BP211" i="2"/>
  <c r="BV211" i="2"/>
  <c r="CB211" i="2"/>
  <c r="CH211" i="2"/>
  <c r="CN211" i="2"/>
  <c r="CT211" i="2"/>
  <c r="CZ211" i="2"/>
  <c r="DF211" i="2"/>
  <c r="DL211" i="2"/>
  <c r="DR211" i="2"/>
  <c r="DX211" i="2"/>
  <c r="FM218" i="2"/>
  <c r="GE218" i="2"/>
  <c r="AO219" i="2"/>
  <c r="BG219" i="2"/>
  <c r="BY219" i="2"/>
  <c r="CQ219" i="2"/>
  <c r="DI219" i="2"/>
  <c r="EA219" i="2"/>
  <c r="CD253" i="2"/>
  <c r="DC261" i="2"/>
  <c r="DU261" i="2"/>
  <c r="AI201" i="2"/>
  <c r="AO201" i="2"/>
  <c r="AU201" i="2"/>
  <c r="BA201" i="2"/>
  <c r="BG201" i="2"/>
  <c r="BM201" i="2"/>
  <c r="BS201" i="2"/>
  <c r="BY201" i="2"/>
  <c r="CE201" i="2"/>
  <c r="CK201" i="2"/>
  <c r="CQ201" i="2"/>
  <c r="CW201" i="2"/>
  <c r="DC201" i="2"/>
  <c r="DI201" i="2"/>
  <c r="DO201" i="2"/>
  <c r="DU201" i="2"/>
  <c r="EA201" i="2"/>
  <c r="AE202" i="2"/>
  <c r="AK202" i="2"/>
  <c r="AQ202" i="2"/>
  <c r="AW202" i="2"/>
  <c r="BC202" i="2"/>
  <c r="BI202" i="2"/>
  <c r="BO202" i="2"/>
  <c r="BU202" i="2"/>
  <c r="CA202" i="2"/>
  <c r="CG202" i="2"/>
  <c r="CM202" i="2"/>
  <c r="CS202" i="2"/>
  <c r="CY202" i="2"/>
  <c r="DE202" i="2"/>
  <c r="DK202" i="2"/>
  <c r="DQ202" i="2"/>
  <c r="DW202" i="2"/>
  <c r="EC202" i="2"/>
  <c r="FM203" i="2"/>
  <c r="FS203" i="2"/>
  <c r="FY203" i="2"/>
  <c r="GE203" i="2"/>
  <c r="AJ205" i="2"/>
  <c r="AP205" i="2"/>
  <c r="AV205" i="2"/>
  <c r="BB205" i="2"/>
  <c r="BH205" i="2"/>
  <c r="BN205" i="2"/>
  <c r="BT205" i="2"/>
  <c r="BZ205" i="2"/>
  <c r="CF205" i="2"/>
  <c r="CL205" i="2"/>
  <c r="CR205" i="2"/>
  <c r="CX205" i="2"/>
  <c r="DD205" i="2"/>
  <c r="DJ205" i="2"/>
  <c r="DP205" i="2"/>
  <c r="DV205" i="2"/>
  <c r="EB205" i="2"/>
  <c r="AF206" i="2"/>
  <c r="AL206" i="2"/>
  <c r="AR206" i="2"/>
  <c r="AX206" i="2"/>
  <c r="BD206" i="2"/>
  <c r="BJ206" i="2"/>
  <c r="BP206" i="2"/>
  <c r="BV206" i="2"/>
  <c r="CB206" i="2"/>
  <c r="CH206" i="2"/>
  <c r="CN206" i="2"/>
  <c r="CT206" i="2"/>
  <c r="CZ206" i="2"/>
  <c r="DF206" i="2"/>
  <c r="DL206" i="2"/>
  <c r="DR206" i="2"/>
  <c r="DX206" i="2"/>
  <c r="AE219" i="2"/>
  <c r="AK219" i="2"/>
  <c r="AQ219" i="2"/>
  <c r="AW219" i="2"/>
  <c r="BC219" i="2"/>
  <c r="BI219" i="2"/>
  <c r="BO219" i="2"/>
  <c r="BU219" i="2"/>
  <c r="CA219" i="2"/>
  <c r="CG219" i="2"/>
  <c r="CM219" i="2"/>
  <c r="CS219" i="2"/>
  <c r="CY219" i="2"/>
  <c r="DE219" i="2"/>
  <c r="DK219" i="2"/>
  <c r="FJ209" i="2"/>
  <c r="FP209" i="2"/>
  <c r="FP219" i="2" s="1"/>
  <c r="FV209" i="2"/>
  <c r="FV219" i="2" s="1"/>
  <c r="GB209" i="2"/>
  <c r="AM210" i="2"/>
  <c r="BE210" i="2"/>
  <c r="BW210" i="2"/>
  <c r="CO210" i="2"/>
  <c r="DG210" i="2"/>
  <c r="DS210" i="2"/>
  <c r="DY210" i="2"/>
  <c r="ED239" i="2"/>
  <c r="ED238" i="2"/>
  <c r="ED214" i="2"/>
  <c r="FL214" i="2"/>
  <c r="FR214" i="2"/>
  <c r="FX214" i="2"/>
  <c r="GD214" i="2"/>
  <c r="DM207" i="2" s="1"/>
  <c r="AH219" i="2"/>
  <c r="AP219" i="2"/>
  <c r="AZ219" i="2"/>
  <c r="BH219" i="2"/>
  <c r="BR219" i="2"/>
  <c r="BZ219" i="2"/>
  <c r="CJ219" i="2"/>
  <c r="CR219" i="2"/>
  <c r="DB219" i="2"/>
  <c r="DJ219" i="2"/>
  <c r="EB219" i="2"/>
  <c r="AK205" i="2"/>
  <c r="AQ205" i="2"/>
  <c r="AW205" i="2"/>
  <c r="BC205" i="2"/>
  <c r="BI205" i="2"/>
  <c r="BO205" i="2"/>
  <c r="BU205" i="2"/>
  <c r="CA205" i="2"/>
  <c r="CG205" i="2"/>
  <c r="CM205" i="2"/>
  <c r="CS205" i="2"/>
  <c r="CY205" i="2"/>
  <c r="DE205" i="2"/>
  <c r="DK205" i="2"/>
  <c r="DQ205" i="2"/>
  <c r="DW205" i="2"/>
  <c r="EC205" i="2"/>
  <c r="AM206" i="2"/>
  <c r="AS206" i="2"/>
  <c r="AY206" i="2"/>
  <c r="BE206" i="2"/>
  <c r="BK206" i="2"/>
  <c r="BQ206" i="2"/>
  <c r="BW206" i="2"/>
  <c r="CC206" i="2"/>
  <c r="CI206" i="2"/>
  <c r="CO206" i="2"/>
  <c r="CU206" i="2"/>
  <c r="DA206" i="2"/>
  <c r="DG206" i="2"/>
  <c r="DM206" i="2"/>
  <c r="DS206" i="2"/>
  <c r="DY206" i="2"/>
  <c r="AF219" i="2"/>
  <c r="AL219" i="2"/>
  <c r="AR219" i="2"/>
  <c r="AX219" i="2"/>
  <c r="BD219" i="2"/>
  <c r="BJ219" i="2"/>
  <c r="BP219" i="2"/>
  <c r="BV219" i="2"/>
  <c r="CB219" i="2"/>
  <c r="CH219" i="2"/>
  <c r="CN219" i="2"/>
  <c r="CT219" i="2"/>
  <c r="CZ219" i="2"/>
  <c r="DF219" i="2"/>
  <c r="DL219" i="2"/>
  <c r="AI215" i="2"/>
  <c r="AO215" i="2"/>
  <c r="AU215" i="2"/>
  <c r="BA215" i="2"/>
  <c r="BG215" i="2"/>
  <c r="BM215" i="2"/>
  <c r="BS215" i="2"/>
  <c r="BY215" i="2"/>
  <c r="CE215" i="2"/>
  <c r="CK215" i="2"/>
  <c r="CQ215" i="2"/>
  <c r="CW215" i="2"/>
  <c r="DC215" i="2"/>
  <c r="DI215" i="2"/>
  <c r="DO215" i="2"/>
  <c r="DU215" i="2"/>
  <c r="EA215" i="2"/>
  <c r="FY218" i="2"/>
  <c r="AI219" i="2"/>
  <c r="BA219" i="2"/>
  <c r="BS219" i="2"/>
  <c r="CK219" i="2"/>
  <c r="DC219" i="2"/>
  <c r="DU219" i="2"/>
  <c r="DX243" i="2"/>
  <c r="DX242" i="2"/>
  <c r="CD466" i="2"/>
  <c r="CJ466" i="2"/>
  <c r="CP466" i="2"/>
  <c r="CE189" i="2"/>
  <c r="CK189" i="2"/>
  <c r="CQ189" i="2"/>
  <c r="CK190" i="2"/>
  <c r="CQ190" i="2"/>
  <c r="DQ191" i="2"/>
  <c r="AK200" i="2"/>
  <c r="AQ200" i="2"/>
  <c r="AW200" i="2"/>
  <c r="BC200" i="2"/>
  <c r="BI200" i="2"/>
  <c r="BO200" i="2"/>
  <c r="BU200" i="2"/>
  <c r="CA200" i="2"/>
  <c r="CG200" i="2"/>
  <c r="CM200" i="2"/>
  <c r="CS200" i="2"/>
  <c r="CY200" i="2"/>
  <c r="DE200" i="2"/>
  <c r="DK200" i="2"/>
  <c r="DQ200" i="2"/>
  <c r="DW200" i="2"/>
  <c r="EC200" i="2"/>
  <c r="FI203" i="2"/>
  <c r="FO203" i="2"/>
  <c r="FU203" i="2"/>
  <c r="GA203" i="2"/>
  <c r="AL204" i="2"/>
  <c r="AR204" i="2"/>
  <c r="AX204" i="2"/>
  <c r="BD204" i="2"/>
  <c r="BJ204" i="2"/>
  <c r="BP204" i="2"/>
  <c r="BV204" i="2"/>
  <c r="CB204" i="2"/>
  <c r="CH204" i="2"/>
  <c r="CN204" i="2"/>
  <c r="CT204" i="2"/>
  <c r="CZ204" i="2"/>
  <c r="DF204" i="2"/>
  <c r="DL204" i="2"/>
  <c r="DR204" i="2"/>
  <c r="DX204" i="2"/>
  <c r="FL209" i="2"/>
  <c r="FL219" i="2" s="1"/>
  <c r="FR209" i="2"/>
  <c r="FX209" i="2"/>
  <c r="GD209" i="2"/>
  <c r="GD219" i="2" s="1"/>
  <c r="AI210" i="2"/>
  <c r="AO210" i="2"/>
  <c r="AU210" i="2"/>
  <c r="BA210" i="2"/>
  <c r="BG210" i="2"/>
  <c r="BM210" i="2"/>
  <c r="BS210" i="2"/>
  <c r="BY210" i="2"/>
  <c r="CE210" i="2"/>
  <c r="CK210" i="2"/>
  <c r="CQ210" i="2"/>
  <c r="CW210" i="2"/>
  <c r="DC210" i="2"/>
  <c r="DI210" i="2"/>
  <c r="DO210" i="2"/>
  <c r="DU210" i="2"/>
  <c r="EA210" i="2"/>
  <c r="AI211" i="2"/>
  <c r="AO211" i="2"/>
  <c r="AU211" i="2"/>
  <c r="BA211" i="2"/>
  <c r="BG211" i="2"/>
  <c r="BM211" i="2"/>
  <c r="BS211" i="2"/>
  <c r="BY211" i="2"/>
  <c r="CE211" i="2"/>
  <c r="CK211" i="2"/>
  <c r="CQ211" i="2"/>
  <c r="CW211" i="2"/>
  <c r="DC211" i="2"/>
  <c r="DI211" i="2"/>
  <c r="DO211" i="2"/>
  <c r="DU211" i="2"/>
  <c r="EA211" i="2"/>
  <c r="AD215" i="2"/>
  <c r="AJ215" i="2"/>
  <c r="AP215" i="2"/>
  <c r="AV215" i="2"/>
  <c r="BB215" i="2"/>
  <c r="BH215" i="2"/>
  <c r="BN215" i="2"/>
  <c r="BT215" i="2"/>
  <c r="BZ215" i="2"/>
  <c r="CF215" i="2"/>
  <c r="CL215" i="2"/>
  <c r="CR215" i="2"/>
  <c r="CX215" i="2"/>
  <c r="DD215" i="2"/>
  <c r="DJ215" i="2"/>
  <c r="DP215" i="2"/>
  <c r="DV215" i="2"/>
  <c r="EB215" i="2"/>
  <c r="FR218" i="2"/>
  <c r="AJ219" i="2"/>
  <c r="AT219" i="2"/>
  <c r="BB219" i="2"/>
  <c r="BL219" i="2"/>
  <c r="BT219" i="2"/>
  <c r="CD219" i="2"/>
  <c r="CL219" i="2"/>
  <c r="CV219" i="2"/>
  <c r="DD219" i="2"/>
  <c r="DV219" i="2"/>
  <c r="DR261" i="2"/>
  <c r="ED261" i="2"/>
  <c r="FJ218" i="2"/>
  <c r="FP218" i="2"/>
  <c r="FV218" i="2"/>
  <c r="GB218" i="2"/>
  <c r="DW239" i="2"/>
  <c r="DZ238" i="2"/>
  <c r="FH237" i="2"/>
  <c r="FN237" i="2"/>
  <c r="FT237" i="2"/>
  <c r="FZ237" i="2"/>
  <c r="GF237" i="2"/>
  <c r="AE238" i="2"/>
  <c r="AK238" i="2"/>
  <c r="AQ238" i="2"/>
  <c r="AW238" i="2"/>
  <c r="BC238" i="2"/>
  <c r="BI238" i="2"/>
  <c r="BO238" i="2"/>
  <c r="BU238" i="2"/>
  <c r="CA238" i="2"/>
  <c r="CG238" i="2"/>
  <c r="CM238" i="2"/>
  <c r="CS238" i="2"/>
  <c r="CY238" i="2"/>
  <c r="DE238" i="2"/>
  <c r="DK238" i="2"/>
  <c r="DQ238" i="2"/>
  <c r="DW238" i="2"/>
  <c r="EC238" i="2"/>
  <c r="AK239" i="2"/>
  <c r="AQ239" i="2"/>
  <c r="AW239" i="2"/>
  <c r="BC239" i="2"/>
  <c r="BI239" i="2"/>
  <c r="BO239" i="2"/>
  <c r="BU239" i="2"/>
  <c r="CA239" i="2"/>
  <c r="CG239" i="2"/>
  <c r="CM239" i="2"/>
  <c r="CS239" i="2"/>
  <c r="CY239" i="2"/>
  <c r="DE239" i="2"/>
  <c r="DK239" i="2"/>
  <c r="FI241" i="2"/>
  <c r="FO241" i="2"/>
  <c r="FU241" i="2"/>
  <c r="GA241" i="2"/>
  <c r="AF242" i="2"/>
  <c r="AL242" i="2"/>
  <c r="AR242" i="2"/>
  <c r="AX242" i="2"/>
  <c r="BD242" i="2"/>
  <c r="BJ242" i="2"/>
  <c r="BP242" i="2"/>
  <c r="BV242" i="2"/>
  <c r="CB242" i="2"/>
  <c r="CH242" i="2"/>
  <c r="CN242" i="2"/>
  <c r="CT242" i="2"/>
  <c r="CZ242" i="2"/>
  <c r="DF242" i="2"/>
  <c r="DL242" i="2"/>
  <c r="AL243" i="2"/>
  <c r="AR243" i="2"/>
  <c r="AX243" i="2"/>
  <c r="BD243" i="2"/>
  <c r="BJ243" i="2"/>
  <c r="BP243" i="2"/>
  <c r="BV243" i="2"/>
  <c r="CB243" i="2"/>
  <c r="CH243" i="2"/>
  <c r="CN243" i="2"/>
  <c r="CT243" i="2"/>
  <c r="CZ243" i="2"/>
  <c r="DF243" i="2"/>
  <c r="DL243" i="2"/>
  <c r="GG258" i="2"/>
  <c r="GI258" i="2"/>
  <c r="DL261" i="2"/>
  <c r="GA266" i="2"/>
  <c r="DG267" i="2"/>
  <c r="DD268" i="2"/>
  <c r="DL268" i="2"/>
  <c r="DL269" i="2"/>
  <c r="DK288" i="2"/>
  <c r="DK274" i="2"/>
  <c r="DK292" i="2"/>
  <c r="DR292" i="2"/>
  <c r="DR273" i="2"/>
  <c r="DR288" i="2"/>
  <c r="FO272" i="2"/>
  <c r="CL274" i="2"/>
  <c r="DV274" i="2"/>
  <c r="FI237" i="2"/>
  <c r="FO237" i="2"/>
  <c r="FU237" i="2"/>
  <c r="GA237" i="2"/>
  <c r="AL239" i="2"/>
  <c r="AR239" i="2"/>
  <c r="AX239" i="2"/>
  <c r="BD239" i="2"/>
  <c r="BJ239" i="2"/>
  <c r="BP239" i="2"/>
  <c r="BV239" i="2"/>
  <c r="CB239" i="2"/>
  <c r="CH239" i="2"/>
  <c r="CN239" i="2"/>
  <c r="CT239" i="2"/>
  <c r="CZ239" i="2"/>
  <c r="DF239" i="2"/>
  <c r="DL239" i="2"/>
  <c r="FJ241" i="2"/>
  <c r="FP241" i="2"/>
  <c r="FV241" i="2"/>
  <c r="GB241" i="2"/>
  <c r="AM243" i="2"/>
  <c r="AS243" i="2"/>
  <c r="AY243" i="2"/>
  <c r="BE243" i="2"/>
  <c r="BK243" i="2"/>
  <c r="BQ243" i="2"/>
  <c r="BW243" i="2"/>
  <c r="CC243" i="2"/>
  <c r="CI243" i="2"/>
  <c r="CO243" i="2"/>
  <c r="CU243" i="2"/>
  <c r="DA243" i="2"/>
  <c r="DG243" i="2"/>
  <c r="DM243" i="2"/>
  <c r="GJ258" i="2"/>
  <c r="DE424" i="2"/>
  <c r="DI426" i="2" s="1"/>
  <c r="DE269" i="2"/>
  <c r="DI268" i="2"/>
  <c r="DK424" i="2"/>
  <c r="DL425" i="2" s="1"/>
  <c r="DK269" i="2"/>
  <c r="DO268" i="2"/>
  <c r="DQ424" i="2"/>
  <c r="DR425" i="2" s="1"/>
  <c r="DQ269" i="2"/>
  <c r="DR267" i="2"/>
  <c r="DE268" i="2"/>
  <c r="DM268" i="2"/>
  <c r="DE288" i="2"/>
  <c r="DE274" i="2"/>
  <c r="DE292" i="2"/>
  <c r="DL292" i="2"/>
  <c r="DL273" i="2"/>
  <c r="DL288" i="2"/>
  <c r="DN281" i="2"/>
  <c r="FJ237" i="2"/>
  <c r="FP237" i="2"/>
  <c r="FV237" i="2"/>
  <c r="GB237" i="2"/>
  <c r="AM239" i="2"/>
  <c r="AS239" i="2"/>
  <c r="AY239" i="2"/>
  <c r="BE239" i="2"/>
  <c r="BK239" i="2"/>
  <c r="BQ239" i="2"/>
  <c r="BW239" i="2"/>
  <c r="CC239" i="2"/>
  <c r="CI239" i="2"/>
  <c r="CO239" i="2"/>
  <c r="CU239" i="2"/>
  <c r="DA239" i="2"/>
  <c r="DG239" i="2"/>
  <c r="DM239" i="2"/>
  <c r="FK241" i="2"/>
  <c r="FQ241" i="2"/>
  <c r="FW241" i="2"/>
  <c r="AH243" i="2"/>
  <c r="AN243" i="2"/>
  <c r="AT243" i="2"/>
  <c r="AZ243" i="2"/>
  <c r="BF243" i="2"/>
  <c r="BL243" i="2"/>
  <c r="BR243" i="2"/>
  <c r="BX243" i="2"/>
  <c r="CD243" i="2"/>
  <c r="CJ243" i="2"/>
  <c r="CP243" i="2"/>
  <c r="CV243" i="2"/>
  <c r="DB243" i="2"/>
  <c r="DH243" i="2"/>
  <c r="CD298" i="2"/>
  <c r="CD257" i="2"/>
  <c r="DF261" i="2"/>
  <c r="DX261" i="2"/>
  <c r="CZ267" i="2"/>
  <c r="DK267" i="2"/>
  <c r="DS267" i="2"/>
  <c r="DF268" i="2"/>
  <c r="DP268" i="2"/>
  <c r="DF269" i="2"/>
  <c r="BO288" i="2"/>
  <c r="BO274" i="2"/>
  <c r="BO278" i="2"/>
  <c r="BO273" i="2"/>
  <c r="BU288" i="2"/>
  <c r="BU274" i="2"/>
  <c r="BU278" i="2"/>
  <c r="BU273" i="2"/>
  <c r="CA288" i="2"/>
  <c r="CA274" i="2"/>
  <c r="CA278" i="2"/>
  <c r="CA273" i="2"/>
  <c r="CG288" i="2"/>
  <c r="CG274" i="2"/>
  <c r="CG278" i="2"/>
  <c r="CG273" i="2"/>
  <c r="CM288" i="2"/>
  <c r="CM274" i="2"/>
  <c r="CM278" i="2"/>
  <c r="CM273" i="2"/>
  <c r="CS288" i="2"/>
  <c r="CS274" i="2"/>
  <c r="CS278" i="2"/>
  <c r="CS273" i="2"/>
  <c r="DF292" i="2"/>
  <c r="DF273" i="2"/>
  <c r="DF288" i="2"/>
  <c r="FK237" i="2"/>
  <c r="FQ237" i="2"/>
  <c r="FW237" i="2"/>
  <c r="GC237" i="2"/>
  <c r="AH238" i="2"/>
  <c r="AN238" i="2"/>
  <c r="AT238" i="2"/>
  <c r="AZ238" i="2"/>
  <c r="BF238" i="2"/>
  <c r="BL238" i="2"/>
  <c r="BR238" i="2"/>
  <c r="BX238" i="2"/>
  <c r="CD238" i="2"/>
  <c r="CJ238" i="2"/>
  <c r="CP238" i="2"/>
  <c r="CV238" i="2"/>
  <c r="DB238" i="2"/>
  <c r="DH238" i="2"/>
  <c r="DN238" i="2"/>
  <c r="AZ239" i="2"/>
  <c r="BX239" i="2"/>
  <c r="CV239" i="2"/>
  <c r="DH239" i="2"/>
  <c r="FL241" i="2"/>
  <c r="FR241" i="2"/>
  <c r="FX241" i="2"/>
  <c r="AI242" i="2"/>
  <c r="AO242" i="2"/>
  <c r="AU242" i="2"/>
  <c r="BA242" i="2"/>
  <c r="BG242" i="2"/>
  <c r="BM242" i="2"/>
  <c r="BS242" i="2"/>
  <c r="BY242" i="2"/>
  <c r="CE242" i="2"/>
  <c r="CK242" i="2"/>
  <c r="CQ242" i="2"/>
  <c r="CW242" i="2"/>
  <c r="DC242" i="2"/>
  <c r="DI242" i="2"/>
  <c r="DO242" i="2"/>
  <c r="DU242" i="2"/>
  <c r="AO243" i="2"/>
  <c r="AU243" i="2"/>
  <c r="BA243" i="2"/>
  <c r="BY243" i="2"/>
  <c r="CE243" i="2"/>
  <c r="CK243" i="2"/>
  <c r="CW243" i="2"/>
  <c r="DC243" i="2"/>
  <c r="DU243" i="2"/>
  <c r="GD258" i="2"/>
  <c r="DA424" i="2"/>
  <c r="DA425" i="2" s="1"/>
  <c r="DA267" i="2"/>
  <c r="DG426" i="2"/>
  <c r="DG425" i="2"/>
  <c r="DS426" i="2"/>
  <c r="DS425" i="2"/>
  <c r="DL267" i="2"/>
  <c r="DG268" i="2"/>
  <c r="DG269" i="2"/>
  <c r="BJ278" i="2"/>
  <c r="BK273" i="2"/>
  <c r="BJ288" i="2"/>
  <c r="BP278" i="2"/>
  <c r="BQ273" i="2"/>
  <c r="BP273" i="2"/>
  <c r="BP288" i="2"/>
  <c r="BP274" i="2"/>
  <c r="BV278" i="2"/>
  <c r="BW273" i="2"/>
  <c r="BV273" i="2"/>
  <c r="FR272" i="2"/>
  <c r="FR288" i="2" s="1"/>
  <c r="BV288" i="2"/>
  <c r="BV274" i="2"/>
  <c r="CB278" i="2"/>
  <c r="CC273" i="2"/>
  <c r="CB273" i="2"/>
  <c r="CB288" i="2"/>
  <c r="CB274" i="2"/>
  <c r="CH278" i="2"/>
  <c r="CI273" i="2"/>
  <c r="CH273" i="2"/>
  <c r="CH288" i="2"/>
  <c r="CH274" i="2"/>
  <c r="CN278" i="2"/>
  <c r="CO273" i="2"/>
  <c r="CN273" i="2"/>
  <c r="CN288" i="2"/>
  <c r="CN274" i="2"/>
  <c r="CT278" i="2"/>
  <c r="CU273" i="2"/>
  <c r="CT273" i="2"/>
  <c r="FX272" i="2"/>
  <c r="FX288" i="2" s="1"/>
  <c r="CT288" i="2"/>
  <c r="CT274" i="2"/>
  <c r="CZ292" i="2"/>
  <c r="CZ288" i="2"/>
  <c r="CZ274" i="2"/>
  <c r="EC288" i="2"/>
  <c r="EC274" i="2"/>
  <c r="EC292" i="2"/>
  <c r="BT274" i="2"/>
  <c r="AI238" i="2"/>
  <c r="AO238" i="2"/>
  <c r="AU238" i="2"/>
  <c r="BA238" i="2"/>
  <c r="BG238" i="2"/>
  <c r="BM238" i="2"/>
  <c r="BS238" i="2"/>
  <c r="BY238" i="2"/>
  <c r="CE238" i="2"/>
  <c r="CK238" i="2"/>
  <c r="CQ238" i="2"/>
  <c r="CW238" i="2"/>
  <c r="DC238" i="2"/>
  <c r="DI238" i="2"/>
  <c r="DO238" i="2"/>
  <c r="DU238" i="2"/>
  <c r="EA238" i="2"/>
  <c r="DC239" i="2"/>
  <c r="DI239" i="2"/>
  <c r="EA239" i="2"/>
  <c r="DV243" i="2"/>
  <c r="FM241" i="2"/>
  <c r="FS241" i="2"/>
  <c r="FY241" i="2"/>
  <c r="AJ242" i="2"/>
  <c r="AP242" i="2"/>
  <c r="AV242" i="2"/>
  <c r="BB242" i="2"/>
  <c r="BH242" i="2"/>
  <c r="BN242" i="2"/>
  <c r="BT242" i="2"/>
  <c r="BZ242" i="2"/>
  <c r="CF242" i="2"/>
  <c r="CL242" i="2"/>
  <c r="CR242" i="2"/>
  <c r="CX242" i="2"/>
  <c r="DD242" i="2"/>
  <c r="DJ242" i="2"/>
  <c r="DP242" i="2"/>
  <c r="DV242" i="2"/>
  <c r="EB242" i="2"/>
  <c r="AV243" i="2"/>
  <c r="BB243" i="2"/>
  <c r="CF243" i="2"/>
  <c r="CL243" i="2"/>
  <c r="DD243" i="2"/>
  <c r="DA261" i="2"/>
  <c r="DG261" i="2"/>
  <c r="DM261" i="2"/>
  <c r="DS261" i="2"/>
  <c r="DY261" i="2"/>
  <c r="DA260" i="2"/>
  <c r="DB424" i="2"/>
  <c r="DF426" i="2" s="1"/>
  <c r="DB268" i="2"/>
  <c r="DB267" i="2"/>
  <c r="DH424" i="2"/>
  <c r="DI425" i="2" s="1"/>
  <c r="DH268" i="2"/>
  <c r="DH267" i="2"/>
  <c r="DI267" i="2"/>
  <c r="DN424" i="2"/>
  <c r="DR426" i="2" s="1"/>
  <c r="DN268" i="2"/>
  <c r="DN267" i="2"/>
  <c r="DO267" i="2"/>
  <c r="GC266" i="2"/>
  <c r="FY266" i="2"/>
  <c r="DE267" i="2"/>
  <c r="DJ268" i="2"/>
  <c r="DR268" i="2"/>
  <c r="CZ269" i="2"/>
  <c r="DH269" i="2"/>
  <c r="DR269" i="2"/>
  <c r="DW288" i="2"/>
  <c r="DW274" i="2"/>
  <c r="DW292" i="2"/>
  <c r="DW273" i="2"/>
  <c r="BZ274" i="2"/>
  <c r="CZ278" i="2"/>
  <c r="DF278" i="2"/>
  <c r="DL278" i="2"/>
  <c r="DR278" i="2"/>
  <c r="FM237" i="2"/>
  <c r="FS237" i="2"/>
  <c r="FY237" i="2"/>
  <c r="AJ238" i="2"/>
  <c r="AP238" i="2"/>
  <c r="AV238" i="2"/>
  <c r="BB238" i="2"/>
  <c r="BH238" i="2"/>
  <c r="BN238" i="2"/>
  <c r="BT238" i="2"/>
  <c r="BZ238" i="2"/>
  <c r="CF238" i="2"/>
  <c r="CL238" i="2"/>
  <c r="CR238" i="2"/>
  <c r="CX238" i="2"/>
  <c r="DD238" i="2"/>
  <c r="DJ238" i="2"/>
  <c r="DP238" i="2"/>
  <c r="DV238" i="2"/>
  <c r="EB238" i="2"/>
  <c r="DD239" i="2"/>
  <c r="DJ239" i="2"/>
  <c r="EB239" i="2"/>
  <c r="GE241" i="2"/>
  <c r="FH241" i="2"/>
  <c r="FZ241" i="2"/>
  <c r="AK242" i="2"/>
  <c r="AQ242" i="2"/>
  <c r="AW242" i="2"/>
  <c r="BC242" i="2"/>
  <c r="BI242" i="2"/>
  <c r="BO242" i="2"/>
  <c r="BU242" i="2"/>
  <c r="CA242" i="2"/>
  <c r="CG242" i="2"/>
  <c r="CM242" i="2"/>
  <c r="CS242" i="2"/>
  <c r="CY242" i="2"/>
  <c r="DE242" i="2"/>
  <c r="DK242" i="2"/>
  <c r="DQ242" i="2"/>
  <c r="DW242" i="2"/>
  <c r="EC242" i="2"/>
  <c r="BC243" i="2"/>
  <c r="CM243" i="2"/>
  <c r="DE243" i="2"/>
  <c r="FZ258" i="2"/>
  <c r="DB261" i="2"/>
  <c r="DH261" i="2"/>
  <c r="DN261" i="2"/>
  <c r="DT261" i="2"/>
  <c r="GF258" i="2"/>
  <c r="DZ261" i="2"/>
  <c r="FZ266" i="2"/>
  <c r="DF267" i="2"/>
  <c r="DK268" i="2"/>
  <c r="DS268" i="2"/>
  <c r="DA269" i="2"/>
  <c r="DS269" i="2"/>
  <c r="DQ288" i="2"/>
  <c r="DQ274" i="2"/>
  <c r="DQ292" i="2"/>
  <c r="DQ273" i="2"/>
  <c r="DX292" i="2"/>
  <c r="DX273" i="2"/>
  <c r="DX288" i="2"/>
  <c r="CF274" i="2"/>
  <c r="DP274" i="2"/>
  <c r="DA292" i="2"/>
  <c r="DA273" i="2"/>
  <c r="DA288" i="2"/>
  <c r="DA274" i="2"/>
  <c r="DG292" i="2"/>
  <c r="DG273" i="2"/>
  <c r="DG288" i="2"/>
  <c r="DM292" i="2"/>
  <c r="DM273" i="2"/>
  <c r="DM288" i="2"/>
  <c r="DS292" i="2"/>
  <c r="DS273" i="2"/>
  <c r="DS288" i="2"/>
  <c r="DY292" i="2"/>
  <c r="DY273" i="2"/>
  <c r="DY288" i="2"/>
  <c r="CG254" i="2"/>
  <c r="CH301" i="2"/>
  <c r="CH254" i="2" s="1"/>
  <c r="DD426" i="2"/>
  <c r="DD425" i="2"/>
  <c r="FQ272" i="2"/>
  <c r="FW272" i="2"/>
  <c r="BN273" i="2"/>
  <c r="BT273" i="2"/>
  <c r="BZ273" i="2"/>
  <c r="CF273" i="2"/>
  <c r="CL273" i="2"/>
  <c r="CR273" i="2"/>
  <c r="CX273" i="2"/>
  <c r="GD275" i="2"/>
  <c r="CY276" i="2"/>
  <c r="DE276" i="2"/>
  <c r="DK276" i="2"/>
  <c r="DQ276" i="2"/>
  <c r="DW276" i="2"/>
  <c r="EC276" i="2"/>
  <c r="DA277" i="2"/>
  <c r="DG277" i="2"/>
  <c r="DM277" i="2"/>
  <c r="DS277" i="2"/>
  <c r="DY277" i="2"/>
  <c r="EE277" i="2"/>
  <c r="FU277" i="2"/>
  <c r="BK278" i="2"/>
  <c r="BQ278" i="2"/>
  <c r="BW278" i="2"/>
  <c r="CC278" i="2"/>
  <c r="CI278" i="2"/>
  <c r="CO278" i="2"/>
  <c r="CU278" i="2"/>
  <c r="DA278" i="2"/>
  <c r="DG278" i="2"/>
  <c r="DM278" i="2"/>
  <c r="DS278" i="2"/>
  <c r="DY278" i="2"/>
  <c r="DE279" i="2"/>
  <c r="DK279" i="2"/>
  <c r="BQ280" i="2"/>
  <c r="BW280" i="2"/>
  <c r="CC280" i="2"/>
  <c r="CI280" i="2"/>
  <c r="CO280" i="2"/>
  <c r="GE281" i="2"/>
  <c r="CW283" i="2"/>
  <c r="ED287" i="2"/>
  <c r="FT287" i="2"/>
  <c r="FZ287" i="2"/>
  <c r="GF287" i="2"/>
  <c r="ED288" i="2"/>
  <c r="GE291" i="2"/>
  <c r="DI311" i="2"/>
  <c r="CF470" i="2"/>
  <c r="CF355" i="2"/>
  <c r="CL470" i="2"/>
  <c r="CL355" i="2"/>
  <c r="CR470" i="2"/>
  <c r="CR355" i="2"/>
  <c r="FT321" i="2"/>
  <c r="GA323" i="2"/>
  <c r="CI328" i="2"/>
  <c r="CI330" i="2"/>
  <c r="CO329" i="2"/>
  <c r="CO328" i="2"/>
  <c r="CO330" i="2"/>
  <c r="CU436" i="2"/>
  <c r="CU329" i="2"/>
  <c r="CU328" i="2"/>
  <c r="CU355" i="2"/>
  <c r="CU330" i="2"/>
  <c r="DA436" i="2"/>
  <c r="DA329" i="2"/>
  <c r="DA328" i="2"/>
  <c r="DA355" i="2"/>
  <c r="DA330" i="2"/>
  <c r="DG436" i="2"/>
  <c r="DG355" i="2"/>
  <c r="DG329" i="2"/>
  <c r="DG328" i="2"/>
  <c r="DG330" i="2"/>
  <c r="DM436" i="2"/>
  <c r="DM329" i="2"/>
  <c r="DM328" i="2"/>
  <c r="DM355" i="2"/>
  <c r="DM330" i="2"/>
  <c r="DS436" i="2"/>
  <c r="DT437" i="2" s="1"/>
  <c r="DS329" i="2"/>
  <c r="DS328" i="2"/>
  <c r="DS330" i="2"/>
  <c r="DY436" i="2"/>
  <c r="DY329" i="2"/>
  <c r="DY328" i="2"/>
  <c r="DY330" i="2"/>
  <c r="FU327" i="2"/>
  <c r="GB333" i="2"/>
  <c r="AN342" i="2"/>
  <c r="AT342" i="2"/>
  <c r="AZ342" i="2"/>
  <c r="BF342" i="2"/>
  <c r="BL342" i="2"/>
  <c r="BR342" i="2"/>
  <c r="BX342" i="2"/>
  <c r="CD342" i="2"/>
  <c r="CJ342" i="2"/>
  <c r="BQ274" i="2"/>
  <c r="BW274" i="2"/>
  <c r="CC274" i="2"/>
  <c r="CI274" i="2"/>
  <c r="CO274" i="2"/>
  <c r="CU274" i="2"/>
  <c r="FY275" i="2"/>
  <c r="GE275" i="2"/>
  <c r="CZ276" i="2"/>
  <c r="DF276" i="2"/>
  <c r="DL276" i="2"/>
  <c r="DR276" i="2"/>
  <c r="DX276" i="2"/>
  <c r="DB277" i="2"/>
  <c r="DH277" i="2"/>
  <c r="DN277" i="2"/>
  <c r="DT277" i="2"/>
  <c r="DZ277" i="2"/>
  <c r="FP277" i="2"/>
  <c r="FV277" i="2"/>
  <c r="DF279" i="2"/>
  <c r="DJ281" i="2" s="1"/>
  <c r="DL279" i="2"/>
  <c r="FU279" i="2"/>
  <c r="BR280" i="2"/>
  <c r="BX280" i="2"/>
  <c r="CD280" i="2"/>
  <c r="CJ280" i="2"/>
  <c r="CP280" i="2"/>
  <c r="BP281" i="2"/>
  <c r="BV281" i="2"/>
  <c r="CB281" i="2"/>
  <c r="CH281" i="2"/>
  <c r="CN281" i="2"/>
  <c r="CT281" i="2"/>
  <c r="DR281" i="2"/>
  <c r="DS287" i="2"/>
  <c r="FU287" i="2"/>
  <c r="GA287" i="2"/>
  <c r="CX292" i="2"/>
  <c r="DP292" i="2"/>
  <c r="DV292" i="2"/>
  <c r="DQ312" i="2"/>
  <c r="CG470" i="2"/>
  <c r="CG355" i="2"/>
  <c r="CG324" i="2"/>
  <c r="CM470" i="2"/>
  <c r="CM324" i="2"/>
  <c r="CM323" i="2"/>
  <c r="CM355" i="2"/>
  <c r="CS470" i="2"/>
  <c r="CS324" i="2"/>
  <c r="CS323" i="2"/>
  <c r="CS355" i="2"/>
  <c r="CT322" i="2"/>
  <c r="GB323" i="2"/>
  <c r="AI342" i="2"/>
  <c r="AO342" i="2"/>
  <c r="AU342" i="2"/>
  <c r="BA342" i="2"/>
  <c r="BG342" i="2"/>
  <c r="BM342" i="2"/>
  <c r="BS342" i="2"/>
  <c r="BY342" i="2"/>
  <c r="CE342" i="2"/>
  <c r="CK342" i="2"/>
  <c r="FS272" i="2"/>
  <c r="FS278" i="2" s="1"/>
  <c r="GE272" i="2"/>
  <c r="GE288" i="2" s="1"/>
  <c r="BR274" i="2"/>
  <c r="BX274" i="2"/>
  <c r="CD274" i="2"/>
  <c r="CJ274" i="2"/>
  <c r="CP274" i="2"/>
  <c r="CV274" i="2"/>
  <c r="FZ275" i="2"/>
  <c r="GF275" i="2"/>
  <c r="DA276" i="2"/>
  <c r="DG276" i="2"/>
  <c r="DM276" i="2"/>
  <c r="DS276" i="2"/>
  <c r="DY276" i="2"/>
  <c r="DC277" i="2"/>
  <c r="DI277" i="2"/>
  <c r="DO277" i="2"/>
  <c r="DU277" i="2"/>
  <c r="EA277" i="2"/>
  <c r="FQ277" i="2"/>
  <c r="FW277" i="2"/>
  <c r="BM278" i="2"/>
  <c r="BS278" i="2"/>
  <c r="BY278" i="2"/>
  <c r="CE278" i="2"/>
  <c r="CK278" i="2"/>
  <c r="CQ278" i="2"/>
  <c r="CW278" i="2"/>
  <c r="DA279" i="2"/>
  <c r="DG279" i="2"/>
  <c r="DM279" i="2"/>
  <c r="FV279" i="2"/>
  <c r="BM280" i="2"/>
  <c r="BS280" i="2"/>
  <c r="BY280" i="2"/>
  <c r="CE280" i="2"/>
  <c r="CK280" i="2"/>
  <c r="CQ280" i="2"/>
  <c r="FP287" i="2"/>
  <c r="FV287" i="2"/>
  <c r="GB287" i="2"/>
  <c r="GA291" i="2"/>
  <c r="DL312" i="2"/>
  <c r="DS318" i="2"/>
  <c r="DS316" i="2"/>
  <c r="CH470" i="2"/>
  <c r="CH355" i="2"/>
  <c r="CH324" i="2"/>
  <c r="CH323" i="2"/>
  <c r="CN470" i="2"/>
  <c r="CN355" i="2"/>
  <c r="CN324" i="2"/>
  <c r="CN323" i="2"/>
  <c r="FV321" i="2"/>
  <c r="FV470" i="2" s="1"/>
  <c r="CM322" i="2"/>
  <c r="CW323" i="2"/>
  <c r="EE331" i="2"/>
  <c r="DQ381" i="2"/>
  <c r="DR381" i="2" s="1"/>
  <c r="BS274" i="2"/>
  <c r="BY274" i="2"/>
  <c r="CE274" i="2"/>
  <c r="CK274" i="2"/>
  <c r="CQ274" i="2"/>
  <c r="CW274" i="2"/>
  <c r="GA275" i="2"/>
  <c r="DB276" i="2"/>
  <c r="DH276" i="2"/>
  <c r="DN276" i="2"/>
  <c r="DT276" i="2"/>
  <c r="DZ276" i="2"/>
  <c r="CX277" i="2"/>
  <c r="DD277" i="2"/>
  <c r="DJ277" i="2"/>
  <c r="DP277" i="2"/>
  <c r="DV277" i="2"/>
  <c r="EB277" i="2"/>
  <c r="BN278" i="2"/>
  <c r="BT278" i="2"/>
  <c r="BZ278" i="2"/>
  <c r="CF278" i="2"/>
  <c r="CL278" i="2"/>
  <c r="CR278" i="2"/>
  <c r="CX278" i="2"/>
  <c r="DP278" i="2"/>
  <c r="DV278" i="2"/>
  <c r="FW279" i="2"/>
  <c r="BT280" i="2"/>
  <c r="BZ280" i="2"/>
  <c r="CF280" i="2"/>
  <c r="CL280" i="2"/>
  <c r="CR280" i="2"/>
  <c r="DO287" i="2"/>
  <c r="FQ287" i="2"/>
  <c r="FW287" i="2"/>
  <c r="BM288" i="2"/>
  <c r="BS288" i="2"/>
  <c r="BY288" i="2"/>
  <c r="CE288" i="2"/>
  <c r="CK288" i="2"/>
  <c r="CQ288" i="2"/>
  <c r="CW288" i="2"/>
  <c r="ED292" i="2"/>
  <c r="DT315" i="2"/>
  <c r="DS317" i="2"/>
  <c r="FW321" i="2"/>
  <c r="FX323" i="2" s="1"/>
  <c r="CN322" i="2"/>
  <c r="GB275" i="2"/>
  <c r="DE277" i="2"/>
  <c r="DK277" i="2"/>
  <c r="DQ277" i="2"/>
  <c r="DW277" i="2"/>
  <c r="EC277" i="2"/>
  <c r="DE278" i="2"/>
  <c r="DK278" i="2"/>
  <c r="DQ278" i="2"/>
  <c r="DW278" i="2"/>
  <c r="EC278" i="2"/>
  <c r="BN288" i="2"/>
  <c r="CL288" i="2"/>
  <c r="DU310" i="2"/>
  <c r="DM311" i="2"/>
  <c r="DH312" i="2"/>
  <c r="CG322" i="2"/>
  <c r="CQ323" i="2"/>
  <c r="CG330" i="2"/>
  <c r="CM330" i="2"/>
  <c r="FV327" i="2"/>
  <c r="CS436" i="2"/>
  <c r="FW436" i="2" s="1"/>
  <c r="CS330" i="2"/>
  <c r="CY436" i="2"/>
  <c r="CY355" i="2"/>
  <c r="CY330" i="2"/>
  <c r="DE436" i="2"/>
  <c r="DE330" i="2"/>
  <c r="DE355" i="2"/>
  <c r="DK436" i="2"/>
  <c r="DK330" i="2"/>
  <c r="GB327" i="2"/>
  <c r="DK355" i="2"/>
  <c r="DQ330" i="2"/>
  <c r="DW436" i="2"/>
  <c r="DW330" i="2"/>
  <c r="EC330" i="2"/>
  <c r="GE327" i="2"/>
  <c r="FV333" i="2"/>
  <c r="DC426" i="2"/>
  <c r="DD269" i="2"/>
  <c r="DJ269" i="2"/>
  <c r="DP269" i="2"/>
  <c r="CX276" i="2"/>
  <c r="DD276" i="2"/>
  <c r="DJ276" i="2"/>
  <c r="CZ277" i="2"/>
  <c r="DF277" i="2"/>
  <c r="DL277" i="2"/>
  <c r="DR277" i="2"/>
  <c r="DX277" i="2"/>
  <c r="GC285" i="2"/>
  <c r="DP286" i="2"/>
  <c r="CE470" i="2"/>
  <c r="CE355" i="2"/>
  <c r="CK470" i="2"/>
  <c r="CK355" i="2"/>
  <c r="CQ470" i="2"/>
  <c r="CQ355" i="2"/>
  <c r="CH322" i="2"/>
  <c r="CR322" i="2"/>
  <c r="CJ323" i="2"/>
  <c r="CR323" i="2"/>
  <c r="FZ323" i="2"/>
  <c r="CR324" i="2"/>
  <c r="CH330" i="2"/>
  <c r="CN330" i="2"/>
  <c r="CT436" i="2"/>
  <c r="CX438" i="2" s="1"/>
  <c r="CT330" i="2"/>
  <c r="CT355" i="2"/>
  <c r="FX327" i="2"/>
  <c r="CZ436" i="2"/>
  <c r="DD438" i="2" s="1"/>
  <c r="CZ330" i="2"/>
  <c r="CZ355" i="2"/>
  <c r="DF436" i="2"/>
  <c r="DJ438" i="2" s="1"/>
  <c r="DF330" i="2"/>
  <c r="DF355" i="2"/>
  <c r="DL436" i="2"/>
  <c r="DL330" i="2"/>
  <c r="DL355" i="2"/>
  <c r="DR436" i="2"/>
  <c r="DR330" i="2"/>
  <c r="GD327" i="2"/>
  <c r="DX436" i="2"/>
  <c r="DX330" i="2"/>
  <c r="ED327" i="2"/>
  <c r="FT327" i="2"/>
  <c r="GF327" i="2"/>
  <c r="CM328" i="2"/>
  <c r="CY328" i="2"/>
  <c r="DK328" i="2"/>
  <c r="DW328" i="2"/>
  <c r="CS329" i="2"/>
  <c r="DE329" i="2"/>
  <c r="DQ329" i="2"/>
  <c r="EC329" i="2"/>
  <c r="CD470" i="2"/>
  <c r="CD355" i="2"/>
  <c r="CJ470" i="2"/>
  <c r="CJ355" i="2"/>
  <c r="CP470" i="2"/>
  <c r="CP355" i="2"/>
  <c r="DQ321" i="2"/>
  <c r="DW321" i="2"/>
  <c r="EC321" i="2"/>
  <c r="CJ322" i="2"/>
  <c r="CP322" i="2"/>
  <c r="CT323" i="2"/>
  <c r="CR437" i="2"/>
  <c r="DP432" i="2"/>
  <c r="DV437" i="2"/>
  <c r="DV432" i="2"/>
  <c r="CK328" i="2"/>
  <c r="CQ328" i="2"/>
  <c r="CW328" i="2"/>
  <c r="DC328" i="2"/>
  <c r="DI328" i="2"/>
  <c r="DO328" i="2"/>
  <c r="DU328" i="2"/>
  <c r="EA328" i="2"/>
  <c r="CQ329" i="2"/>
  <c r="DO329" i="2"/>
  <c r="DU329" i="2"/>
  <c r="EA329" i="2"/>
  <c r="CX441" i="2"/>
  <c r="CX442" i="2"/>
  <c r="FY440" i="2"/>
  <c r="DD441" i="2"/>
  <c r="DD442" i="2"/>
  <c r="DJ441" i="2"/>
  <c r="GB440" i="2"/>
  <c r="DJ442" i="2"/>
  <c r="DP441" i="2"/>
  <c r="DP442" i="2"/>
  <c r="DV441" i="2"/>
  <c r="DV442" i="2"/>
  <c r="EB441" i="2"/>
  <c r="EB442" i="2"/>
  <c r="FL339" i="2"/>
  <c r="FR339" i="2"/>
  <c r="FX339" i="2"/>
  <c r="GD339" i="2"/>
  <c r="AN340" i="2"/>
  <c r="AT340" i="2"/>
  <c r="AZ340" i="2"/>
  <c r="BF340" i="2"/>
  <c r="BL340" i="2"/>
  <c r="BR340" i="2"/>
  <c r="BX340" i="2"/>
  <c r="CD340" i="2"/>
  <c r="CJ340" i="2"/>
  <c r="CP340" i="2"/>
  <c r="CV340" i="2"/>
  <c r="DB340" i="2"/>
  <c r="DH340" i="2"/>
  <c r="DN340" i="2"/>
  <c r="DT340" i="2"/>
  <c r="DZ340" i="2"/>
  <c r="AM341" i="2"/>
  <c r="AS341" i="2"/>
  <c r="AY341" i="2"/>
  <c r="BE341" i="2"/>
  <c r="BK341" i="2"/>
  <c r="BQ341" i="2"/>
  <c r="BW341" i="2"/>
  <c r="CC341" i="2"/>
  <c r="CI341" i="2"/>
  <c r="CO341" i="2"/>
  <c r="CU341" i="2"/>
  <c r="DA341" i="2"/>
  <c r="DG341" i="2"/>
  <c r="DM341" i="2"/>
  <c r="DS341" i="2"/>
  <c r="DY341" i="2"/>
  <c r="CQ342" i="2"/>
  <c r="CW342" i="2"/>
  <c r="DC342" i="2"/>
  <c r="DI342" i="2"/>
  <c r="DO342" i="2"/>
  <c r="DU342" i="2"/>
  <c r="EA342" i="2"/>
  <c r="FN345" i="2"/>
  <c r="FT345" i="2"/>
  <c r="FZ345" i="2"/>
  <c r="GF345" i="2"/>
  <c r="DJ355" i="2"/>
  <c r="DW357" i="2"/>
  <c r="DS356" i="2"/>
  <c r="GD355" i="2"/>
  <c r="GH357" i="2"/>
  <c r="DH376" i="2"/>
  <c r="EC445" i="2"/>
  <c r="EC446" i="2"/>
  <c r="CY441" i="2"/>
  <c r="CY442" i="2"/>
  <c r="DE441" i="2"/>
  <c r="DE442" i="2"/>
  <c r="DK441" i="2"/>
  <c r="DK442" i="2"/>
  <c r="DQ441" i="2"/>
  <c r="DQ442" i="2"/>
  <c r="DW441" i="2"/>
  <c r="EC441" i="2"/>
  <c r="FM339" i="2"/>
  <c r="FS339" i="2"/>
  <c r="FY339" i="2"/>
  <c r="GE339" i="2"/>
  <c r="CI355" i="2"/>
  <c r="DA451" i="2"/>
  <c r="DA405" i="2"/>
  <c r="DA384" i="2"/>
  <c r="DA397" i="2"/>
  <c r="DA409" i="2"/>
  <c r="DA380" i="2"/>
  <c r="DA376" i="2"/>
  <c r="DA372" i="2"/>
  <c r="DA368" i="2"/>
  <c r="DG405" i="2"/>
  <c r="DG384" i="2"/>
  <c r="GA383" i="2"/>
  <c r="DG451" i="2"/>
  <c r="DG397" i="2"/>
  <c r="DG409" i="2"/>
  <c r="DG380" i="2"/>
  <c r="DG376" i="2"/>
  <c r="DG372" i="2"/>
  <c r="DG368" i="2"/>
  <c r="DM405" i="2"/>
  <c r="DM384" i="2"/>
  <c r="DM397" i="2"/>
  <c r="DM409" i="2"/>
  <c r="DK385" i="2"/>
  <c r="EM419" i="2"/>
  <c r="EH427" i="2"/>
  <c r="EG439" i="2"/>
  <c r="CT441" i="2"/>
  <c r="CT442" i="2"/>
  <c r="CZ441" i="2"/>
  <c r="DF442" i="2"/>
  <c r="DF441" i="2"/>
  <c r="DL441" i="2"/>
  <c r="DR442" i="2"/>
  <c r="DR441" i="2"/>
  <c r="DX441" i="2"/>
  <c r="FH339" i="2"/>
  <c r="FN339" i="2"/>
  <c r="FT339" i="2"/>
  <c r="FZ339" i="2"/>
  <c r="GF339" i="2"/>
  <c r="AO341" i="2"/>
  <c r="AU341" i="2"/>
  <c r="BA341" i="2"/>
  <c r="BG341" i="2"/>
  <c r="BM341" i="2"/>
  <c r="BS341" i="2"/>
  <c r="BY341" i="2"/>
  <c r="CE341" i="2"/>
  <c r="CK341" i="2"/>
  <c r="CQ341" i="2"/>
  <c r="CW341" i="2"/>
  <c r="DC341" i="2"/>
  <c r="DI341" i="2"/>
  <c r="DO341" i="2"/>
  <c r="DU341" i="2"/>
  <c r="EA341" i="2"/>
  <c r="AK342" i="2"/>
  <c r="AQ342" i="2"/>
  <c r="AW342" i="2"/>
  <c r="BC342" i="2"/>
  <c r="BI342" i="2"/>
  <c r="BO342" i="2"/>
  <c r="BU342" i="2"/>
  <c r="CA342" i="2"/>
  <c r="CG342" i="2"/>
  <c r="CM342" i="2"/>
  <c r="CS342" i="2"/>
  <c r="CY342" i="2"/>
  <c r="DE342" i="2"/>
  <c r="DK342" i="2"/>
  <c r="DQ342" i="2"/>
  <c r="DW342" i="2"/>
  <c r="EC342" i="2"/>
  <c r="DD355" i="2"/>
  <c r="DQ369" i="2"/>
  <c r="GC369" i="2" s="1"/>
  <c r="GC371" i="2" s="1"/>
  <c r="DQ373" i="2"/>
  <c r="GC373" i="2" s="1"/>
  <c r="GC375" i="2" s="1"/>
  <c r="DQ377" i="2"/>
  <c r="GC377" i="2" s="1"/>
  <c r="GC379" i="2" s="1"/>
  <c r="DB384" i="2"/>
  <c r="DB397" i="2"/>
  <c r="DB409" i="2"/>
  <c r="DB451" i="2"/>
  <c r="DB405" i="2"/>
  <c r="DH384" i="2"/>
  <c r="DH451" i="2"/>
  <c r="DH397" i="2"/>
  <c r="DH385" i="2"/>
  <c r="DH409" i="2"/>
  <c r="DH405" i="2"/>
  <c r="FY383" i="2"/>
  <c r="DL385" i="2"/>
  <c r="DQ392" i="2"/>
  <c r="DM391" i="2"/>
  <c r="DM392" i="2"/>
  <c r="DN391" i="2"/>
  <c r="CU441" i="2"/>
  <c r="CU442" i="2"/>
  <c r="DA442" i="2"/>
  <c r="DA441" i="2"/>
  <c r="DG442" i="2"/>
  <c r="DG441" i="2"/>
  <c r="DM441" i="2"/>
  <c r="DM442" i="2"/>
  <c r="FI339" i="2"/>
  <c r="FO339" i="2"/>
  <c r="FU339" i="2"/>
  <c r="GA339" i="2"/>
  <c r="AQ340" i="2"/>
  <c r="AW340" i="2"/>
  <c r="BC340" i="2"/>
  <c r="BI340" i="2"/>
  <c r="BO340" i="2"/>
  <c r="BU340" i="2"/>
  <c r="CA340" i="2"/>
  <c r="CG340" i="2"/>
  <c r="CM340" i="2"/>
  <c r="CS340" i="2"/>
  <c r="CY340" i="2"/>
  <c r="DE340" i="2"/>
  <c r="DK340" i="2"/>
  <c r="DQ340" i="2"/>
  <c r="DW340" i="2"/>
  <c r="EC340" i="2"/>
  <c r="AP341" i="2"/>
  <c r="AV341" i="2"/>
  <c r="BB341" i="2"/>
  <c r="BH341" i="2"/>
  <c r="BN341" i="2"/>
  <c r="BT341" i="2"/>
  <c r="BZ341" i="2"/>
  <c r="CF341" i="2"/>
  <c r="CL341" i="2"/>
  <c r="CR341" i="2"/>
  <c r="CX341" i="2"/>
  <c r="DD341" i="2"/>
  <c r="DJ341" i="2"/>
  <c r="DP341" i="2"/>
  <c r="DV341" i="2"/>
  <c r="EB341" i="2"/>
  <c r="AL342" i="2"/>
  <c r="AR342" i="2"/>
  <c r="AX342" i="2"/>
  <c r="BD342" i="2"/>
  <c r="BJ342" i="2"/>
  <c r="BP342" i="2"/>
  <c r="BV342" i="2"/>
  <c r="CB342" i="2"/>
  <c r="CH342" i="2"/>
  <c r="CN342" i="2"/>
  <c r="CT342" i="2"/>
  <c r="CZ342" i="2"/>
  <c r="DF342" i="2"/>
  <c r="DL342" i="2"/>
  <c r="DR342" i="2"/>
  <c r="DX342" i="2"/>
  <c r="DC397" i="2"/>
  <c r="DC385" i="2"/>
  <c r="DC409" i="2"/>
  <c r="DC451" i="2"/>
  <c r="DC405" i="2"/>
  <c r="DC384" i="2"/>
  <c r="DI451" i="2"/>
  <c r="DI397" i="2"/>
  <c r="DI385" i="2"/>
  <c r="DI409" i="2"/>
  <c r="DI405" i="2"/>
  <c r="DI384" i="2"/>
  <c r="DO383" i="2"/>
  <c r="DO380" i="2" s="1"/>
  <c r="FZ383" i="2"/>
  <c r="DM385" i="2"/>
  <c r="GB390" i="2"/>
  <c r="DG429" i="2"/>
  <c r="GA428" i="2"/>
  <c r="CV355" i="2"/>
  <c r="CV436" i="2"/>
  <c r="DB355" i="2"/>
  <c r="DB436" i="2"/>
  <c r="DH355" i="2"/>
  <c r="DH436" i="2"/>
  <c r="DN355" i="2"/>
  <c r="DN436" i="2"/>
  <c r="DT438" i="2"/>
  <c r="FW440" i="2"/>
  <c r="DB442" i="2"/>
  <c r="DB441" i="2"/>
  <c r="FZ440" i="2"/>
  <c r="DN442" i="2"/>
  <c r="GC440" i="2"/>
  <c r="DN441" i="2"/>
  <c r="FJ339" i="2"/>
  <c r="FP339" i="2"/>
  <c r="FV339" i="2"/>
  <c r="GB339" i="2"/>
  <c r="AR340" i="2"/>
  <c r="AX340" i="2"/>
  <c r="BD340" i="2"/>
  <c r="BJ340" i="2"/>
  <c r="BP340" i="2"/>
  <c r="BV340" i="2"/>
  <c r="CB340" i="2"/>
  <c r="CH340" i="2"/>
  <c r="CN340" i="2"/>
  <c r="CT340" i="2"/>
  <c r="CZ340" i="2"/>
  <c r="DF340" i="2"/>
  <c r="DL340" i="2"/>
  <c r="DR340" i="2"/>
  <c r="DX340" i="2"/>
  <c r="CS341" i="2"/>
  <c r="CY341" i="2"/>
  <c r="DE341" i="2"/>
  <c r="DK341" i="2"/>
  <c r="DQ341" i="2"/>
  <c r="DW341" i="2"/>
  <c r="EC341" i="2"/>
  <c r="AM342" i="2"/>
  <c r="AS342" i="2"/>
  <c r="AY342" i="2"/>
  <c r="BE342" i="2"/>
  <c r="BK342" i="2"/>
  <c r="BQ342" i="2"/>
  <c r="BW342" i="2"/>
  <c r="CC342" i="2"/>
  <c r="CI342" i="2"/>
  <c r="CO342" i="2"/>
  <c r="CU342" i="2"/>
  <c r="DA342" i="2"/>
  <c r="DG342" i="2"/>
  <c r="DM342" i="2"/>
  <c r="DS342" i="2"/>
  <c r="DY342" i="2"/>
  <c r="CX355" i="2"/>
  <c r="DO367" i="2"/>
  <c r="DO371" i="2"/>
  <c r="DO375" i="2"/>
  <c r="DO379" i="2"/>
  <c r="DD384" i="2"/>
  <c r="DE385" i="2"/>
  <c r="DO431" i="2"/>
  <c r="DN428" i="2"/>
  <c r="DM455" i="2"/>
  <c r="CI322" i="2"/>
  <c r="CO322" i="2"/>
  <c r="CQ437" i="2"/>
  <c r="CW436" i="2"/>
  <c r="CX437" i="2" s="1"/>
  <c r="CW355" i="2"/>
  <c r="DC436" i="2"/>
  <c r="DD437" i="2" s="1"/>
  <c r="DC355" i="2"/>
  <c r="DI436" i="2"/>
  <c r="DJ437" i="2" s="1"/>
  <c r="DI355" i="2"/>
  <c r="DU437" i="2"/>
  <c r="DU432" i="2"/>
  <c r="FW327" i="2"/>
  <c r="GC327" i="2"/>
  <c r="CJ328" i="2"/>
  <c r="CP328" i="2"/>
  <c r="CV328" i="2"/>
  <c r="DB328" i="2"/>
  <c r="DH328" i="2"/>
  <c r="DN328" i="2"/>
  <c r="DT328" i="2"/>
  <c r="DZ328" i="2"/>
  <c r="CP329" i="2"/>
  <c r="CV329" i="2"/>
  <c r="DB329" i="2"/>
  <c r="DH329" i="2"/>
  <c r="DN329" i="2"/>
  <c r="DT329" i="2"/>
  <c r="DZ329" i="2"/>
  <c r="CQ441" i="2"/>
  <c r="CW442" i="2"/>
  <c r="DC442" i="2"/>
  <c r="DC441" i="2"/>
  <c r="DI442" i="2"/>
  <c r="DO442" i="2"/>
  <c r="DO441" i="2"/>
  <c r="DU442" i="2"/>
  <c r="EA442" i="2"/>
  <c r="FK339" i="2"/>
  <c r="FQ339" i="2"/>
  <c r="FW339" i="2"/>
  <c r="GC339" i="2"/>
  <c r="CU340" i="2"/>
  <c r="DA340" i="2"/>
  <c r="DG340" i="2"/>
  <c r="DM340" i="2"/>
  <c r="DS340" i="2"/>
  <c r="DY340" i="2"/>
  <c r="CT341" i="2"/>
  <c r="CZ341" i="2"/>
  <c r="DF341" i="2"/>
  <c r="DL341" i="2"/>
  <c r="DR341" i="2"/>
  <c r="DX341" i="2"/>
  <c r="CP342" i="2"/>
  <c r="CV342" i="2"/>
  <c r="DB342" i="2"/>
  <c r="DH342" i="2"/>
  <c r="DN342" i="2"/>
  <c r="DT342" i="2"/>
  <c r="DZ342" i="2"/>
  <c r="CO355" i="2"/>
  <c r="GG357" i="2"/>
  <c r="DS358" i="2"/>
  <c r="DF385" i="2"/>
  <c r="GJ357" i="2"/>
  <c r="DN367" i="2"/>
  <c r="DN371" i="2"/>
  <c r="DN375" i="2"/>
  <c r="DN379" i="2"/>
  <c r="DD385" i="2"/>
  <c r="DJ385" i="2"/>
  <c r="DD397" i="2"/>
  <c r="DJ397" i="2"/>
  <c r="DC400" i="2"/>
  <c r="DI400" i="2"/>
  <c r="DD401" i="2"/>
  <c r="DJ401" i="2"/>
  <c r="CZ409" i="2"/>
  <c r="DF409" i="2"/>
  <c r="DL409" i="2"/>
  <c r="DM428" i="2"/>
  <c r="DJ429" i="2"/>
  <c r="DJ430" i="2"/>
  <c r="EC436" i="2"/>
  <c r="DN449" i="2"/>
  <c r="FX470" i="2"/>
  <c r="EO19" i="3"/>
  <c r="EO24" i="3"/>
  <c r="DY155" i="3"/>
  <c r="DY156" i="3"/>
  <c r="DU85" i="3"/>
  <c r="DW74" i="3" s="1"/>
  <c r="DU18" i="3"/>
  <c r="DU17" i="3"/>
  <c r="EC19" i="3"/>
  <c r="EC24" i="3"/>
  <c r="FC155" i="3"/>
  <c r="FC156" i="3"/>
  <c r="EY85" i="3"/>
  <c r="EY18" i="3"/>
  <c r="EY17" i="3"/>
  <c r="FG19" i="3"/>
  <c r="FG24" i="3"/>
  <c r="GC85" i="3"/>
  <c r="GC18" i="3"/>
  <c r="GC17" i="3"/>
  <c r="AQ17" i="3"/>
  <c r="AQ18" i="3"/>
  <c r="DD400" i="2"/>
  <c r="DJ400" i="2"/>
  <c r="DE401" i="2"/>
  <c r="DK401" i="2"/>
  <c r="FZ428" i="2"/>
  <c r="FZ431" i="2" s="1"/>
  <c r="DM451" i="2"/>
  <c r="DF85" i="3"/>
  <c r="DF18" i="3"/>
  <c r="DF17" i="3"/>
  <c r="EW155" i="3"/>
  <c r="EW156" i="3"/>
  <c r="ES85" i="3"/>
  <c r="ES18" i="3"/>
  <c r="ES17" i="3"/>
  <c r="GA156" i="3"/>
  <c r="GA155" i="3"/>
  <c r="FW85" i="3"/>
  <c r="FW18" i="3"/>
  <c r="FW17" i="3"/>
  <c r="DF401" i="2"/>
  <c r="DL401" i="2"/>
  <c r="DD405" i="2"/>
  <c r="DJ405" i="2"/>
  <c r="EG419" i="2"/>
  <c r="EC423" i="2"/>
  <c r="GF444" i="2"/>
  <c r="EA445" i="2"/>
  <c r="FZ465" i="2"/>
  <c r="FY466" i="2"/>
  <c r="FY465" i="2"/>
  <c r="EQ155" i="3"/>
  <c r="EQ156" i="3"/>
  <c r="EM85" i="3"/>
  <c r="EM18" i="3"/>
  <c r="EM17" i="3"/>
  <c r="ET85" i="3"/>
  <c r="ET18" i="3"/>
  <c r="ET17" i="3"/>
  <c r="FM155" i="3"/>
  <c r="FM156" i="3"/>
  <c r="FI85" i="3"/>
  <c r="FI17" i="3"/>
  <c r="FI18" i="3"/>
  <c r="FN172" i="3" s="1"/>
  <c r="FQ85" i="3"/>
  <c r="FQ18" i="3"/>
  <c r="FQ17" i="3"/>
  <c r="FX85" i="3"/>
  <c r="FX18" i="3"/>
  <c r="FX17" i="3"/>
  <c r="GF24" i="3"/>
  <c r="GF19" i="3"/>
  <c r="AU70" i="3"/>
  <c r="AU32" i="3"/>
  <c r="AU25" i="3"/>
  <c r="AU69" i="3" s="1"/>
  <c r="BK17" i="3"/>
  <c r="BK18" i="3"/>
  <c r="CA17" i="3"/>
  <c r="CA18" i="3"/>
  <c r="ED174" i="3"/>
  <c r="ED24" i="3"/>
  <c r="ED19" i="3"/>
  <c r="FN174" i="3"/>
  <c r="FN24" i="3"/>
  <c r="FN19" i="3"/>
  <c r="ED431" i="2"/>
  <c r="EB445" i="2"/>
  <c r="EC155" i="3"/>
  <c r="EC156" i="3"/>
  <c r="DY85" i="3"/>
  <c r="DY17" i="3"/>
  <c r="DY18" i="3"/>
  <c r="ED172" i="3" s="1"/>
  <c r="EG85" i="3"/>
  <c r="EG18" i="3"/>
  <c r="EG17" i="3"/>
  <c r="EN85" i="3"/>
  <c r="EN18" i="3"/>
  <c r="EN17" i="3"/>
  <c r="EV85" i="3"/>
  <c r="EV18" i="3"/>
  <c r="EV17" i="3"/>
  <c r="FC85" i="3"/>
  <c r="FC17" i="3"/>
  <c r="FC18" i="3"/>
  <c r="FK85" i="3"/>
  <c r="FK18" i="3"/>
  <c r="FK17" i="3"/>
  <c r="FO16" i="3"/>
  <c r="FO17" i="3" s="1"/>
  <c r="GK155" i="3"/>
  <c r="GK156" i="3"/>
  <c r="GG85" i="3"/>
  <c r="GG17" i="3"/>
  <c r="GG18" i="3"/>
  <c r="GO85" i="3"/>
  <c r="GO18" i="3"/>
  <c r="GO17" i="3"/>
  <c r="DR13" i="3"/>
  <c r="DV12" i="3"/>
  <c r="DV13" i="3" s="1"/>
  <c r="FU24" i="3"/>
  <c r="FU19" i="3"/>
  <c r="DD409" i="2"/>
  <c r="DJ409" i="2"/>
  <c r="DX423" i="2"/>
  <c r="DK428" i="2"/>
  <c r="DH429" i="2"/>
  <c r="DQ436" i="2"/>
  <c r="DW445" i="2"/>
  <c r="DM450" i="2"/>
  <c r="DC85" i="3"/>
  <c r="DC18" i="3"/>
  <c r="DG16" i="3"/>
  <c r="DG17" i="3" s="1"/>
  <c r="DC17" i="3"/>
  <c r="DS85" i="3"/>
  <c r="DS17" i="3"/>
  <c r="DS18" i="3"/>
  <c r="ED155" i="3"/>
  <c r="ED156" i="3"/>
  <c r="DZ85" i="3"/>
  <c r="DZ17" i="3"/>
  <c r="DZ18" i="3"/>
  <c r="EW85" i="3"/>
  <c r="EW17" i="3"/>
  <c r="EW18" i="3"/>
  <c r="FN156" i="3"/>
  <c r="FO156" i="3" s="1"/>
  <c r="FN155" i="3"/>
  <c r="FO155" i="3" s="1"/>
  <c r="FL85" i="3"/>
  <c r="FL18" i="3"/>
  <c r="FL17" i="3"/>
  <c r="GA85" i="3"/>
  <c r="GA17" i="3"/>
  <c r="GA18" i="3"/>
  <c r="GL156" i="3"/>
  <c r="GL155" i="3"/>
  <c r="GH85" i="3"/>
  <c r="GH17" i="3"/>
  <c r="GH18" i="3"/>
  <c r="AG17" i="3"/>
  <c r="AG18" i="3"/>
  <c r="CD17" i="3"/>
  <c r="CD18" i="3"/>
  <c r="CU172" i="3"/>
  <c r="CU24" i="3"/>
  <c r="CU19" i="3"/>
  <c r="GI357" i="2"/>
  <c r="GB383" i="2"/>
  <c r="DN399" i="2"/>
  <c r="DO402" i="2"/>
  <c r="CY409" i="2"/>
  <c r="DE409" i="2"/>
  <c r="DK409" i="2"/>
  <c r="DL428" i="2"/>
  <c r="DI429" i="2"/>
  <c r="EB436" i="2"/>
  <c r="EE443" i="2"/>
  <c r="DX445" i="2"/>
  <c r="DZ446" i="2"/>
  <c r="DN450" i="2"/>
  <c r="DF155" i="3"/>
  <c r="DG155" i="3" s="1"/>
  <c r="DF156" i="3"/>
  <c r="DG156" i="3" s="1"/>
  <c r="DD85" i="3"/>
  <c r="DD18" i="3"/>
  <c r="DD17" i="3"/>
  <c r="EB85" i="3"/>
  <c r="EB18" i="3"/>
  <c r="EC174" i="3" s="1"/>
  <c r="EB17" i="3"/>
  <c r="FF85" i="3"/>
  <c r="FF18" i="3"/>
  <c r="FJ16" i="3"/>
  <c r="FJ17" i="3" s="1"/>
  <c r="FF17" i="3"/>
  <c r="FM19" i="3"/>
  <c r="FM24" i="3"/>
  <c r="GJ85" i="3"/>
  <c r="GJ18" i="3"/>
  <c r="GJ17" i="3"/>
  <c r="GN16" i="3"/>
  <c r="GN17" i="3" s="1"/>
  <c r="AH85" i="3"/>
  <c r="AH17" i="3"/>
  <c r="AP85" i="3"/>
  <c r="AP18" i="3"/>
  <c r="AU172" i="3" s="1"/>
  <c r="AP17" i="3"/>
  <c r="FW469" i="2"/>
  <c r="GD502" i="2"/>
  <c r="GB504" i="2"/>
  <c r="GD505" i="2"/>
  <c r="GD508" i="2"/>
  <c r="FQ523" i="2"/>
  <c r="FS530" i="2"/>
  <c r="AO23" i="3"/>
  <c r="BS23" i="3"/>
  <c r="DV37" i="3"/>
  <c r="EQ305" i="3"/>
  <c r="EQ295" i="3"/>
  <c r="ET161" i="3"/>
  <c r="EU161" i="3" s="1"/>
  <c r="ET154" i="3"/>
  <c r="EU154" i="3" s="1"/>
  <c r="EQ137" i="3"/>
  <c r="EQ79" i="3"/>
  <c r="EQ41" i="3"/>
  <c r="EQ15" i="3"/>
  <c r="EQ39" i="3"/>
  <c r="EQ37" i="3"/>
  <c r="EQ31" i="3"/>
  <c r="FT39" i="3"/>
  <c r="FT37" i="3"/>
  <c r="FT31" i="3"/>
  <c r="DE10" i="3"/>
  <c r="EQ10" i="3"/>
  <c r="CM11" i="3"/>
  <c r="DE11" i="3"/>
  <c r="EO11" i="3"/>
  <c r="DG12" i="3"/>
  <c r="DG13" i="3" s="1"/>
  <c r="EK12" i="3"/>
  <c r="EK13" i="3" s="1"/>
  <c r="FO12" i="3"/>
  <c r="FO13" i="3" s="1"/>
  <c r="DC13" i="3"/>
  <c r="DI13" i="3"/>
  <c r="DO13" i="3"/>
  <c r="DU13" i="3"/>
  <c r="EG13" i="3"/>
  <c r="EM13" i="3"/>
  <c r="ES13" i="3"/>
  <c r="EY13" i="3"/>
  <c r="FK13" i="3"/>
  <c r="FQ13" i="3"/>
  <c r="FW13" i="3"/>
  <c r="GC13" i="3"/>
  <c r="GO13" i="3"/>
  <c r="AQ15" i="3"/>
  <c r="CA15" i="3"/>
  <c r="DE15" i="3"/>
  <c r="DR15" i="3"/>
  <c r="GI15" i="3"/>
  <c r="BE16" i="3"/>
  <c r="BL16" i="3"/>
  <c r="BT16" i="3"/>
  <c r="CQ16" i="3"/>
  <c r="CT156" i="3" s="1"/>
  <c r="CX16" i="3"/>
  <c r="DM16" i="3"/>
  <c r="DT16" i="3"/>
  <c r="DW155" i="3" s="1"/>
  <c r="EA16" i="3"/>
  <c r="EA17" i="3" s="1"/>
  <c r="EH16" i="3"/>
  <c r="FD16" i="3"/>
  <c r="FG156" i="3" s="1"/>
  <c r="FR16" i="3"/>
  <c r="FU156" i="3" s="1"/>
  <c r="GI16" i="3"/>
  <c r="GI17" i="3" s="1"/>
  <c r="AU17" i="3"/>
  <c r="CS17" i="3"/>
  <c r="EC17" i="3"/>
  <c r="FM17" i="3"/>
  <c r="GE17" i="3"/>
  <c r="CS18" i="3"/>
  <c r="GE18" i="3"/>
  <c r="GF174" i="3" s="1"/>
  <c r="BY19" i="3"/>
  <c r="BI21" i="3"/>
  <c r="CH21" i="3"/>
  <c r="CW20" i="3"/>
  <c r="CW21" i="3" s="1"/>
  <c r="EO21" i="3"/>
  <c r="EP20" i="3"/>
  <c r="BS21" i="3"/>
  <c r="CW23" i="3"/>
  <c r="DV23" i="3"/>
  <c r="EO23" i="3"/>
  <c r="GD22" i="3"/>
  <c r="GD23" i="3" s="1"/>
  <c r="AJ27" i="3"/>
  <c r="GI27" i="3"/>
  <c r="BN29" i="3"/>
  <c r="DE29" i="3"/>
  <c r="BI31" i="3"/>
  <c r="CM31" i="3"/>
  <c r="DG31" i="3"/>
  <c r="EK31" i="3"/>
  <c r="FO31" i="3"/>
  <c r="AO37" i="3"/>
  <c r="CH37" i="3"/>
  <c r="CW37" i="3"/>
  <c r="CM41" i="3"/>
  <c r="DQ41" i="3"/>
  <c r="FX469" i="2"/>
  <c r="GC504" i="2"/>
  <c r="GC507" i="2"/>
  <c r="GE508" i="2"/>
  <c r="FR519" i="2"/>
  <c r="FT530" i="2"/>
  <c r="AT31" i="3"/>
  <c r="BX31" i="3"/>
  <c r="BX41" i="3"/>
  <c r="BX27" i="3"/>
  <c r="EU295" i="3"/>
  <c r="EU41" i="3"/>
  <c r="EU39" i="3"/>
  <c r="EU31" i="3"/>
  <c r="FY39" i="3"/>
  <c r="FY37" i="3"/>
  <c r="FY31" i="3"/>
  <c r="DB12" i="3"/>
  <c r="DB13" i="3" s="1"/>
  <c r="EF12" i="3"/>
  <c r="EF13" i="3" s="1"/>
  <c r="FJ12" i="3"/>
  <c r="FJ13" i="3" s="1"/>
  <c r="GN12" i="3"/>
  <c r="GN13" i="3" s="1"/>
  <c r="DD13" i="3"/>
  <c r="DJ13" i="3"/>
  <c r="DP13" i="3"/>
  <c r="EB13" i="3"/>
  <c r="EN13" i="3"/>
  <c r="ET13" i="3"/>
  <c r="FF13" i="3"/>
  <c r="FL13" i="3"/>
  <c r="FX13" i="3"/>
  <c r="GJ13" i="3"/>
  <c r="EK15" i="3"/>
  <c r="AF15" i="3"/>
  <c r="AL15" i="3"/>
  <c r="AR15" i="3"/>
  <c r="BJ15" i="3"/>
  <c r="BP15" i="3"/>
  <c r="BV15" i="3"/>
  <c r="CB15" i="3"/>
  <c r="FE15" i="3"/>
  <c r="AR16" i="3"/>
  <c r="BF16" i="3"/>
  <c r="CB16" i="3"/>
  <c r="CI16" i="3"/>
  <c r="CI85" i="3" s="1"/>
  <c r="DD155" i="3"/>
  <c r="DD156" i="3"/>
  <c r="CZ85" i="3"/>
  <c r="DN16" i="3"/>
  <c r="EQ85" i="3"/>
  <c r="EQ17" i="3"/>
  <c r="EX16" i="3"/>
  <c r="EX155" i="3" s="1"/>
  <c r="GB16" i="3"/>
  <c r="GB156" i="3" s="1"/>
  <c r="CT17" i="3"/>
  <c r="ED17" i="3"/>
  <c r="FN17" i="3"/>
  <c r="CM21" i="3"/>
  <c r="CY21" i="3"/>
  <c r="DB20" i="3"/>
  <c r="DB21" i="3" s="1"/>
  <c r="FT21" i="3"/>
  <c r="AT21" i="3"/>
  <c r="DC21" i="3"/>
  <c r="CY23" i="3"/>
  <c r="DB22" i="3"/>
  <c r="DB23" i="3" s="1"/>
  <c r="FY23" i="3"/>
  <c r="GE23" i="3"/>
  <c r="GI22" i="3"/>
  <c r="GI23" i="3" s="1"/>
  <c r="BX23" i="3"/>
  <c r="AO27" i="3"/>
  <c r="BN27" i="3"/>
  <c r="CH27" i="3"/>
  <c r="GD27" i="3"/>
  <c r="GN27" i="3"/>
  <c r="BD29" i="3"/>
  <c r="FO29" i="3"/>
  <c r="HG28" i="3"/>
  <c r="AJ31" i="3"/>
  <c r="BN31" i="3"/>
  <c r="CR31" i="3"/>
  <c r="AT37" i="3"/>
  <c r="BN37" i="3"/>
  <c r="DB37" i="3"/>
  <c r="EZ37" i="3"/>
  <c r="GD37" i="3"/>
  <c r="AJ39" i="3"/>
  <c r="BN39" i="3"/>
  <c r="CR39" i="3"/>
  <c r="DV39" i="3"/>
  <c r="EZ39" i="3"/>
  <c r="GD39" i="3"/>
  <c r="AJ41" i="3"/>
  <c r="BN41" i="3"/>
  <c r="CR41" i="3"/>
  <c r="DV41" i="3"/>
  <c r="EZ41" i="3"/>
  <c r="FY41" i="3"/>
  <c r="FX466" i="2"/>
  <c r="FY469" i="2"/>
  <c r="FY470" i="2"/>
  <c r="GD504" i="2"/>
  <c r="FS519" i="2"/>
  <c r="FS523" i="2"/>
  <c r="FQ531" i="2"/>
  <c r="FS538" i="2"/>
  <c r="AY37" i="3"/>
  <c r="AY27" i="3"/>
  <c r="CC37" i="3"/>
  <c r="DE161" i="3"/>
  <c r="DH161" i="3"/>
  <c r="DF161" i="3"/>
  <c r="DG161" i="3" s="1"/>
  <c r="DF154" i="3"/>
  <c r="DG154" i="3" s="1"/>
  <c r="DE153" i="3"/>
  <c r="DE154" i="3"/>
  <c r="DI153" i="3"/>
  <c r="DI154" i="3"/>
  <c r="DH154" i="3"/>
  <c r="DE79" i="3"/>
  <c r="DE41" i="3"/>
  <c r="DE21" i="3"/>
  <c r="DE39" i="3"/>
  <c r="DE37" i="3"/>
  <c r="DE31" i="3"/>
  <c r="DE23" i="3"/>
  <c r="GG154" i="3"/>
  <c r="AY11" i="3"/>
  <c r="CC11" i="3"/>
  <c r="FO11" i="3"/>
  <c r="BX12" i="3"/>
  <c r="BX13" i="3" s="1"/>
  <c r="CW12" i="3"/>
  <c r="CW13" i="3" s="1"/>
  <c r="EA12" i="3"/>
  <c r="EA13" i="3" s="1"/>
  <c r="FE12" i="3"/>
  <c r="FE13" i="3" s="1"/>
  <c r="GI12" i="3"/>
  <c r="GI13" i="3" s="1"/>
  <c r="CS13" i="3"/>
  <c r="CY13" i="3"/>
  <c r="DE13" i="3"/>
  <c r="DW13" i="3"/>
  <c r="EC13" i="3"/>
  <c r="EI13" i="3"/>
  <c r="EO13" i="3"/>
  <c r="FA13" i="3"/>
  <c r="FG13" i="3"/>
  <c r="FM13" i="3"/>
  <c r="FS13" i="3"/>
  <c r="GE13" i="3"/>
  <c r="GK13" i="3"/>
  <c r="CR14" i="3"/>
  <c r="CR15" i="3" s="1"/>
  <c r="AG15" i="3"/>
  <c r="BK15" i="3"/>
  <c r="EF15" i="3"/>
  <c r="EZ15" i="3"/>
  <c r="AL16" i="3"/>
  <c r="AL85" i="3" s="1"/>
  <c r="AZ16" i="3"/>
  <c r="BV16" i="3"/>
  <c r="CJ16" i="3"/>
  <c r="DE155" i="3"/>
  <c r="DE156" i="3"/>
  <c r="DA85" i="3"/>
  <c r="DA17" i="3"/>
  <c r="DH16" i="3"/>
  <c r="DH155" i="3" s="1"/>
  <c r="DO16" i="3"/>
  <c r="ED85" i="3"/>
  <c r="ER16" i="3"/>
  <c r="ES155" i="3" s="1"/>
  <c r="FN85" i="3"/>
  <c r="FU85" i="3"/>
  <c r="FU17" i="3"/>
  <c r="GM85" i="3"/>
  <c r="GM17" i="3"/>
  <c r="BY17" i="3"/>
  <c r="DW17" i="3"/>
  <c r="FG17" i="3"/>
  <c r="AK18" i="3"/>
  <c r="DE18" i="3"/>
  <c r="DW18" i="3"/>
  <c r="EU21" i="3"/>
  <c r="AO21" i="3"/>
  <c r="BI23" i="3"/>
  <c r="CM23" i="3"/>
  <c r="FJ22" i="3"/>
  <c r="FJ23" i="3" s="1"/>
  <c r="FT22" i="3"/>
  <c r="FT23" i="3" s="1"/>
  <c r="DX23" i="3"/>
  <c r="AT27" i="3"/>
  <c r="FT27" i="3"/>
  <c r="AY29" i="3"/>
  <c r="CH29" i="3"/>
  <c r="FE29" i="3"/>
  <c r="HM28" i="3"/>
  <c r="AO31" i="3"/>
  <c r="BS31" i="3"/>
  <c r="CW31" i="3"/>
  <c r="BS37" i="3"/>
  <c r="EA37" i="3"/>
  <c r="FE37" i="3"/>
  <c r="GI37" i="3"/>
  <c r="AO39" i="3"/>
  <c r="BS39" i="3"/>
  <c r="CW39" i="3"/>
  <c r="EA39" i="3"/>
  <c r="FE39" i="3"/>
  <c r="GI39" i="3"/>
  <c r="AO41" i="3"/>
  <c r="BS41" i="3"/>
  <c r="EA41" i="3"/>
  <c r="FE41" i="3"/>
  <c r="GC503" i="2"/>
  <c r="GE504" i="2"/>
  <c r="GC506" i="2"/>
  <c r="GE507" i="2"/>
  <c r="FT523" i="2"/>
  <c r="FR531" i="2"/>
  <c r="BD39" i="3"/>
  <c r="BD37" i="3"/>
  <c r="BD27" i="3"/>
  <c r="CH39" i="3"/>
  <c r="DG41" i="3"/>
  <c r="AT11" i="3"/>
  <c r="BX11" i="3"/>
  <c r="DB11" i="3"/>
  <c r="EF11" i="3"/>
  <c r="GN11" i="3"/>
  <c r="CR12" i="3"/>
  <c r="CR13" i="3" s="1"/>
  <c r="EZ12" i="3"/>
  <c r="EZ13" i="3" s="1"/>
  <c r="GD12" i="3"/>
  <c r="GD13" i="3" s="1"/>
  <c r="AH15" i="3"/>
  <c r="CD15" i="3"/>
  <c r="DB15" i="3"/>
  <c r="EA15" i="3"/>
  <c r="AF16" i="3"/>
  <c r="BB18" i="3"/>
  <c r="BP16" i="3"/>
  <c r="CU85" i="3"/>
  <c r="CU17" i="3"/>
  <c r="DI16" i="3"/>
  <c r="DP16" i="3"/>
  <c r="DZ156" i="3"/>
  <c r="EA156" i="3" s="1"/>
  <c r="EB155" i="3"/>
  <c r="EB156" i="3"/>
  <c r="DZ155" i="3"/>
  <c r="EA155" i="3" s="1"/>
  <c r="DX85" i="3"/>
  <c r="DX74" i="3" s="1"/>
  <c r="EE17" i="3"/>
  <c r="EL16" i="3"/>
  <c r="EO155" i="3" s="1"/>
  <c r="EP155" i="3" s="1"/>
  <c r="FL156" i="3"/>
  <c r="FL155" i="3"/>
  <c r="FH85" i="3"/>
  <c r="FV16" i="3"/>
  <c r="FW156" i="3" s="1"/>
  <c r="DX17" i="3"/>
  <c r="FH17" i="3"/>
  <c r="CN24" i="3"/>
  <c r="DX18" i="3"/>
  <c r="EC172" i="3" s="1"/>
  <c r="FH18" i="3"/>
  <c r="FM172" i="3" s="1"/>
  <c r="FZ18" i="3"/>
  <c r="DL21" i="3"/>
  <c r="FY20" i="3"/>
  <c r="FY21" i="3" s="1"/>
  <c r="EA21" i="3"/>
  <c r="AJ23" i="3"/>
  <c r="BN23" i="3"/>
  <c r="CR22" i="3"/>
  <c r="CR23" i="3" s="1"/>
  <c r="CQ23" i="3"/>
  <c r="EK22" i="3"/>
  <c r="EK23" i="3" s="1"/>
  <c r="EU22" i="3"/>
  <c r="EU23" i="3" s="1"/>
  <c r="AY23" i="3"/>
  <c r="EF23" i="3"/>
  <c r="DG27" i="3"/>
  <c r="DV27" i="3"/>
  <c r="CC29" i="3"/>
  <c r="CM29" i="3"/>
  <c r="DL29" i="3"/>
  <c r="EO29" i="3"/>
  <c r="EZ29" i="3"/>
  <c r="FJ29" i="3"/>
  <c r="GI29" i="3"/>
  <c r="DV31" i="3"/>
  <c r="EZ31" i="3"/>
  <c r="GD31" i="3"/>
  <c r="DG37" i="3"/>
  <c r="EF37" i="3"/>
  <c r="FJ37" i="3"/>
  <c r="GN37" i="3"/>
  <c r="AT39" i="3"/>
  <c r="BX39" i="3"/>
  <c r="DB39" i="3"/>
  <c r="EF39" i="3"/>
  <c r="FJ39" i="3"/>
  <c r="GN39" i="3"/>
  <c r="AT41" i="3"/>
  <c r="DB41" i="3"/>
  <c r="EF41" i="3"/>
  <c r="FJ41" i="3"/>
  <c r="BI39" i="3"/>
  <c r="BI41" i="3"/>
  <c r="CM39" i="3"/>
  <c r="CM37" i="3"/>
  <c r="DL39" i="3"/>
  <c r="DL31" i="3"/>
  <c r="EO295" i="3"/>
  <c r="EO161" i="3"/>
  <c r="EP161" i="3" s="1"/>
  <c r="ER161" i="3"/>
  <c r="EQ161" i="3"/>
  <c r="EO154" i="3"/>
  <c r="EP154" i="3" s="1"/>
  <c r="ES154" i="3"/>
  <c r="ER154" i="3"/>
  <c r="EQ154" i="3"/>
  <c r="EO137" i="3"/>
  <c r="EO79" i="3"/>
  <c r="EO73" i="3" s="1"/>
  <c r="EY73" i="3" s="1"/>
  <c r="EO41" i="3"/>
  <c r="EO39" i="3"/>
  <c r="EO37" i="3"/>
  <c r="EO31" i="3"/>
  <c r="EA11" i="3"/>
  <c r="FE11" i="3"/>
  <c r="GI11" i="3"/>
  <c r="DC155" i="3"/>
  <c r="DC156" i="3"/>
  <c r="CY85" i="3"/>
  <c r="DE85" i="3"/>
  <c r="DK357" i="3"/>
  <c r="DK16" i="3"/>
  <c r="DQ12" i="3"/>
  <c r="DQ13" i="3" s="1"/>
  <c r="EC85" i="3"/>
  <c r="EM155" i="3"/>
  <c r="EI85" i="3"/>
  <c r="EO85" i="3"/>
  <c r="EU12" i="3"/>
  <c r="EU13" i="3" s="1"/>
  <c r="FI155" i="3"/>
  <c r="FJ155" i="3" s="1"/>
  <c r="FK156" i="3"/>
  <c r="FI156" i="3"/>
  <c r="FJ156" i="3" s="1"/>
  <c r="FK155" i="3"/>
  <c r="FG85" i="3"/>
  <c r="FM85" i="3"/>
  <c r="FS85" i="3"/>
  <c r="FY12" i="3"/>
  <c r="FY13" i="3" s="1"/>
  <c r="GO156" i="3"/>
  <c r="GM155" i="3"/>
  <c r="GN155" i="3" s="1"/>
  <c r="GM156" i="3"/>
  <c r="GN156" i="3" s="1"/>
  <c r="GO155" i="3"/>
  <c r="GK85" i="3"/>
  <c r="EQ13" i="3"/>
  <c r="BA85" i="3"/>
  <c r="BA18" i="3"/>
  <c r="BY24" i="3"/>
  <c r="DV14" i="3"/>
  <c r="DV15" i="3" s="1"/>
  <c r="AU15" i="3"/>
  <c r="BA15" i="3"/>
  <c r="BY15" i="3"/>
  <c r="CK15" i="3"/>
  <c r="EO15" i="3"/>
  <c r="AV18" i="3"/>
  <c r="BJ16" i="3"/>
  <c r="BJ85" i="3" s="1"/>
  <c r="CV16" i="3"/>
  <c r="DJ16" i="3"/>
  <c r="DR16" i="3"/>
  <c r="FF155" i="3"/>
  <c r="FD155" i="3"/>
  <c r="FE155" i="3" s="1"/>
  <c r="FB85" i="3"/>
  <c r="FP16" i="3"/>
  <c r="BA17" i="3"/>
  <c r="CY17" i="3"/>
  <c r="EI17" i="3"/>
  <c r="FA17" i="3"/>
  <c r="FS17" i="3"/>
  <c r="GK17" i="3"/>
  <c r="BO18" i="3"/>
  <c r="CO24" i="3"/>
  <c r="CY18" i="3"/>
  <c r="EI18" i="3"/>
  <c r="EQ18" i="3"/>
  <c r="FA18" i="3"/>
  <c r="FS18" i="3"/>
  <c r="GK18" i="3"/>
  <c r="AU19" i="3"/>
  <c r="CO19" i="3"/>
  <c r="DV21" i="3"/>
  <c r="FO21" i="3"/>
  <c r="DC23" i="3"/>
  <c r="DG22" i="3"/>
  <c r="DG23" i="3" s="1"/>
  <c r="DQ23" i="3"/>
  <c r="EZ23" i="3"/>
  <c r="AT23" i="3"/>
  <c r="FN23" i="3"/>
  <c r="CR27" i="3"/>
  <c r="DB27" i="3"/>
  <c r="FE27" i="3"/>
  <c r="DG29" i="3"/>
  <c r="DQ29" i="3"/>
  <c r="GD29" i="3"/>
  <c r="GN29" i="3"/>
  <c r="AY31" i="3"/>
  <c r="CC31" i="3"/>
  <c r="DB31" i="3"/>
  <c r="EA31" i="3"/>
  <c r="FE31" i="3"/>
  <c r="GI31" i="3"/>
  <c r="BX37" i="3"/>
  <c r="EK37" i="3"/>
  <c r="FO37" i="3"/>
  <c r="AY39" i="3"/>
  <c r="CC39" i="3"/>
  <c r="DG39" i="3"/>
  <c r="EK39" i="3"/>
  <c r="FO39" i="3"/>
  <c r="AY41" i="3"/>
  <c r="CC41" i="3"/>
  <c r="GQ40" i="3"/>
  <c r="FV469" i="2"/>
  <c r="GC502" i="2"/>
  <c r="GE503" i="2"/>
  <c r="GC505" i="2"/>
  <c r="CR37" i="3"/>
  <c r="DQ39" i="3"/>
  <c r="DQ37" i="3"/>
  <c r="DQ31" i="3"/>
  <c r="EP9" i="3"/>
  <c r="EP23" i="3" s="1"/>
  <c r="EO10" i="3"/>
  <c r="BN11" i="3"/>
  <c r="CR11" i="3"/>
  <c r="DJ11" i="3"/>
  <c r="DV11" i="3"/>
  <c r="ET11" i="3"/>
  <c r="EZ11" i="3"/>
  <c r="GD11" i="3"/>
  <c r="DL12" i="3"/>
  <c r="DL13" i="3" s="1"/>
  <c r="EP12" i="3"/>
  <c r="FT12" i="3"/>
  <c r="FT13" i="3" s="1"/>
  <c r="GH156" i="3"/>
  <c r="GI156" i="3" s="1"/>
  <c r="GJ155" i="3"/>
  <c r="GJ156" i="3"/>
  <c r="GH155" i="3"/>
  <c r="GI155" i="3" s="1"/>
  <c r="GF85" i="3"/>
  <c r="GL85" i="3"/>
  <c r="DH13" i="3"/>
  <c r="DN13" i="3"/>
  <c r="DZ13" i="3"/>
  <c r="GH13" i="3"/>
  <c r="DG15" i="3"/>
  <c r="AP15" i="3"/>
  <c r="BZ15" i="3"/>
  <c r="CQ155" i="3"/>
  <c r="CR155" i="3" s="1"/>
  <c r="BB17" i="3"/>
  <c r="CZ17" i="3"/>
  <c r="EJ17" i="3"/>
  <c r="FB17" i="3"/>
  <c r="GL17" i="3"/>
  <c r="CP174" i="3"/>
  <c r="CP24" i="3"/>
  <c r="CZ18" i="3"/>
  <c r="EJ18" i="3"/>
  <c r="EO172" i="3" s="1"/>
  <c r="FB18" i="3"/>
  <c r="FG172" i="3" s="1"/>
  <c r="GL18" i="3"/>
  <c r="CP19" i="3"/>
  <c r="BD21" i="3"/>
  <c r="CC20" i="3"/>
  <c r="CC21" i="3" s="1"/>
  <c r="BX21" i="3"/>
  <c r="EQ21" i="3"/>
  <c r="GJ23" i="3"/>
  <c r="GN22" i="3"/>
  <c r="GN23" i="3" s="1"/>
  <c r="EU27" i="3"/>
  <c r="FJ27" i="3"/>
  <c r="HG26" i="3"/>
  <c r="HH26" i="3" s="1"/>
  <c r="EK29" i="3"/>
  <c r="EQ29" i="3"/>
  <c r="BD31" i="3"/>
  <c r="CH31" i="3"/>
  <c r="EF31" i="3"/>
  <c r="FJ31" i="3"/>
  <c r="GN31" i="3"/>
  <c r="AJ37" i="3"/>
  <c r="BI37" i="3"/>
  <c r="DL37" i="3"/>
  <c r="GI41" i="3"/>
  <c r="DL26" i="3"/>
  <c r="DL27" i="3" s="1"/>
  <c r="DV51" i="3"/>
  <c r="EF26" i="3"/>
  <c r="EF27" i="3" s="1"/>
  <c r="FY26" i="3"/>
  <c r="FY27" i="3" s="1"/>
  <c r="CB27" i="3"/>
  <c r="CZ27" i="3"/>
  <c r="DF27" i="3"/>
  <c r="DR27" i="3"/>
  <c r="ED27" i="3"/>
  <c r="EJ27" i="3"/>
  <c r="FZ27" i="3"/>
  <c r="GF27" i="3"/>
  <c r="AT28" i="3"/>
  <c r="AT29" i="3" s="1"/>
  <c r="BX28" i="3"/>
  <c r="BX29" i="3" s="1"/>
  <c r="DB28" i="3"/>
  <c r="DB29" i="3" s="1"/>
  <c r="EF28" i="3"/>
  <c r="EF29" i="3" s="1"/>
  <c r="EU28" i="3"/>
  <c r="EU29" i="3" s="1"/>
  <c r="FY28" i="3"/>
  <c r="FY29" i="3" s="1"/>
  <c r="EV29" i="3"/>
  <c r="FB29" i="3"/>
  <c r="FN29" i="3"/>
  <c r="FZ29" i="3"/>
  <c r="GF29" i="3"/>
  <c r="FY34" i="3"/>
  <c r="FC51" i="3"/>
  <c r="GN46" i="3"/>
  <c r="GJ51" i="3"/>
  <c r="AZ149" i="3"/>
  <c r="AZ144" i="3"/>
  <c r="AZ100" i="3"/>
  <c r="EK51" i="3"/>
  <c r="BK27" i="3"/>
  <c r="BQ27" i="3"/>
  <c r="CC27" i="3"/>
  <c r="DA27" i="3"/>
  <c r="DM27" i="3"/>
  <c r="EQ27" i="3"/>
  <c r="FI27" i="3"/>
  <c r="AO28" i="3"/>
  <c r="AO29" i="3" s="1"/>
  <c r="BS28" i="3"/>
  <c r="BS29" i="3" s="1"/>
  <c r="CW28" i="3"/>
  <c r="CW29" i="3" s="1"/>
  <c r="EA28" i="3"/>
  <c r="EA29" i="3" s="1"/>
  <c r="FT28" i="3"/>
  <c r="FT29" i="3" s="1"/>
  <c r="FV41" i="3"/>
  <c r="FL51" i="3"/>
  <c r="FR51" i="3"/>
  <c r="FX51" i="3"/>
  <c r="GK51" i="3"/>
  <c r="AJ48" i="3"/>
  <c r="EU51" i="3"/>
  <c r="GO144" i="3"/>
  <c r="GO149" i="3"/>
  <c r="GO100" i="3"/>
  <c r="GO87" i="3"/>
  <c r="FK149" i="3"/>
  <c r="FK144" i="3"/>
  <c r="FK100" i="3"/>
  <c r="FK87" i="3"/>
  <c r="EA26" i="3"/>
  <c r="EA27" i="3" s="1"/>
  <c r="CV27" i="3"/>
  <c r="DH27" i="3"/>
  <c r="DN27" i="3"/>
  <c r="DT27" i="3"/>
  <c r="DZ27" i="3"/>
  <c r="AJ28" i="3"/>
  <c r="AJ29" i="3" s="1"/>
  <c r="CR28" i="3"/>
  <c r="CR29" i="3" s="1"/>
  <c r="DV28" i="3"/>
  <c r="DV29" i="3" s="1"/>
  <c r="HB28" i="3"/>
  <c r="EA34" i="3"/>
  <c r="CW40" i="3"/>
  <c r="CW41" i="3" s="1"/>
  <c r="FT40" i="3"/>
  <c r="FT41" i="3" s="1"/>
  <c r="GN40" i="3"/>
  <c r="GN41" i="3" s="1"/>
  <c r="GO41" i="3"/>
  <c r="FJ46" i="3"/>
  <c r="FF51" i="3"/>
  <c r="FM51" i="3"/>
  <c r="FS51" i="3"/>
  <c r="FY46" i="3"/>
  <c r="GE51" i="3"/>
  <c r="GI46" i="3"/>
  <c r="GL51" i="3"/>
  <c r="GV46" i="3"/>
  <c r="AO48" i="3"/>
  <c r="EY149" i="3"/>
  <c r="EZ149" i="3" s="1"/>
  <c r="EY144" i="3"/>
  <c r="EZ144" i="3" s="1"/>
  <c r="EY100" i="3"/>
  <c r="EZ77" i="3"/>
  <c r="EZ100" i="3" s="1"/>
  <c r="EY87" i="3"/>
  <c r="CW26" i="3"/>
  <c r="CW27" i="3" s="1"/>
  <c r="HC26" i="3"/>
  <c r="HK26" i="3"/>
  <c r="DC27" i="3"/>
  <c r="DI27" i="3"/>
  <c r="DO27" i="3"/>
  <c r="DU27" i="3"/>
  <c r="EG27" i="3"/>
  <c r="BI28" i="3"/>
  <c r="BI29" i="3" s="1"/>
  <c r="AU29" i="3"/>
  <c r="BA29" i="3"/>
  <c r="BY29" i="3"/>
  <c r="CE29" i="3"/>
  <c r="DC29" i="3"/>
  <c r="DI29" i="3"/>
  <c r="EG29" i="3"/>
  <c r="FG51" i="3"/>
  <c r="FN51" i="3"/>
  <c r="FT46" i="3"/>
  <c r="FZ51" i="3"/>
  <c r="GF51" i="3"/>
  <c r="GM51" i="3"/>
  <c r="HG46" i="3"/>
  <c r="HH46" i="3" s="1"/>
  <c r="EM149" i="3"/>
  <c r="EM144" i="3"/>
  <c r="EM100" i="3"/>
  <c r="EM87" i="3"/>
  <c r="GX76" i="3"/>
  <c r="GY76" i="3"/>
  <c r="GZ76" i="3" s="1"/>
  <c r="HA76" i="3" s="1"/>
  <c r="HB76" i="3" s="1"/>
  <c r="BS26" i="3"/>
  <c r="BS27" i="3" s="1"/>
  <c r="EK26" i="3"/>
  <c r="EK27" i="3" s="1"/>
  <c r="GW26" i="3"/>
  <c r="CL27" i="3"/>
  <c r="CX27" i="3"/>
  <c r="DD27" i="3"/>
  <c r="DJ27" i="3"/>
  <c r="DP27" i="3"/>
  <c r="EB27" i="3"/>
  <c r="EH27" i="3"/>
  <c r="GW28" i="3"/>
  <c r="GX28" i="3" s="1"/>
  <c r="BS34" i="3"/>
  <c r="BD41" i="3"/>
  <c r="CH41" i="3"/>
  <c r="EK41" i="3"/>
  <c r="GD40" i="3"/>
  <c r="GD41" i="3" s="1"/>
  <c r="EU46" i="3"/>
  <c r="FA51" i="3"/>
  <c r="FE46" i="3"/>
  <c r="FH51" i="3"/>
  <c r="FO46" i="3"/>
  <c r="FU51" i="3"/>
  <c r="GA51" i="3"/>
  <c r="GG51" i="3"/>
  <c r="CM26" i="3"/>
  <c r="CM27" i="3" s="1"/>
  <c r="DQ26" i="3"/>
  <c r="DQ27" i="3" s="1"/>
  <c r="EP51" i="3"/>
  <c r="BI27" i="3"/>
  <c r="CY27" i="3"/>
  <c r="DE27" i="3"/>
  <c r="DK27" i="3"/>
  <c r="DW27" i="3"/>
  <c r="EO27" i="3"/>
  <c r="EU36" i="3"/>
  <c r="EU37" i="3" s="1"/>
  <c r="DL41" i="3"/>
  <c r="FO40" i="3"/>
  <c r="FO41" i="3" s="1"/>
  <c r="FB51" i="3"/>
  <c r="FI51" i="3"/>
  <c r="HA46" i="3"/>
  <c r="HK46" i="3"/>
  <c r="AT58" i="3"/>
  <c r="ES76" i="3"/>
  <c r="ER77" i="3"/>
  <c r="AM149" i="3"/>
  <c r="AM144" i="3"/>
  <c r="AM100" i="3"/>
  <c r="H99" i="2" s="1"/>
  <c r="BF149" i="3"/>
  <c r="BF144" i="3"/>
  <c r="BF100" i="3"/>
  <c r="BL144" i="3"/>
  <c r="BL149" i="3"/>
  <c r="BL100" i="3"/>
  <c r="BY144" i="3"/>
  <c r="BY149" i="3"/>
  <c r="BY100" i="3"/>
  <c r="BY87" i="3"/>
  <c r="CE149" i="3"/>
  <c r="CE144" i="3"/>
  <c r="CE100" i="3"/>
  <c r="AQ99" i="2" s="1"/>
  <c r="CE87" i="3"/>
  <c r="CK149" i="3"/>
  <c r="CK144" i="3"/>
  <c r="CK100" i="3"/>
  <c r="AV99" i="2" s="1"/>
  <c r="CK87" i="3"/>
  <c r="CU149" i="3"/>
  <c r="CU144" i="3"/>
  <c r="CU100" i="3"/>
  <c r="DD144" i="3"/>
  <c r="DD149" i="3"/>
  <c r="DD100" i="3"/>
  <c r="DD87" i="3"/>
  <c r="DD75" i="3"/>
  <c r="DX149" i="3"/>
  <c r="DX144" i="3"/>
  <c r="DX100" i="3"/>
  <c r="DX87" i="3"/>
  <c r="EI144" i="3"/>
  <c r="EI149" i="3"/>
  <c r="EI87" i="3"/>
  <c r="EI100" i="3"/>
  <c r="AZ87" i="3"/>
  <c r="CP87" i="3"/>
  <c r="EN147" i="3"/>
  <c r="EN146" i="3"/>
  <c r="EN92" i="3"/>
  <c r="FN148" i="3"/>
  <c r="FO148" i="3" s="1"/>
  <c r="FN146" i="3"/>
  <c r="FN147" i="3"/>
  <c r="FO147" i="3" s="1"/>
  <c r="FO87" i="3"/>
  <c r="FN92" i="3"/>
  <c r="FU146" i="3"/>
  <c r="FU92" i="3"/>
  <c r="BM153" i="3"/>
  <c r="BN153" i="3" s="1"/>
  <c r="BN92" i="3"/>
  <c r="DP163" i="3"/>
  <c r="DQ163" i="3" s="1"/>
  <c r="DK153" i="3"/>
  <c r="DL153" i="3" s="1"/>
  <c r="DL92" i="3"/>
  <c r="CC100" i="3"/>
  <c r="GT96" i="3"/>
  <c r="GU96" i="3" s="1"/>
  <c r="GV96" i="3" s="1"/>
  <c r="GW96" i="3" s="1"/>
  <c r="GS96" i="3"/>
  <c r="AO58" i="3"/>
  <c r="BM143" i="3"/>
  <c r="BN143" i="3" s="1"/>
  <c r="BM144" i="3"/>
  <c r="BN144" i="3" s="1"/>
  <c r="DE144" i="3"/>
  <c r="DE143" i="3"/>
  <c r="CS149" i="3"/>
  <c r="CS144" i="3"/>
  <c r="CS100" i="3"/>
  <c r="CS87" i="3"/>
  <c r="FB149" i="3"/>
  <c r="FB144" i="3"/>
  <c r="FB100" i="3"/>
  <c r="GJ149" i="3"/>
  <c r="GJ144" i="3"/>
  <c r="GJ100" i="3"/>
  <c r="GJ87" i="3"/>
  <c r="AN149" i="3"/>
  <c r="AO149" i="3" s="1"/>
  <c r="AN144" i="3"/>
  <c r="AO144" i="3" s="1"/>
  <c r="AO77" i="3"/>
  <c r="AO100" i="3" s="1"/>
  <c r="AN100" i="3"/>
  <c r="I99" i="2" s="1"/>
  <c r="FA99" i="2" s="1"/>
  <c r="BA146" i="3"/>
  <c r="BA147" i="3"/>
  <c r="BA148" i="3"/>
  <c r="BA92" i="3"/>
  <c r="FS149" i="3"/>
  <c r="FT149" i="3" s="1"/>
  <c r="FS144" i="3"/>
  <c r="FT144" i="3" s="1"/>
  <c r="FT77" i="3"/>
  <c r="FT100" i="3" s="1"/>
  <c r="FS87" i="3"/>
  <c r="FS100" i="3"/>
  <c r="AG85" i="3"/>
  <c r="CJ147" i="3"/>
  <c r="CJ148" i="3"/>
  <c r="EV148" i="3"/>
  <c r="EV147" i="3"/>
  <c r="EV92" i="3"/>
  <c r="FB87" i="3"/>
  <c r="FH148" i="3"/>
  <c r="FH146" i="3"/>
  <c r="FH147" i="3"/>
  <c r="FH92" i="3"/>
  <c r="CY153" i="3"/>
  <c r="DO170" i="3"/>
  <c r="DO169" i="3"/>
  <c r="DO153" i="3"/>
  <c r="DU170" i="3"/>
  <c r="DV170" i="3" s="1"/>
  <c r="DU169" i="3"/>
  <c r="DV169" i="3" s="1"/>
  <c r="DU153" i="3"/>
  <c r="DV153" i="3" s="1"/>
  <c r="DV92" i="3"/>
  <c r="FE100" i="3"/>
  <c r="GI100" i="3"/>
  <c r="EZ55" i="3"/>
  <c r="EB144" i="3"/>
  <c r="EB149" i="3"/>
  <c r="EB100" i="3"/>
  <c r="EB87" i="3"/>
  <c r="FM144" i="3"/>
  <c r="FM149" i="3"/>
  <c r="FM87" i="3"/>
  <c r="FM100" i="3"/>
  <c r="CD85" i="3"/>
  <c r="CD87" i="3"/>
  <c r="AN87" i="3"/>
  <c r="CZ146" i="3"/>
  <c r="CZ147" i="3"/>
  <c r="CZ148" i="3"/>
  <c r="CZ92" i="3"/>
  <c r="DF148" i="3"/>
  <c r="DG148" i="3" s="1"/>
  <c r="DF146" i="3"/>
  <c r="DF147" i="3"/>
  <c r="DG147" i="3" s="1"/>
  <c r="DG87" i="3"/>
  <c r="DF92" i="3"/>
  <c r="DK170" i="3" s="1"/>
  <c r="DL170" i="3" s="1"/>
  <c r="DM148" i="3"/>
  <c r="DM146" i="3"/>
  <c r="DM147" i="3"/>
  <c r="DM92" i="3"/>
  <c r="DR170" i="3" s="1"/>
  <c r="EW148" i="3"/>
  <c r="EW146" i="3"/>
  <c r="EW147" i="3"/>
  <c r="EW92" i="3"/>
  <c r="FC148" i="3"/>
  <c r="FI87" i="3"/>
  <c r="GK148" i="3"/>
  <c r="GK146" i="3"/>
  <c r="GK92" i="3"/>
  <c r="DC153" i="3"/>
  <c r="DP170" i="3"/>
  <c r="DQ170" i="3" s="1"/>
  <c r="DP169" i="3"/>
  <c r="DQ169" i="3" s="1"/>
  <c r="DU163" i="3"/>
  <c r="DV163" i="3" s="1"/>
  <c r="DP153" i="3"/>
  <c r="DQ153" i="3" s="1"/>
  <c r="DQ92" i="3"/>
  <c r="DY153" i="3"/>
  <c r="EY51" i="3"/>
  <c r="FK51" i="3"/>
  <c r="FQ51" i="3"/>
  <c r="FW51" i="3"/>
  <c r="GC51" i="3"/>
  <c r="GO51" i="3"/>
  <c r="BI58" i="3"/>
  <c r="FI149" i="3"/>
  <c r="FJ149" i="3" s="1"/>
  <c r="FI144" i="3"/>
  <c r="FJ144" i="3" s="1"/>
  <c r="FI100" i="3"/>
  <c r="FJ77" i="3"/>
  <c r="FJ100" i="3" s="1"/>
  <c r="FA76" i="3"/>
  <c r="FA77" i="3" s="1"/>
  <c r="CO149" i="3"/>
  <c r="CO144" i="3"/>
  <c r="CO100" i="3"/>
  <c r="CX147" i="3"/>
  <c r="CX148" i="3"/>
  <c r="CX146" i="3"/>
  <c r="CX92" i="3"/>
  <c r="DC170" i="3" s="1"/>
  <c r="CQ146" i="3"/>
  <c r="CQ147" i="3"/>
  <c r="CR147" i="3" s="1"/>
  <c r="CQ148" i="3"/>
  <c r="CR148" i="3" s="1"/>
  <c r="CR87" i="3"/>
  <c r="CQ92" i="3"/>
  <c r="CT146" i="3"/>
  <c r="CT147" i="3"/>
  <c r="CT148" i="3"/>
  <c r="CT92" i="3"/>
  <c r="CY169" i="3" s="1"/>
  <c r="DA146" i="3"/>
  <c r="DB146" i="3" s="1"/>
  <c r="DA147" i="3"/>
  <c r="DB147" i="3" s="1"/>
  <c r="DA148" i="3"/>
  <c r="DB148" i="3" s="1"/>
  <c r="DA92" i="3"/>
  <c r="DB87" i="3"/>
  <c r="DH146" i="3"/>
  <c r="DH147" i="3"/>
  <c r="DH148" i="3"/>
  <c r="DH92" i="3"/>
  <c r="DH153" i="3" s="1"/>
  <c r="DN146" i="3"/>
  <c r="DN147" i="3"/>
  <c r="DN148" i="3"/>
  <c r="DN92" i="3"/>
  <c r="DS169" i="3" s="1"/>
  <c r="FR148" i="3"/>
  <c r="FR147" i="3"/>
  <c r="FR146" i="3"/>
  <c r="FR92" i="3"/>
  <c r="FX147" i="3"/>
  <c r="FY147" i="3" s="1"/>
  <c r="FX148" i="3"/>
  <c r="FY148" i="3" s="1"/>
  <c r="FX146" i="3"/>
  <c r="FY87" i="3"/>
  <c r="FX92" i="3"/>
  <c r="GL148" i="3"/>
  <c r="GL146" i="3"/>
  <c r="GL147" i="3"/>
  <c r="GL92" i="3"/>
  <c r="DE170" i="3"/>
  <c r="EC153" i="3"/>
  <c r="FT55" i="3"/>
  <c r="BD58" i="3"/>
  <c r="GM149" i="3"/>
  <c r="GN149" i="3" s="1"/>
  <c r="GM144" i="3"/>
  <c r="GN144" i="3" s="1"/>
  <c r="GM100" i="3"/>
  <c r="GM87" i="3"/>
  <c r="GN77" i="3"/>
  <c r="GN100" i="3" s="1"/>
  <c r="AI77" i="3"/>
  <c r="AJ76" i="3"/>
  <c r="GS76" i="3"/>
  <c r="AR149" i="3"/>
  <c r="AR144" i="3"/>
  <c r="AR100" i="3"/>
  <c r="AX149" i="3"/>
  <c r="AY149" i="3" s="1"/>
  <c r="AX144" i="3"/>
  <c r="AY144" i="3" s="1"/>
  <c r="AX100" i="3"/>
  <c r="BJ149" i="3"/>
  <c r="BJ144" i="3"/>
  <c r="BJ100" i="3"/>
  <c r="Z99" i="2" s="1"/>
  <c r="BQ149" i="3"/>
  <c r="BQ144" i="3"/>
  <c r="BQ100" i="3"/>
  <c r="AF99" i="2" s="1"/>
  <c r="BW149" i="3"/>
  <c r="BX149" i="3" s="1"/>
  <c r="BW144" i="3"/>
  <c r="BX144" i="3" s="1"/>
  <c r="BW100" i="3"/>
  <c r="CI149" i="3"/>
  <c r="CI144" i="3"/>
  <c r="CI100" i="3"/>
  <c r="AT99" i="2" s="1"/>
  <c r="CQ149" i="3"/>
  <c r="CR149" i="3" s="1"/>
  <c r="CQ144" i="3"/>
  <c r="CR144" i="3" s="1"/>
  <c r="CR77" i="3"/>
  <c r="EG144" i="3"/>
  <c r="EG149" i="3"/>
  <c r="EG100" i="3"/>
  <c r="EG87" i="3"/>
  <c r="FG144" i="3"/>
  <c r="FG149" i="3"/>
  <c r="FG100" i="3"/>
  <c r="FG87" i="3"/>
  <c r="FW144" i="3"/>
  <c r="FW149" i="3"/>
  <c r="FW100" i="3"/>
  <c r="FW87" i="3"/>
  <c r="GC149" i="3"/>
  <c r="GD149" i="3" s="1"/>
  <c r="GC144" i="3"/>
  <c r="GD144" i="3" s="1"/>
  <c r="GC100" i="3"/>
  <c r="GD77" i="3"/>
  <c r="GD100" i="3" s="1"/>
  <c r="GC87" i="3"/>
  <c r="GK149" i="3"/>
  <c r="GK144" i="3"/>
  <c r="GK100" i="3"/>
  <c r="BK85" i="3"/>
  <c r="CN146" i="3"/>
  <c r="CN147" i="3"/>
  <c r="CN148" i="3"/>
  <c r="CN92" i="3"/>
  <c r="CU87" i="3"/>
  <c r="FL147" i="3"/>
  <c r="FL148" i="3"/>
  <c r="FL146" i="3"/>
  <c r="FL92" i="3"/>
  <c r="FZ146" i="3"/>
  <c r="FZ147" i="3"/>
  <c r="GF148" i="3"/>
  <c r="GF146" i="3"/>
  <c r="GF147" i="3"/>
  <c r="GF92" i="3"/>
  <c r="DR153" i="3"/>
  <c r="GS90" i="3"/>
  <c r="BS100" i="3"/>
  <c r="GQ54" i="3"/>
  <c r="AY58" i="3"/>
  <c r="BS58" i="3"/>
  <c r="CP149" i="3"/>
  <c r="CP144" i="3"/>
  <c r="CP100" i="3"/>
  <c r="DB75" i="3"/>
  <c r="EE77" i="3"/>
  <c r="EX149" i="3"/>
  <c r="EX144" i="3"/>
  <c r="EX100" i="3"/>
  <c r="EX87" i="3"/>
  <c r="EQ149" i="3"/>
  <c r="EQ144" i="3"/>
  <c r="AL149" i="3"/>
  <c r="AL144" i="3"/>
  <c r="AL100" i="3"/>
  <c r="G99" i="2" s="1"/>
  <c r="AS149" i="3"/>
  <c r="AT149" i="3" s="1"/>
  <c r="AS144" i="3"/>
  <c r="AT144" i="3" s="1"/>
  <c r="AS100" i="3"/>
  <c r="AY77" i="3"/>
  <c r="AY100" i="3" s="1"/>
  <c r="BE149" i="3"/>
  <c r="BE144" i="3"/>
  <c r="BE100" i="3"/>
  <c r="V99" i="2" s="1"/>
  <c r="BK149" i="3"/>
  <c r="BK144" i="3"/>
  <c r="BK100" i="3"/>
  <c r="AA99" i="2" s="1"/>
  <c r="BR144" i="3"/>
  <c r="BS144" i="3" s="1"/>
  <c r="BR149" i="3"/>
  <c r="BS149" i="3" s="1"/>
  <c r="BR100" i="3"/>
  <c r="BX77" i="3"/>
  <c r="BX100" i="3" s="1"/>
  <c r="CD149" i="3"/>
  <c r="CD144" i="3"/>
  <c r="CD100" i="3"/>
  <c r="AP99" i="2" s="1"/>
  <c r="CJ149" i="3"/>
  <c r="CJ144" i="3"/>
  <c r="CJ100" i="3"/>
  <c r="AU99" i="2" s="1"/>
  <c r="EO144" i="3"/>
  <c r="EP144" i="3" s="1"/>
  <c r="EO149" i="3"/>
  <c r="EP149" i="3" s="1"/>
  <c r="EO100" i="3"/>
  <c r="EP77" i="3"/>
  <c r="EP100" i="3" s="1"/>
  <c r="EO87" i="3"/>
  <c r="FQ149" i="3"/>
  <c r="FQ144" i="3"/>
  <c r="FQ100" i="3"/>
  <c r="FQ87" i="3"/>
  <c r="GE144" i="3"/>
  <c r="GE149" i="3"/>
  <c r="GE87" i="3"/>
  <c r="GE100" i="3"/>
  <c r="BF87" i="3"/>
  <c r="BL87" i="3"/>
  <c r="BR87" i="3"/>
  <c r="CO87" i="3"/>
  <c r="FF147" i="3"/>
  <c r="FF148" i="3"/>
  <c r="FF146" i="3"/>
  <c r="FF92" i="3"/>
  <c r="GA146" i="3"/>
  <c r="GA147" i="3"/>
  <c r="GA148" i="3"/>
  <c r="GA92" i="3"/>
  <c r="GG148" i="3"/>
  <c r="GG146" i="3"/>
  <c r="GG147" i="3"/>
  <c r="GG92" i="3"/>
  <c r="GG153" i="3" s="1"/>
  <c r="GR86" i="3"/>
  <c r="DJ169" i="3"/>
  <c r="DJ170" i="3"/>
  <c r="DJ153" i="3"/>
  <c r="DS153" i="3"/>
  <c r="DY88" i="3"/>
  <c r="GS91" i="3"/>
  <c r="FY100" i="3"/>
  <c r="AK144" i="3"/>
  <c r="AK149" i="3"/>
  <c r="AQ144" i="3"/>
  <c r="AQ149" i="3"/>
  <c r="AW144" i="3"/>
  <c r="AW149" i="3"/>
  <c r="BC144" i="3"/>
  <c r="BD144" i="3" s="1"/>
  <c r="BC149" i="3"/>
  <c r="BD149" i="3" s="1"/>
  <c r="BP149" i="3"/>
  <c r="BP144" i="3"/>
  <c r="BP100" i="3"/>
  <c r="BV149" i="3"/>
  <c r="BV144" i="3"/>
  <c r="BV100" i="3"/>
  <c r="CB149" i="3"/>
  <c r="CC149" i="3" s="1"/>
  <c r="CB144" i="3"/>
  <c r="CC144" i="3" s="1"/>
  <c r="CB100" i="3"/>
  <c r="CN149" i="3"/>
  <c r="CN144" i="3"/>
  <c r="CN100" i="3"/>
  <c r="AX99" i="2" s="1"/>
  <c r="CT149" i="3"/>
  <c r="CT144" i="3"/>
  <c r="CT100" i="3"/>
  <c r="DW144" i="3"/>
  <c r="DW149" i="3"/>
  <c r="EL149" i="3"/>
  <c r="EL144" i="3"/>
  <c r="FD149" i="3"/>
  <c r="FE149" i="3" s="1"/>
  <c r="FD144" i="3"/>
  <c r="FE144" i="3" s="1"/>
  <c r="FP149" i="3"/>
  <c r="FP144" i="3"/>
  <c r="FV149" i="3"/>
  <c r="FV144" i="3"/>
  <c r="GB149" i="3"/>
  <c r="GB144" i="3"/>
  <c r="GH149" i="3"/>
  <c r="GI149" i="3" s="1"/>
  <c r="GH144" i="3"/>
  <c r="GI144" i="3" s="1"/>
  <c r="CQ156" i="3"/>
  <c r="CR156" i="3" s="1"/>
  <c r="AV85" i="3"/>
  <c r="CV87" i="3"/>
  <c r="DT148" i="3"/>
  <c r="DT146" i="3"/>
  <c r="DT147" i="3"/>
  <c r="DZ87" i="3"/>
  <c r="EL87" i="3"/>
  <c r="FD87" i="3"/>
  <c r="FP87" i="3"/>
  <c r="FV87" i="3"/>
  <c r="GB87" i="3"/>
  <c r="GH87" i="3"/>
  <c r="ER150" i="3"/>
  <c r="ER151" i="3"/>
  <c r="ER98" i="3"/>
  <c r="FF151" i="3"/>
  <c r="FF150" i="3"/>
  <c r="FF98" i="3"/>
  <c r="FM151" i="3"/>
  <c r="FM150" i="3"/>
  <c r="FS151" i="3"/>
  <c r="FT151" i="3" s="1"/>
  <c r="FS150" i="3"/>
  <c r="FT150" i="3" s="1"/>
  <c r="FT94" i="3"/>
  <c r="FT98" i="3" s="1"/>
  <c r="FZ108" i="3"/>
  <c r="GF108" i="3"/>
  <c r="CG151" i="3"/>
  <c r="CH151" i="3" s="1"/>
  <c r="CG150" i="3"/>
  <c r="CH150" i="3" s="1"/>
  <c r="CH96" i="3"/>
  <c r="CH98" i="3" s="1"/>
  <c r="EE152" i="3"/>
  <c r="EF152" i="3" s="1"/>
  <c r="EE143" i="3"/>
  <c r="EF143" i="3" s="1"/>
  <c r="EF97" i="3"/>
  <c r="EF98" i="3" s="1"/>
  <c r="BS98" i="3"/>
  <c r="CG98" i="3"/>
  <c r="DG98" i="3"/>
  <c r="DQ98" i="3"/>
  <c r="EE98" i="3"/>
  <c r="FS98" i="3"/>
  <c r="AK100" i="3"/>
  <c r="F99" i="2" s="1"/>
  <c r="BC100" i="3"/>
  <c r="AG109" i="3"/>
  <c r="BG113" i="3"/>
  <c r="GZ115" i="3"/>
  <c r="HA113" i="3"/>
  <c r="EF114" i="3"/>
  <c r="EB115" i="3"/>
  <c r="EF115" i="3" s="1"/>
  <c r="GF115" i="3"/>
  <c r="GI115" i="3" s="1"/>
  <c r="GI114" i="3"/>
  <c r="AS120" i="3"/>
  <c r="AT120" i="3" s="1"/>
  <c r="DY124" i="3"/>
  <c r="CA85" i="3"/>
  <c r="AU87" i="3"/>
  <c r="BG87" i="3"/>
  <c r="BM146" i="3"/>
  <c r="BM147" i="3"/>
  <c r="BN147" i="3" s="1"/>
  <c r="BM148" i="3"/>
  <c r="BN148" i="3" s="1"/>
  <c r="DC146" i="3"/>
  <c r="DC147" i="3"/>
  <c r="DC148" i="3"/>
  <c r="DI146" i="3"/>
  <c r="DI147" i="3"/>
  <c r="DI148" i="3"/>
  <c r="DO146" i="3"/>
  <c r="DO147" i="3"/>
  <c r="DO148" i="3"/>
  <c r="DU146" i="3"/>
  <c r="DU147" i="3"/>
  <c r="DV147" i="3" s="1"/>
  <c r="DU148" i="3"/>
  <c r="DV148" i="3" s="1"/>
  <c r="ED151" i="3"/>
  <c r="ED150" i="3"/>
  <c r="FA151" i="3"/>
  <c r="FA150" i="3"/>
  <c r="FG151" i="3"/>
  <c r="FG150" i="3"/>
  <c r="FN108" i="3"/>
  <c r="FU151" i="3"/>
  <c r="FU150" i="3"/>
  <c r="FU108" i="3"/>
  <c r="GA150" i="3"/>
  <c r="GA151" i="3"/>
  <c r="GA108" i="3"/>
  <c r="GG150" i="3"/>
  <c r="GG151" i="3"/>
  <c r="GG108" i="3"/>
  <c r="GM150" i="3"/>
  <c r="GN150" i="3" s="1"/>
  <c r="GM151" i="3"/>
  <c r="GN151" i="3" s="1"/>
  <c r="GN94" i="3"/>
  <c r="GN98" i="3" s="1"/>
  <c r="BN100" i="3"/>
  <c r="DL100" i="3"/>
  <c r="CI151" i="3"/>
  <c r="CI150" i="3"/>
  <c r="CO151" i="3"/>
  <c r="CO150" i="3"/>
  <c r="CU151" i="3"/>
  <c r="CU150" i="3"/>
  <c r="DA151" i="3"/>
  <c r="DB151" i="3" s="1"/>
  <c r="DA150" i="3"/>
  <c r="DB150" i="3" s="1"/>
  <c r="DB96" i="3"/>
  <c r="DB98" i="3" s="1"/>
  <c r="DO151" i="3"/>
  <c r="DO150" i="3"/>
  <c r="CQ98" i="3"/>
  <c r="FV100" i="3"/>
  <c r="GH100" i="3"/>
  <c r="DE107" i="3"/>
  <c r="FC107" i="3"/>
  <c r="FE107" i="3" s="1"/>
  <c r="BU108" i="3"/>
  <c r="BK109" i="3"/>
  <c r="FC109" i="3"/>
  <c r="FD109" i="3" s="1"/>
  <c r="FT109" i="3"/>
  <c r="AM114" i="3"/>
  <c r="BN114" i="3"/>
  <c r="CA114" i="3"/>
  <c r="CB114" i="3" s="1"/>
  <c r="CC114" i="3" s="1"/>
  <c r="FH114" i="3"/>
  <c r="FZ115" i="3"/>
  <c r="GD115" i="3" s="1"/>
  <c r="GD114" i="3"/>
  <c r="BF115" i="3"/>
  <c r="AZ122" i="3"/>
  <c r="BA118" i="3"/>
  <c r="BA122" i="3" s="1"/>
  <c r="CV144" i="3"/>
  <c r="CW144" i="3" s="1"/>
  <c r="CV149" i="3"/>
  <c r="CW149" i="3" s="1"/>
  <c r="EH144" i="3"/>
  <c r="EH149" i="3"/>
  <c r="EH100" i="3"/>
  <c r="EN144" i="3"/>
  <c r="EN149" i="3"/>
  <c r="EN100" i="3"/>
  <c r="FF144" i="3"/>
  <c r="FF149" i="3"/>
  <c r="FF100" i="3"/>
  <c r="FL144" i="3"/>
  <c r="FL149" i="3"/>
  <c r="FL100" i="3"/>
  <c r="FR149" i="3"/>
  <c r="FR144" i="3"/>
  <c r="FR100" i="3"/>
  <c r="FX144" i="3"/>
  <c r="FY144" i="3" s="1"/>
  <c r="FX149" i="3"/>
  <c r="FY149" i="3" s="1"/>
  <c r="FX100" i="3"/>
  <c r="CQ154" i="3"/>
  <c r="CR154" i="3" s="1"/>
  <c r="CV154" i="3"/>
  <c r="CW154" i="3" s="1"/>
  <c r="BD84" i="3"/>
  <c r="CH84" i="3"/>
  <c r="CS156" i="3"/>
  <c r="AQ85" i="3"/>
  <c r="DG86" i="3"/>
  <c r="EU86" i="3"/>
  <c r="FY86" i="3"/>
  <c r="AP87" i="3"/>
  <c r="AV87" i="3"/>
  <c r="BB87" i="3"/>
  <c r="BH87" i="3"/>
  <c r="BN87" i="3"/>
  <c r="BT87" i="3"/>
  <c r="BZ87" i="3"/>
  <c r="CF87" i="3"/>
  <c r="CL87" i="3"/>
  <c r="DJ147" i="3"/>
  <c r="DJ148" i="3"/>
  <c r="DJ146" i="3"/>
  <c r="DP147" i="3"/>
  <c r="DQ147" i="3" s="1"/>
  <c r="DP148" i="3"/>
  <c r="DQ148" i="3" s="1"/>
  <c r="DP146" i="3"/>
  <c r="DV87" i="3"/>
  <c r="EH87" i="3"/>
  <c r="GO151" i="3"/>
  <c r="GO150" i="3"/>
  <c r="CR95" i="3"/>
  <c r="EQ151" i="3"/>
  <c r="EQ152" i="3"/>
  <c r="EQ150" i="3"/>
  <c r="GQ95" i="3"/>
  <c r="DI151" i="3"/>
  <c r="DI150" i="3"/>
  <c r="DP151" i="3"/>
  <c r="DQ151" i="3" s="1"/>
  <c r="DP150" i="3"/>
  <c r="DQ150" i="3" s="1"/>
  <c r="DP98" i="3"/>
  <c r="AO98" i="3"/>
  <c r="CI98" i="3"/>
  <c r="DA98" i="3"/>
  <c r="FM98" i="3"/>
  <c r="FU98" i="3"/>
  <c r="GM98" i="3"/>
  <c r="AW100" i="3"/>
  <c r="EL100" i="3"/>
  <c r="FD100" i="3"/>
  <c r="AS107" i="3"/>
  <c r="AT107" i="3" s="1"/>
  <c r="CE107" i="3"/>
  <c r="AN109" i="3"/>
  <c r="AO109" i="3" s="1"/>
  <c r="BM113" i="3"/>
  <c r="BN113" i="3" s="1"/>
  <c r="CO115" i="3"/>
  <c r="CP113" i="3"/>
  <c r="FL115" i="3"/>
  <c r="FM113" i="3"/>
  <c r="FO113" i="3" s="1"/>
  <c r="AK85" i="3"/>
  <c r="BO85" i="3"/>
  <c r="AK87" i="3"/>
  <c r="AQ87" i="3"/>
  <c r="AW87" i="3"/>
  <c r="BC87" i="3"/>
  <c r="BO87" i="3"/>
  <c r="BU87" i="3"/>
  <c r="CA87" i="3"/>
  <c r="CG87" i="3"/>
  <c r="CY148" i="3"/>
  <c r="CY146" i="3"/>
  <c r="CY147" i="3"/>
  <c r="DE148" i="3"/>
  <c r="DE146" i="3"/>
  <c r="DE147" i="3"/>
  <c r="DK148" i="3"/>
  <c r="DL148" i="3" s="1"/>
  <c r="DK146" i="3"/>
  <c r="DK147" i="3"/>
  <c r="DL147" i="3" s="1"/>
  <c r="DW87" i="3"/>
  <c r="EC148" i="3"/>
  <c r="EC146" i="3"/>
  <c r="EC147" i="3"/>
  <c r="EW151" i="3"/>
  <c r="EW150" i="3"/>
  <c r="FC151" i="3"/>
  <c r="FC150" i="3"/>
  <c r="FI151" i="3"/>
  <c r="FJ151" i="3" s="1"/>
  <c r="FI150" i="3"/>
  <c r="FJ150" i="3" s="1"/>
  <c r="FJ94" i="3"/>
  <c r="FJ98" i="3" s="1"/>
  <c r="FW151" i="3"/>
  <c r="FW150" i="3"/>
  <c r="FW108" i="3"/>
  <c r="GC151" i="3"/>
  <c r="GD151" i="3" s="1"/>
  <c r="GC150" i="3"/>
  <c r="GD150" i="3" s="1"/>
  <c r="GC108" i="3"/>
  <c r="DV100" i="3"/>
  <c r="CK151" i="3"/>
  <c r="CK150" i="3"/>
  <c r="DD151" i="3"/>
  <c r="DD150" i="3"/>
  <c r="DD98" i="3"/>
  <c r="DJ151" i="3"/>
  <c r="DJ150" i="3"/>
  <c r="DJ98" i="3"/>
  <c r="CK98" i="3"/>
  <c r="FE98" i="3"/>
  <c r="FW98" i="3"/>
  <c r="GO98" i="3"/>
  <c r="CQ100" i="3"/>
  <c r="BA99" i="2" s="1"/>
  <c r="FL99" i="2" s="1"/>
  <c r="AQ108" i="3"/>
  <c r="CA108" i="3"/>
  <c r="CB108" i="3" s="1"/>
  <c r="CY108" i="3"/>
  <c r="EU108" i="3"/>
  <c r="FG108" i="3"/>
  <c r="FH108" i="3" s="1"/>
  <c r="FI108" i="3" s="1"/>
  <c r="BQ109" i="3"/>
  <c r="CO109" i="3"/>
  <c r="AL115" i="3"/>
  <c r="AM113" i="3"/>
  <c r="BZ115" i="3"/>
  <c r="CA113" i="3"/>
  <c r="DF113" i="3"/>
  <c r="DV115" i="3"/>
  <c r="FR114" i="3"/>
  <c r="FP115" i="3"/>
  <c r="GV114" i="3"/>
  <c r="HL114" i="3"/>
  <c r="HM114" i="3" s="1"/>
  <c r="CB118" i="3"/>
  <c r="CC118" i="3" s="1"/>
  <c r="AU149" i="3"/>
  <c r="AU144" i="3"/>
  <c r="BA149" i="3"/>
  <c r="BA144" i="3"/>
  <c r="BG149" i="3"/>
  <c r="BG144" i="3"/>
  <c r="BT144" i="3"/>
  <c r="BT149" i="3"/>
  <c r="BT100" i="3"/>
  <c r="BZ144" i="3"/>
  <c r="BZ149" i="3"/>
  <c r="BZ100" i="3"/>
  <c r="CF144" i="3"/>
  <c r="CF149" i="3"/>
  <c r="CF100" i="3"/>
  <c r="AR99" i="2" s="1"/>
  <c r="CL149" i="3"/>
  <c r="CM149" i="3" s="1"/>
  <c r="CL144" i="3"/>
  <c r="CM144" i="3" s="1"/>
  <c r="CL100" i="3"/>
  <c r="AW99" i="2" s="1"/>
  <c r="FK99" i="2" s="1"/>
  <c r="CX144" i="3"/>
  <c r="CX149" i="3"/>
  <c r="CX100" i="3"/>
  <c r="ED149" i="3"/>
  <c r="ED144" i="3"/>
  <c r="ED100" i="3"/>
  <c r="EJ149" i="3"/>
  <c r="EK149" i="3" s="1"/>
  <c r="EJ144" i="3"/>
  <c r="EK144" i="3" s="1"/>
  <c r="EJ100" i="3"/>
  <c r="EV149" i="3"/>
  <c r="EV144" i="3"/>
  <c r="EV100" i="3"/>
  <c r="FH149" i="3"/>
  <c r="FH144" i="3"/>
  <c r="FH100" i="3"/>
  <c r="FN149" i="3"/>
  <c r="FO149" i="3" s="1"/>
  <c r="FN144" i="3"/>
  <c r="FO144" i="3" s="1"/>
  <c r="FN100" i="3"/>
  <c r="FZ149" i="3"/>
  <c r="FZ144" i="3"/>
  <c r="FZ100" i="3"/>
  <c r="GF149" i="3"/>
  <c r="GF144" i="3"/>
  <c r="GF100" i="3"/>
  <c r="GL149" i="3"/>
  <c r="GL144" i="3"/>
  <c r="GL100" i="3"/>
  <c r="AT84" i="3"/>
  <c r="BX84" i="3"/>
  <c r="CU156" i="3"/>
  <c r="FO86" i="3"/>
  <c r="AF87" i="3"/>
  <c r="AF92" i="3" s="1"/>
  <c r="AL87" i="3"/>
  <c r="AR87" i="3"/>
  <c r="AX87" i="3"/>
  <c r="BJ87" i="3"/>
  <c r="BP87" i="3"/>
  <c r="BV87" i="3"/>
  <c r="CB87" i="3"/>
  <c r="DL87" i="3"/>
  <c r="DR148" i="3"/>
  <c r="DR146" i="3"/>
  <c r="DR147" i="3"/>
  <c r="ED87" i="3"/>
  <c r="EJ87" i="3"/>
  <c r="AJ98" i="3"/>
  <c r="BN98" i="3"/>
  <c r="FK151" i="3"/>
  <c r="FK150" i="3"/>
  <c r="FK108" i="3"/>
  <c r="FQ151" i="3"/>
  <c r="FQ150" i="3"/>
  <c r="FQ108" i="3"/>
  <c r="FR108" i="3" s="1"/>
  <c r="FS108" i="3" s="1"/>
  <c r="FX151" i="3"/>
  <c r="FY151" i="3" s="1"/>
  <c r="FX150" i="3"/>
  <c r="FY150" i="3" s="1"/>
  <c r="FX98" i="3"/>
  <c r="GD94" i="3"/>
  <c r="GD98" i="3" s="1"/>
  <c r="GJ151" i="3"/>
  <c r="GJ150" i="3"/>
  <c r="GJ98" i="3"/>
  <c r="CE151" i="3"/>
  <c r="CE150" i="3"/>
  <c r="CL151" i="3"/>
  <c r="CM151" i="3" s="1"/>
  <c r="CL150" i="3"/>
  <c r="CM150" i="3" s="1"/>
  <c r="CL98" i="3"/>
  <c r="CX151" i="3"/>
  <c r="CX150" i="3"/>
  <c r="CX98" i="3"/>
  <c r="DE151" i="3"/>
  <c r="DE150" i="3"/>
  <c r="DK151" i="3"/>
  <c r="DL151" i="3" s="1"/>
  <c r="DK150" i="3"/>
  <c r="DL150" i="3" s="1"/>
  <c r="DL96" i="3"/>
  <c r="DL98" i="3" s="1"/>
  <c r="CR97" i="3"/>
  <c r="CU98" i="3"/>
  <c r="DE98" i="3"/>
  <c r="EW98" i="3"/>
  <c r="FG98" i="3"/>
  <c r="GG98" i="3"/>
  <c r="AQ100" i="3"/>
  <c r="DW100" i="3"/>
  <c r="FP100" i="3"/>
  <c r="GB100" i="3"/>
  <c r="CL107" i="3"/>
  <c r="BI109" i="3"/>
  <c r="CW114" i="3"/>
  <c r="DL114" i="3"/>
  <c r="ER115" i="3"/>
  <c r="EU115" i="3" s="1"/>
  <c r="EU114" i="3"/>
  <c r="EF128" i="3"/>
  <c r="AP144" i="3"/>
  <c r="AP149" i="3"/>
  <c r="AP100" i="3"/>
  <c r="AV144" i="3"/>
  <c r="AV149" i="3"/>
  <c r="AV100" i="3"/>
  <c r="BB149" i="3"/>
  <c r="BB144" i="3"/>
  <c r="BB100" i="3"/>
  <c r="BH149" i="3"/>
  <c r="BI149" i="3" s="1"/>
  <c r="BH144" i="3"/>
  <c r="BI144" i="3" s="1"/>
  <c r="BH100" i="3"/>
  <c r="Y99" i="2" s="1"/>
  <c r="FE99" i="2" s="1"/>
  <c r="BO144" i="3"/>
  <c r="BO149" i="3"/>
  <c r="BU144" i="3"/>
  <c r="BU149" i="3"/>
  <c r="CA144" i="3"/>
  <c r="CA149" i="3"/>
  <c r="CG144" i="3"/>
  <c r="CH144" i="3" s="1"/>
  <c r="CG149" i="3"/>
  <c r="CH149" i="3" s="1"/>
  <c r="CM77" i="3"/>
  <c r="CM100" i="3" s="1"/>
  <c r="CZ149" i="3"/>
  <c r="CZ144" i="3"/>
  <c r="CZ100" i="3"/>
  <c r="EK77" i="3"/>
  <c r="EK100" i="3" s="1"/>
  <c r="EW149" i="3"/>
  <c r="EW144" i="3"/>
  <c r="FC149" i="3"/>
  <c r="FC144" i="3"/>
  <c r="FO77" i="3"/>
  <c r="DI98" i="2" s="1"/>
  <c r="GA98" i="2" s="1"/>
  <c r="FU149" i="3"/>
  <c r="FU144" i="3"/>
  <c r="FU100" i="3"/>
  <c r="GA149" i="3"/>
  <c r="GA144" i="3"/>
  <c r="GA100" i="3"/>
  <c r="GG149" i="3"/>
  <c r="GG144" i="3"/>
  <c r="GG100" i="3"/>
  <c r="AO84" i="3"/>
  <c r="BS84" i="3"/>
  <c r="AF85" i="3"/>
  <c r="AU85" i="3"/>
  <c r="BB85" i="3"/>
  <c r="BY85" i="3"/>
  <c r="CN85" i="3"/>
  <c r="DK108" i="3"/>
  <c r="DL108" i="3" s="1"/>
  <c r="FJ86" i="3"/>
  <c r="AG87" i="3"/>
  <c r="AG92" i="3" s="1"/>
  <c r="AM87" i="3"/>
  <c r="AS87" i="3"/>
  <c r="BE87" i="3"/>
  <c r="BK87" i="3"/>
  <c r="BQ87" i="3"/>
  <c r="BW87" i="3"/>
  <c r="CI87" i="3"/>
  <c r="DS148" i="3"/>
  <c r="DS146" i="3"/>
  <c r="DS147" i="3"/>
  <c r="DY148" i="3"/>
  <c r="DY146" i="3"/>
  <c r="DY147" i="3"/>
  <c r="DT92" i="3"/>
  <c r="DV98" i="3"/>
  <c r="EY151" i="3"/>
  <c r="EZ151" i="3" s="1"/>
  <c r="EY150" i="3"/>
  <c r="EZ150" i="3" s="1"/>
  <c r="FL151" i="3"/>
  <c r="FL150" i="3"/>
  <c r="FL98" i="3"/>
  <c r="FR151" i="3"/>
  <c r="FR150" i="3"/>
  <c r="FR98" i="3"/>
  <c r="FY94" i="3"/>
  <c r="FY98" i="3" s="1"/>
  <c r="GE151" i="3"/>
  <c r="GE150" i="3"/>
  <c r="GK151" i="3"/>
  <c r="GK150" i="3"/>
  <c r="BD100" i="3"/>
  <c r="CF151" i="3"/>
  <c r="CF150" i="3"/>
  <c r="CF98" i="3"/>
  <c r="CM96" i="3"/>
  <c r="CM98" i="3" s="1"/>
  <c r="CS150" i="3"/>
  <c r="CS151" i="3"/>
  <c r="CY151" i="3"/>
  <c r="CY150" i="3"/>
  <c r="DM151" i="3"/>
  <c r="DM150" i="3"/>
  <c r="CE98" i="3"/>
  <c r="DO98" i="3"/>
  <c r="ED98" i="3"/>
  <c r="EQ98" i="3"/>
  <c r="EY98" i="3"/>
  <c r="FQ98" i="3"/>
  <c r="BA100" i="3"/>
  <c r="EQ100" i="3"/>
  <c r="BG107" i="3"/>
  <c r="FO107" i="3"/>
  <c r="FX107" i="3"/>
  <c r="GI107" i="3"/>
  <c r="AW108" i="3"/>
  <c r="DE108" i="3"/>
  <c r="EP108" i="3"/>
  <c r="CU109" i="3"/>
  <c r="GN109" i="3"/>
  <c r="AS113" i="3"/>
  <c r="CG113" i="3"/>
  <c r="CH113" i="3" s="1"/>
  <c r="FD115" i="3"/>
  <c r="FE115" i="3" s="1"/>
  <c r="FE113" i="3"/>
  <c r="AG114" i="3"/>
  <c r="AH114" i="3" s="1"/>
  <c r="GL115" i="3"/>
  <c r="GN115" i="3" s="1"/>
  <c r="GN114" i="3"/>
  <c r="HC114" i="3"/>
  <c r="CQ151" i="3"/>
  <c r="CR151" i="3" s="1"/>
  <c r="CQ150" i="3"/>
  <c r="CR150" i="3" s="1"/>
  <c r="EX150" i="3"/>
  <c r="EX151" i="3"/>
  <c r="FD150" i="3"/>
  <c r="FE150" i="3" s="1"/>
  <c r="FD151" i="3"/>
  <c r="FE151" i="3" s="1"/>
  <c r="FP150" i="3"/>
  <c r="FP151" i="3"/>
  <c r="FV150" i="3"/>
  <c r="FV151" i="3"/>
  <c r="GB150" i="3"/>
  <c r="GB151" i="3"/>
  <c r="GH150" i="3"/>
  <c r="GI150" i="3" s="1"/>
  <c r="GH151" i="3"/>
  <c r="GI151" i="3" s="1"/>
  <c r="DC151" i="3"/>
  <c r="DC152" i="3"/>
  <c r="DC150" i="3"/>
  <c r="CJ150" i="3"/>
  <c r="CJ151" i="3"/>
  <c r="CP150" i="3"/>
  <c r="CP151" i="3"/>
  <c r="CV150" i="3"/>
  <c r="CW150" i="3" s="1"/>
  <c r="CV151" i="3"/>
  <c r="CW151" i="3" s="1"/>
  <c r="DH150" i="3"/>
  <c r="DH151" i="3"/>
  <c r="DN150" i="3"/>
  <c r="DN151" i="3"/>
  <c r="BM107" i="3"/>
  <c r="BN107" i="3" s="1"/>
  <c r="CQ107" i="3"/>
  <c r="CR107" i="3" s="1"/>
  <c r="CW107" i="3"/>
  <c r="DL107" i="3"/>
  <c r="BC108" i="3"/>
  <c r="BD108" i="3" s="1"/>
  <c r="BI108" i="3"/>
  <c r="CG108" i="3"/>
  <c r="CH108" i="3" s="1"/>
  <c r="AS109" i="3"/>
  <c r="AT109" i="3" s="1"/>
  <c r="BW109" i="3"/>
  <c r="BX109" i="3" s="1"/>
  <c r="DA109" i="3"/>
  <c r="DB109" i="3" s="1"/>
  <c r="DG109" i="3"/>
  <c r="AF115" i="3"/>
  <c r="GS113" i="3"/>
  <c r="BG114" i="3"/>
  <c r="BH114" i="3" s="1"/>
  <c r="BI114" i="3" s="1"/>
  <c r="BV114" i="3"/>
  <c r="BW114" i="3" s="1"/>
  <c r="DQ114" i="3"/>
  <c r="EZ114" i="3"/>
  <c r="AZ115" i="3"/>
  <c r="BU115" i="3"/>
  <c r="CJ115" i="3"/>
  <c r="GO115" i="3"/>
  <c r="AQ122" i="3"/>
  <c r="BU122" i="3"/>
  <c r="CK118" i="3"/>
  <c r="CI122" i="3"/>
  <c r="CH119" i="3"/>
  <c r="EA122" i="3"/>
  <c r="FJ107" i="3"/>
  <c r="FJ109" i="3"/>
  <c r="BA115" i="3"/>
  <c r="BO115" i="3"/>
  <c r="GP115" i="3"/>
  <c r="AL122" i="3"/>
  <c r="BL122" i="3"/>
  <c r="DF120" i="3"/>
  <c r="DG120" i="3" s="1"/>
  <c r="HK115" i="3"/>
  <c r="CK114" i="3"/>
  <c r="CQ114" i="3"/>
  <c r="CR114" i="3" s="1"/>
  <c r="DE114" i="3"/>
  <c r="DF114" i="3" s="1"/>
  <c r="DG114" i="3" s="1"/>
  <c r="HF114" i="3"/>
  <c r="AU115" i="3"/>
  <c r="FV115" i="3"/>
  <c r="AM122" i="3"/>
  <c r="BW118" i="3"/>
  <c r="CO122" i="3"/>
  <c r="FY118" i="3"/>
  <c r="FV121" i="3"/>
  <c r="AX119" i="3"/>
  <c r="AY119" i="3" s="1"/>
  <c r="BH120" i="3"/>
  <c r="BI120" i="3" s="1"/>
  <c r="GQ120" i="3"/>
  <c r="GP122" i="3"/>
  <c r="DE124" i="3"/>
  <c r="CJ108" i="3"/>
  <c r="CK108" i="3" s="1"/>
  <c r="FV108" i="3"/>
  <c r="GB108" i="3"/>
  <c r="GH108" i="3"/>
  <c r="AV109" i="3"/>
  <c r="AW109" i="3" s="1"/>
  <c r="BZ109" i="3"/>
  <c r="AW113" i="3"/>
  <c r="AX113" i="3" s="1"/>
  <c r="BQ113" i="3"/>
  <c r="BR113" i="3" s="1"/>
  <c r="CL113" i="3"/>
  <c r="CM113" i="3" s="1"/>
  <c r="DJ113" i="3"/>
  <c r="DL113" i="3" s="1"/>
  <c r="FI113" i="3"/>
  <c r="FS113" i="3"/>
  <c r="FT113" i="3" s="1"/>
  <c r="HL113" i="3"/>
  <c r="HM113" i="3" s="1"/>
  <c r="AV114" i="3"/>
  <c r="AW114" i="3" s="1"/>
  <c r="AX114" i="3" s="1"/>
  <c r="BQ114" i="3"/>
  <c r="BR114" i="3" s="1"/>
  <c r="CE114" i="3"/>
  <c r="CY114" i="3"/>
  <c r="CZ114" i="3" s="1"/>
  <c r="CZ115" i="3" s="1"/>
  <c r="FM114" i="3"/>
  <c r="FO114" i="3" s="1"/>
  <c r="BK115" i="3"/>
  <c r="DI115" i="3"/>
  <c r="EL115" i="3"/>
  <c r="EP115" i="3" s="1"/>
  <c r="FG115" i="3"/>
  <c r="AG122" i="3"/>
  <c r="AN118" i="3"/>
  <c r="AO118" i="3" s="1"/>
  <c r="AT118" i="3"/>
  <c r="CP118" i="3"/>
  <c r="CP122" i="3" s="1"/>
  <c r="CZ118" i="3"/>
  <c r="DA118" i="3" s="1"/>
  <c r="CY122" i="3"/>
  <c r="FW121" i="3"/>
  <c r="FW122" i="3" s="1"/>
  <c r="GN118" i="3"/>
  <c r="AH119" i="3"/>
  <c r="AR119" i="3"/>
  <c r="AS119" i="3" s="1"/>
  <c r="BG119" i="3"/>
  <c r="BH119" i="3"/>
  <c r="BI119" i="3" s="1"/>
  <c r="EM122" i="3"/>
  <c r="EN120" i="3"/>
  <c r="EN122" i="3" s="1"/>
  <c r="GX122" i="3"/>
  <c r="BD121" i="3"/>
  <c r="DA137" i="3"/>
  <c r="DF136" i="3"/>
  <c r="DF137" i="3" s="1"/>
  <c r="EE151" i="3"/>
  <c r="EF151" i="3" s="1"/>
  <c r="EE150" i="3"/>
  <c r="EF150" i="3" s="1"/>
  <c r="EV151" i="3"/>
  <c r="EV150" i="3"/>
  <c r="FB151" i="3"/>
  <c r="FB150" i="3"/>
  <c r="FH151" i="3"/>
  <c r="FH150" i="3"/>
  <c r="FN151" i="3"/>
  <c r="FO151" i="3" s="1"/>
  <c r="FN150" i="3"/>
  <c r="FO150" i="3" s="1"/>
  <c r="FZ151" i="3"/>
  <c r="FZ150" i="3"/>
  <c r="GF151" i="3"/>
  <c r="GF150" i="3"/>
  <c r="GL151" i="3"/>
  <c r="GL150" i="3"/>
  <c r="ER152" i="3"/>
  <c r="CN150" i="3"/>
  <c r="CN151" i="3"/>
  <c r="CT151" i="3"/>
  <c r="CT150" i="3"/>
  <c r="CZ151" i="3"/>
  <c r="CZ150" i="3"/>
  <c r="DF151" i="3"/>
  <c r="DG151" i="3" s="1"/>
  <c r="DF150" i="3"/>
  <c r="DG150" i="3" s="1"/>
  <c r="DT150" i="3"/>
  <c r="DT151" i="3"/>
  <c r="CJ98" i="3"/>
  <c r="CP98" i="3"/>
  <c r="CV98" i="3"/>
  <c r="DH98" i="3"/>
  <c r="DN98" i="3"/>
  <c r="DT98" i="3"/>
  <c r="EX98" i="3"/>
  <c r="FD98" i="3"/>
  <c r="FP98" i="3"/>
  <c r="FV98" i="3"/>
  <c r="GB98" i="3"/>
  <c r="GH98" i="3"/>
  <c r="CU113" i="3"/>
  <c r="HF113" i="3"/>
  <c r="AQ114" i="3"/>
  <c r="EA114" i="3"/>
  <c r="EK114" i="3"/>
  <c r="DC115" i="3"/>
  <c r="AH118" i="3"/>
  <c r="AW118" i="3"/>
  <c r="AW122" i="3" s="1"/>
  <c r="AV122" i="3"/>
  <c r="BH118" i="3"/>
  <c r="BQ118" i="3"/>
  <c r="BR118" i="3" s="1"/>
  <c r="BS118" i="3" s="1"/>
  <c r="BO122" i="3"/>
  <c r="DG118" i="3"/>
  <c r="DD122" i="3"/>
  <c r="DL118" i="3"/>
  <c r="FM118" i="3"/>
  <c r="FX121" i="3"/>
  <c r="FX122" i="3" s="1"/>
  <c r="BN119" i="3"/>
  <c r="CB119" i="3"/>
  <c r="CC119" i="3" s="1"/>
  <c r="EU122" i="3"/>
  <c r="GC124" i="3"/>
  <c r="GD124" i="3" s="1"/>
  <c r="GE124" i="3" s="1"/>
  <c r="CZ137" i="3"/>
  <c r="DE136" i="3"/>
  <c r="DE137" i="3" s="1"/>
  <c r="CQ119" i="3"/>
  <c r="CR119" i="3" s="1"/>
  <c r="AX120" i="3"/>
  <c r="AY120" i="3" s="1"/>
  <c r="BM120" i="3"/>
  <c r="BN120" i="3" s="1"/>
  <c r="CH120" i="3"/>
  <c r="DJ120" i="3"/>
  <c r="DK120" i="3" s="1"/>
  <c r="GX120" i="3"/>
  <c r="AI121" i="3"/>
  <c r="AJ121" i="3" s="1"/>
  <c r="AX121" i="3"/>
  <c r="AY121" i="3" s="1"/>
  <c r="BM121" i="3"/>
  <c r="BN121" i="3" s="1"/>
  <c r="CA121" i="3"/>
  <c r="CB121" i="3" s="1"/>
  <c r="FJ121" i="3"/>
  <c r="DM122" i="3"/>
  <c r="GY122" i="3"/>
  <c r="HC122" i="3" s="1"/>
  <c r="CG124" i="3"/>
  <c r="CH124" i="3" s="1"/>
  <c r="CU137" i="3"/>
  <c r="FT118" i="3"/>
  <c r="CD122" i="3"/>
  <c r="EL122" i="3"/>
  <c r="FP122" i="3"/>
  <c r="HF122" i="3"/>
  <c r="HH122" i="3" s="1"/>
  <c r="HL122" i="3"/>
  <c r="HM122" i="3" s="1"/>
  <c r="DC122" i="3"/>
  <c r="GO122" i="3"/>
  <c r="AJ124" i="3"/>
  <c r="AK124" i="3" s="1"/>
  <c r="AW124" i="3"/>
  <c r="AX124" i="3" s="1"/>
  <c r="CT119" i="3"/>
  <c r="DA119" i="3"/>
  <c r="DB119" i="3" s="1"/>
  <c r="FI119" i="3"/>
  <c r="FJ119" i="3" s="1"/>
  <c r="AH120" i="3"/>
  <c r="AI120" i="3" s="1"/>
  <c r="AJ120" i="3" s="1"/>
  <c r="AN120" i="3"/>
  <c r="AO120" i="3" s="1"/>
  <c r="BB120" i="3"/>
  <c r="BP120" i="3"/>
  <c r="BP122" i="3" s="1"/>
  <c r="BW120" i="3"/>
  <c r="BX120" i="3" s="1"/>
  <c r="CL120" i="3"/>
  <c r="CM120" i="3" s="1"/>
  <c r="CZ120" i="3"/>
  <c r="DA120" i="3" s="1"/>
  <c r="FH120" i="3"/>
  <c r="FR120" i="3"/>
  <c r="GC120" i="3"/>
  <c r="GD120" i="3" s="1"/>
  <c r="CK121" i="3"/>
  <c r="CL121" i="3" s="1"/>
  <c r="CM121" i="3" s="1"/>
  <c r="CQ121" i="3"/>
  <c r="CR121" i="3" s="1"/>
  <c r="DE121" i="3"/>
  <c r="DE122" i="3" s="1"/>
  <c r="DK121" i="3"/>
  <c r="DL121" i="3" s="1"/>
  <c r="EH122" i="3"/>
  <c r="EK122" i="3" s="1"/>
  <c r="BG124" i="3"/>
  <c r="BV124" i="3"/>
  <c r="CC124" i="3"/>
  <c r="CK124" i="3"/>
  <c r="DB124" i="3"/>
  <c r="DO124" i="3"/>
  <c r="FU124" i="3"/>
  <c r="DJ119" i="3"/>
  <c r="FC119" i="3"/>
  <c r="CT120" i="3"/>
  <c r="CU120" i="3" s="1"/>
  <c r="CV120" i="3" s="1"/>
  <c r="BR121" i="3"/>
  <c r="BS121" i="3" s="1"/>
  <c r="CF121" i="3"/>
  <c r="CG121" i="3" s="1"/>
  <c r="FZ121" i="3"/>
  <c r="FZ122" i="3" s="1"/>
  <c r="GF121" i="3"/>
  <c r="GI121" i="3" s="1"/>
  <c r="CS122" i="3"/>
  <c r="CY136" i="3"/>
  <c r="EA121" i="3"/>
  <c r="BQ124" i="3"/>
  <c r="BR124" i="3" s="1"/>
  <c r="CU124" i="3"/>
  <c r="CW124" i="3" s="1"/>
  <c r="FP124" i="3"/>
  <c r="FI164" i="3"/>
  <c r="FH161" i="3"/>
  <c r="DI164" i="3"/>
  <c r="DI161" i="3" s="1"/>
  <c r="DM161" i="3"/>
  <c r="ED161" i="3"/>
  <c r="EN164" i="3"/>
  <c r="EM161" i="3"/>
  <c r="EN307" i="3"/>
  <c r="EN188" i="3"/>
  <c r="EN189" i="3"/>
  <c r="DV189" i="3"/>
  <c r="DV184" i="3"/>
  <c r="CM186" i="3"/>
  <c r="EA183" i="3"/>
  <c r="CB185" i="3"/>
  <c r="CJ185" i="3"/>
  <c r="EL185" i="3"/>
  <c r="CJ186" i="3"/>
  <c r="CQ186" i="3"/>
  <c r="CX189" i="3"/>
  <c r="DD189" i="3"/>
  <c r="DD188" i="3"/>
  <c r="DJ188" i="3"/>
  <c r="DJ189" i="3"/>
  <c r="DP189" i="3"/>
  <c r="CS188" i="3"/>
  <c r="DE188" i="3"/>
  <c r="CS189" i="3"/>
  <c r="DA189" i="3"/>
  <c r="DK189" i="3"/>
  <c r="DS189" i="3"/>
  <c r="EC189" i="3"/>
  <c r="BZ196" i="3"/>
  <c r="CF196" i="3"/>
  <c r="EN197" i="3"/>
  <c r="EN196" i="3"/>
  <c r="CG195" i="3"/>
  <c r="DB194" i="3"/>
  <c r="EO375" i="3"/>
  <c r="EO374" i="3"/>
  <c r="CR183" i="3"/>
  <c r="EO183" i="3"/>
  <c r="CK185" i="3"/>
  <c r="CK186" i="3"/>
  <c r="EA189" i="3"/>
  <c r="ED307" i="3"/>
  <c r="ED201" i="3"/>
  <c r="EJ187" i="3"/>
  <c r="EL188" i="3" s="1"/>
  <c r="CT188" i="3"/>
  <c r="DF188" i="3"/>
  <c r="CT189" i="3"/>
  <c r="ED189" i="3"/>
  <c r="CM196" i="3"/>
  <c r="EQ194" i="3"/>
  <c r="EO196" i="3"/>
  <c r="CI195" i="3"/>
  <c r="DG199" i="3"/>
  <c r="DG194" i="3"/>
  <c r="EP181" i="3"/>
  <c r="EP183" i="3" s="1"/>
  <c r="CM183" i="3"/>
  <c r="CE185" i="3"/>
  <c r="CL185" i="3"/>
  <c r="BY186" i="3"/>
  <c r="CL186" i="3"/>
  <c r="DL187" i="3"/>
  <c r="DR188" i="3"/>
  <c r="DR201" i="3"/>
  <c r="CX188" i="3"/>
  <c r="DH188" i="3"/>
  <c r="ED188" i="3"/>
  <c r="DM189" i="3"/>
  <c r="DW189" i="3"/>
  <c r="EE189" i="3"/>
  <c r="CB195" i="3"/>
  <c r="CB196" i="3"/>
  <c r="CN196" i="3"/>
  <c r="CS196" i="3"/>
  <c r="CN195" i="3"/>
  <c r="CO195" i="3"/>
  <c r="DK201" i="3"/>
  <c r="EK199" i="3"/>
  <c r="EK194" i="3"/>
  <c r="EQ181" i="3"/>
  <c r="CF185" i="3"/>
  <c r="BZ186" i="3"/>
  <c r="DG187" i="3"/>
  <c r="DS188" i="3"/>
  <c r="DY188" i="3"/>
  <c r="EF187" i="3"/>
  <c r="CY188" i="3"/>
  <c r="EE188" i="3"/>
  <c r="CH189" i="3"/>
  <c r="DF189" i="3"/>
  <c r="DX189" i="3"/>
  <c r="CH193" i="3"/>
  <c r="DL193" i="3"/>
  <c r="EO193" i="3"/>
  <c r="EP191" i="3"/>
  <c r="EP193" i="3" s="1"/>
  <c r="EO197" i="3"/>
  <c r="EQ191" i="3"/>
  <c r="BV195" i="3"/>
  <c r="CC194" i="3"/>
  <c r="CC196" i="3" s="1"/>
  <c r="CI196" i="3"/>
  <c r="CJ195" i="3"/>
  <c r="CY201" i="3"/>
  <c r="DE201" i="3"/>
  <c r="DF202" i="3" s="1"/>
  <c r="DQ215" i="3"/>
  <c r="DQ184" i="3"/>
  <c r="CG185" i="3"/>
  <c r="CO185" i="3"/>
  <c r="CA186" i="3"/>
  <c r="CU188" i="3"/>
  <c r="DB187" i="3"/>
  <c r="DZ188" i="3"/>
  <c r="CP188" i="3"/>
  <c r="CZ188" i="3"/>
  <c r="DW188" i="3"/>
  <c r="EI188" i="3"/>
  <c r="CC189" i="3"/>
  <c r="CO189" i="3"/>
  <c r="DY189" i="3"/>
  <c r="EI189" i="3"/>
  <c r="CM193" i="3"/>
  <c r="DQ193" i="3"/>
  <c r="BW195" i="3"/>
  <c r="BY195" i="3"/>
  <c r="CS201" i="3"/>
  <c r="EC201" i="3"/>
  <c r="EI201" i="3"/>
  <c r="CR184" i="3"/>
  <c r="CR186" i="3" s="1"/>
  <c r="EO184" i="3"/>
  <c r="CI185" i="3"/>
  <c r="EN186" i="3"/>
  <c r="CV188" i="3"/>
  <c r="DC189" i="3"/>
  <c r="DI189" i="3"/>
  <c r="DO189" i="3"/>
  <c r="DU189" i="3"/>
  <c r="EB307" i="3"/>
  <c r="EB189" i="3"/>
  <c r="EH307" i="3"/>
  <c r="EH189" i="3"/>
  <c r="EH188" i="3"/>
  <c r="CQ188" i="3"/>
  <c r="DX188" i="3"/>
  <c r="CZ189" i="3"/>
  <c r="DR189" i="3"/>
  <c r="DZ189" i="3"/>
  <c r="CA195" i="3"/>
  <c r="DW201" i="3"/>
  <c r="DX202" i="3" s="1"/>
  <c r="CF195" i="3"/>
  <c r="CL196" i="3"/>
  <c r="CO379" i="3"/>
  <c r="CU379" i="3"/>
  <c r="DA379" i="3"/>
  <c r="DM379" i="3"/>
  <c r="DS379" i="3"/>
  <c r="DY379" i="3"/>
  <c r="EE379" i="3"/>
  <c r="EE308" i="3"/>
  <c r="EE310" i="3" s="1"/>
  <c r="CD198" i="3"/>
  <c r="CS198" i="3"/>
  <c r="CZ198" i="3"/>
  <c r="DW198" i="3"/>
  <c r="ED198" i="3"/>
  <c r="CO199" i="3"/>
  <c r="CU199" i="3"/>
  <c r="DA199" i="3"/>
  <c r="DM199" i="3"/>
  <c r="DS199" i="3"/>
  <c r="DY199" i="3"/>
  <c r="EE199" i="3"/>
  <c r="DB213" i="3"/>
  <c r="DG215" i="3" s="1"/>
  <c r="EA213" i="3"/>
  <c r="DF214" i="3"/>
  <c r="DO214" i="3"/>
  <c r="DX214" i="3"/>
  <c r="EG214" i="3"/>
  <c r="DM215" i="3"/>
  <c r="DV219" i="3"/>
  <c r="EO219" i="3"/>
  <c r="DB223" i="3"/>
  <c r="DI234" i="3"/>
  <c r="DV225" i="3"/>
  <c r="EB312" i="3"/>
  <c r="EB225" i="3"/>
  <c r="EB234" i="3"/>
  <c r="DI224" i="3"/>
  <c r="DP225" i="3"/>
  <c r="CP379" i="3"/>
  <c r="CV379" i="3"/>
  <c r="DH379" i="3"/>
  <c r="DN379" i="3"/>
  <c r="DT379" i="3"/>
  <c r="DZ379" i="3"/>
  <c r="EL379" i="3"/>
  <c r="EL308" i="3"/>
  <c r="EL310" i="3" s="1"/>
  <c r="DP198" i="3"/>
  <c r="CP199" i="3"/>
  <c r="CV199" i="3"/>
  <c r="DH199" i="3"/>
  <c r="DN199" i="3"/>
  <c r="DT199" i="3"/>
  <c r="DZ199" i="3"/>
  <c r="EL199" i="3"/>
  <c r="DP214" i="3"/>
  <c r="DN215" i="3"/>
  <c r="DU215" i="3"/>
  <c r="EC215" i="3"/>
  <c r="ED312" i="3"/>
  <c r="ED224" i="3"/>
  <c r="ED225" i="3"/>
  <c r="ED234" i="3"/>
  <c r="DG223" i="3"/>
  <c r="DC234" i="3"/>
  <c r="DD235" i="3" s="1"/>
  <c r="DW224" i="3"/>
  <c r="DW225" i="3"/>
  <c r="DW234" i="3"/>
  <c r="EC312" i="3"/>
  <c r="EC224" i="3"/>
  <c r="EC225" i="3"/>
  <c r="EC234" i="3"/>
  <c r="DJ224" i="3"/>
  <c r="DC225" i="3"/>
  <c r="CQ379" i="3"/>
  <c r="CW197" i="3"/>
  <c r="DC379" i="3"/>
  <c r="DI379" i="3"/>
  <c r="DO379" i="3"/>
  <c r="DU379" i="3"/>
  <c r="EA197" i="3"/>
  <c r="EF199" i="3" s="1"/>
  <c r="EG379" i="3"/>
  <c r="EG308" i="3"/>
  <c r="EM379" i="3"/>
  <c r="EM308" i="3"/>
  <c r="DC198" i="3"/>
  <c r="EG198" i="3"/>
  <c r="CQ199" i="3"/>
  <c r="DC199" i="3"/>
  <c r="DI199" i="3"/>
  <c r="DO199" i="3"/>
  <c r="DU199" i="3"/>
  <c r="EG199" i="3"/>
  <c r="EM199" i="3"/>
  <c r="CO201" i="3"/>
  <c r="CU201" i="3"/>
  <c r="DA201" i="3"/>
  <c r="DM201" i="3"/>
  <c r="DS201" i="3"/>
  <c r="DX203" i="3" s="1"/>
  <c r="DY201" i="3"/>
  <c r="EE201" i="3"/>
  <c r="EJ210" i="3"/>
  <c r="EK210" i="3" s="1"/>
  <c r="EK212" i="3" s="1"/>
  <c r="DV212" i="3"/>
  <c r="EI213" i="3"/>
  <c r="DI214" i="3"/>
  <c r="DH215" i="3"/>
  <c r="DO215" i="3"/>
  <c r="DW215" i="3"/>
  <c r="ED215" i="3"/>
  <c r="EP219" i="3"/>
  <c r="EE220" i="3"/>
  <c r="ED222" i="3"/>
  <c r="CX238" i="3"/>
  <c r="CX242" i="3" s="1"/>
  <c r="CX230" i="3"/>
  <c r="DD238" i="3"/>
  <c r="DD242" i="3" s="1"/>
  <c r="DD230" i="3"/>
  <c r="DK234" i="3"/>
  <c r="DK225" i="3"/>
  <c r="DR234" i="3"/>
  <c r="DK224" i="3"/>
  <c r="DX224" i="3"/>
  <c r="DD225" i="3"/>
  <c r="CR197" i="3"/>
  <c r="CR388" i="3" s="1"/>
  <c r="CX379" i="3"/>
  <c r="DD379" i="3"/>
  <c r="DJ379" i="3"/>
  <c r="DP379" i="3"/>
  <c r="DV197" i="3"/>
  <c r="EB379" i="3"/>
  <c r="EB308" i="3"/>
  <c r="EH379" i="3"/>
  <c r="EH308" i="3"/>
  <c r="CV198" i="3"/>
  <c r="DD198" i="3"/>
  <c r="DK198" i="3"/>
  <c r="DZ198" i="3"/>
  <c r="EH198" i="3"/>
  <c r="CX199" i="3"/>
  <c r="DD199" i="3"/>
  <c r="DJ199" i="3"/>
  <c r="DP199" i="3"/>
  <c r="EB199" i="3"/>
  <c r="EH199" i="3"/>
  <c r="CP201" i="3"/>
  <c r="CV201" i="3"/>
  <c r="DH201" i="3"/>
  <c r="DN201" i="3"/>
  <c r="DT201" i="3"/>
  <c r="DZ201" i="3"/>
  <c r="EL201" i="3"/>
  <c r="EO229" i="3"/>
  <c r="EP227" i="3"/>
  <c r="EO228" i="3"/>
  <c r="DJ214" i="3"/>
  <c r="EC214" i="3"/>
  <c r="EQ217" i="3"/>
  <c r="CY224" i="3"/>
  <c r="CY234" i="3"/>
  <c r="DE234" i="3"/>
  <c r="DE225" i="3"/>
  <c r="DC224" i="3"/>
  <c r="DM224" i="3"/>
  <c r="DI225" i="3"/>
  <c r="CD195" i="3"/>
  <c r="CK195" i="3"/>
  <c r="CS379" i="3"/>
  <c r="CY379" i="3"/>
  <c r="DE379" i="3"/>
  <c r="DK379" i="3"/>
  <c r="DQ197" i="3"/>
  <c r="DW379" i="3"/>
  <c r="EC379" i="3"/>
  <c r="EC308" i="3"/>
  <c r="EI379" i="3"/>
  <c r="EI308" i="3"/>
  <c r="CI198" i="3"/>
  <c r="CP198" i="3"/>
  <c r="CX198" i="3"/>
  <c r="DE198" i="3"/>
  <c r="DM198" i="3"/>
  <c r="DT198" i="3"/>
  <c r="EB198" i="3"/>
  <c r="EI198" i="3"/>
  <c r="CM199" i="3"/>
  <c r="CS199" i="3"/>
  <c r="CY199" i="3"/>
  <c r="DE199" i="3"/>
  <c r="DK199" i="3"/>
  <c r="DW199" i="3"/>
  <c r="EC199" i="3"/>
  <c r="EI199" i="3"/>
  <c r="CQ201" i="3"/>
  <c r="DC201" i="3"/>
  <c r="DI201" i="3"/>
  <c r="DO201" i="3"/>
  <c r="DU201" i="3"/>
  <c r="EG201" i="3"/>
  <c r="EM201" i="3"/>
  <c r="EP207" i="3"/>
  <c r="EP209" i="3" s="1"/>
  <c r="DV209" i="3"/>
  <c r="DV213" i="3"/>
  <c r="DV215" i="3" s="1"/>
  <c r="DC214" i="3"/>
  <c r="DM214" i="3"/>
  <c r="ED214" i="3"/>
  <c r="DC215" i="3"/>
  <c r="DK215" i="3"/>
  <c r="DR215" i="3"/>
  <c r="CZ224" i="3"/>
  <c r="DN224" i="3"/>
  <c r="DN234" i="3"/>
  <c r="DN225" i="3"/>
  <c r="DT234" i="3"/>
  <c r="DT225" i="3"/>
  <c r="DZ234" i="3"/>
  <c r="DZ225" i="3"/>
  <c r="DD224" i="3"/>
  <c r="DP224" i="3"/>
  <c r="DZ224" i="3"/>
  <c r="DJ225" i="3"/>
  <c r="DC188" i="3"/>
  <c r="EG188" i="3"/>
  <c r="EG189" i="3"/>
  <c r="EM189" i="3"/>
  <c r="EF194" i="3"/>
  <c r="CE195" i="3"/>
  <c r="CL195" i="3"/>
  <c r="CT379" i="3"/>
  <c r="CZ379" i="3"/>
  <c r="DF379" i="3"/>
  <c r="DL197" i="3"/>
  <c r="DR379" i="3"/>
  <c r="DX379" i="3"/>
  <c r="ED379" i="3"/>
  <c r="ED308" i="3"/>
  <c r="EJ379" i="3"/>
  <c r="EJ308" i="3"/>
  <c r="CQ198" i="3"/>
  <c r="CY198" i="3"/>
  <c r="DF198" i="3"/>
  <c r="DN198" i="3"/>
  <c r="DU198" i="3"/>
  <c r="EC198" i="3"/>
  <c r="EJ198" i="3"/>
  <c r="CT199" i="3"/>
  <c r="CZ199" i="3"/>
  <c r="DF199" i="3"/>
  <c r="DR199" i="3"/>
  <c r="DX199" i="3"/>
  <c r="ED199" i="3"/>
  <c r="EJ199" i="3"/>
  <c r="CX201" i="3"/>
  <c r="DD201" i="3"/>
  <c r="DJ201" i="3"/>
  <c r="DP201" i="3"/>
  <c r="EB201" i="3"/>
  <c r="EH201" i="3"/>
  <c r="EQ207" i="3"/>
  <c r="EO209" i="3"/>
  <c r="DS214" i="3"/>
  <c r="DZ214" i="3"/>
  <c r="EF213" i="3"/>
  <c r="DE214" i="3"/>
  <c r="EE214" i="3"/>
  <c r="DS215" i="3"/>
  <c r="DZ215" i="3"/>
  <c r="EG215" i="3"/>
  <c r="EJ219" i="3"/>
  <c r="EE227" i="3"/>
  <c r="EE218" i="3"/>
  <c r="EA222" i="3"/>
  <c r="DH224" i="3"/>
  <c r="DL223" i="3"/>
  <c r="DQ225" i="3" s="1"/>
  <c r="DH234" i="3"/>
  <c r="DH225" i="3"/>
  <c r="DO224" i="3"/>
  <c r="DO234" i="3"/>
  <c r="DU224" i="3"/>
  <c r="DU225" i="3"/>
  <c r="DU234" i="3"/>
  <c r="EA223" i="3"/>
  <c r="EA225" i="3" s="1"/>
  <c r="DE224" i="3"/>
  <c r="DR224" i="3"/>
  <c r="EB224" i="3"/>
  <c r="DO225" i="3"/>
  <c r="DQ227" i="3"/>
  <c r="DK228" i="3"/>
  <c r="DS228" i="3"/>
  <c r="DZ228" i="3"/>
  <c r="DD229" i="3"/>
  <c r="DJ229" i="3"/>
  <c r="DP229" i="3"/>
  <c r="EB229" i="3"/>
  <c r="EH229" i="3"/>
  <c r="EN229" i="3"/>
  <c r="DF234" i="3"/>
  <c r="EN315" i="3"/>
  <c r="EN272" i="3"/>
  <c r="EN273" i="3"/>
  <c r="DE228" i="3"/>
  <c r="DM228" i="3"/>
  <c r="DT228" i="3"/>
  <c r="EB228" i="3"/>
  <c r="EI228" i="3"/>
  <c r="DW229" i="3"/>
  <c r="EC229" i="3"/>
  <c r="CZ234" i="3"/>
  <c r="EO309" i="3"/>
  <c r="EO286" i="3"/>
  <c r="DG227" i="3"/>
  <c r="DG229" i="3" s="1"/>
  <c r="EK227" i="3"/>
  <c r="CY228" i="3"/>
  <c r="DF228" i="3"/>
  <c r="DN228" i="3"/>
  <c r="DU228" i="3"/>
  <c r="EC228" i="3"/>
  <c r="EJ228" i="3"/>
  <c r="DR229" i="3"/>
  <c r="DX229" i="3"/>
  <c r="ED229" i="3"/>
  <c r="EB315" i="3"/>
  <c r="DH228" i="3"/>
  <c r="DO228" i="3"/>
  <c r="DW228" i="3"/>
  <c r="EL228" i="3"/>
  <c r="DY229" i="3"/>
  <c r="DX234" i="3"/>
  <c r="EF249" i="3"/>
  <c r="EG315" i="3"/>
  <c r="ER315" i="3"/>
  <c r="ER273" i="3"/>
  <c r="EO283" i="3"/>
  <c r="EQ281" i="3"/>
  <c r="EK295" i="3"/>
  <c r="DF224" i="3"/>
  <c r="DR225" i="3"/>
  <c r="DI228" i="3"/>
  <c r="DP228" i="3"/>
  <c r="EM228" i="3"/>
  <c r="EK249" i="3"/>
  <c r="EK261" i="3"/>
  <c r="EI315" i="3"/>
  <c r="EI272" i="3"/>
  <c r="EH315" i="3"/>
  <c r="EH272" i="3"/>
  <c r="ES315" i="3"/>
  <c r="ES273" i="3"/>
  <c r="ES272" i="3"/>
  <c r="CW286" i="3"/>
  <c r="CW281" i="3"/>
  <c r="DD214" i="3"/>
  <c r="EH214" i="3"/>
  <c r="EB215" i="3"/>
  <c r="EH215" i="3"/>
  <c r="DA234" i="3"/>
  <c r="DM234" i="3"/>
  <c r="DS234" i="3"/>
  <c r="DY234" i="3"/>
  <c r="DM225" i="3"/>
  <c r="DS225" i="3"/>
  <c r="DY225" i="3"/>
  <c r="DV227" i="3"/>
  <c r="DC228" i="3"/>
  <c r="EC271" i="3"/>
  <c r="ET315" i="3"/>
  <c r="ET273" i="3"/>
  <c r="ET272" i="3"/>
  <c r="EA286" i="3"/>
  <c r="EA281" i="3"/>
  <c r="EA283" i="3" s="1"/>
  <c r="EP263" i="3"/>
  <c r="EU265" i="3" s="1"/>
  <c r="EJ264" i="3"/>
  <c r="EM265" i="3"/>
  <c r="ED269" i="3"/>
  <c r="ED271" i="3" s="1"/>
  <c r="EI273" i="3" s="1"/>
  <c r="EJ269" i="3"/>
  <c r="EJ271" i="3" s="1"/>
  <c r="EJ288" i="3" s="1"/>
  <c r="CW385" i="3"/>
  <c r="EA385" i="3"/>
  <c r="CC280" i="3"/>
  <c r="CD282" i="3"/>
  <c r="CK282" i="3"/>
  <c r="CI283" i="3"/>
  <c r="CO283" i="3"/>
  <c r="CC388" i="3"/>
  <c r="CQ388" i="3"/>
  <c r="DC388" i="3"/>
  <c r="DI388" i="3"/>
  <c r="DO388" i="3"/>
  <c r="DU388" i="3"/>
  <c r="EG388" i="3"/>
  <c r="EG288" i="3"/>
  <c r="EM388" i="3"/>
  <c r="CN285" i="3"/>
  <c r="CU285" i="3"/>
  <c r="DC285" i="3"/>
  <c r="DR285" i="3"/>
  <c r="EG285" i="3"/>
  <c r="CQ286" i="3"/>
  <c r="DT286" i="3"/>
  <c r="ET304" i="3"/>
  <c r="EL264" i="3"/>
  <c r="EE269" i="3"/>
  <c r="EE271" i="3" s="1"/>
  <c r="EO315" i="3"/>
  <c r="DB385" i="3"/>
  <c r="EF385" i="3"/>
  <c r="DB280" i="3"/>
  <c r="EF280" i="3"/>
  <c r="CE282" i="3"/>
  <c r="CL282" i="3"/>
  <c r="CJ283" i="3"/>
  <c r="CP283" i="3"/>
  <c r="CH388" i="3"/>
  <c r="CX388" i="3"/>
  <c r="DD388" i="3"/>
  <c r="DJ388" i="3"/>
  <c r="DP388" i="3"/>
  <c r="EB388" i="3"/>
  <c r="EB309" i="3"/>
  <c r="EH388" i="3"/>
  <c r="EH309" i="3"/>
  <c r="EN284" i="3"/>
  <c r="EO285" i="3" s="1"/>
  <c r="CO285" i="3"/>
  <c r="DD285" i="3"/>
  <c r="EH285" i="3"/>
  <c r="CR286" i="3"/>
  <c r="DN286" i="3"/>
  <c r="DU286" i="3"/>
  <c r="EB286" i="3"/>
  <c r="EF295" i="3"/>
  <c r="EK294" i="3"/>
  <c r="EG303" i="3"/>
  <c r="EK302" i="3"/>
  <c r="EN305" i="3"/>
  <c r="EN303" i="3"/>
  <c r="EK263" i="3"/>
  <c r="EK265" i="3" s="1"/>
  <c r="EM264" i="3"/>
  <c r="EO265" i="3"/>
  <c r="EL269" i="3"/>
  <c r="CC385" i="3"/>
  <c r="DG385" i="3"/>
  <c r="EK385" i="3"/>
  <c r="BY282" i="3"/>
  <c r="CF282" i="3"/>
  <c r="CN282" i="3"/>
  <c r="CQ283" i="3"/>
  <c r="CM388" i="3"/>
  <c r="CS388" i="3"/>
  <c r="CS286" i="3"/>
  <c r="CY388" i="3"/>
  <c r="CY286" i="3"/>
  <c r="DE388" i="3"/>
  <c r="DE286" i="3"/>
  <c r="DK388" i="3"/>
  <c r="DK286" i="3"/>
  <c r="DQ284" i="3"/>
  <c r="DV286" i="3" s="1"/>
  <c r="DW388" i="3"/>
  <c r="DW286" i="3"/>
  <c r="EC388" i="3"/>
  <c r="EC309" i="3"/>
  <c r="EC286" i="3"/>
  <c r="EI388" i="3"/>
  <c r="EI309" i="3"/>
  <c r="EI286" i="3"/>
  <c r="CX285" i="3"/>
  <c r="DE285" i="3"/>
  <c r="DM285" i="3"/>
  <c r="EB285" i="3"/>
  <c r="EI285" i="3"/>
  <c r="CM286" i="3"/>
  <c r="DH286" i="3"/>
  <c r="DO286" i="3"/>
  <c r="EH303" i="3"/>
  <c r="EH305" i="3"/>
  <c r="EO305" i="3"/>
  <c r="EO303" i="3"/>
  <c r="EU302" i="3"/>
  <c r="EQ303" i="3"/>
  <c r="EN304" i="3"/>
  <c r="EM309" i="3"/>
  <c r="EQ271" i="3"/>
  <c r="EO272" i="3"/>
  <c r="CH385" i="3"/>
  <c r="DL385" i="3"/>
  <c r="EO385" i="3"/>
  <c r="BZ282" i="3"/>
  <c r="CG282" i="3"/>
  <c r="EN283" i="3"/>
  <c r="CN390" i="3"/>
  <c r="CN389" i="3"/>
  <c r="CT388" i="3"/>
  <c r="CZ388" i="3"/>
  <c r="DF388" i="3"/>
  <c r="DL284" i="3"/>
  <c r="DR388" i="3"/>
  <c r="DX388" i="3"/>
  <c r="ED388" i="3"/>
  <c r="ED309" i="3"/>
  <c r="EJ309" i="3"/>
  <c r="CY285" i="3"/>
  <c r="DF285" i="3"/>
  <c r="EC285" i="3"/>
  <c r="EJ285" i="3"/>
  <c r="CH286" i="3"/>
  <c r="CN286" i="3"/>
  <c r="DI286" i="3"/>
  <c r="DP286" i="3"/>
  <c r="DX286" i="3"/>
  <c r="EL286" i="3"/>
  <c r="EK297" i="3"/>
  <c r="EF302" i="3"/>
  <c r="EF305" i="3" s="1"/>
  <c r="EB305" i="3"/>
  <c r="EP302" i="3"/>
  <c r="EO304" i="3"/>
  <c r="EM305" i="3"/>
  <c r="EQ265" i="3"/>
  <c r="CM385" i="3"/>
  <c r="DQ385" i="3"/>
  <c r="EP278" i="3"/>
  <c r="CM280" i="3"/>
  <c r="DQ280" i="3"/>
  <c r="CM281" i="3"/>
  <c r="CA282" i="3"/>
  <c r="CI282" i="3"/>
  <c r="CO388" i="3"/>
  <c r="CU388" i="3"/>
  <c r="DA388" i="3"/>
  <c r="DG284" i="3"/>
  <c r="DM388" i="3"/>
  <c r="DS388" i="3"/>
  <c r="DY388" i="3"/>
  <c r="EE388" i="3"/>
  <c r="EK284" i="3"/>
  <c r="CS285" i="3"/>
  <c r="CZ285" i="3"/>
  <c r="DH285" i="3"/>
  <c r="DO285" i="3"/>
  <c r="DW285" i="3"/>
  <c r="ED285" i="3"/>
  <c r="EL285" i="3"/>
  <c r="CC286" i="3"/>
  <c r="CO286" i="3"/>
  <c r="DC286" i="3"/>
  <c r="DJ286" i="3"/>
  <c r="DR286" i="3"/>
  <c r="DY286" i="3"/>
  <c r="EM286" i="3"/>
  <c r="EH288" i="3"/>
  <c r="EP294" i="3"/>
  <c r="EI303" i="3"/>
  <c r="ES303" i="3"/>
  <c r="EI264" i="3"/>
  <c r="CR385" i="3"/>
  <c r="CR387" i="3" s="1"/>
  <c r="DV385" i="3"/>
  <c r="DV387" i="3" s="1"/>
  <c r="EQ278" i="3"/>
  <c r="CH280" i="3"/>
  <c r="DL280" i="3"/>
  <c r="CH281" i="3"/>
  <c r="CH283" i="3" s="1"/>
  <c r="CR281" i="3"/>
  <c r="CB282" i="3"/>
  <c r="BX388" i="3"/>
  <c r="CP388" i="3"/>
  <c r="CV388" i="3"/>
  <c r="DB284" i="3"/>
  <c r="DH388" i="3"/>
  <c r="DN388" i="3"/>
  <c r="DT388" i="3"/>
  <c r="DZ388" i="3"/>
  <c r="EF284" i="3"/>
  <c r="EL388" i="3"/>
  <c r="CT285" i="3"/>
  <c r="DA285" i="3"/>
  <c r="DI285" i="3"/>
  <c r="DP285" i="3"/>
  <c r="DX285" i="3"/>
  <c r="EE285" i="3"/>
  <c r="EM285" i="3"/>
  <c r="CP286" i="3"/>
  <c r="DD286" i="3"/>
  <c r="DS286" i="3"/>
  <c r="DZ286" i="3"/>
  <c r="EG286" i="3"/>
  <c r="EB288" i="3"/>
  <c r="EI288" i="3"/>
  <c r="EJ303" i="3"/>
  <c r="ET303" i="3"/>
  <c r="EG305" i="3"/>
  <c r="EG309" i="3"/>
  <c r="CF378" i="3"/>
  <c r="BZ378" i="3"/>
  <c r="CA377" i="3"/>
  <c r="DV368" i="3"/>
  <c r="BU377" i="3"/>
  <c r="CI377" i="3"/>
  <c r="EF338" i="3"/>
  <c r="EF339" i="3" s="1"/>
  <c r="CL378" i="3"/>
  <c r="BX373" i="3"/>
  <c r="CC375" i="3" s="1"/>
  <c r="DB373" i="3"/>
  <c r="DB375" i="3" s="1"/>
  <c r="EF373" i="3"/>
  <c r="CE374" i="3"/>
  <c r="CL374" i="3"/>
  <c r="CT374" i="3"/>
  <c r="DI374" i="3"/>
  <c r="DP374" i="3"/>
  <c r="DX374" i="3"/>
  <c r="EM374" i="3"/>
  <c r="CD375" i="3"/>
  <c r="CJ375" i="3"/>
  <c r="DH375" i="3"/>
  <c r="DN375" i="3"/>
  <c r="EL375" i="3"/>
  <c r="BV376" i="3"/>
  <c r="BV377" i="3" s="1"/>
  <c r="CB376" i="3"/>
  <c r="CG378" i="3" s="1"/>
  <c r="CN376" i="3"/>
  <c r="CF381" i="3"/>
  <c r="CF380" i="3"/>
  <c r="CA380" i="3"/>
  <c r="CK380" i="3"/>
  <c r="BY374" i="3"/>
  <c r="CF374" i="3"/>
  <c r="CN374" i="3"/>
  <c r="DC374" i="3"/>
  <c r="DJ374" i="3"/>
  <c r="DR374" i="3"/>
  <c r="EG374" i="3"/>
  <c r="EN374" i="3"/>
  <c r="BY375" i="3"/>
  <c r="CE375" i="3"/>
  <c r="CK375" i="3"/>
  <c r="CQ375" i="3"/>
  <c r="DC375" i="3"/>
  <c r="DO375" i="3"/>
  <c r="DU375" i="3"/>
  <c r="EG375" i="3"/>
  <c r="CR373" i="3"/>
  <c r="CW375" i="3" s="1"/>
  <c r="DV373" i="3"/>
  <c r="BZ374" i="3"/>
  <c r="CG374" i="3"/>
  <c r="DD374" i="3"/>
  <c r="DK374" i="3"/>
  <c r="EH374" i="3"/>
  <c r="BZ375" i="3"/>
  <c r="CF375" i="3"/>
  <c r="CL375" i="3"/>
  <c r="CX375" i="3"/>
  <c r="EB375" i="3"/>
  <c r="CD376" i="3"/>
  <c r="CI378" i="3" s="1"/>
  <c r="CJ376" i="3"/>
  <c r="CI381" i="3"/>
  <c r="CM379" i="3"/>
  <c r="CN381" i="3"/>
  <c r="CM373" i="3"/>
  <c r="DQ373" i="3"/>
  <c r="CA374" i="3"/>
  <c r="CI374" i="3"/>
  <c r="DE374" i="3"/>
  <c r="DM374" i="3"/>
  <c r="EI374" i="3"/>
  <c r="CA375" i="3"/>
  <c r="CG375" i="3"/>
  <c r="CS375" i="3"/>
  <c r="CY375" i="3"/>
  <c r="DW375" i="3"/>
  <c r="EC375" i="3"/>
  <c r="BY376" i="3"/>
  <c r="CK376" i="3"/>
  <c r="CC379" i="3"/>
  <c r="CG380" i="3"/>
  <c r="CH373" i="3"/>
  <c r="CH375" i="3" s="1"/>
  <c r="DL373" i="3"/>
  <c r="DL375" i="3" s="1"/>
  <c r="EP373" i="3"/>
  <c r="EP375" i="3" s="1"/>
  <c r="BU374" i="3"/>
  <c r="CB374" i="3"/>
  <c r="DF374" i="3"/>
  <c r="EJ374" i="3"/>
  <c r="CZ375" i="3"/>
  <c r="ED375" i="3"/>
  <c r="CH379" i="3"/>
  <c r="CD381" i="3"/>
  <c r="CK381" i="3"/>
  <c r="CI380" i="3"/>
  <c r="BZ381" i="3"/>
  <c r="BY381" i="3"/>
  <c r="BY380" i="3"/>
  <c r="CE381" i="3"/>
  <c r="CE380" i="3"/>
  <c r="CL381" i="3"/>
  <c r="CL380" i="3"/>
  <c r="CJ380" i="3"/>
  <c r="DR386" i="3"/>
  <c r="DR387" i="3"/>
  <c r="DY386" i="3"/>
  <c r="DY387" i="3"/>
  <c r="EE387" i="3"/>
  <c r="EE386" i="3"/>
  <c r="DT386" i="3"/>
  <c r="CJ390" i="3"/>
  <c r="CT386" i="3"/>
  <c r="CT387" i="3"/>
  <c r="CZ387" i="3"/>
  <c r="CZ386" i="3"/>
  <c r="EL387" i="3"/>
  <c r="EL386" i="3"/>
  <c r="DF386" i="3"/>
  <c r="DU386" i="3"/>
  <c r="CG387" i="3"/>
  <c r="DE387" i="3"/>
  <c r="CK389" i="3"/>
  <c r="CK390" i="3"/>
  <c r="CN386" i="3"/>
  <c r="CN387" i="3"/>
  <c r="CU386" i="3"/>
  <c r="CU387" i="3"/>
  <c r="DA387" i="3"/>
  <c r="DA386" i="3"/>
  <c r="DM387" i="3"/>
  <c r="EG386" i="3"/>
  <c r="EM386" i="3"/>
  <c r="CV386" i="3"/>
  <c r="DZ386" i="3"/>
  <c r="CK387" i="3"/>
  <c r="DU387" i="3"/>
  <c r="EG387" i="3"/>
  <c r="CE389" i="3"/>
  <c r="CN397" i="3"/>
  <c r="CL397" i="3"/>
  <c r="CC398" i="3"/>
  <c r="DH387" i="3"/>
  <c r="DH386" i="3"/>
  <c r="EN386" i="3"/>
  <c r="CX386" i="3"/>
  <c r="DM386" i="3"/>
  <c r="EB386" i="3"/>
  <c r="CF389" i="3"/>
  <c r="CH396" i="3"/>
  <c r="CH398" i="3" s="1"/>
  <c r="CH395" i="3"/>
  <c r="CM395" i="3"/>
  <c r="CO399" i="3"/>
  <c r="CP396" i="3"/>
  <c r="CO398" i="3"/>
  <c r="CP387" i="3"/>
  <c r="DC386" i="3"/>
  <c r="DI386" i="3"/>
  <c r="DO386" i="3"/>
  <c r="CO386" i="3"/>
  <c r="DN386" i="3"/>
  <c r="CY387" i="3"/>
  <c r="DK387" i="3"/>
  <c r="DW387" i="3"/>
  <c r="CL389" i="3"/>
  <c r="CD390" i="3"/>
  <c r="CF398" i="3"/>
  <c r="CD387" i="3"/>
  <c r="CJ387" i="3"/>
  <c r="DJ386" i="3"/>
  <c r="DP386" i="3"/>
  <c r="DX386" i="3"/>
  <c r="DX387" i="3"/>
  <c r="ED387" i="3"/>
  <c r="ED386" i="3"/>
  <c r="EJ387" i="3"/>
  <c r="CD386" i="3"/>
  <c r="CP386" i="3"/>
  <c r="DD386" i="3"/>
  <c r="DS386" i="3"/>
  <c r="EH386" i="3"/>
  <c r="CE387" i="3"/>
  <c r="DC387" i="3"/>
  <c r="DO387" i="3"/>
  <c r="EM387" i="3"/>
  <c r="CI390" i="3"/>
  <c r="CQ393" i="3"/>
  <c r="CQ395" i="3" s="1"/>
  <c r="CP395" i="3"/>
  <c r="CL398" i="3"/>
  <c r="CA397" i="3"/>
  <c r="CI397" i="3"/>
  <c r="BU398" i="3"/>
  <c r="BZ389" i="3"/>
  <c r="CG389" i="3"/>
  <c r="CO395" i="3"/>
  <c r="CB397" i="3"/>
  <c r="BV398" i="3"/>
  <c r="CN398" i="3"/>
  <c r="CC401" i="3"/>
  <c r="CA389" i="3"/>
  <c r="CI389" i="3"/>
  <c r="CD397" i="3"/>
  <c r="CK397" i="3"/>
  <c r="BW398" i="3"/>
  <c r="BX401" i="3"/>
  <c r="CB389" i="3"/>
  <c r="CE397" i="3"/>
  <c r="BY397" i="3"/>
  <c r="DH273" i="2" l="1"/>
  <c r="DH278" i="2"/>
  <c r="DH288" i="2"/>
  <c r="DT416" i="2"/>
  <c r="DI273" i="2"/>
  <c r="DH292" i="2"/>
  <c r="FZ205" i="2"/>
  <c r="DK35" i="2"/>
  <c r="AD17" i="2"/>
  <c r="FZ206" i="2"/>
  <c r="CQ33" i="2"/>
  <c r="DK40" i="2"/>
  <c r="DT269" i="2"/>
  <c r="DO147" i="2"/>
  <c r="BL198" i="2"/>
  <c r="DH280" i="2"/>
  <c r="D13" i="2"/>
  <c r="EA437" i="2"/>
  <c r="ED440" i="2"/>
  <c r="ED441" i="2" s="1"/>
  <c r="DB274" i="2"/>
  <c r="BR198" i="2"/>
  <c r="DF274" i="2"/>
  <c r="ED340" i="2"/>
  <c r="DZ222" i="2"/>
  <c r="EA223" i="2" s="1"/>
  <c r="CY246" i="2"/>
  <c r="CY420" i="2" s="1"/>
  <c r="BB222" i="2"/>
  <c r="BF224" i="2" s="1"/>
  <c r="DC40" i="2"/>
  <c r="DY442" i="2"/>
  <c r="AD222" i="2"/>
  <c r="AH224" i="2" s="1"/>
  <c r="FK211" i="2"/>
  <c r="AD198" i="2"/>
  <c r="DU115" i="2"/>
  <c r="DJ65" i="2"/>
  <c r="FX6" i="2"/>
  <c r="DB20" i="2"/>
  <c r="FX191" i="2"/>
  <c r="E95" i="2"/>
  <c r="DV136" i="2"/>
  <c r="AB16" i="2"/>
  <c r="EE218" i="2"/>
  <c r="BM188" i="2"/>
  <c r="BN189" i="2" s="1"/>
  <c r="AB17" i="2"/>
  <c r="DT115" i="2"/>
  <c r="DV40" i="2"/>
  <c r="DH198" i="2"/>
  <c r="DN416" i="2"/>
  <c r="DN418" i="2" s="1"/>
  <c r="DU146" i="2"/>
  <c r="DU148" i="2"/>
  <c r="CF52" i="2"/>
  <c r="DV147" i="2"/>
  <c r="EB146" i="2"/>
  <c r="EE276" i="2"/>
  <c r="FT278" i="2"/>
  <c r="DR148" i="2"/>
  <c r="DV134" i="2"/>
  <c r="DU134" i="2"/>
  <c r="DK148" i="2"/>
  <c r="BD12" i="2"/>
  <c r="DU136" i="2"/>
  <c r="DK153" i="2"/>
  <c r="DK156" i="2" s="1"/>
  <c r="ED110" i="2"/>
  <c r="EA432" i="2"/>
  <c r="EA435" i="2" s="1"/>
  <c r="GD133" i="2"/>
  <c r="GD145" i="2"/>
  <c r="GD148" i="2" s="1"/>
  <c r="CD20" i="2"/>
  <c r="DS97" i="2"/>
  <c r="DV146" i="2"/>
  <c r="DO408" i="2"/>
  <c r="DZ437" i="2"/>
  <c r="ED278" i="2"/>
  <c r="ED273" i="2"/>
  <c r="DW134" i="2"/>
  <c r="ED277" i="2"/>
  <c r="ED276" i="2"/>
  <c r="DS146" i="2"/>
  <c r="DR147" i="2"/>
  <c r="DY146" i="2"/>
  <c r="FX324" i="2"/>
  <c r="EB278" i="2"/>
  <c r="DY323" i="2"/>
  <c r="EB273" i="2"/>
  <c r="DT153" i="2"/>
  <c r="DV222" i="2"/>
  <c r="ED445" i="2"/>
  <c r="EC273" i="2"/>
  <c r="DL110" i="2"/>
  <c r="DT152" i="2"/>
  <c r="DV197" i="2"/>
  <c r="BN33" i="2"/>
  <c r="EF334" i="2"/>
  <c r="EG334" i="2" s="1"/>
  <c r="EH334" i="2" s="1"/>
  <c r="EI334" i="2" s="1"/>
  <c r="DT35" i="2"/>
  <c r="DR146" i="2"/>
  <c r="DT267" i="2"/>
  <c r="CE257" i="2"/>
  <c r="CX198" i="2"/>
  <c r="FQ85" i="2"/>
  <c r="FU16" i="2"/>
  <c r="DX148" i="2"/>
  <c r="DT268" i="2"/>
  <c r="CE298" i="2"/>
  <c r="CE299" i="2" s="1"/>
  <c r="BM222" i="2"/>
  <c r="BM223" i="2" s="1"/>
  <c r="DK112" i="2"/>
  <c r="CU64" i="2"/>
  <c r="DX147" i="2"/>
  <c r="DT424" i="2"/>
  <c r="DT426" i="2" s="1"/>
  <c r="CE250" i="2"/>
  <c r="CE253" i="2" s="1"/>
  <c r="DU111" i="2"/>
  <c r="EA274" i="2"/>
  <c r="AV197" i="2"/>
  <c r="DN409" i="2"/>
  <c r="EB115" i="2"/>
  <c r="DO197" i="2"/>
  <c r="DI196" i="2"/>
  <c r="EA288" i="2"/>
  <c r="FS202" i="2"/>
  <c r="BD48" i="2"/>
  <c r="BD52" i="2" s="1"/>
  <c r="BR188" i="2"/>
  <c r="BR191" i="2" s="1"/>
  <c r="DU322" i="2"/>
  <c r="GA261" i="2"/>
  <c r="CK33" i="2"/>
  <c r="DN146" i="2"/>
  <c r="DP146" i="2"/>
  <c r="DO222" i="2"/>
  <c r="DP223" i="2" s="1"/>
  <c r="AT198" i="2"/>
  <c r="DB246" i="2"/>
  <c r="DB249" i="2" s="1"/>
  <c r="AT188" i="2"/>
  <c r="AU189" i="2" s="1"/>
  <c r="DT292" i="2"/>
  <c r="DN198" i="2"/>
  <c r="DX274" i="2"/>
  <c r="DO246" i="2"/>
  <c r="DO249" i="2" s="1"/>
  <c r="DN222" i="2"/>
  <c r="BU196" i="2"/>
  <c r="DU114" i="2"/>
  <c r="GC261" i="2"/>
  <c r="BT198" i="2"/>
  <c r="DO198" i="2"/>
  <c r="DB222" i="2"/>
  <c r="DC223" i="2" s="1"/>
  <c r="DN197" i="2"/>
  <c r="FH205" i="2"/>
  <c r="AU196" i="2"/>
  <c r="DB198" i="2"/>
  <c r="BT222" i="2"/>
  <c r="BX224" i="2" s="1"/>
  <c r="DU323" i="2"/>
  <c r="GA336" i="2"/>
  <c r="FU274" i="2"/>
  <c r="DP153" i="2"/>
  <c r="DP156" i="2" s="1"/>
  <c r="CZ442" i="2"/>
  <c r="DO322" i="2"/>
  <c r="DO324" i="2"/>
  <c r="FZ329" i="2"/>
  <c r="DW146" i="2"/>
  <c r="DT147" i="2"/>
  <c r="DM148" i="2"/>
  <c r="BC21" i="2"/>
  <c r="DT322" i="2"/>
  <c r="DP148" i="2"/>
  <c r="DQ146" i="2"/>
  <c r="DC278" i="2"/>
  <c r="BC196" i="2"/>
  <c r="T87" i="2"/>
  <c r="EC198" i="2"/>
  <c r="DG274" i="2"/>
  <c r="AD34" i="2"/>
  <c r="DA20" i="2"/>
  <c r="CS33" i="2"/>
  <c r="CV442" i="2"/>
  <c r="FX440" i="2"/>
  <c r="FY442" i="2" s="1"/>
  <c r="GE440" i="2"/>
  <c r="GE443" i="2" s="1"/>
  <c r="FP274" i="2"/>
  <c r="DE246" i="2"/>
  <c r="DE295" i="2" s="1"/>
  <c r="DX146" i="2"/>
  <c r="CK35" i="2"/>
  <c r="FT201" i="2"/>
  <c r="CV65" i="2"/>
  <c r="EE447" i="2"/>
  <c r="EE444" i="2" s="1"/>
  <c r="CW441" i="2"/>
  <c r="DY441" i="2"/>
  <c r="FY329" i="2"/>
  <c r="DT324" i="2"/>
  <c r="DN13" i="2"/>
  <c r="DT37" i="2"/>
  <c r="DX323" i="2"/>
  <c r="EF216" i="2"/>
  <c r="EG216" i="2" s="1"/>
  <c r="DN29" i="2"/>
  <c r="CL20" i="2"/>
  <c r="DK33" i="2"/>
  <c r="DY97" i="2"/>
  <c r="DU33" i="2"/>
  <c r="DN48" i="2"/>
  <c r="DN54" i="2" s="1"/>
  <c r="DN57" i="2" s="1"/>
  <c r="CU20" i="2"/>
  <c r="DO356" i="2"/>
  <c r="FZ330" i="2"/>
  <c r="BF47" i="2"/>
  <c r="CQ21" i="2"/>
  <c r="DZ97" i="2"/>
  <c r="CJ20" i="2"/>
  <c r="FM45" i="2"/>
  <c r="FM47" i="2" s="1"/>
  <c r="CH20" i="2"/>
  <c r="DW13" i="2"/>
  <c r="EE204" i="2"/>
  <c r="BG64" i="2"/>
  <c r="DW12" i="2"/>
  <c r="BY43" i="2"/>
  <c r="DT135" i="2"/>
  <c r="DK146" i="2"/>
  <c r="DQ147" i="2"/>
  <c r="CH21" i="2"/>
  <c r="DQ148" i="2"/>
  <c r="BB47" i="2"/>
  <c r="BB46" i="2"/>
  <c r="CR19" i="2"/>
  <c r="FT18" i="2"/>
  <c r="FU20" i="2" s="1"/>
  <c r="AW198" i="2"/>
  <c r="AE222" i="2"/>
  <c r="BT33" i="2"/>
  <c r="F13" i="2"/>
  <c r="DX97" i="2"/>
  <c r="DQ153" i="2"/>
  <c r="DQ156" i="2" s="1"/>
  <c r="DU147" i="2"/>
  <c r="FZ324" i="2"/>
  <c r="EF289" i="2"/>
  <c r="EG289" i="2" s="1"/>
  <c r="FU288" i="2"/>
  <c r="GC145" i="2"/>
  <c r="EA12" i="2"/>
  <c r="CF21" i="2"/>
  <c r="CZ64" i="2"/>
  <c r="BY33" i="2"/>
  <c r="DU222" i="2"/>
  <c r="DU223" i="2" s="1"/>
  <c r="EB234" i="2"/>
  <c r="DJ198" i="2"/>
  <c r="DJ246" i="2"/>
  <c r="DJ295" i="2" s="1"/>
  <c r="AN198" i="2"/>
  <c r="AN197" i="2"/>
  <c r="CF246" i="2"/>
  <c r="CF262" i="2" s="1"/>
  <c r="DP150" i="2"/>
  <c r="DQ111" i="2"/>
  <c r="CA11" i="2"/>
  <c r="CU97" i="2"/>
  <c r="EE60" i="2"/>
  <c r="DJ222" i="2"/>
  <c r="DN224" i="2" s="1"/>
  <c r="DD198" i="2"/>
  <c r="CF222" i="2"/>
  <c r="CP198" i="2"/>
  <c r="AJ198" i="2"/>
  <c r="DN114" i="2"/>
  <c r="DM114" i="2"/>
  <c r="AO196" i="2"/>
  <c r="DM117" i="2"/>
  <c r="DQ119" i="2" s="1"/>
  <c r="CG21" i="2"/>
  <c r="CW198" i="2"/>
  <c r="DJ197" i="2"/>
  <c r="AJ188" i="2"/>
  <c r="AJ191" i="2" s="1"/>
  <c r="AV196" i="2"/>
  <c r="CP246" i="2"/>
  <c r="CP420" i="2" s="1"/>
  <c r="AN188" i="2"/>
  <c r="AN191" i="2" s="1"/>
  <c r="CF198" i="2"/>
  <c r="CP222" i="2"/>
  <c r="ED200" i="2"/>
  <c r="CF197" i="2"/>
  <c r="DD20" i="2"/>
  <c r="DZ111" i="2"/>
  <c r="DZ441" i="2"/>
  <c r="GD163" i="2"/>
  <c r="DZ117" i="2"/>
  <c r="DZ120" i="2" s="1"/>
  <c r="CG20" i="2"/>
  <c r="DI280" i="2"/>
  <c r="FH230" i="2"/>
  <c r="DO152" i="2"/>
  <c r="DR114" i="2"/>
  <c r="ED201" i="2"/>
  <c r="DX135" i="2"/>
  <c r="DB87" i="2"/>
  <c r="DC37" i="2"/>
  <c r="FQ18" i="2"/>
  <c r="FR20" i="2" s="1"/>
  <c r="FS10" i="2"/>
  <c r="FS13" i="2" s="1"/>
  <c r="BY20" i="2"/>
  <c r="CH19" i="2"/>
  <c r="CU13" i="2"/>
  <c r="T13" i="2"/>
  <c r="CC97" i="2"/>
  <c r="BU21" i="2"/>
  <c r="ED195" i="2"/>
  <c r="ED198" i="2" s="1"/>
  <c r="CI64" i="2"/>
  <c r="CY12" i="2"/>
  <c r="DS150" i="2"/>
  <c r="DT136" i="2"/>
  <c r="DD19" i="2"/>
  <c r="AH17" i="2"/>
  <c r="CD64" i="2"/>
  <c r="CE34" i="2"/>
  <c r="DH222" i="2"/>
  <c r="CM196" i="2"/>
  <c r="DZ114" i="2"/>
  <c r="DN380" i="2"/>
  <c r="DH416" i="2"/>
  <c r="DI417" i="2" s="1"/>
  <c r="GC215" i="2"/>
  <c r="DP134" i="2"/>
  <c r="ED112" i="2"/>
  <c r="CM246" i="2"/>
  <c r="CM248" i="2" s="1"/>
  <c r="EC110" i="2"/>
  <c r="AV222" i="2"/>
  <c r="DP115" i="2"/>
  <c r="CZ21" i="2"/>
  <c r="CK20" i="2"/>
  <c r="CD12" i="2"/>
  <c r="BV19" i="2"/>
  <c r="BZ13" i="2"/>
  <c r="BZ11" i="2"/>
  <c r="GC149" i="2"/>
  <c r="GC152" i="2" s="1"/>
  <c r="DJ33" i="2"/>
  <c r="E33" i="2"/>
  <c r="CM222" i="2"/>
  <c r="ED111" i="2"/>
  <c r="DD33" i="2"/>
  <c r="FP288" i="2"/>
  <c r="ED274" i="2"/>
  <c r="DO151" i="2"/>
  <c r="AV198" i="2"/>
  <c r="DO153" i="2"/>
  <c r="DO156" i="2" s="1"/>
  <c r="EE61" i="2"/>
  <c r="CG19" i="2"/>
  <c r="AH16" i="2"/>
  <c r="CZ20" i="2"/>
  <c r="CJ64" i="2"/>
  <c r="CZ65" i="2"/>
  <c r="DI34" i="2"/>
  <c r="DJ292" i="2"/>
  <c r="DJ278" i="2"/>
  <c r="DJ274" i="2"/>
  <c r="FK195" i="2"/>
  <c r="FK198" i="2" s="1"/>
  <c r="DT114" i="2"/>
  <c r="DY114" i="2"/>
  <c r="ED202" i="2"/>
  <c r="DJ288" i="2"/>
  <c r="DZ274" i="2"/>
  <c r="GB272" i="2"/>
  <c r="GB288" i="2" s="1"/>
  <c r="DS151" i="2"/>
  <c r="DN117" i="2"/>
  <c r="GG30" i="2"/>
  <c r="EE63" i="2"/>
  <c r="EE64" i="2" s="1"/>
  <c r="DO426" i="2"/>
  <c r="DU288" i="2"/>
  <c r="CF298" i="2"/>
  <c r="ED204" i="2"/>
  <c r="CJ246" i="2"/>
  <c r="CJ295" i="2" s="1"/>
  <c r="AH188" i="2"/>
  <c r="AH191" i="2" s="1"/>
  <c r="ED206" i="2"/>
  <c r="CL198" i="2"/>
  <c r="CP197" i="2"/>
  <c r="DD416" i="2"/>
  <c r="DW196" i="2"/>
  <c r="BO222" i="2"/>
  <c r="CW21" i="2"/>
  <c r="BC198" i="2"/>
  <c r="BS20" i="2"/>
  <c r="CX13" i="2"/>
  <c r="DJ40" i="2"/>
  <c r="BP19" i="2"/>
  <c r="DN18" i="2"/>
  <c r="DN19" i="2" s="1"/>
  <c r="DV135" i="2"/>
  <c r="DP322" i="2"/>
  <c r="V16" i="2"/>
  <c r="DH197" i="2"/>
  <c r="CT20" i="2"/>
  <c r="V17" i="2"/>
  <c r="FL239" i="2"/>
  <c r="DJ280" i="2"/>
  <c r="CJ197" i="2"/>
  <c r="CX416" i="2"/>
  <c r="CX417" i="2" s="1"/>
  <c r="CJ198" i="2"/>
  <c r="FT195" i="2"/>
  <c r="DW222" i="2"/>
  <c r="AU188" i="2"/>
  <c r="CS198" i="2"/>
  <c r="DV112" i="2"/>
  <c r="AL234" i="2"/>
  <c r="AW222" i="2"/>
  <c r="DS153" i="2"/>
  <c r="DS117" i="2"/>
  <c r="CC64" i="2"/>
  <c r="DD65" i="2"/>
  <c r="CX12" i="2"/>
  <c r="CP40" i="2"/>
  <c r="BO20" i="2"/>
  <c r="CP37" i="2"/>
  <c r="FP18" i="2"/>
  <c r="FP21" i="2" s="1"/>
  <c r="GE133" i="2"/>
  <c r="GF135" i="2" s="1"/>
  <c r="Q34" i="2"/>
  <c r="DB12" i="2"/>
  <c r="DL152" i="2"/>
  <c r="DO438" i="2"/>
  <c r="DB280" i="2"/>
  <c r="DV273" i="2"/>
  <c r="FZ318" i="2"/>
  <c r="FZ261" i="2"/>
  <c r="GF272" i="2"/>
  <c r="GF288" i="2" s="1"/>
  <c r="DD197" i="2"/>
  <c r="DV198" i="2"/>
  <c r="BX197" i="2"/>
  <c r="CW246" i="2"/>
  <c r="CW420" i="2" s="1"/>
  <c r="CW412" i="2" s="1"/>
  <c r="AL235" i="2"/>
  <c r="CL222" i="2"/>
  <c r="CQ246" i="2"/>
  <c r="CR247" i="2" s="1"/>
  <c r="DW416" i="2"/>
  <c r="AU222" i="2"/>
  <c r="AU223" i="2" s="1"/>
  <c r="DP151" i="2"/>
  <c r="DI29" i="2"/>
  <c r="BH21" i="2"/>
  <c r="FX18" i="2"/>
  <c r="FX21" i="2" s="1"/>
  <c r="CY11" i="2"/>
  <c r="CX11" i="2"/>
  <c r="DP324" i="2"/>
  <c r="DJ37" i="2"/>
  <c r="DK38" i="2" s="1"/>
  <c r="BA33" i="2"/>
  <c r="DP437" i="2"/>
  <c r="EA234" i="2"/>
  <c r="BC222" i="2"/>
  <c r="BG224" i="2" s="1"/>
  <c r="EA278" i="2"/>
  <c r="DP367" i="2"/>
  <c r="DH442" i="2"/>
  <c r="DT323" i="2"/>
  <c r="DV196" i="2"/>
  <c r="EE214" i="2"/>
  <c r="DZ197" i="2"/>
  <c r="BC197" i="2"/>
  <c r="AU198" i="2"/>
  <c r="CL246" i="2"/>
  <c r="CL247" i="2" s="1"/>
  <c r="DS115" i="2"/>
  <c r="DF234" i="2"/>
  <c r="DQ198" i="2"/>
  <c r="DW115" i="2"/>
  <c r="DR134" i="2"/>
  <c r="FO61" i="2"/>
  <c r="EC65" i="2"/>
  <c r="FT61" i="2"/>
  <c r="DI48" i="2"/>
  <c r="DI51" i="2" s="1"/>
  <c r="AJ20" i="2"/>
  <c r="DZ33" i="2"/>
  <c r="CZ97" i="2"/>
  <c r="DV322" i="2"/>
  <c r="CP65" i="2"/>
  <c r="BM64" i="2"/>
  <c r="CE20" i="2"/>
  <c r="EA197" i="2"/>
  <c r="EB322" i="2"/>
  <c r="CK198" i="2"/>
  <c r="DE33" i="2"/>
  <c r="DI27" i="2"/>
  <c r="CR64" i="2"/>
  <c r="FF47" i="2"/>
  <c r="CU19" i="2"/>
  <c r="FH18" i="2"/>
  <c r="FI20" i="2" s="1"/>
  <c r="FX261" i="2"/>
  <c r="AJ87" i="2"/>
  <c r="DD37" i="2"/>
  <c r="DC197" i="2"/>
  <c r="CL196" i="2"/>
  <c r="DT150" i="2"/>
  <c r="DN115" i="2"/>
  <c r="BH198" i="2"/>
  <c r="EC115" i="2"/>
  <c r="BH197" i="2"/>
  <c r="CJ12" i="2"/>
  <c r="FN202" i="2"/>
  <c r="AN20" i="2"/>
  <c r="CO29" i="2"/>
  <c r="CQ35" i="2"/>
  <c r="R16" i="2"/>
  <c r="GD109" i="2"/>
  <c r="GD111" i="2" s="1"/>
  <c r="BA197" i="2"/>
  <c r="DP136" i="2"/>
  <c r="GA329" i="2"/>
  <c r="BH222" i="2"/>
  <c r="BH223" i="2" s="1"/>
  <c r="CA20" i="2"/>
  <c r="CO48" i="2"/>
  <c r="CO51" i="2" s="1"/>
  <c r="CQ40" i="2"/>
  <c r="AJ21" i="2"/>
  <c r="FX17" i="2"/>
  <c r="DU112" i="2"/>
  <c r="DP135" i="2"/>
  <c r="CT19" i="2"/>
  <c r="FZ201" i="2"/>
  <c r="GB113" i="2"/>
  <c r="GB116" i="2" s="1"/>
  <c r="BG188" i="2"/>
  <c r="BH189" i="2" s="1"/>
  <c r="BT65" i="2"/>
  <c r="CF11" i="2"/>
  <c r="EB324" i="2"/>
  <c r="BT188" i="2"/>
  <c r="AT197" i="2"/>
  <c r="AK19" i="2"/>
  <c r="CD65" i="2"/>
  <c r="DO34" i="2"/>
  <c r="AP15" i="2"/>
  <c r="GF205" i="2"/>
  <c r="DJ117" i="2"/>
  <c r="DK118" i="2" s="1"/>
  <c r="AW196" i="2"/>
  <c r="BT197" i="2"/>
  <c r="BG65" i="2"/>
  <c r="DN135" i="2"/>
  <c r="DN376" i="2"/>
  <c r="GF440" i="2"/>
  <c r="GF443" i="2" s="1"/>
  <c r="DN385" i="2"/>
  <c r="DD292" i="2"/>
  <c r="CU280" i="2"/>
  <c r="DD196" i="2"/>
  <c r="DE234" i="2"/>
  <c r="DC198" i="2"/>
  <c r="DC246" i="2"/>
  <c r="DC248" i="2" s="1"/>
  <c r="GE195" i="2"/>
  <c r="GE198" i="2" s="1"/>
  <c r="FM195" i="2"/>
  <c r="FM222" i="2" s="1"/>
  <c r="CG198" i="2"/>
  <c r="CY416" i="2"/>
  <c r="BG198" i="2"/>
  <c r="DP197" i="2"/>
  <c r="DQ134" i="2"/>
  <c r="AL13" i="2"/>
  <c r="AZ33" i="2"/>
  <c r="BD29" i="2"/>
  <c r="CB20" i="2"/>
  <c r="GB133" i="2"/>
  <c r="GB136" i="2" s="1"/>
  <c r="EB37" i="2"/>
  <c r="BK20" i="2"/>
  <c r="AT34" i="2"/>
  <c r="DN372" i="2"/>
  <c r="DZ442" i="2"/>
  <c r="DZ432" i="2"/>
  <c r="DZ435" i="2" s="1"/>
  <c r="DN384" i="2"/>
  <c r="DO292" i="2"/>
  <c r="DC416" i="2"/>
  <c r="BH196" i="2"/>
  <c r="CG196" i="2"/>
  <c r="GD144" i="2"/>
  <c r="EB40" i="2"/>
  <c r="CR33" i="2"/>
  <c r="CB19" i="2"/>
  <c r="CX20" i="2"/>
  <c r="CX19" i="2"/>
  <c r="DW147" i="2"/>
  <c r="K33" i="2"/>
  <c r="FN18" i="2"/>
  <c r="FN21" i="2" s="1"/>
  <c r="DN405" i="2"/>
  <c r="CV280" i="2"/>
  <c r="GD261" i="2"/>
  <c r="BL188" i="2"/>
  <c r="BL190" i="2" s="1"/>
  <c r="CY198" i="2"/>
  <c r="CG246" i="2"/>
  <c r="CG249" i="2" s="1"/>
  <c r="GE145" i="2"/>
  <c r="BG197" i="2"/>
  <c r="CG222" i="2"/>
  <c r="DX120" i="2"/>
  <c r="BA35" i="2"/>
  <c r="AP16" i="2"/>
  <c r="BG20" i="2"/>
  <c r="BT21" i="2"/>
  <c r="CF20" i="2"/>
  <c r="CB21" i="2"/>
  <c r="ED20" i="2"/>
  <c r="EA147" i="2"/>
  <c r="BU19" i="2"/>
  <c r="AE189" i="2"/>
  <c r="DQ135" i="2"/>
  <c r="BG19" i="2"/>
  <c r="DR323" i="2"/>
  <c r="AE198" i="2"/>
  <c r="DJ136" i="2"/>
  <c r="GF201" i="2"/>
  <c r="DU135" i="2"/>
  <c r="CY196" i="2"/>
  <c r="GC133" i="2"/>
  <c r="EA34" i="2"/>
  <c r="AP17" i="2"/>
  <c r="DO35" i="2"/>
  <c r="GD16" i="2"/>
  <c r="DV323" i="2"/>
  <c r="DC196" i="2"/>
  <c r="BT19" i="2"/>
  <c r="DN394" i="2"/>
  <c r="DN387" i="2" s="1"/>
  <c r="DN388" i="2" s="1"/>
  <c r="DE273" i="2"/>
  <c r="BI196" i="2"/>
  <c r="BL197" i="2"/>
  <c r="AE196" i="2"/>
  <c r="BT20" i="2"/>
  <c r="CQ20" i="2"/>
  <c r="AT16" i="2"/>
  <c r="DN368" i="2"/>
  <c r="DZ322" i="2"/>
  <c r="BH33" i="2"/>
  <c r="AI34" i="2"/>
  <c r="DL153" i="2"/>
  <c r="DL156" i="2" s="1"/>
  <c r="DI441" i="2"/>
  <c r="DC292" i="2"/>
  <c r="DI281" i="2"/>
  <c r="DP425" i="2"/>
  <c r="CE190" i="2"/>
  <c r="CQ222" i="2"/>
  <c r="GC195" i="2"/>
  <c r="GC222" i="2" s="1"/>
  <c r="CV222" i="2"/>
  <c r="DE416" i="2"/>
  <c r="DI418" i="2" s="1"/>
  <c r="CA222" i="2"/>
  <c r="CE224" i="2" s="1"/>
  <c r="GB145" i="2"/>
  <c r="GB148" i="2" s="1"/>
  <c r="DY115" i="2"/>
  <c r="BE234" i="2"/>
  <c r="DQ115" i="2"/>
  <c r="DY117" i="2"/>
  <c r="DY416" i="2" s="1"/>
  <c r="DV115" i="2"/>
  <c r="D87" i="2"/>
  <c r="FO18" i="2"/>
  <c r="FO21" i="2" s="1"/>
  <c r="DM65" i="2"/>
  <c r="BV42" i="2"/>
  <c r="FT32" i="2"/>
  <c r="FT35" i="2" s="1"/>
  <c r="N12" i="2"/>
  <c r="CS19" i="2"/>
  <c r="BZ19" i="2"/>
  <c r="GD113" i="2"/>
  <c r="GD116" i="2" s="1"/>
  <c r="FZ195" i="2"/>
  <c r="FZ222" i="2" s="1"/>
  <c r="DT273" i="2"/>
  <c r="CW20" i="2"/>
  <c r="GA440" i="2"/>
  <c r="GB442" i="2" s="1"/>
  <c r="EA322" i="2"/>
  <c r="DP273" i="2"/>
  <c r="CV246" i="2"/>
  <c r="CV420" i="2" s="1"/>
  <c r="EG157" i="2"/>
  <c r="GG157" i="2" s="1"/>
  <c r="GG159" i="2" s="1"/>
  <c r="BD234" i="2"/>
  <c r="FY201" i="2"/>
  <c r="DP147" i="2"/>
  <c r="CA19" i="2"/>
  <c r="CS21" i="2"/>
  <c r="FS18" i="2"/>
  <c r="DL146" i="2"/>
  <c r="CQ196" i="2"/>
  <c r="BU42" i="2"/>
  <c r="AT35" i="2"/>
  <c r="BU32" i="2"/>
  <c r="DS274" i="2"/>
  <c r="BX198" i="2"/>
  <c r="CV416" i="2"/>
  <c r="CW417" i="2" s="1"/>
  <c r="CA197" i="2"/>
  <c r="DE198" i="2"/>
  <c r="DM146" i="2"/>
  <c r="BO198" i="2"/>
  <c r="DR115" i="2"/>
  <c r="BN198" i="2"/>
  <c r="EB114" i="2"/>
  <c r="DZ110" i="2"/>
  <c r="CA198" i="2"/>
  <c r="BU44" i="2"/>
  <c r="GD43" i="2"/>
  <c r="FL17" i="2"/>
  <c r="CS20" i="2"/>
  <c r="FW18" i="2"/>
  <c r="F34" i="2"/>
  <c r="DR117" i="2"/>
  <c r="DR120" i="2" s="1"/>
  <c r="DL148" i="2"/>
  <c r="DY111" i="2"/>
  <c r="D35" i="2"/>
  <c r="BZ20" i="2"/>
  <c r="BH87" i="2"/>
  <c r="DS442" i="2"/>
  <c r="DL442" i="2"/>
  <c r="EF285" i="2"/>
  <c r="EG285" i="2" s="1"/>
  <c r="GG285" i="2" s="1"/>
  <c r="DO288" i="2"/>
  <c r="GC272" i="2"/>
  <c r="DM267" i="2"/>
  <c r="BX188" i="2"/>
  <c r="CQ198" i="2"/>
  <c r="AK197" i="2"/>
  <c r="DE196" i="2"/>
  <c r="AK196" i="2"/>
  <c r="GF145" i="2"/>
  <c r="GF148" i="2" s="1"/>
  <c r="CS222" i="2"/>
  <c r="EC147" i="2"/>
  <c r="DS114" i="2"/>
  <c r="DV114" i="2"/>
  <c r="FB32" i="2"/>
  <c r="FB35" i="2" s="1"/>
  <c r="CL35" i="2"/>
  <c r="AJ33" i="2"/>
  <c r="BU43" i="2"/>
  <c r="BM19" i="2"/>
  <c r="DZ324" i="2"/>
  <c r="DR12" i="2"/>
  <c r="DZ273" i="2"/>
  <c r="CQ197" i="2"/>
  <c r="BL88" i="2"/>
  <c r="BH12" i="2"/>
  <c r="BQ20" i="2"/>
  <c r="F95" i="2"/>
  <c r="DI197" i="2"/>
  <c r="BS33" i="2"/>
  <c r="DS441" i="2"/>
  <c r="EE287" i="2"/>
  <c r="GB266" i="2"/>
  <c r="GB269" i="2" s="1"/>
  <c r="DO274" i="2"/>
  <c r="DQ268" i="2"/>
  <c r="CQ417" i="2"/>
  <c r="GF233" i="2"/>
  <c r="AK198" i="2"/>
  <c r="AK222" i="2"/>
  <c r="AK223" i="2" s="1"/>
  <c r="DY110" i="2"/>
  <c r="AO197" i="2"/>
  <c r="CS246" i="2"/>
  <c r="CS249" i="2" s="1"/>
  <c r="EC111" i="2"/>
  <c r="BO196" i="2"/>
  <c r="DU116" i="2"/>
  <c r="CM35" i="2"/>
  <c r="GB63" i="2"/>
  <c r="DV33" i="2"/>
  <c r="CL40" i="2"/>
  <c r="FY202" i="2"/>
  <c r="GA36" i="2"/>
  <c r="DC274" i="2"/>
  <c r="AZ34" i="2"/>
  <c r="DQ116" i="2"/>
  <c r="DQ65" i="2"/>
  <c r="EA196" i="2"/>
  <c r="AN16" i="2"/>
  <c r="DQ365" i="2"/>
  <c r="GC365" i="2" s="1"/>
  <c r="GC367" i="2" s="1"/>
  <c r="FT243" i="2"/>
  <c r="DP383" i="2"/>
  <c r="DP368" i="2" s="1"/>
  <c r="DU274" i="2"/>
  <c r="FO278" i="2"/>
  <c r="CW197" i="2"/>
  <c r="DS323" i="2"/>
  <c r="DS281" i="2"/>
  <c r="CG64" i="2"/>
  <c r="FY330" i="2"/>
  <c r="DU292" i="2"/>
  <c r="DY274" i="2"/>
  <c r="FZ148" i="3"/>
  <c r="EH156" i="3"/>
  <c r="DE35" i="2"/>
  <c r="K34" i="2"/>
  <c r="DU20" i="2"/>
  <c r="FX47" i="2"/>
  <c r="CN19" i="2"/>
  <c r="DH34" i="2"/>
  <c r="DV64" i="2"/>
  <c r="FV18" i="2"/>
  <c r="FV21" i="2" s="1"/>
  <c r="DI33" i="2"/>
  <c r="CK11" i="2"/>
  <c r="BD14" i="3"/>
  <c r="Y14" i="2"/>
  <c r="FY86" i="2"/>
  <c r="FY89" i="2" s="1"/>
  <c r="BR35" i="2"/>
  <c r="N48" i="2"/>
  <c r="N51" i="2" s="1"/>
  <c r="BR34" i="2"/>
  <c r="DE37" i="2"/>
  <c r="CM19" i="2"/>
  <c r="CO12" i="2"/>
  <c r="CH390" i="3"/>
  <c r="DA89" i="2"/>
  <c r="FY85" i="2"/>
  <c r="FU21" i="2"/>
  <c r="BD107" i="3"/>
  <c r="FM18" i="2"/>
  <c r="BO17" i="3"/>
  <c r="EJ85" i="3"/>
  <c r="DA88" i="2"/>
  <c r="DD64" i="2"/>
  <c r="P33" i="2"/>
  <c r="CM21" i="2"/>
  <c r="BA34" i="2"/>
  <c r="BZ16" i="3"/>
  <c r="AM14" i="2"/>
  <c r="FI14" i="2" s="1"/>
  <c r="FT108" i="3"/>
  <c r="EC40" i="2"/>
  <c r="EP37" i="3"/>
  <c r="EQ87" i="3"/>
  <c r="CQ13" i="3"/>
  <c r="BA18" i="2"/>
  <c r="BB19" i="2" s="1"/>
  <c r="AR122" i="3"/>
  <c r="DB387" i="3"/>
  <c r="DZ74" i="3"/>
  <c r="EM156" i="3"/>
  <c r="BD113" i="3"/>
  <c r="EK269" i="3"/>
  <c r="EK266" i="3" s="1"/>
  <c r="CK122" i="3"/>
  <c r="FE16" i="3"/>
  <c r="FE17" i="3" s="1"/>
  <c r="EC64" i="2"/>
  <c r="DV229" i="3"/>
  <c r="DM157" i="3"/>
  <c r="FF156" i="3"/>
  <c r="EC74" i="3"/>
  <c r="AG115" i="3"/>
  <c r="DF169" i="3"/>
  <c r="DG169" i="3" s="1"/>
  <c r="FD156" i="3"/>
  <c r="FE156" i="3" s="1"/>
  <c r="CH65" i="2"/>
  <c r="FX85" i="2"/>
  <c r="BL115" i="3"/>
  <c r="CR283" i="3"/>
  <c r="DJ122" i="3"/>
  <c r="DH156" i="3"/>
  <c r="DK64" i="2"/>
  <c r="DT65" i="2"/>
  <c r="FY63" i="2"/>
  <c r="DZ65" i="2"/>
  <c r="DB64" i="2"/>
  <c r="CL65" i="2"/>
  <c r="BA64" i="2"/>
  <c r="CG65" i="2"/>
  <c r="FW32" i="2"/>
  <c r="FW35" i="2" s="1"/>
  <c r="BW113" i="3"/>
  <c r="AK86" i="2" s="1"/>
  <c r="CV156" i="3"/>
  <c r="CW156" i="3" s="1"/>
  <c r="DA113" i="3"/>
  <c r="EF387" i="3"/>
  <c r="DI156" i="3"/>
  <c r="CR98" i="3"/>
  <c r="DH37" i="2"/>
  <c r="CH186" i="3"/>
  <c r="CS64" i="2"/>
  <c r="EA186" i="3"/>
  <c r="DG225" i="3"/>
  <c r="BW115" i="3"/>
  <c r="DV19" i="2"/>
  <c r="AK33" i="2"/>
  <c r="BC16" i="3"/>
  <c r="BE156" i="3" s="1"/>
  <c r="CF107" i="3"/>
  <c r="CG107" i="3" s="1"/>
  <c r="GK157" i="3"/>
  <c r="GF89" i="2"/>
  <c r="AQ35" i="2"/>
  <c r="AQ33" i="2"/>
  <c r="CE378" i="3"/>
  <c r="AU17" i="2"/>
  <c r="AY16" i="2"/>
  <c r="AU15" i="2"/>
  <c r="BI21" i="2"/>
  <c r="BI19" i="2"/>
  <c r="BJ19" i="2"/>
  <c r="BI20" i="2"/>
  <c r="BM20" i="2"/>
  <c r="FC146" i="3"/>
  <c r="FH157" i="3" s="1"/>
  <c r="FC147" i="3"/>
  <c r="FC92" i="3"/>
  <c r="FH163" i="3" s="1"/>
  <c r="EF227" i="3"/>
  <c r="EF229" i="3" s="1"/>
  <c r="EJ229" i="3"/>
  <c r="CY37" i="2"/>
  <c r="CY35" i="2"/>
  <c r="CY33" i="2"/>
  <c r="DJ238" i="3"/>
  <c r="DJ242" i="3" s="1"/>
  <c r="DJ230" i="3"/>
  <c r="DJ235" i="3"/>
  <c r="BE85" i="3"/>
  <c r="BM35" i="2"/>
  <c r="BM34" i="2"/>
  <c r="AO34" i="2"/>
  <c r="AO35" i="2"/>
  <c r="AH35" i="2"/>
  <c r="AH34" i="2"/>
  <c r="FH32" i="2"/>
  <c r="FH35" i="2" s="1"/>
  <c r="AI33" i="2"/>
  <c r="EM288" i="3"/>
  <c r="EM290" i="3" s="1"/>
  <c r="EM315" i="3"/>
  <c r="EM273" i="3"/>
  <c r="DI13" i="2"/>
  <c r="DI12" i="2"/>
  <c r="DI97" i="2"/>
  <c r="DM12" i="2"/>
  <c r="DI11" i="2"/>
  <c r="DI18" i="2"/>
  <c r="GA18" i="2" s="1"/>
  <c r="GA10" i="2"/>
  <c r="GA13" i="2" s="1"/>
  <c r="DP238" i="3"/>
  <c r="DO164" i="3"/>
  <c r="DT161" i="3" s="1"/>
  <c r="AO119" i="3"/>
  <c r="FI114" i="3"/>
  <c r="FJ114" i="3" s="1"/>
  <c r="FH115" i="3"/>
  <c r="DC34" i="2"/>
  <c r="BW119" i="3"/>
  <c r="BX119" i="3" s="1"/>
  <c r="BV122" i="3"/>
  <c r="AW14" i="3"/>
  <c r="AW15" i="3" s="1"/>
  <c r="AX107" i="3"/>
  <c r="AX14" i="3" s="1"/>
  <c r="GR115" i="3"/>
  <c r="GS115" i="3" s="1"/>
  <c r="EG86" i="2"/>
  <c r="CJ92" i="3"/>
  <c r="CJ153" i="3" s="1"/>
  <c r="CJ146" i="3"/>
  <c r="GA330" i="2"/>
  <c r="GA324" i="2"/>
  <c r="DA64" i="2"/>
  <c r="D17" i="2"/>
  <c r="CX37" i="2"/>
  <c r="CX38" i="2" s="1"/>
  <c r="CX40" i="2"/>
  <c r="CX35" i="2"/>
  <c r="BI33" i="2"/>
  <c r="BH35" i="2"/>
  <c r="EH155" i="3"/>
  <c r="EE85" i="3"/>
  <c r="EE74" i="3" s="1"/>
  <c r="EG156" i="3"/>
  <c r="EE155" i="3"/>
  <c r="EF155" i="3" s="1"/>
  <c r="EE156" i="3"/>
  <c r="EF156" i="3" s="1"/>
  <c r="EI155" i="3"/>
  <c r="EG155" i="3"/>
  <c r="DA202" i="3"/>
  <c r="DF203" i="3"/>
  <c r="DH51" i="2"/>
  <c r="DH52" i="2"/>
  <c r="CW189" i="3"/>
  <c r="CW184" i="3"/>
  <c r="CW186" i="3" s="1"/>
  <c r="Q16" i="2"/>
  <c r="R15" i="2"/>
  <c r="BC35" i="2"/>
  <c r="BC33" i="2"/>
  <c r="BG34" i="2"/>
  <c r="CV35" i="2"/>
  <c r="CV37" i="2"/>
  <c r="CW38" i="2" s="1"/>
  <c r="CV34" i="2"/>
  <c r="CV40" i="2"/>
  <c r="U87" i="2"/>
  <c r="FD86" i="2"/>
  <c r="FD89" i="2" s="1"/>
  <c r="U89" i="2"/>
  <c r="V87" i="2"/>
  <c r="DE21" i="2"/>
  <c r="DE19" i="2"/>
  <c r="BR20" i="2"/>
  <c r="BN20" i="2"/>
  <c r="BN19" i="2"/>
  <c r="BO19" i="2"/>
  <c r="DA121" i="3"/>
  <c r="DB121" i="3" s="1"/>
  <c r="AB34" i="2"/>
  <c r="GF32" i="2"/>
  <c r="GF35" i="2" s="1"/>
  <c r="CC186" i="3"/>
  <c r="BD119" i="3"/>
  <c r="BU15" i="3"/>
  <c r="AI14" i="2"/>
  <c r="GD47" i="2"/>
  <c r="FC21" i="2"/>
  <c r="EA375" i="3"/>
  <c r="DQ229" i="3"/>
  <c r="CR201" i="3"/>
  <c r="EG310" i="3"/>
  <c r="FT51" i="3"/>
  <c r="FU148" i="3"/>
  <c r="DN156" i="3"/>
  <c r="CT85" i="3"/>
  <c r="ET74" i="3"/>
  <c r="BB33" i="2"/>
  <c r="DS11" i="2"/>
  <c r="AY11" i="2"/>
  <c r="BZ64" i="2"/>
  <c r="DZ35" i="2"/>
  <c r="AU33" i="2"/>
  <c r="Q35" i="2"/>
  <c r="DR18" i="2"/>
  <c r="DV20" i="2" s="1"/>
  <c r="DR11" i="2"/>
  <c r="CR35" i="2"/>
  <c r="CZ19" i="2"/>
  <c r="BF34" i="2"/>
  <c r="FI85" i="2"/>
  <c r="CF13" i="2"/>
  <c r="S33" i="2"/>
  <c r="BH20" i="2"/>
  <c r="AC33" i="2"/>
  <c r="BL34" i="2"/>
  <c r="DV12" i="2"/>
  <c r="EC33" i="2"/>
  <c r="CG33" i="2"/>
  <c r="AE33" i="2"/>
  <c r="BB12" i="2"/>
  <c r="CW121" i="3"/>
  <c r="CU89" i="3"/>
  <c r="CU88" i="3" s="1"/>
  <c r="AN33" i="2"/>
  <c r="CX34" i="2"/>
  <c r="EF375" i="3"/>
  <c r="DQ387" i="3"/>
  <c r="EO273" i="3"/>
  <c r="DJ236" i="3"/>
  <c r="DP236" i="3"/>
  <c r="CW388" i="3"/>
  <c r="CW390" i="3" s="1"/>
  <c r="BG122" i="3"/>
  <c r="CN19" i="3"/>
  <c r="EX156" i="3"/>
  <c r="CF97" i="2"/>
  <c r="CS35" i="2"/>
  <c r="DH64" i="2"/>
  <c r="BZ65" i="2"/>
  <c r="AU34" i="2"/>
  <c r="DN37" i="2"/>
  <c r="FR17" i="2"/>
  <c r="X34" i="2"/>
  <c r="CR37" i="2"/>
  <c r="CS38" i="2" s="1"/>
  <c r="CR40" i="2"/>
  <c r="CY20" i="2"/>
  <c r="GF43" i="2"/>
  <c r="AB35" i="2"/>
  <c r="FY18" i="2"/>
  <c r="FY21" i="2" s="1"/>
  <c r="BH19" i="2"/>
  <c r="BU16" i="3"/>
  <c r="AI10" i="2" s="1"/>
  <c r="AO121" i="3"/>
  <c r="DU155" i="3"/>
  <c r="DV155" i="3" s="1"/>
  <c r="EM310" i="3"/>
  <c r="EI310" i="3"/>
  <c r="EI156" i="3"/>
  <c r="EN74" i="3"/>
  <c r="CS65" i="2"/>
  <c r="DJ64" i="2"/>
  <c r="FP85" i="2"/>
  <c r="R33" i="2"/>
  <c r="CY19" i="2"/>
  <c r="FT63" i="2"/>
  <c r="EB33" i="2"/>
  <c r="FC20" i="2"/>
  <c r="Q33" i="2"/>
  <c r="AY27" i="2"/>
  <c r="CY21" i="2"/>
  <c r="DP235" i="3"/>
  <c r="DG196" i="3"/>
  <c r="CD156" i="3"/>
  <c r="CR100" i="3"/>
  <c r="DE157" i="3"/>
  <c r="CO174" i="3"/>
  <c r="AH18" i="3"/>
  <c r="DB65" i="2"/>
  <c r="FK32" i="2"/>
  <c r="FK35" i="2" s="1"/>
  <c r="AH33" i="2"/>
  <c r="CS40" i="2"/>
  <c r="CF12" i="2"/>
  <c r="CV64" i="2"/>
  <c r="BX113" i="3"/>
  <c r="AN107" i="3"/>
  <c r="AN14" i="3" s="1"/>
  <c r="AN15" i="3" s="1"/>
  <c r="EX73" i="3"/>
  <c r="DY161" i="3"/>
  <c r="DA18" i="3"/>
  <c r="BI10" i="2"/>
  <c r="CR390" i="3"/>
  <c r="ED288" i="3"/>
  <c r="EI290" i="3" s="1"/>
  <c r="CE377" i="3"/>
  <c r="BX376" i="3"/>
  <c r="DL387" i="3"/>
  <c r="EC310" i="3"/>
  <c r="EK196" i="3"/>
  <c r="AX118" i="3"/>
  <c r="AY118" i="3" s="1"/>
  <c r="DB118" i="3"/>
  <c r="CL114" i="3"/>
  <c r="CL115" i="3" s="1"/>
  <c r="DF121" i="3"/>
  <c r="FO51" i="3"/>
  <c r="ES156" i="3"/>
  <c r="EF271" i="3"/>
  <c r="EF315" i="3" s="1"/>
  <c r="BW377" i="3"/>
  <c r="CH387" i="3"/>
  <c r="EH310" i="3"/>
  <c r="CY202" i="3"/>
  <c r="CT122" i="3"/>
  <c r="AX108" i="3"/>
  <c r="AY108" i="3" s="1"/>
  <c r="DT163" i="3"/>
  <c r="CA122" i="3"/>
  <c r="AN113" i="3"/>
  <c r="AO113" i="3" s="1"/>
  <c r="CK115" i="3"/>
  <c r="FR156" i="3"/>
  <c r="GF122" i="3"/>
  <c r="GI122" i="3" s="1"/>
  <c r="CC108" i="3"/>
  <c r="DA155" i="3"/>
  <c r="DB155" i="3" s="1"/>
  <c r="CX156" i="3"/>
  <c r="EA215" i="3"/>
  <c r="HG114" i="3"/>
  <c r="HH114" i="3" s="1"/>
  <c r="DB120" i="3"/>
  <c r="CB113" i="3"/>
  <c r="CB115" i="3" s="1"/>
  <c r="ER156" i="3"/>
  <c r="ER155" i="3"/>
  <c r="EU16" i="3"/>
  <c r="EU17" i="3" s="1"/>
  <c r="CB155" i="3"/>
  <c r="CC155" i="3" s="1"/>
  <c r="CD155" i="3"/>
  <c r="CC16" i="3"/>
  <c r="CC17" i="3" s="1"/>
  <c r="CB85" i="3"/>
  <c r="DY157" i="3"/>
  <c r="DR157" i="3"/>
  <c r="CY156" i="3"/>
  <c r="GC156" i="3"/>
  <c r="GD156" i="3" s="1"/>
  <c r="GE156" i="3"/>
  <c r="GC155" i="3"/>
  <c r="GD155" i="3" s="1"/>
  <c r="CK16" i="3"/>
  <c r="AV14" i="2"/>
  <c r="GM18" i="3"/>
  <c r="GN18" i="3" s="1"/>
  <c r="EC10" i="2"/>
  <c r="DN157" i="3"/>
  <c r="DI155" i="3"/>
  <c r="EP15" i="3"/>
  <c r="FZ202" i="2"/>
  <c r="FN32" i="2"/>
  <c r="FN35" i="2" s="1"/>
  <c r="DN34" i="2"/>
  <c r="CL33" i="2"/>
  <c r="J34" i="2"/>
  <c r="CE33" i="2"/>
  <c r="BF20" i="2"/>
  <c r="AX48" i="2"/>
  <c r="AY49" i="2" s="1"/>
  <c r="F33" i="2"/>
  <c r="AE35" i="2"/>
  <c r="AO15" i="2"/>
  <c r="CH64" i="2"/>
  <c r="FT43" i="2"/>
  <c r="L33" i="2"/>
  <c r="CY64" i="2"/>
  <c r="FZ18" i="2"/>
  <c r="FZ21" i="2" s="1"/>
  <c r="AO33" i="2"/>
  <c r="DW38" i="2"/>
  <c r="FO85" i="2"/>
  <c r="DN65" i="2"/>
  <c r="DS64" i="2"/>
  <c r="BO33" i="2"/>
  <c r="DT34" i="2"/>
  <c r="BX34" i="2"/>
  <c r="V34" i="2"/>
  <c r="CA33" i="2"/>
  <c r="Y33" i="2"/>
  <c r="DE20" i="2"/>
  <c r="CG118" i="3"/>
  <c r="CG122" i="3" s="1"/>
  <c r="AI113" i="3"/>
  <c r="AY107" i="3"/>
  <c r="BX107" i="3"/>
  <c r="BW14" i="3"/>
  <c r="CC120" i="3"/>
  <c r="BB13" i="2"/>
  <c r="AT121" i="3"/>
  <c r="EY156" i="3"/>
  <c r="EZ156" i="3" s="1"/>
  <c r="FV85" i="2"/>
  <c r="G33" i="2"/>
  <c r="AV33" i="2"/>
  <c r="M33" i="2"/>
  <c r="CY65" i="2"/>
  <c r="H16" i="2"/>
  <c r="P34" i="2"/>
  <c r="DZ37" i="2"/>
  <c r="DZ39" i="2" s="1"/>
  <c r="DN35" i="2"/>
  <c r="DL215" i="3"/>
  <c r="EU261" i="3"/>
  <c r="AY14" i="3"/>
  <c r="T14" i="2"/>
  <c r="EY155" i="3"/>
  <c r="EZ155" i="3" s="1"/>
  <c r="AP33" i="2"/>
  <c r="DZ34" i="2"/>
  <c r="AW33" i="2"/>
  <c r="DQ64" i="2"/>
  <c r="DZ20" i="2"/>
  <c r="BC19" i="2"/>
  <c r="H17" i="2"/>
  <c r="CM38" i="2"/>
  <c r="EC37" i="2"/>
  <c r="BR108" i="3"/>
  <c r="BS108" i="3" s="1"/>
  <c r="EE18" i="3"/>
  <c r="EE172" i="3" s="1"/>
  <c r="CG10" i="2"/>
  <c r="BC18" i="3"/>
  <c r="U10" i="2"/>
  <c r="DH157" i="3"/>
  <c r="GL157" i="3"/>
  <c r="CY155" i="3"/>
  <c r="EO74" i="3"/>
  <c r="FA155" i="3"/>
  <c r="EO156" i="3"/>
  <c r="EP156" i="3" s="1"/>
  <c r="GF88" i="2"/>
  <c r="DV35" i="2"/>
  <c r="CD34" i="2"/>
  <c r="EA33" i="2"/>
  <c r="CP34" i="2"/>
  <c r="DV21" i="2"/>
  <c r="BB21" i="2"/>
  <c r="CK34" i="2"/>
  <c r="EP261" i="3"/>
  <c r="BR107" i="3"/>
  <c r="BQ14" i="3"/>
  <c r="AW16" i="3"/>
  <c r="BC114" i="3"/>
  <c r="BD15" i="3"/>
  <c r="Z14" i="2"/>
  <c r="CT18" i="3"/>
  <c r="CT174" i="3" s="1"/>
  <c r="BC10" i="2"/>
  <c r="FD85" i="2"/>
  <c r="DO33" i="2"/>
  <c r="GA62" i="2"/>
  <c r="H15" i="2"/>
  <c r="GC191" i="2"/>
  <c r="AJ107" i="3"/>
  <c r="AI14" i="3"/>
  <c r="GW113" i="3"/>
  <c r="EJ86" i="2"/>
  <c r="AM16" i="3"/>
  <c r="I14" i="2"/>
  <c r="EI164" i="3"/>
  <c r="EI161" i="3" s="1"/>
  <c r="EH161" i="3"/>
  <c r="CZ88" i="3"/>
  <c r="DA88" i="3" s="1"/>
  <c r="DB88" i="3" s="1"/>
  <c r="O10" i="2"/>
  <c r="AV17" i="3"/>
  <c r="DP408" i="2"/>
  <c r="FV274" i="2"/>
  <c r="CX196" i="2"/>
  <c r="EB222" i="2"/>
  <c r="FZ215" i="2"/>
  <c r="EF225" i="2"/>
  <c r="EG225" i="2" s="1"/>
  <c r="EA198" i="2"/>
  <c r="BG196" i="2"/>
  <c r="DK196" i="2"/>
  <c r="DW110" i="2"/>
  <c r="GE109" i="2"/>
  <c r="GE112" i="2" s="1"/>
  <c r="EB197" i="2"/>
  <c r="GF195" i="2"/>
  <c r="GF198" i="2" s="1"/>
  <c r="DO116" i="2"/>
  <c r="DP114" i="2"/>
  <c r="DN111" i="2"/>
  <c r="DQ35" i="2"/>
  <c r="DK198" i="2"/>
  <c r="BS34" i="2"/>
  <c r="V35" i="2"/>
  <c r="BZ34" i="2"/>
  <c r="BO35" i="2"/>
  <c r="BM33" i="2"/>
  <c r="DP33" i="2"/>
  <c r="CX33" i="2"/>
  <c r="EA110" i="2"/>
  <c r="DU34" i="2"/>
  <c r="DQ37" i="2"/>
  <c r="FE32" i="2"/>
  <c r="FE35" i="2" s="1"/>
  <c r="DT432" i="2"/>
  <c r="DU433" i="2" s="1"/>
  <c r="DX442" i="2"/>
  <c r="BF188" i="2"/>
  <c r="EB198" i="2"/>
  <c r="DB197" i="2"/>
  <c r="AH198" i="2"/>
  <c r="FH201" i="2"/>
  <c r="DO114" i="2"/>
  <c r="DK222" i="2"/>
  <c r="CA196" i="2"/>
  <c r="BW234" i="2"/>
  <c r="GC190" i="2"/>
  <c r="DV111" i="2"/>
  <c r="AH197" i="2"/>
  <c r="DT64" i="2"/>
  <c r="GF36" i="2"/>
  <c r="V33" i="2"/>
  <c r="AZ52" i="2"/>
  <c r="BZ33" i="2"/>
  <c r="FR47" i="2"/>
  <c r="FL47" i="2"/>
  <c r="BX35" i="2"/>
  <c r="DQ33" i="2"/>
  <c r="CW35" i="2"/>
  <c r="CF255" i="2"/>
  <c r="EB196" i="2"/>
  <c r="BZ196" i="2"/>
  <c r="AZ188" i="2"/>
  <c r="AZ191" i="2" s="1"/>
  <c r="BZ222" i="2"/>
  <c r="CD224" i="2" s="1"/>
  <c r="GC113" i="2"/>
  <c r="DK246" i="2"/>
  <c r="DK295" i="2" s="1"/>
  <c r="CX197" i="2"/>
  <c r="BZ197" i="2"/>
  <c r="DN64" i="2"/>
  <c r="BR64" i="2"/>
  <c r="EB65" i="2"/>
  <c r="CJ65" i="2"/>
  <c r="CM33" i="2"/>
  <c r="CW34" i="2"/>
  <c r="BL35" i="2"/>
  <c r="DP35" i="2"/>
  <c r="CW40" i="2"/>
  <c r="DN112" i="2"/>
  <c r="EA112" i="2"/>
  <c r="DO110" i="2"/>
  <c r="DU441" i="2"/>
  <c r="DT441" i="2"/>
  <c r="GD440" i="2"/>
  <c r="GD442" i="2" s="1"/>
  <c r="CF257" i="2"/>
  <c r="EA222" i="2"/>
  <c r="DI198" i="2"/>
  <c r="BF198" i="2"/>
  <c r="BF197" i="2"/>
  <c r="DR111" i="2"/>
  <c r="GF109" i="2"/>
  <c r="EB110" i="2"/>
  <c r="DQ222" i="2"/>
  <c r="DQ223" i="2" s="1"/>
  <c r="AZ197" i="2"/>
  <c r="DN110" i="2"/>
  <c r="FQ47" i="2"/>
  <c r="EB64" i="2"/>
  <c r="DP37" i="2"/>
  <c r="CW33" i="2"/>
  <c r="DP40" i="2"/>
  <c r="EA117" i="2"/>
  <c r="EA120" i="2" s="1"/>
  <c r="DJ196" i="2"/>
  <c r="DQ246" i="2"/>
  <c r="DQ249" i="2" s="1"/>
  <c r="DI222" i="2"/>
  <c r="DI224" i="2" s="1"/>
  <c r="DI246" i="2"/>
  <c r="AZ198" i="2"/>
  <c r="EC196" i="2"/>
  <c r="DV110" i="2"/>
  <c r="FK47" i="2"/>
  <c r="DH40" i="2"/>
  <c r="CQ34" i="2"/>
  <c r="GC32" i="2"/>
  <c r="DD40" i="2"/>
  <c r="DZ40" i="2"/>
  <c r="CM40" i="2"/>
  <c r="DV117" i="2"/>
  <c r="DV416" i="2" s="1"/>
  <c r="AI196" i="2"/>
  <c r="FZ47" i="2"/>
  <c r="FZ63" i="2"/>
  <c r="CF196" i="2"/>
  <c r="DR246" i="2"/>
  <c r="DR248" i="2" s="1"/>
  <c r="FW470" i="2"/>
  <c r="DM424" i="2"/>
  <c r="GB424" i="2" s="1"/>
  <c r="DM149" i="2"/>
  <c r="GF47" i="2"/>
  <c r="GD6" i="2"/>
  <c r="EC117" i="2"/>
  <c r="DO425" i="2"/>
  <c r="FO288" i="2"/>
  <c r="FL62" i="2"/>
  <c r="DV65" i="2"/>
  <c r="CA64" i="2"/>
  <c r="DY322" i="2"/>
  <c r="CS196" i="2"/>
  <c r="CF33" i="2"/>
  <c r="FZ62" i="2"/>
  <c r="FJ85" i="2"/>
  <c r="GD108" i="2"/>
  <c r="BX64" i="2"/>
  <c r="BF65" i="2"/>
  <c r="CF35" i="2"/>
  <c r="DW40" i="2"/>
  <c r="CJ34" i="2"/>
  <c r="AN34" i="2"/>
  <c r="BM197" i="2"/>
  <c r="FZ36" i="2"/>
  <c r="BX65" i="2"/>
  <c r="EB323" i="2"/>
  <c r="GE436" i="2"/>
  <c r="GE439" i="2" s="1"/>
  <c r="DO280" i="2"/>
  <c r="DI278" i="2"/>
  <c r="CE197" i="2"/>
  <c r="BI198" i="2"/>
  <c r="GE321" i="2"/>
  <c r="GE324" i="2" s="1"/>
  <c r="DS322" i="2"/>
  <c r="FU323" i="2"/>
  <c r="FV278" i="2"/>
  <c r="DT274" i="2"/>
  <c r="FN243" i="2"/>
  <c r="DF425" i="2"/>
  <c r="FZ272" i="2"/>
  <c r="FZ292" i="2" s="1"/>
  <c r="EF212" i="2"/>
  <c r="CR197" i="2"/>
  <c r="CR222" i="2"/>
  <c r="EE238" i="2"/>
  <c r="FH195" i="2"/>
  <c r="FH198" i="2" s="1"/>
  <c r="CE246" i="2"/>
  <c r="AU197" i="2"/>
  <c r="BI222" i="2"/>
  <c r="BI189" i="2"/>
  <c r="DP246" i="2"/>
  <c r="CX65" i="2"/>
  <c r="DB35" i="2"/>
  <c r="BG33" i="2"/>
  <c r="AD33" i="2"/>
  <c r="EA20" i="2"/>
  <c r="AC35" i="2"/>
  <c r="DI288" i="2"/>
  <c r="DI274" i="2"/>
  <c r="CW280" i="2"/>
  <c r="DN274" i="2"/>
  <c r="DJ273" i="2"/>
  <c r="GA272" i="2"/>
  <c r="GA292" i="2" s="1"/>
  <c r="FR239" i="2"/>
  <c r="EE209" i="2"/>
  <c r="EE211" i="2" s="1"/>
  <c r="CR196" i="2"/>
  <c r="EE239" i="2"/>
  <c r="CR198" i="2"/>
  <c r="DT197" i="2"/>
  <c r="FV195" i="2"/>
  <c r="FV222" i="2" s="1"/>
  <c r="AJ196" i="2"/>
  <c r="AI197" i="2"/>
  <c r="AI222" i="2"/>
  <c r="AI223" i="2" s="1"/>
  <c r="CN234" i="2"/>
  <c r="AQ198" i="2"/>
  <c r="GD124" i="2"/>
  <c r="W34" i="2"/>
  <c r="DW33" i="2"/>
  <c r="X33" i="2"/>
  <c r="DR65" i="2"/>
  <c r="S35" i="2"/>
  <c r="DX324" i="2"/>
  <c r="CD246" i="2"/>
  <c r="CH248" i="2" s="1"/>
  <c r="CV197" i="2"/>
  <c r="FN195" i="2"/>
  <c r="AM234" i="2"/>
  <c r="DP280" i="2"/>
  <c r="DD278" i="2"/>
  <c r="DH274" i="2"/>
  <c r="DI292" i="2"/>
  <c r="DD273" i="2"/>
  <c r="FN205" i="2"/>
  <c r="CD197" i="2"/>
  <c r="EE227" i="2"/>
  <c r="FN206" i="2"/>
  <c r="BY188" i="2"/>
  <c r="BY190" i="2" s="1"/>
  <c r="DQ196" i="2"/>
  <c r="FK85" i="2"/>
  <c r="DW35" i="2"/>
  <c r="DB33" i="2"/>
  <c r="DC33" i="2"/>
  <c r="EA21" i="2"/>
  <c r="CF34" i="2"/>
  <c r="DB37" i="2"/>
  <c r="AC34" i="2"/>
  <c r="W35" i="2"/>
  <c r="DR64" i="2"/>
  <c r="FH206" i="2"/>
  <c r="DT278" i="2"/>
  <c r="DB278" i="2"/>
  <c r="GD321" i="2"/>
  <c r="GD324" i="2" s="1"/>
  <c r="FX279" i="2"/>
  <c r="FX281" i="2" s="1"/>
  <c r="DM274" i="2"/>
  <c r="DD274" i="2"/>
  <c r="FW195" i="2"/>
  <c r="FW198" i="2" s="1"/>
  <c r="AI198" i="2"/>
  <c r="GF136" i="2"/>
  <c r="FU324" i="2"/>
  <c r="GD272" i="2"/>
  <c r="GD288" i="2" s="1"/>
  <c r="DP196" i="2"/>
  <c r="FS265" i="2"/>
  <c r="EA235" i="2"/>
  <c r="DP198" i="2"/>
  <c r="DT198" i="2"/>
  <c r="AQ222" i="2"/>
  <c r="FZ32" i="2"/>
  <c r="FZ35" i="2" s="1"/>
  <c r="DS324" i="2"/>
  <c r="GD36" i="2"/>
  <c r="W33" i="2"/>
  <c r="DB34" i="2"/>
  <c r="DU273" i="2"/>
  <c r="FV281" i="2"/>
  <c r="FT85" i="2"/>
  <c r="FB85" i="2"/>
  <c r="DQ114" i="2"/>
  <c r="GB109" i="2"/>
  <c r="GC111" i="2" s="1"/>
  <c r="EE199" i="2"/>
  <c r="EE109" i="2" s="1"/>
  <c r="FG195" i="2"/>
  <c r="FG222" i="2" s="1"/>
  <c r="DU197" i="2"/>
  <c r="GE113" i="2"/>
  <c r="GE116" i="2" s="1"/>
  <c r="FU85" i="2"/>
  <c r="GF436" i="2"/>
  <c r="GF439" i="2" s="1"/>
  <c r="FY424" i="2"/>
  <c r="FY427" i="2" s="1"/>
  <c r="DC425" i="2"/>
  <c r="GC184" i="2"/>
  <c r="GE160" i="2"/>
  <c r="FY195" i="2"/>
  <c r="FY222" i="2" s="1"/>
  <c r="FN63" i="2"/>
  <c r="DO409" i="2"/>
  <c r="EA438" i="2"/>
  <c r="GF85" i="2"/>
  <c r="EB117" i="2"/>
  <c r="EB119" i="2" s="1"/>
  <c r="GC321" i="2"/>
  <c r="GC323" i="2" s="1"/>
  <c r="GB261" i="2"/>
  <c r="EC114" i="2"/>
  <c r="DZ323" i="2"/>
  <c r="GB385" i="2"/>
  <c r="DO368" i="2"/>
  <c r="DL452" i="2"/>
  <c r="DL432" i="2" s="1"/>
  <c r="DP434" i="2" s="1"/>
  <c r="DO372" i="2"/>
  <c r="DT238" i="2"/>
  <c r="DO358" i="2"/>
  <c r="DB292" i="2"/>
  <c r="DB288" i="2"/>
  <c r="DH65" i="2"/>
  <c r="GF63" i="2"/>
  <c r="DL118" i="2"/>
  <c r="DZ292" i="2"/>
  <c r="DZ278" i="2"/>
  <c r="FW281" i="2"/>
  <c r="FD47" i="2"/>
  <c r="DO117" i="2"/>
  <c r="DO120" i="2" s="1"/>
  <c r="DK114" i="2"/>
  <c r="EA273" i="2"/>
  <c r="DC273" i="2"/>
  <c r="FU61" i="2"/>
  <c r="DF235" i="2"/>
  <c r="GE202" i="2"/>
  <c r="GE261" i="2"/>
  <c r="FO62" i="2"/>
  <c r="FO265" i="2"/>
  <c r="DU40" i="2"/>
  <c r="DU37" i="2"/>
  <c r="DV38" i="2" s="1"/>
  <c r="GC36" i="2"/>
  <c r="DO40" i="2"/>
  <c r="FU63" i="2"/>
  <c r="CL64" i="2"/>
  <c r="DP34" i="2"/>
  <c r="GB32" i="2"/>
  <c r="GB40" i="2" s="1"/>
  <c r="EE348" i="2"/>
  <c r="EF346" i="2"/>
  <c r="CY273" i="2"/>
  <c r="CY288" i="2"/>
  <c r="CZ273" i="2"/>
  <c r="CY274" i="2"/>
  <c r="FY272" i="2"/>
  <c r="FY278" i="2" s="1"/>
  <c r="CY278" i="2"/>
  <c r="DD280" i="2"/>
  <c r="DC280" i="2"/>
  <c r="FZ279" i="2"/>
  <c r="GB279" i="2"/>
  <c r="GC281" i="2" s="1"/>
  <c r="CM235" i="2"/>
  <c r="AK235" i="2"/>
  <c r="FT62" i="2"/>
  <c r="FT202" i="2"/>
  <c r="FT206" i="2"/>
  <c r="FT89" i="2"/>
  <c r="BS222" i="2"/>
  <c r="BS196" i="2"/>
  <c r="AP188" i="2"/>
  <c r="AT190" i="2" s="1"/>
  <c r="DJ426" i="2"/>
  <c r="EC243" i="2"/>
  <c r="BS198" i="2"/>
  <c r="BA222" i="2"/>
  <c r="DR155" i="2"/>
  <c r="AP198" i="2"/>
  <c r="BN196" i="2"/>
  <c r="DK120" i="2"/>
  <c r="DM64" i="2"/>
  <c r="DK65" i="2"/>
  <c r="FG32" i="2"/>
  <c r="FU62" i="2"/>
  <c r="DI40" i="2"/>
  <c r="EB288" i="2"/>
  <c r="EB274" i="2"/>
  <c r="DD222" i="2"/>
  <c r="DO416" i="2"/>
  <c r="DO196" i="2"/>
  <c r="BO189" i="2"/>
  <c r="BT196" i="2"/>
  <c r="AE234" i="2"/>
  <c r="FQ195" i="2"/>
  <c r="FQ198" i="2" s="1"/>
  <c r="ED215" i="2"/>
  <c r="FS195" i="2"/>
  <c r="FS198" i="2" s="1"/>
  <c r="BS188" i="2"/>
  <c r="BS191" i="2" s="1"/>
  <c r="BA196" i="2"/>
  <c r="FQ211" i="2"/>
  <c r="BS197" i="2"/>
  <c r="AQ196" i="2"/>
  <c r="AP222" i="2"/>
  <c r="AT224" i="2" s="1"/>
  <c r="FI233" i="2"/>
  <c r="FP195" i="2"/>
  <c r="FP222" i="2" s="1"/>
  <c r="FP32" i="2"/>
  <c r="GA47" i="2"/>
  <c r="FU47" i="2"/>
  <c r="FO47" i="2"/>
  <c r="FI47" i="2"/>
  <c r="FC47" i="2"/>
  <c r="DI37" i="2"/>
  <c r="EE272" i="2"/>
  <c r="EE292" i="2" s="1"/>
  <c r="DU117" i="2"/>
  <c r="BB188" i="2"/>
  <c r="CK222" i="2"/>
  <c r="CK196" i="2"/>
  <c r="BB196" i="2"/>
  <c r="GB108" i="2"/>
  <c r="AP196" i="2"/>
  <c r="DZ64" i="2"/>
  <c r="GE47" i="2"/>
  <c r="FY47" i="2"/>
  <c r="FS47" i="2"/>
  <c r="FG47" i="2"/>
  <c r="FA47" i="2"/>
  <c r="GD44" i="2"/>
  <c r="ED341" i="2"/>
  <c r="ED145" i="2"/>
  <c r="DN292" i="2"/>
  <c r="DN273" i="2"/>
  <c r="DN278" i="2"/>
  <c r="DN288" i="2"/>
  <c r="DO273" i="2"/>
  <c r="DU416" i="2"/>
  <c r="DU196" i="2"/>
  <c r="EE113" i="2"/>
  <c r="CX222" i="2"/>
  <c r="BZ188" i="2"/>
  <c r="FS288" i="2"/>
  <c r="FT274" i="2"/>
  <c r="BA188" i="2"/>
  <c r="BA191" i="2" s="1"/>
  <c r="BN191" i="2"/>
  <c r="BN222" i="2"/>
  <c r="BR224" i="2" s="1"/>
  <c r="AY64" i="2"/>
  <c r="FV63" i="2"/>
  <c r="FM32" i="2"/>
  <c r="FM35" i="2" s="1"/>
  <c r="GH30" i="2"/>
  <c r="EF343" i="2"/>
  <c r="EE339" i="2"/>
  <c r="EE440" i="2" s="1"/>
  <c r="DV116" i="2"/>
  <c r="DW114" i="2"/>
  <c r="CW222" i="2"/>
  <c r="CW196" i="2"/>
  <c r="BY222" i="2"/>
  <c r="BY197" i="2"/>
  <c r="BY196" i="2"/>
  <c r="AV188" i="2"/>
  <c r="DP117" i="2"/>
  <c r="DT119" i="2" s="1"/>
  <c r="ED210" i="2"/>
  <c r="ED219" i="2"/>
  <c r="DZ235" i="2"/>
  <c r="BA198" i="2"/>
  <c r="DX119" i="2"/>
  <c r="BR197" i="2"/>
  <c r="GF6" i="2"/>
  <c r="EF275" i="2"/>
  <c r="EG279" i="2"/>
  <c r="CK197" i="2"/>
  <c r="ED205" i="2"/>
  <c r="ED113" i="2"/>
  <c r="BM196" i="2"/>
  <c r="CE196" i="2"/>
  <c r="DP416" i="2"/>
  <c r="CR416" i="2"/>
  <c r="CR417" i="2" s="1"/>
  <c r="GF113" i="2"/>
  <c r="CI295" i="2"/>
  <c r="CI249" i="2"/>
  <c r="CI247" i="2"/>
  <c r="BR115" i="3"/>
  <c r="AG86" i="2"/>
  <c r="CH295" i="2"/>
  <c r="CH249" i="2"/>
  <c r="AX115" i="3"/>
  <c r="Q86" i="2"/>
  <c r="EJ316" i="3"/>
  <c r="EJ289" i="3"/>
  <c r="AS122" i="3"/>
  <c r="AT122" i="3" s="1"/>
  <c r="AT119" i="3"/>
  <c r="AI114" i="3"/>
  <c r="AH115" i="3"/>
  <c r="DZ234" i="2"/>
  <c r="EQ74" i="3"/>
  <c r="BF85" i="3"/>
  <c r="BF17" i="3"/>
  <c r="BF18" i="3"/>
  <c r="W10" i="2"/>
  <c r="FH156" i="3"/>
  <c r="FH155" i="3"/>
  <c r="FD85" i="3"/>
  <c r="FD17" i="3"/>
  <c r="FD18" i="3"/>
  <c r="DA10" i="2"/>
  <c r="CU155" i="3"/>
  <c r="CT155" i="3"/>
  <c r="CS155" i="3"/>
  <c r="CQ85" i="3"/>
  <c r="CQ18" i="3"/>
  <c r="CQ17" i="3"/>
  <c r="CR16" i="3"/>
  <c r="CR17" i="3" s="1"/>
  <c r="BA10" i="2"/>
  <c r="EB74" i="3"/>
  <c r="FP155" i="3"/>
  <c r="DK430" i="2"/>
  <c r="DK429" i="2"/>
  <c r="FU70" i="3"/>
  <c r="FU25" i="3"/>
  <c r="FU32" i="3"/>
  <c r="GO172" i="3"/>
  <c r="GO24" i="3"/>
  <c r="GO19" i="3"/>
  <c r="ED26" i="2"/>
  <c r="EZ16" i="3"/>
  <c r="EZ17" i="3" s="1"/>
  <c r="EY172" i="3"/>
  <c r="EY24" i="3"/>
  <c r="EY19" i="3"/>
  <c r="CW26" i="2"/>
  <c r="CO356" i="2"/>
  <c r="CO357" i="2"/>
  <c r="DC437" i="2"/>
  <c r="DC438" i="2"/>
  <c r="CX357" i="2"/>
  <c r="CX452" i="2"/>
  <c r="CX356" i="2"/>
  <c r="FY355" i="2"/>
  <c r="GC442" i="2"/>
  <c r="GC443" i="2"/>
  <c r="DN356" i="2"/>
  <c r="DN358" i="2"/>
  <c r="DR357" i="2"/>
  <c r="DN351" i="2"/>
  <c r="DN357" i="2"/>
  <c r="CV452" i="2"/>
  <c r="CV432" i="2" s="1"/>
  <c r="CV356" i="2"/>
  <c r="CV357" i="2"/>
  <c r="DO385" i="2"/>
  <c r="DO384" i="2"/>
  <c r="DO359" i="2"/>
  <c r="FI341" i="2"/>
  <c r="FI346" i="2"/>
  <c r="FI342" i="2"/>
  <c r="EN419" i="2"/>
  <c r="GD341" i="2"/>
  <c r="GD346" i="2"/>
  <c r="GD342" i="2"/>
  <c r="GB443" i="2"/>
  <c r="DQ324" i="2"/>
  <c r="DQ323" i="2"/>
  <c r="DR322" i="2"/>
  <c r="DQ322" i="2"/>
  <c r="GF334" i="2"/>
  <c r="GF330" i="2"/>
  <c r="GF329" i="2"/>
  <c r="CT438" i="2"/>
  <c r="FX436" i="2"/>
  <c r="CT437" i="2"/>
  <c r="CE356" i="2"/>
  <c r="DO376" i="2"/>
  <c r="DE437" i="2"/>
  <c r="DE438" i="2"/>
  <c r="CS437" i="2"/>
  <c r="DG281" i="2"/>
  <c r="DG280" i="2"/>
  <c r="FZ277" i="2"/>
  <c r="CL357" i="2"/>
  <c r="FV355" i="2"/>
  <c r="CL356" i="2"/>
  <c r="CH298" i="2"/>
  <c r="CH256" i="2"/>
  <c r="CH255" i="2"/>
  <c r="CH250" i="2"/>
  <c r="CH257" i="2"/>
  <c r="CI301" i="2"/>
  <c r="CH303" i="2"/>
  <c r="FZ268" i="2"/>
  <c r="FZ310" i="2"/>
  <c r="FZ269" i="2"/>
  <c r="GF261" i="2"/>
  <c r="DS243" i="2"/>
  <c r="DS242" i="2"/>
  <c r="FM239" i="2"/>
  <c r="FY243" i="2"/>
  <c r="FL243" i="2"/>
  <c r="FK239" i="2"/>
  <c r="GB239" i="2"/>
  <c r="DQ425" i="2"/>
  <c r="DE426" i="2"/>
  <c r="DE425" i="2"/>
  <c r="FV243" i="2"/>
  <c r="GA239" i="2"/>
  <c r="GE292" i="2"/>
  <c r="GA243" i="2"/>
  <c r="DS239" i="2"/>
  <c r="DS238" i="2"/>
  <c r="CP235" i="2"/>
  <c r="CP234" i="2"/>
  <c r="FW233" i="2"/>
  <c r="AN235" i="2"/>
  <c r="AN234" i="2"/>
  <c r="FL211" i="2"/>
  <c r="GA228" i="2"/>
  <c r="GA205" i="2"/>
  <c r="GA206" i="2"/>
  <c r="CY235" i="2"/>
  <c r="CY234" i="2"/>
  <c r="AT235" i="2"/>
  <c r="AT234" i="2"/>
  <c r="FK233" i="2"/>
  <c r="FP211" i="2"/>
  <c r="CX420" i="2"/>
  <c r="CX295" i="2"/>
  <c r="CX249" i="2"/>
  <c r="DM235" i="2"/>
  <c r="DM234" i="2"/>
  <c r="FJ219" i="2"/>
  <c r="GB233" i="2"/>
  <c r="DJ234" i="2"/>
  <c r="DJ235" i="2"/>
  <c r="GD205" i="2"/>
  <c r="GD206" i="2"/>
  <c r="GD228" i="2"/>
  <c r="DB235" i="2"/>
  <c r="DB234" i="2"/>
  <c r="FZ233" i="2"/>
  <c r="AZ235" i="2"/>
  <c r="AZ234" i="2"/>
  <c r="CE223" i="2"/>
  <c r="GD215" i="2"/>
  <c r="FH211" i="2"/>
  <c r="FQ228" i="2"/>
  <c r="FQ205" i="2"/>
  <c r="FQ206" i="2"/>
  <c r="GB225" i="2"/>
  <c r="GB201" i="2"/>
  <c r="GB202" i="2"/>
  <c r="DK234" i="2"/>
  <c r="DK235" i="2"/>
  <c r="BI234" i="2"/>
  <c r="BI235" i="2"/>
  <c r="GE219" i="2"/>
  <c r="GE211" i="2"/>
  <c r="DA416" i="2"/>
  <c r="DB417" i="2" s="1"/>
  <c r="DA246" i="2"/>
  <c r="DA222" i="2"/>
  <c r="DB196" i="2"/>
  <c r="DA197" i="2"/>
  <c r="DA196" i="2"/>
  <c r="DA198" i="2"/>
  <c r="BQ222" i="2"/>
  <c r="BU224" i="2" s="1"/>
  <c r="BR196" i="2"/>
  <c r="BQ197" i="2"/>
  <c r="BQ196" i="2"/>
  <c r="BQ198" i="2"/>
  <c r="BQ188" i="2"/>
  <c r="AG222" i="2"/>
  <c r="AH196" i="2"/>
  <c r="AG196" i="2"/>
  <c r="AG198" i="2"/>
  <c r="AG188" i="2"/>
  <c r="DW197" i="2"/>
  <c r="DE197" i="2"/>
  <c r="GF227" i="2"/>
  <c r="FT227" i="2"/>
  <c r="BI197" i="2"/>
  <c r="CR420" i="2"/>
  <c r="CR295" i="2"/>
  <c r="CR249" i="2"/>
  <c r="CR248" i="2"/>
  <c r="CG197" i="2"/>
  <c r="AO190" i="2"/>
  <c r="AO191" i="2"/>
  <c r="DX416" i="2"/>
  <c r="DX198" i="2"/>
  <c r="DX222" i="2"/>
  <c r="DX197" i="2"/>
  <c r="DX196" i="2"/>
  <c r="CZ416" i="2"/>
  <c r="CZ246" i="2"/>
  <c r="DD248" i="2" s="1"/>
  <c r="CZ198" i="2"/>
  <c r="CZ222" i="2"/>
  <c r="CZ197" i="2"/>
  <c r="CZ196" i="2"/>
  <c r="CB198" i="2"/>
  <c r="CB197" i="2"/>
  <c r="CB196" i="2"/>
  <c r="CB222" i="2"/>
  <c r="CB188" i="2"/>
  <c r="BD198" i="2"/>
  <c r="BD222" i="2"/>
  <c r="BD197" i="2"/>
  <c r="BD196" i="2"/>
  <c r="BD188" i="2"/>
  <c r="GE144" i="2"/>
  <c r="FZ85" i="2"/>
  <c r="BK65" i="2"/>
  <c r="BK64" i="2"/>
  <c r="GE61" i="2"/>
  <c r="GE62" i="2"/>
  <c r="FP43" i="2"/>
  <c r="FP44" i="2"/>
  <c r="FL63" i="2"/>
  <c r="FT47" i="2"/>
  <c r="DE64" i="2"/>
  <c r="DE65" i="2"/>
  <c r="BV64" i="2"/>
  <c r="BV65" i="2"/>
  <c r="FR63" i="2"/>
  <c r="DL64" i="2"/>
  <c r="DL65" i="2"/>
  <c r="BU64" i="2"/>
  <c r="BU65" i="2"/>
  <c r="GB62" i="2"/>
  <c r="GB61" i="2"/>
  <c r="DP65" i="2"/>
  <c r="GB47" i="2"/>
  <c r="FZ44" i="2"/>
  <c r="FZ43" i="2"/>
  <c r="GC43" i="2"/>
  <c r="GC44" i="2"/>
  <c r="FF20" i="2"/>
  <c r="FF21" i="2"/>
  <c r="GE358" i="2"/>
  <c r="GE6" i="2"/>
  <c r="DH20" i="2"/>
  <c r="DH19" i="2"/>
  <c r="DH21" i="2"/>
  <c r="FK6" i="2"/>
  <c r="FK58" i="2"/>
  <c r="GC61" i="2"/>
  <c r="GC62" i="2"/>
  <c r="CE64" i="2"/>
  <c r="CE65" i="2"/>
  <c r="CF64" i="2"/>
  <c r="FQ61" i="2"/>
  <c r="FQ62" i="2"/>
  <c r="FA44" i="2"/>
  <c r="FA43" i="2"/>
  <c r="DM34" i="2"/>
  <c r="DM37" i="2"/>
  <c r="DM35" i="2"/>
  <c r="DN33" i="2"/>
  <c r="DM33" i="2"/>
  <c r="DM40" i="2"/>
  <c r="DQ34" i="2"/>
  <c r="CU34" i="2"/>
  <c r="CU37" i="2"/>
  <c r="CU33" i="2"/>
  <c r="CU40" i="2"/>
  <c r="CY34" i="2"/>
  <c r="CU35" i="2"/>
  <c r="CV33" i="2"/>
  <c r="CC34" i="2"/>
  <c r="CC35" i="2"/>
  <c r="CD33" i="2"/>
  <c r="CC33" i="2"/>
  <c r="CG34" i="2"/>
  <c r="BK34" i="2"/>
  <c r="BK33" i="2"/>
  <c r="BO34" i="2"/>
  <c r="BK35" i="2"/>
  <c r="BL33" i="2"/>
  <c r="AS34" i="2"/>
  <c r="AS35" i="2"/>
  <c r="AT33" i="2"/>
  <c r="AS33" i="2"/>
  <c r="AW34" i="2"/>
  <c r="AA34" i="2"/>
  <c r="AA33" i="2"/>
  <c r="AE34" i="2"/>
  <c r="AA35" i="2"/>
  <c r="AB33" i="2"/>
  <c r="I34" i="2"/>
  <c r="I35" i="2"/>
  <c r="J33" i="2"/>
  <c r="I33" i="2"/>
  <c r="M34" i="2"/>
  <c r="FJ32" i="2"/>
  <c r="FF58" i="2"/>
  <c r="FF6" i="2"/>
  <c r="FU261" i="2"/>
  <c r="FU58" i="2"/>
  <c r="FU6" i="2"/>
  <c r="AZ64" i="2"/>
  <c r="FL43" i="2"/>
  <c r="FL44" i="2"/>
  <c r="CH33" i="2"/>
  <c r="CH34" i="2"/>
  <c r="CH35" i="2"/>
  <c r="CL34" i="2"/>
  <c r="FU32" i="2"/>
  <c r="FR32" i="2"/>
  <c r="BV34" i="2"/>
  <c r="BV35" i="2"/>
  <c r="FO43" i="2"/>
  <c r="FO44" i="2"/>
  <c r="AR33" i="2"/>
  <c r="AR34" i="2"/>
  <c r="AR35" i="2"/>
  <c r="FC43" i="2"/>
  <c r="FC44" i="2"/>
  <c r="CI65" i="2"/>
  <c r="EA40" i="2"/>
  <c r="DS21" i="2"/>
  <c r="FP265" i="2"/>
  <c r="FP58" i="2"/>
  <c r="FP6" i="2"/>
  <c r="DO37" i="2"/>
  <c r="FA20" i="2"/>
  <c r="FA21" i="2"/>
  <c r="AV34" i="2"/>
  <c r="DN389" i="3"/>
  <c r="DN390" i="3"/>
  <c r="CU390" i="3"/>
  <c r="CU389" i="3"/>
  <c r="DL388" i="3"/>
  <c r="DL286" i="3"/>
  <c r="DL281" i="3"/>
  <c r="EI390" i="3"/>
  <c r="EI389" i="3"/>
  <c r="CY389" i="3"/>
  <c r="CY390" i="3"/>
  <c r="EL271" i="3"/>
  <c r="EQ273" i="3" s="1"/>
  <c r="EP269" i="3"/>
  <c r="EP266" i="3" s="1"/>
  <c r="ED316" i="3"/>
  <c r="EB389" i="3"/>
  <c r="EB390" i="3"/>
  <c r="EF388" i="3"/>
  <c r="EE315" i="3"/>
  <c r="EE288" i="3"/>
  <c r="EJ290" i="3" s="1"/>
  <c r="DI390" i="3"/>
  <c r="DI389" i="3"/>
  <c r="DM236" i="3"/>
  <c r="DM238" i="3"/>
  <c r="DM230" i="3"/>
  <c r="DQ234" i="3"/>
  <c r="DM235" i="3"/>
  <c r="DD203" i="3"/>
  <c r="DD202" i="3"/>
  <c r="DF381" i="3"/>
  <c r="DF380" i="3"/>
  <c r="DF376" i="3"/>
  <c r="DZ236" i="3"/>
  <c r="DZ235" i="3"/>
  <c r="DZ238" i="3"/>
  <c r="DZ230" i="3"/>
  <c r="EH381" i="3"/>
  <c r="EH376" i="3"/>
  <c r="EH380" i="3"/>
  <c r="EE202" i="3"/>
  <c r="EE203" i="3"/>
  <c r="DC380" i="3"/>
  <c r="DC381" i="3"/>
  <c r="DC376" i="3"/>
  <c r="DG379" i="3"/>
  <c r="DT381" i="3"/>
  <c r="DT380" i="3"/>
  <c r="DT376" i="3"/>
  <c r="CZ202" i="3"/>
  <c r="ER194" i="3"/>
  <c r="EQ196" i="3"/>
  <c r="GF124" i="3"/>
  <c r="FS120" i="3"/>
  <c r="DL102" i="2"/>
  <c r="FM122" i="3"/>
  <c r="FO118" i="3"/>
  <c r="M86" i="2"/>
  <c r="BG14" i="3"/>
  <c r="CB146" i="3"/>
  <c r="CB147" i="3"/>
  <c r="CC147" i="3" s="1"/>
  <c r="CB148" i="3"/>
  <c r="CC148" i="3" s="1"/>
  <c r="CC87" i="3"/>
  <c r="CB92" i="3"/>
  <c r="DP157" i="3"/>
  <c r="DQ157" i="3" s="1"/>
  <c r="DL146" i="3"/>
  <c r="BC148" i="3"/>
  <c r="BD148" i="3" s="1"/>
  <c r="BC146" i="3"/>
  <c r="BC147" i="3"/>
  <c r="BD147" i="3" s="1"/>
  <c r="BD87" i="3"/>
  <c r="BC92" i="3"/>
  <c r="CF147" i="3"/>
  <c r="CF148" i="3"/>
  <c r="CF146" i="3"/>
  <c r="CF92" i="3"/>
  <c r="AU146" i="3"/>
  <c r="AU147" i="3"/>
  <c r="AU148" i="3"/>
  <c r="AU92" i="3"/>
  <c r="DV99" i="2"/>
  <c r="M99" i="2"/>
  <c r="FB99" i="2" s="1"/>
  <c r="EE149" i="3"/>
  <c r="EF149" i="3" s="1"/>
  <c r="EE144" i="3"/>
  <c r="EF144" i="3" s="1"/>
  <c r="EE87" i="3"/>
  <c r="EE100" i="3"/>
  <c r="EF77" i="3"/>
  <c r="EF100" i="3" s="1"/>
  <c r="CG98" i="2"/>
  <c r="FT98" i="2" s="1"/>
  <c r="CN153" i="3"/>
  <c r="CY99" i="2"/>
  <c r="FO146" i="3"/>
  <c r="CJ99" i="2"/>
  <c r="CM99" i="2"/>
  <c r="FS172" i="3"/>
  <c r="FS19" i="3"/>
  <c r="FS24" i="3"/>
  <c r="DM26" i="2"/>
  <c r="DW174" i="3"/>
  <c r="DW19" i="3"/>
  <c r="EA18" i="3"/>
  <c r="DW24" i="3"/>
  <c r="BZ26" i="2"/>
  <c r="DR155" i="3"/>
  <c r="DR156" i="3"/>
  <c r="DP155" i="3"/>
  <c r="DQ155" i="3" s="1"/>
  <c r="DP156" i="3"/>
  <c r="DQ156" i="3" s="1"/>
  <c r="DN85" i="3"/>
  <c r="DN17" i="3"/>
  <c r="DN18" i="3"/>
  <c r="DS172" i="3" s="1"/>
  <c r="BS10" i="2"/>
  <c r="DL430" i="2"/>
  <c r="DL429" i="2"/>
  <c r="EW174" i="3"/>
  <c r="EW24" i="3"/>
  <c r="EW19" i="3"/>
  <c r="CU26" i="2"/>
  <c r="DS24" i="3"/>
  <c r="DS19" i="3"/>
  <c r="BW26" i="2"/>
  <c r="DQ438" i="2"/>
  <c r="DQ437" i="2"/>
  <c r="DQ432" i="2"/>
  <c r="DU434" i="2" s="1"/>
  <c r="FI172" i="3"/>
  <c r="FI174" i="3"/>
  <c r="FI24" i="3"/>
  <c r="FN173" i="3" s="1"/>
  <c r="FI19" i="3"/>
  <c r="DE26" i="2"/>
  <c r="ET174" i="3"/>
  <c r="ET172" i="3"/>
  <c r="ET24" i="3"/>
  <c r="ET19" i="3"/>
  <c r="CS26" i="2"/>
  <c r="AQ174" i="3"/>
  <c r="AQ19" i="3"/>
  <c r="AQ24" i="3"/>
  <c r="K26" i="2"/>
  <c r="FQ341" i="2"/>
  <c r="FQ346" i="2"/>
  <c r="FQ342" i="2"/>
  <c r="GC330" i="2"/>
  <c r="GC334" i="2"/>
  <c r="GC329" i="2"/>
  <c r="DI437" i="2"/>
  <c r="DI438" i="2"/>
  <c r="DB452" i="2"/>
  <c r="DB432" i="2" s="1"/>
  <c r="DB357" i="2"/>
  <c r="DB356" i="2"/>
  <c r="FZ355" i="2"/>
  <c r="FU341" i="2"/>
  <c r="FU346" i="2"/>
  <c r="FU342" i="2"/>
  <c r="GD358" i="2"/>
  <c r="GE357" i="2"/>
  <c r="FY443" i="2"/>
  <c r="DK452" i="2"/>
  <c r="DK432" i="2" s="1"/>
  <c r="DK357" i="2"/>
  <c r="DK356" i="2"/>
  <c r="DO357" i="2"/>
  <c r="CY438" i="2"/>
  <c r="CY437" i="2"/>
  <c r="CU452" i="2"/>
  <c r="CU432" i="2" s="1"/>
  <c r="CU356" i="2"/>
  <c r="CU357" i="2"/>
  <c r="FH243" i="2"/>
  <c r="FY239" i="2"/>
  <c r="FX243" i="2"/>
  <c r="GF241" i="2"/>
  <c r="DZ243" i="2"/>
  <c r="DZ242" i="2"/>
  <c r="FH239" i="2"/>
  <c r="BF235" i="2"/>
  <c r="BF234" i="2"/>
  <c r="FN233" i="2"/>
  <c r="FX211" i="2"/>
  <c r="CD235" i="2"/>
  <c r="CD234" i="2"/>
  <c r="FT233" i="2"/>
  <c r="GB211" i="2"/>
  <c r="FS206" i="2"/>
  <c r="FS228" i="2"/>
  <c r="FS205" i="2"/>
  <c r="FO211" i="2"/>
  <c r="FV233" i="2"/>
  <c r="CL234" i="2"/>
  <c r="CL235" i="2"/>
  <c r="FP233" i="2"/>
  <c r="BN235" i="2"/>
  <c r="BN234" i="2"/>
  <c r="FJ233" i="2"/>
  <c r="AP235" i="2"/>
  <c r="AP234" i="2"/>
  <c r="FK225" i="2"/>
  <c r="FK201" i="2"/>
  <c r="FK202" i="2"/>
  <c r="BR235" i="2"/>
  <c r="BR234" i="2"/>
  <c r="FQ233" i="2"/>
  <c r="FT211" i="2"/>
  <c r="FT219" i="2"/>
  <c r="GC205" i="2"/>
  <c r="GC206" i="2"/>
  <c r="GC228" i="2"/>
  <c r="CA234" i="2"/>
  <c r="CA235" i="2"/>
  <c r="FJ228" i="2"/>
  <c r="FJ205" i="2"/>
  <c r="FJ206" i="2"/>
  <c r="DM416" i="2"/>
  <c r="DQ418" i="2" s="1"/>
  <c r="DM246" i="2"/>
  <c r="DN247" i="2" s="1"/>
  <c r="DM222" i="2"/>
  <c r="DN196" i="2"/>
  <c r="DM197" i="2"/>
  <c r="DM196" i="2"/>
  <c r="DM198" i="2"/>
  <c r="AS222" i="2"/>
  <c r="AT196" i="2"/>
  <c r="AS197" i="2"/>
  <c r="AS196" i="2"/>
  <c r="AS198" i="2"/>
  <c r="AS188" i="2"/>
  <c r="CM234" i="2"/>
  <c r="FU89" i="2"/>
  <c r="FU88" i="2"/>
  <c r="GB43" i="2"/>
  <c r="GB44" i="2"/>
  <c r="BJ64" i="2"/>
  <c r="BJ65" i="2"/>
  <c r="FO63" i="2"/>
  <c r="EZ57" i="2"/>
  <c r="EZ58" i="2"/>
  <c r="GF17" i="2"/>
  <c r="GF16" i="2"/>
  <c r="CQ65" i="2"/>
  <c r="CQ64" i="2"/>
  <c r="BY65" i="2"/>
  <c r="BY64" i="2"/>
  <c r="DY34" i="2"/>
  <c r="DY37" i="2"/>
  <c r="DY35" i="2"/>
  <c r="DY33" i="2"/>
  <c r="DY40" i="2"/>
  <c r="EC34" i="2"/>
  <c r="DG34" i="2"/>
  <c r="DG37" i="2"/>
  <c r="DG33" i="2"/>
  <c r="DG40" i="2"/>
  <c r="DK34" i="2"/>
  <c r="DG35" i="2"/>
  <c r="CO34" i="2"/>
  <c r="CO37" i="2"/>
  <c r="CP38" i="2" s="1"/>
  <c r="CO35" i="2"/>
  <c r="CO33" i="2"/>
  <c r="CO40" i="2"/>
  <c r="CS34" i="2"/>
  <c r="BW34" i="2"/>
  <c r="BW33" i="2"/>
  <c r="CA34" i="2"/>
  <c r="BW35" i="2"/>
  <c r="BE34" i="2"/>
  <c r="BE35" i="2"/>
  <c r="BE33" i="2"/>
  <c r="BI34" i="2"/>
  <c r="AM34" i="2"/>
  <c r="AM33" i="2"/>
  <c r="AQ34" i="2"/>
  <c r="AM35" i="2"/>
  <c r="DR33" i="2"/>
  <c r="GD32" i="2"/>
  <c r="DR34" i="2"/>
  <c r="DR37" i="2"/>
  <c r="DR35" i="2"/>
  <c r="DR40" i="2"/>
  <c r="DV34" i="2"/>
  <c r="H33" i="2"/>
  <c r="H34" i="2"/>
  <c r="H35" i="2"/>
  <c r="AY51" i="2"/>
  <c r="AY52" i="2"/>
  <c r="CE51" i="2"/>
  <c r="CE52" i="2"/>
  <c r="GP14" i="3"/>
  <c r="EE15" i="2"/>
  <c r="EF14" i="2"/>
  <c r="EE16" i="2"/>
  <c r="DY19" i="2"/>
  <c r="DY21" i="2"/>
  <c r="DY20" i="2"/>
  <c r="GB318" i="2"/>
  <c r="GB6" i="2"/>
  <c r="FG44" i="2"/>
  <c r="FG43" i="2"/>
  <c r="FV17" i="2"/>
  <c r="FV16" i="2"/>
  <c r="CM398" i="3"/>
  <c r="EK375" i="3"/>
  <c r="DH389" i="3"/>
  <c r="DH390" i="3"/>
  <c r="DY390" i="3"/>
  <c r="DY389" i="3"/>
  <c r="EP385" i="3"/>
  <c r="EP387" i="3" s="1"/>
  <c r="EP280" i="3"/>
  <c r="DF390" i="3"/>
  <c r="DF389" i="3"/>
  <c r="EQ315" i="3"/>
  <c r="EQ272" i="3"/>
  <c r="EU271" i="3"/>
  <c r="DP390" i="3"/>
  <c r="DP389" i="3"/>
  <c r="DC390" i="3"/>
  <c r="DC389" i="3"/>
  <c r="EE228" i="3"/>
  <c r="EE229" i="3"/>
  <c r="EQ227" i="3"/>
  <c r="EQ209" i="3"/>
  <c r="ER207" i="3"/>
  <c r="CY381" i="3"/>
  <c r="CY380" i="3"/>
  <c r="CY376" i="3"/>
  <c r="EG220" i="3"/>
  <c r="EE222" i="3"/>
  <c r="DY202" i="3"/>
  <c r="DY203" i="3"/>
  <c r="CW194" i="3"/>
  <c r="DB196" i="3" s="1"/>
  <c r="CW199" i="3"/>
  <c r="DN381" i="3"/>
  <c r="DN380" i="3"/>
  <c r="DN376" i="3"/>
  <c r="EC202" i="3"/>
  <c r="EC203" i="3"/>
  <c r="ED202" i="3"/>
  <c r="ED203" i="3"/>
  <c r="EN379" i="3"/>
  <c r="EN308" i="3"/>
  <c r="EN201" i="3"/>
  <c r="EN199" i="3"/>
  <c r="EN198" i="3"/>
  <c r="FD119" i="3"/>
  <c r="FD122" i="3" s="1"/>
  <c r="FC122" i="3"/>
  <c r="FI120" i="3"/>
  <c r="DD102" i="2"/>
  <c r="DK122" i="3"/>
  <c r="AQ115" i="3"/>
  <c r="AR114" i="3"/>
  <c r="AR115" i="3" s="1"/>
  <c r="AX109" i="3"/>
  <c r="FY121" i="3"/>
  <c r="BX114" i="3"/>
  <c r="CI146" i="3"/>
  <c r="CN157" i="3" s="1"/>
  <c r="CI147" i="3"/>
  <c r="CI148" i="3"/>
  <c r="CI92" i="3"/>
  <c r="K99" i="2"/>
  <c r="ED148" i="3"/>
  <c r="ED146" i="3"/>
  <c r="ED147" i="3"/>
  <c r="ED92" i="3"/>
  <c r="BV146" i="3"/>
  <c r="BV147" i="3"/>
  <c r="BV148" i="3"/>
  <c r="BV92" i="3"/>
  <c r="DM156" i="3"/>
  <c r="DR99" i="2"/>
  <c r="BR109" i="3"/>
  <c r="BS109" i="3" s="1"/>
  <c r="CZ108" i="3"/>
  <c r="DA108" i="3" s="1"/>
  <c r="AW148" i="3"/>
  <c r="AW146" i="3"/>
  <c r="AW147" i="3"/>
  <c r="AW92" i="3"/>
  <c r="BZ147" i="3"/>
  <c r="BZ148" i="3"/>
  <c r="BZ146" i="3"/>
  <c r="BZ92" i="3"/>
  <c r="DB99" i="2"/>
  <c r="BB118" i="3"/>
  <c r="BB122" i="3" s="1"/>
  <c r="FE109" i="3"/>
  <c r="DF107" i="3"/>
  <c r="DG107" i="3" s="1"/>
  <c r="DT157" i="3"/>
  <c r="DZ124" i="3"/>
  <c r="BG115" i="3"/>
  <c r="X86" i="2"/>
  <c r="AH109" i="3"/>
  <c r="AI109" i="3" s="1"/>
  <c r="AJ109" i="3" s="1"/>
  <c r="FD148" i="3"/>
  <c r="FE148" i="3" s="1"/>
  <c r="FD146" i="3"/>
  <c r="FD147" i="3"/>
  <c r="FE147" i="3" s="1"/>
  <c r="FD92" i="3"/>
  <c r="FE87" i="3"/>
  <c r="CV146" i="3"/>
  <c r="CV157" i="3" s="1"/>
  <c r="CW157" i="3" s="1"/>
  <c r="CV147" i="3"/>
  <c r="CW147" i="3" s="1"/>
  <c r="CV148" i="3"/>
  <c r="CW148" i="3" s="1"/>
  <c r="CV92" i="3"/>
  <c r="CV163" i="3" s="1"/>
  <c r="CW163" i="3" s="1"/>
  <c r="CW87" i="3"/>
  <c r="FL153" i="3"/>
  <c r="DC99" i="2"/>
  <c r="AI100" i="3"/>
  <c r="E99" i="2" s="1"/>
  <c r="EZ99" i="2" s="1"/>
  <c r="AJ77" i="3"/>
  <c r="AJ100" i="3" s="1"/>
  <c r="AI87" i="3"/>
  <c r="E98" i="2"/>
  <c r="EZ98" i="2" s="1"/>
  <c r="DN170" i="3"/>
  <c r="DN169" i="3"/>
  <c r="DS163" i="3"/>
  <c r="DN153" i="3"/>
  <c r="CQ153" i="3"/>
  <c r="CR153" i="3" s="1"/>
  <c r="CR92" i="3"/>
  <c r="AN146" i="3"/>
  <c r="AN147" i="3"/>
  <c r="AO147" i="3" s="1"/>
  <c r="AN148" i="3"/>
  <c r="AO148" i="3" s="1"/>
  <c r="AN92" i="3"/>
  <c r="AO87" i="3"/>
  <c r="FB148" i="3"/>
  <c r="FB146" i="3"/>
  <c r="FB147" i="3"/>
  <c r="FB92" i="3"/>
  <c r="FB163" i="3" s="1"/>
  <c r="GX96" i="3"/>
  <c r="GY96" i="3"/>
  <c r="GZ96" i="3" s="1"/>
  <c r="HA96" i="3" s="1"/>
  <c r="HB96" i="3" s="1"/>
  <c r="CP146" i="3"/>
  <c r="CP147" i="3"/>
  <c r="CP148" i="3"/>
  <c r="CP92" i="3"/>
  <c r="W99" i="2"/>
  <c r="GO146" i="3"/>
  <c r="GO147" i="3"/>
  <c r="GO148" i="3"/>
  <c r="GO92" i="3"/>
  <c r="FW155" i="3"/>
  <c r="CN70" i="3"/>
  <c r="CN25" i="3"/>
  <c r="CN69" i="3" s="1"/>
  <c r="CN32" i="3"/>
  <c r="DE174" i="3"/>
  <c r="DE172" i="3"/>
  <c r="DE19" i="3"/>
  <c r="DE24" i="3"/>
  <c r="DE70" i="3" s="1"/>
  <c r="BL26" i="2"/>
  <c r="FV156" i="3"/>
  <c r="FV155" i="3"/>
  <c r="FR85" i="3"/>
  <c r="FR18" i="3"/>
  <c r="FW172" i="3" s="1"/>
  <c r="FR17" i="3"/>
  <c r="DL10" i="2"/>
  <c r="AH24" i="3"/>
  <c r="AH19" i="3"/>
  <c r="D26" i="2"/>
  <c r="DZ172" i="3"/>
  <c r="DZ174" i="3"/>
  <c r="DZ24" i="3"/>
  <c r="DZ19" i="3"/>
  <c r="CC26" i="2"/>
  <c r="EV172" i="3"/>
  <c r="EV174" i="3"/>
  <c r="EV24" i="3"/>
  <c r="EV19" i="3"/>
  <c r="CT26" i="2"/>
  <c r="DY174" i="3"/>
  <c r="DY24" i="3"/>
  <c r="ED173" i="3" s="1"/>
  <c r="DY19" i="3"/>
  <c r="CB26" i="2"/>
  <c r="FK341" i="2"/>
  <c r="FK346" i="2"/>
  <c r="FK342" i="2"/>
  <c r="DN437" i="2"/>
  <c r="DN432" i="2"/>
  <c r="DO433" i="2" s="1"/>
  <c r="GC436" i="2"/>
  <c r="DN438" i="2"/>
  <c r="GA431" i="2"/>
  <c r="GA430" i="2"/>
  <c r="DR369" i="2"/>
  <c r="DQ371" i="2"/>
  <c r="FH346" i="2"/>
  <c r="FH342" i="2"/>
  <c r="FT355" i="2"/>
  <c r="FT358" i="2" s="1"/>
  <c r="DL438" i="2"/>
  <c r="DL437" i="2"/>
  <c r="GE334" i="2"/>
  <c r="GE330" i="2"/>
  <c r="GE329" i="2"/>
  <c r="GB329" i="2"/>
  <c r="GB334" i="2"/>
  <c r="GB336" i="2" s="1"/>
  <c r="GB330" i="2"/>
  <c r="DM281" i="2"/>
  <c r="DQ281" i="2"/>
  <c r="DM280" i="2"/>
  <c r="DA452" i="2"/>
  <c r="DA432" i="2" s="1"/>
  <c r="DA356" i="2"/>
  <c r="DA357" i="2"/>
  <c r="FS239" i="2"/>
  <c r="FY310" i="2"/>
  <c r="FY269" i="2"/>
  <c r="DH426" i="2"/>
  <c r="DH425" i="2"/>
  <c r="FR243" i="2"/>
  <c r="GB243" i="2"/>
  <c r="DY239" i="2"/>
  <c r="DY238" i="2"/>
  <c r="AX235" i="2"/>
  <c r="AX234" i="2"/>
  <c r="FL233" i="2"/>
  <c r="FR211" i="2"/>
  <c r="DQ234" i="2"/>
  <c r="DQ235" i="2"/>
  <c r="BL235" i="2"/>
  <c r="BL234" i="2"/>
  <c r="FV211" i="2"/>
  <c r="FI211" i="2"/>
  <c r="DL235" i="2"/>
  <c r="DL234" i="2"/>
  <c r="DC235" i="2"/>
  <c r="DC234" i="2"/>
  <c r="CE235" i="2"/>
  <c r="CE234" i="2"/>
  <c r="BG235" i="2"/>
  <c r="BG234" i="2"/>
  <c r="AI234" i="2"/>
  <c r="AI235" i="2"/>
  <c r="CV249" i="2"/>
  <c r="GC243" i="2"/>
  <c r="EF230" i="2"/>
  <c r="EG228" i="2"/>
  <c r="DG416" i="2"/>
  <c r="DK418" i="2" s="1"/>
  <c r="DG246" i="2"/>
  <c r="DH247" i="2" s="1"/>
  <c r="DG222" i="2"/>
  <c r="DH223" i="2" s="1"/>
  <c r="DH196" i="2"/>
  <c r="DG197" i="2"/>
  <c r="DG196" i="2"/>
  <c r="DG198" i="2"/>
  <c r="CK249" i="2"/>
  <c r="CK295" i="2"/>
  <c r="FG219" i="2"/>
  <c r="FH202" i="2"/>
  <c r="AI190" i="2"/>
  <c r="AI191" i="2"/>
  <c r="DG235" i="2"/>
  <c r="FW191" i="2"/>
  <c r="FX190" i="2"/>
  <c r="FW190" i="2"/>
  <c r="DN155" i="2"/>
  <c r="DN156" i="2"/>
  <c r="GD202" i="2"/>
  <c r="GD225" i="2"/>
  <c r="GE227" i="2" s="1"/>
  <c r="GD201" i="2"/>
  <c r="GA201" i="2"/>
  <c r="GA202" i="2"/>
  <c r="GA225" i="2"/>
  <c r="FX202" i="2"/>
  <c r="FX225" i="2"/>
  <c r="FX201" i="2"/>
  <c r="CH198" i="2"/>
  <c r="CH222" i="2"/>
  <c r="CH197" i="2"/>
  <c r="CH196" i="2"/>
  <c r="FU195" i="2"/>
  <c r="FR225" i="2"/>
  <c r="FS227" i="2" s="1"/>
  <c r="FR202" i="2"/>
  <c r="FR201" i="2"/>
  <c r="FO225" i="2"/>
  <c r="FO201" i="2"/>
  <c r="FO202" i="2"/>
  <c r="BJ198" i="2"/>
  <c r="BJ197" i="2"/>
  <c r="BJ196" i="2"/>
  <c r="FO195" i="2"/>
  <c r="BJ222" i="2"/>
  <c r="BJ188" i="2"/>
  <c r="FL202" i="2"/>
  <c r="FL225" i="2"/>
  <c r="FL201" i="2"/>
  <c r="FI201" i="2"/>
  <c r="FI202" i="2"/>
  <c r="FI225" i="2"/>
  <c r="AL198" i="2"/>
  <c r="AL222" i="2"/>
  <c r="AL197" i="2"/>
  <c r="AL196" i="2"/>
  <c r="FI195" i="2"/>
  <c r="AL188" i="2"/>
  <c r="BN197" i="2"/>
  <c r="BQ65" i="2"/>
  <c r="BQ64" i="2"/>
  <c r="FV43" i="2"/>
  <c r="FV44" i="2"/>
  <c r="BD64" i="2"/>
  <c r="BD65" i="2"/>
  <c r="FE85" i="2"/>
  <c r="CC65" i="2"/>
  <c r="FW261" i="2"/>
  <c r="FW6" i="2"/>
  <c r="FW58" i="2"/>
  <c r="FO58" i="2"/>
  <c r="FO6" i="2"/>
  <c r="BS65" i="2"/>
  <c r="BS64" i="2"/>
  <c r="EA65" i="2"/>
  <c r="EA64" i="2"/>
  <c r="CW64" i="2"/>
  <c r="CW65" i="2"/>
  <c r="CX64" i="2"/>
  <c r="FM44" i="2"/>
  <c r="FM43" i="2"/>
  <c r="FR58" i="2"/>
  <c r="FR6" i="2"/>
  <c r="DF33" i="2"/>
  <c r="DF34" i="2"/>
  <c r="DF37" i="2"/>
  <c r="DF35" i="2"/>
  <c r="DF40" i="2"/>
  <c r="GA32" i="2"/>
  <c r="FU43" i="2"/>
  <c r="FU44" i="2"/>
  <c r="Z33" i="2"/>
  <c r="FF32" i="2"/>
  <c r="Z34" i="2"/>
  <c r="Z35" i="2"/>
  <c r="GF44" i="2"/>
  <c r="DF19" i="2"/>
  <c r="DF20" i="2"/>
  <c r="DF21" i="2"/>
  <c r="FV261" i="2"/>
  <c r="FV58" i="2"/>
  <c r="FV6" i="2"/>
  <c r="CP39" i="2"/>
  <c r="FI58" i="2"/>
  <c r="FI6" i="2"/>
  <c r="CC381" i="3"/>
  <c r="CC376" i="3"/>
  <c r="CC378" i="3" s="1"/>
  <c r="EK387" i="3"/>
  <c r="EK304" i="3"/>
  <c r="EK305" i="3"/>
  <c r="EN388" i="3"/>
  <c r="EN309" i="3"/>
  <c r="EN286" i="3"/>
  <c r="EN288" i="3"/>
  <c r="EP284" i="3"/>
  <c r="EN285" i="3"/>
  <c r="EG316" i="3"/>
  <c r="EK288" i="3"/>
  <c r="EG290" i="3"/>
  <c r="EC288" i="3"/>
  <c r="EH290" i="3" s="1"/>
  <c r="ER281" i="3"/>
  <c r="EQ283" i="3"/>
  <c r="DU238" i="3"/>
  <c r="DU235" i="3"/>
  <c r="DU236" i="3"/>
  <c r="DU230" i="3"/>
  <c r="CT381" i="3"/>
  <c r="CT380" i="3"/>
  <c r="CT376" i="3"/>
  <c r="DU203" i="3"/>
  <c r="DU202" i="3"/>
  <c r="EC381" i="3"/>
  <c r="EC380" i="3"/>
  <c r="EC376" i="3"/>
  <c r="EF220" i="3"/>
  <c r="EF222" i="3" s="1"/>
  <c r="DN203" i="3"/>
  <c r="DN202" i="3"/>
  <c r="EI311" i="3"/>
  <c r="EI214" i="3"/>
  <c r="EI215" i="3"/>
  <c r="EA194" i="3"/>
  <c r="EF196" i="3" s="1"/>
  <c r="EA199" i="3"/>
  <c r="DA381" i="3"/>
  <c r="DA380" i="3"/>
  <c r="DA376" i="3"/>
  <c r="EB310" i="3"/>
  <c r="DG189" i="3"/>
  <c r="DG184" i="3"/>
  <c r="ED310" i="3"/>
  <c r="FV122" i="3"/>
  <c r="BV115" i="3"/>
  <c r="CL118" i="3"/>
  <c r="CL122" i="3" s="1"/>
  <c r="CM122" i="3" s="1"/>
  <c r="AT113" i="3"/>
  <c r="CP99" i="2"/>
  <c r="DN99" i="2"/>
  <c r="T99" i="2"/>
  <c r="DF115" i="3"/>
  <c r="BM86" i="2"/>
  <c r="AR108" i="3"/>
  <c r="CG148" i="3"/>
  <c r="CH148" i="3" s="1"/>
  <c r="CG146" i="3"/>
  <c r="CG147" i="3"/>
  <c r="CH147" i="3" s="1"/>
  <c r="CH87" i="3"/>
  <c r="CG92" i="3"/>
  <c r="AQ148" i="3"/>
  <c r="AQ146" i="3"/>
  <c r="AQ147" i="3"/>
  <c r="AQ92" i="3"/>
  <c r="CQ113" i="3"/>
  <c r="CR113" i="3" s="1"/>
  <c r="AS14" i="3"/>
  <c r="BT147" i="3"/>
  <c r="BT148" i="3"/>
  <c r="BT146" i="3"/>
  <c r="BT92" i="3"/>
  <c r="BH113" i="3"/>
  <c r="BI113" i="3" s="1"/>
  <c r="EL146" i="3"/>
  <c r="EL147" i="3"/>
  <c r="EL148" i="3"/>
  <c r="EL92" i="3"/>
  <c r="GF157" i="3"/>
  <c r="EO148" i="3"/>
  <c r="EP148" i="3" s="1"/>
  <c r="EO146" i="3"/>
  <c r="EO147" i="3"/>
  <c r="EP147" i="3" s="1"/>
  <c r="EP87" i="3"/>
  <c r="EO92" i="3"/>
  <c r="EX146" i="3"/>
  <c r="FC157" i="3" s="1"/>
  <c r="EX147" i="3"/>
  <c r="EX148" i="3"/>
  <c r="EX92" i="3"/>
  <c r="GQ59" i="3"/>
  <c r="GQ60" i="3"/>
  <c r="GQ55" i="3" s="1"/>
  <c r="GQ58" i="3"/>
  <c r="GR54" i="3"/>
  <c r="EF59" i="2"/>
  <c r="GL170" i="3"/>
  <c r="GL169" i="3"/>
  <c r="GL153" i="3"/>
  <c r="CY163" i="3"/>
  <c r="CT153" i="3"/>
  <c r="DH163" i="3"/>
  <c r="FM148" i="3"/>
  <c r="FM146" i="3"/>
  <c r="FR157" i="3" s="1"/>
  <c r="FM147" i="3"/>
  <c r="FM92" i="3"/>
  <c r="FR169" i="3" s="1"/>
  <c r="EV153" i="3"/>
  <c r="FZ157" i="3"/>
  <c r="ET76" i="3"/>
  <c r="ES77" i="3"/>
  <c r="FJ51" i="3"/>
  <c r="EQ174" i="3"/>
  <c r="EQ24" i="3"/>
  <c r="EQ19" i="3"/>
  <c r="CP26" i="2"/>
  <c r="FZ172" i="3"/>
  <c r="FZ174" i="3"/>
  <c r="FZ24" i="3"/>
  <c r="FZ19" i="3"/>
  <c r="DR26" i="2"/>
  <c r="CO401" i="3"/>
  <c r="CO400" i="3"/>
  <c r="CH381" i="3"/>
  <c r="CH376" i="3"/>
  <c r="CK377" i="3"/>
  <c r="CK378" i="3"/>
  <c r="CJ378" i="3"/>
  <c r="CJ377" i="3"/>
  <c r="DV375" i="3"/>
  <c r="CN378" i="3"/>
  <c r="CN377" i="3"/>
  <c r="CA378" i="3"/>
  <c r="EF309" i="3"/>
  <c r="EF286" i="3"/>
  <c r="EF281" i="3"/>
  <c r="EF283" i="3" s="1"/>
  <c r="CV389" i="3"/>
  <c r="CV390" i="3"/>
  <c r="DM390" i="3"/>
  <c r="DM389" i="3"/>
  <c r="DQ388" i="3"/>
  <c r="DQ390" i="3" s="1"/>
  <c r="CM387" i="3"/>
  <c r="ED389" i="3"/>
  <c r="ED390" i="3"/>
  <c r="CT390" i="3"/>
  <c r="CT389" i="3"/>
  <c r="EO386" i="3"/>
  <c r="EO387" i="3"/>
  <c r="EC389" i="3"/>
  <c r="EC390" i="3"/>
  <c r="CM390" i="3"/>
  <c r="DG387" i="3"/>
  <c r="DD390" i="3"/>
  <c r="DD389" i="3"/>
  <c r="EG390" i="3"/>
  <c r="EG389" i="3"/>
  <c r="CC390" i="3"/>
  <c r="EA387" i="3"/>
  <c r="EP265" i="3"/>
  <c r="EF269" i="3"/>
  <c r="EF266" i="3" s="1"/>
  <c r="EK271" i="3"/>
  <c r="EK229" i="3"/>
  <c r="CZ235" i="3"/>
  <c r="CZ238" i="3"/>
  <c r="CZ242" i="3" s="1"/>
  <c r="CZ230" i="3"/>
  <c r="DF238" i="3"/>
  <c r="DF242" i="3" s="1"/>
  <c r="DF236" i="3"/>
  <c r="DF235" i="3"/>
  <c r="DF230" i="3"/>
  <c r="DL225" i="3"/>
  <c r="EE223" i="3"/>
  <c r="EF311" i="3"/>
  <c r="EF215" i="3"/>
  <c r="EB203" i="3"/>
  <c r="EF201" i="3"/>
  <c r="EB202" i="3"/>
  <c r="DX380" i="3"/>
  <c r="DX381" i="3"/>
  <c r="DX376" i="3"/>
  <c r="DO203" i="3"/>
  <c r="DO202" i="3"/>
  <c r="DW381" i="3"/>
  <c r="DW380" i="3"/>
  <c r="DW376" i="3"/>
  <c r="EA379" i="3"/>
  <c r="ER217" i="3"/>
  <c r="EQ219" i="3"/>
  <c r="EP229" i="3"/>
  <c r="DH203" i="3"/>
  <c r="DH202" i="3"/>
  <c r="DL201" i="3"/>
  <c r="DV199" i="3"/>
  <c r="DV194" i="3"/>
  <c r="DL229" i="3"/>
  <c r="DM203" i="3"/>
  <c r="DM202" i="3"/>
  <c r="DQ201" i="3"/>
  <c r="DQ203" i="3" s="1"/>
  <c r="DU381" i="3"/>
  <c r="DU380" i="3"/>
  <c r="DU376" i="3"/>
  <c r="DW235" i="3"/>
  <c r="EA234" i="3"/>
  <c r="DW236" i="3"/>
  <c r="DW230" i="3"/>
  <c r="DW238" i="3"/>
  <c r="EL381" i="3"/>
  <c r="EL380" i="3"/>
  <c r="EL376" i="3"/>
  <c r="CV381" i="3"/>
  <c r="CV380" i="3"/>
  <c r="CV376" i="3"/>
  <c r="DI236" i="3"/>
  <c r="DI235" i="3"/>
  <c r="DI238" i="3"/>
  <c r="DI230" i="3"/>
  <c r="CU381" i="3"/>
  <c r="CU380" i="3"/>
  <c r="CU376" i="3"/>
  <c r="EA201" i="3"/>
  <c r="DW202" i="3"/>
  <c r="DW203" i="3"/>
  <c r="DK202" i="3"/>
  <c r="DK203" i="3"/>
  <c r="DL184" i="3"/>
  <c r="DL189" i="3"/>
  <c r="CH196" i="3"/>
  <c r="CU119" i="3"/>
  <c r="CU122" i="3" s="1"/>
  <c r="BW124" i="3"/>
  <c r="BX124" i="3" s="1"/>
  <c r="FI122" i="3"/>
  <c r="CC121" i="3"/>
  <c r="CW120" i="3"/>
  <c r="CF114" i="3"/>
  <c r="CF115" i="3" s="1"/>
  <c r="HF115" i="3"/>
  <c r="HG113" i="3"/>
  <c r="HH113" i="3" s="1"/>
  <c r="ER86" i="2"/>
  <c r="FH122" i="3"/>
  <c r="AI119" i="3"/>
  <c r="AJ119" i="3" s="1"/>
  <c r="AN122" i="3"/>
  <c r="AO122" i="3" s="1"/>
  <c r="AY114" i="3"/>
  <c r="AW86" i="2"/>
  <c r="AS114" i="3"/>
  <c r="AS115" i="3" s="1"/>
  <c r="CV109" i="3"/>
  <c r="CW109" i="3" s="1"/>
  <c r="DF108" i="3"/>
  <c r="BQ146" i="3"/>
  <c r="BQ147" i="3"/>
  <c r="BQ148" i="3"/>
  <c r="BQ92" i="3"/>
  <c r="DF122" i="3"/>
  <c r="DG122" i="3" s="1"/>
  <c r="DT99" i="2"/>
  <c r="BJ146" i="3"/>
  <c r="BJ147" i="3"/>
  <c r="BJ148" i="3"/>
  <c r="BJ92" i="3"/>
  <c r="DE115" i="3"/>
  <c r="CP109" i="3"/>
  <c r="DJ157" i="3"/>
  <c r="CA148" i="3"/>
  <c r="CA146" i="3"/>
  <c r="CF157" i="3" s="1"/>
  <c r="CA147" i="3"/>
  <c r="CA92" i="3"/>
  <c r="AK148" i="3"/>
  <c r="AK146" i="3"/>
  <c r="AK147" i="3"/>
  <c r="AK92" i="3"/>
  <c r="EH148" i="3"/>
  <c r="EH147" i="3"/>
  <c r="EH146" i="3"/>
  <c r="EH157" i="3" s="1"/>
  <c r="EH92" i="3"/>
  <c r="AN114" i="3"/>
  <c r="AO114" i="3" s="1"/>
  <c r="AV115" i="3"/>
  <c r="BL109" i="3"/>
  <c r="DY99" i="2"/>
  <c r="GE99" i="2" s="1"/>
  <c r="FY108" i="3"/>
  <c r="GD108" i="3"/>
  <c r="GH146" i="3"/>
  <c r="GH147" i="3"/>
  <c r="GI147" i="3" s="1"/>
  <c r="GH148" i="3"/>
  <c r="GI148" i="3" s="1"/>
  <c r="GH92" i="3"/>
  <c r="GI87" i="3"/>
  <c r="DZ148" i="3"/>
  <c r="EA148" i="3" s="1"/>
  <c r="DZ146" i="3"/>
  <c r="DZ157" i="3" s="1"/>
  <c r="EA157" i="3" s="1"/>
  <c r="DZ147" i="3"/>
  <c r="EA147" i="3" s="1"/>
  <c r="DZ92" i="3"/>
  <c r="EA87" i="3"/>
  <c r="FF153" i="3"/>
  <c r="BR146" i="3"/>
  <c r="BR157" i="3" s="1"/>
  <c r="BS157" i="3" s="1"/>
  <c r="BR147" i="3"/>
  <c r="BS147" i="3" s="1"/>
  <c r="BR148" i="3"/>
  <c r="BS148" i="3" s="1"/>
  <c r="BR92" i="3"/>
  <c r="BS87" i="3"/>
  <c r="CV99" i="2"/>
  <c r="DN163" i="3"/>
  <c r="FZ170" i="3"/>
  <c r="FZ169" i="3"/>
  <c r="FZ153" i="3"/>
  <c r="GC146" i="3"/>
  <c r="GC157" i="3" s="1"/>
  <c r="GD157" i="3" s="1"/>
  <c r="GC147" i="3"/>
  <c r="GD147" i="3" s="1"/>
  <c r="GC148" i="3"/>
  <c r="GD148" i="3" s="1"/>
  <c r="GD87" i="3"/>
  <c r="GC92" i="3"/>
  <c r="DP99" i="2"/>
  <c r="GM148" i="3"/>
  <c r="GN148" i="3" s="1"/>
  <c r="GM146" i="3"/>
  <c r="GN146" i="3" s="1"/>
  <c r="GM147" i="3"/>
  <c r="GN147" i="3" s="1"/>
  <c r="GM92" i="3"/>
  <c r="GN87" i="3"/>
  <c r="DC157" i="3"/>
  <c r="FA149" i="3"/>
  <c r="FA144" i="3"/>
  <c r="FA87" i="3"/>
  <c r="FA100" i="3"/>
  <c r="CX98" i="2"/>
  <c r="FI148" i="3"/>
  <c r="FJ148" i="3" s="1"/>
  <c r="FI146" i="3"/>
  <c r="FI147" i="3"/>
  <c r="FJ147" i="3" s="1"/>
  <c r="FI92" i="3"/>
  <c r="FN169" i="3" s="1"/>
  <c r="FO169" i="3" s="1"/>
  <c r="FJ87" i="3"/>
  <c r="DE163" i="3"/>
  <c r="CZ153" i="3"/>
  <c r="FH153" i="3"/>
  <c r="DZ99" i="2"/>
  <c r="CS148" i="3"/>
  <c r="CS146" i="3"/>
  <c r="CX157" i="3" s="1"/>
  <c r="CS147" i="3"/>
  <c r="CS92" i="3"/>
  <c r="CS163" i="3" s="1"/>
  <c r="FN153" i="3"/>
  <c r="FO153" i="3" s="1"/>
  <c r="FO92" i="3"/>
  <c r="EN153" i="3"/>
  <c r="AZ146" i="3"/>
  <c r="AZ147" i="3"/>
  <c r="AZ148" i="3"/>
  <c r="AZ92" i="3"/>
  <c r="DD147" i="3"/>
  <c r="DD148" i="3"/>
  <c r="DD146" i="3"/>
  <c r="DI157" i="3" s="1"/>
  <c r="DD92" i="3"/>
  <c r="HL46" i="3"/>
  <c r="HM46" i="3" s="1"/>
  <c r="EP41" i="3"/>
  <c r="FY51" i="3"/>
  <c r="HC76" i="3"/>
  <c r="HD76" i="3"/>
  <c r="HE76" i="3" s="1"/>
  <c r="HF76" i="3" s="1"/>
  <c r="HG76" i="3" s="1"/>
  <c r="HL26" i="3"/>
  <c r="CW99" i="2"/>
  <c r="FX99" i="2" s="1"/>
  <c r="GW46" i="3"/>
  <c r="FK148" i="3"/>
  <c r="FK146" i="3"/>
  <c r="FK147" i="3"/>
  <c r="FK92" i="3"/>
  <c r="R99" i="2"/>
  <c r="GN51" i="3"/>
  <c r="CP175" i="3"/>
  <c r="CP70" i="3"/>
  <c r="CP25" i="3"/>
  <c r="CP69" i="3" s="1"/>
  <c r="AZ54" i="2" s="1"/>
  <c r="CP32" i="3"/>
  <c r="EI172" i="3"/>
  <c r="EI19" i="3"/>
  <c r="EI24" i="3"/>
  <c r="CJ26" i="2"/>
  <c r="FH172" i="3"/>
  <c r="FH174" i="3"/>
  <c r="FH24" i="3"/>
  <c r="FM173" i="3" s="1"/>
  <c r="FH19" i="3"/>
  <c r="DD26" i="2"/>
  <c r="DM155" i="3"/>
  <c r="DK155" i="3"/>
  <c r="DL155" i="3" s="1"/>
  <c r="DK156" i="3"/>
  <c r="DL156" i="3" s="1"/>
  <c r="DI85" i="3"/>
  <c r="DI18" i="3"/>
  <c r="DI17" i="3"/>
  <c r="BO10" i="2"/>
  <c r="BB174" i="3"/>
  <c r="BB24" i="3"/>
  <c r="BB19" i="3"/>
  <c r="T26" i="2"/>
  <c r="AK19" i="3"/>
  <c r="AK24" i="3"/>
  <c r="F26" i="2"/>
  <c r="FR155" i="3"/>
  <c r="DS155" i="3"/>
  <c r="DS156" i="3"/>
  <c r="DO85" i="3"/>
  <c r="DO18" i="3"/>
  <c r="DO17" i="3"/>
  <c r="BT10" i="2"/>
  <c r="BV85" i="3"/>
  <c r="BV18" i="3"/>
  <c r="CA172" i="3" s="1"/>
  <c r="BV17" i="3"/>
  <c r="AJ10" i="2"/>
  <c r="DH169" i="3"/>
  <c r="GF156" i="3"/>
  <c r="GF155" i="3"/>
  <c r="GB85" i="3"/>
  <c r="GB17" i="3"/>
  <c r="GB18" i="3"/>
  <c r="GC174" i="3" s="1"/>
  <c r="DT10" i="2"/>
  <c r="EJ74" i="3"/>
  <c r="EP21" i="3"/>
  <c r="GE172" i="3"/>
  <c r="GE174" i="3"/>
  <c r="GE19" i="3"/>
  <c r="GI18" i="3"/>
  <c r="GE24" i="3"/>
  <c r="GF175" i="3" s="1"/>
  <c r="DV26" i="2"/>
  <c r="EL156" i="3"/>
  <c r="EJ155" i="3"/>
  <c r="EK155" i="3" s="1"/>
  <c r="EJ156" i="3"/>
  <c r="EK156" i="3" s="1"/>
  <c r="EL155" i="3"/>
  <c r="EH85" i="3"/>
  <c r="EH74" i="3" s="1"/>
  <c r="EH18" i="3"/>
  <c r="EH17" i="3"/>
  <c r="CI10" i="2"/>
  <c r="BT85" i="3"/>
  <c r="BT18" i="3"/>
  <c r="BT17" i="3"/>
  <c r="AH10" i="2"/>
  <c r="ER73" i="3"/>
  <c r="EW73" i="3" s="1"/>
  <c r="EQ73" i="3"/>
  <c r="EV73" i="3" s="1"/>
  <c r="FM70" i="3"/>
  <c r="FM69" i="3" s="1"/>
  <c r="DH54" i="2" s="1"/>
  <c r="FM32" i="3"/>
  <c r="FM25" i="3"/>
  <c r="FF174" i="3"/>
  <c r="FF172" i="3"/>
  <c r="FF24" i="3"/>
  <c r="FG175" i="3" s="1"/>
  <c r="FJ18" i="3"/>
  <c r="FF19" i="3"/>
  <c r="DB26" i="2"/>
  <c r="EF443" i="2"/>
  <c r="GD16" i="3"/>
  <c r="GE155" i="3"/>
  <c r="FP156" i="3"/>
  <c r="DU156" i="3"/>
  <c r="DV156" i="3" s="1"/>
  <c r="DC174" i="3"/>
  <c r="DC24" i="3"/>
  <c r="DG18" i="3"/>
  <c r="DC19" i="3"/>
  <c r="BJ26" i="2"/>
  <c r="FU174" i="3"/>
  <c r="EK16" i="3"/>
  <c r="EK17" i="3" s="1"/>
  <c r="DY74" i="3"/>
  <c r="EE431" i="2"/>
  <c r="N54" i="2"/>
  <c r="GF70" i="3"/>
  <c r="GF69" i="3" s="1"/>
  <c r="GF25" i="3"/>
  <c r="GF32" i="3"/>
  <c r="GB155" i="3"/>
  <c r="FS155" i="3"/>
  <c r="FT155" i="3" s="1"/>
  <c r="DF172" i="3"/>
  <c r="DF174" i="3"/>
  <c r="DF24" i="3"/>
  <c r="DF19" i="3"/>
  <c r="BM26" i="2"/>
  <c r="FG70" i="3"/>
  <c r="FG69" i="3" s="1"/>
  <c r="DC54" i="2" s="1"/>
  <c r="FG32" i="3"/>
  <c r="FG25" i="3"/>
  <c r="EO70" i="3"/>
  <c r="EO69" i="3" s="1"/>
  <c r="CO54" i="2" s="1"/>
  <c r="EO32" i="3"/>
  <c r="EO25" i="3"/>
  <c r="DO435" i="2"/>
  <c r="CW452" i="2"/>
  <c r="CW432" i="2" s="1"/>
  <c r="CW356" i="2"/>
  <c r="CW357" i="2"/>
  <c r="DM452" i="2"/>
  <c r="DM432" i="2" s="1"/>
  <c r="DN455" i="2"/>
  <c r="GB341" i="2"/>
  <c r="GB346" i="2"/>
  <c r="GB342" i="2"/>
  <c r="DH437" i="2"/>
  <c r="DH438" i="2"/>
  <c r="FW439" i="2"/>
  <c r="DR377" i="2"/>
  <c r="DQ379" i="2"/>
  <c r="GF346" i="2"/>
  <c r="GF342" i="2"/>
  <c r="GF341" i="2"/>
  <c r="EH439" i="2"/>
  <c r="GE341" i="2"/>
  <c r="GE346" i="2"/>
  <c r="GE342" i="2"/>
  <c r="DJ357" i="2"/>
  <c r="DJ452" i="2"/>
  <c r="GB355" i="2"/>
  <c r="DJ356" i="2"/>
  <c r="FX341" i="2"/>
  <c r="FX346" i="2"/>
  <c r="FX342" i="2"/>
  <c r="FW355" i="2"/>
  <c r="CP452" i="2"/>
  <c r="CP357" i="2"/>
  <c r="CP356" i="2"/>
  <c r="FT334" i="2"/>
  <c r="FT330" i="2"/>
  <c r="DR438" i="2"/>
  <c r="GD436" i="2"/>
  <c r="DR437" i="2"/>
  <c r="DR432" i="2"/>
  <c r="DV434" i="2" s="1"/>
  <c r="DF452" i="2"/>
  <c r="DF432" i="2" s="1"/>
  <c r="DF356" i="2"/>
  <c r="GA355" i="2"/>
  <c r="DF357" i="2"/>
  <c r="CZ438" i="2"/>
  <c r="CZ437" i="2"/>
  <c r="GD287" i="2"/>
  <c r="GC287" i="2"/>
  <c r="FV329" i="2"/>
  <c r="FV334" i="2"/>
  <c r="FV330" i="2"/>
  <c r="GB277" i="2"/>
  <c r="GA277" i="2"/>
  <c r="DS381" i="2"/>
  <c r="DT381" i="2" s="1"/>
  <c r="DU381" i="2" s="1"/>
  <c r="DV381" i="2" s="1"/>
  <c r="EE333" i="2"/>
  <c r="EF331" i="2"/>
  <c r="EE327" i="2"/>
  <c r="CH356" i="2"/>
  <c r="FU355" i="2"/>
  <c r="CH357" i="2"/>
  <c r="DA281" i="2"/>
  <c r="DY432" i="2"/>
  <c r="DY438" i="2"/>
  <c r="DY437" i="2"/>
  <c r="DM356" i="2"/>
  <c r="DM357" i="2"/>
  <c r="CU438" i="2"/>
  <c r="CU437" i="2"/>
  <c r="FW288" i="2"/>
  <c r="FW278" i="2"/>
  <c r="FW274" i="2"/>
  <c r="CG298" i="2"/>
  <c r="CG257" i="2"/>
  <c r="CG255" i="2"/>
  <c r="CG250" i="2"/>
  <c r="GD237" i="2"/>
  <c r="DR239" i="2"/>
  <c r="DR238" i="2"/>
  <c r="DN426" i="2"/>
  <c r="GC424" i="2"/>
  <c r="FS243" i="2"/>
  <c r="FW243" i="2"/>
  <c r="FV239" i="2"/>
  <c r="FR265" i="2"/>
  <c r="FP243" i="2"/>
  <c r="FU239" i="2"/>
  <c r="FU243" i="2"/>
  <c r="FZ239" i="2"/>
  <c r="DP235" i="2"/>
  <c r="CH235" i="2"/>
  <c r="CH234" i="2"/>
  <c r="FU233" i="2"/>
  <c r="AF234" i="2"/>
  <c r="FU228" i="2"/>
  <c r="FU205" i="2"/>
  <c r="FU206" i="2"/>
  <c r="CG234" i="2"/>
  <c r="CG235" i="2"/>
  <c r="GE233" i="2"/>
  <c r="FJ211" i="2"/>
  <c r="CU235" i="2"/>
  <c r="CU234" i="2"/>
  <c r="CR235" i="2"/>
  <c r="CR234" i="2"/>
  <c r="CF235" i="2"/>
  <c r="CF234" i="2"/>
  <c r="BT235" i="2"/>
  <c r="BT234" i="2"/>
  <c r="BH235" i="2"/>
  <c r="BH234" i="2"/>
  <c r="AV235" i="2"/>
  <c r="AV234" i="2"/>
  <c r="AJ234" i="2"/>
  <c r="AJ235" i="2"/>
  <c r="FX205" i="2"/>
  <c r="FX206" i="2"/>
  <c r="FX228" i="2"/>
  <c r="GC225" i="2"/>
  <c r="GC201" i="2"/>
  <c r="GC202" i="2"/>
  <c r="CT235" i="2"/>
  <c r="CT234" i="2"/>
  <c r="FX233" i="2"/>
  <c r="AR234" i="2"/>
  <c r="AR235" i="2"/>
  <c r="FK205" i="2"/>
  <c r="FK206" i="2"/>
  <c r="FK228" i="2"/>
  <c r="FV225" i="2"/>
  <c r="FV201" i="2"/>
  <c r="FV202" i="2"/>
  <c r="DA235" i="2"/>
  <c r="DA234" i="2"/>
  <c r="AY235" i="2"/>
  <c r="AY234" i="2"/>
  <c r="FY211" i="2"/>
  <c r="GB228" i="2"/>
  <c r="GB205" i="2"/>
  <c r="GB206" i="2"/>
  <c r="CU416" i="2"/>
  <c r="CU246" i="2"/>
  <c r="CU222" i="2"/>
  <c r="CV196" i="2"/>
  <c r="CU197" i="2"/>
  <c r="CU196" i="2"/>
  <c r="CU198" i="2"/>
  <c r="BK222" i="2"/>
  <c r="BL196" i="2"/>
  <c r="BK197" i="2"/>
  <c r="BK196" i="2"/>
  <c r="BK198" i="2"/>
  <c r="BK188" i="2"/>
  <c r="FT466" i="2"/>
  <c r="FT191" i="2"/>
  <c r="GC163" i="2"/>
  <c r="FW211" i="2"/>
  <c r="GC108" i="2"/>
  <c r="GE88" i="2"/>
  <c r="GE89" i="2"/>
  <c r="GE201" i="2"/>
  <c r="DK417" i="2"/>
  <c r="EM153" i="2"/>
  <c r="GI153" i="2" s="1"/>
  <c r="EL155" i="2"/>
  <c r="GB195" i="2"/>
  <c r="GF163" i="2"/>
  <c r="GF160" i="2"/>
  <c r="GF108" i="2"/>
  <c r="GC89" i="2"/>
  <c r="FS201" i="2"/>
  <c r="DQ197" i="2"/>
  <c r="BO197" i="2"/>
  <c r="BG223" i="2"/>
  <c r="GF144" i="2"/>
  <c r="DE235" i="2"/>
  <c r="BU234" i="2"/>
  <c r="AK234" i="2"/>
  <c r="GC124" i="2"/>
  <c r="BT64" i="2"/>
  <c r="BE65" i="2"/>
  <c r="BE64" i="2"/>
  <c r="FY61" i="2"/>
  <c r="FY62" i="2"/>
  <c r="FJ43" i="2"/>
  <c r="FJ44" i="2"/>
  <c r="GC112" i="2"/>
  <c r="DX64" i="2"/>
  <c r="DX65" i="2"/>
  <c r="GD61" i="2"/>
  <c r="GD62" i="2"/>
  <c r="BO65" i="2"/>
  <c r="BO64" i="2"/>
  <c r="FP63" i="2"/>
  <c r="BN65" i="2"/>
  <c r="BN64" i="2"/>
  <c r="FV62" i="2"/>
  <c r="FV61" i="2"/>
  <c r="FV47" i="2"/>
  <c r="FN44" i="2"/>
  <c r="FN43" i="2"/>
  <c r="FW43" i="2"/>
  <c r="FW44" i="2"/>
  <c r="FZ13" i="2"/>
  <c r="FZ25" i="2"/>
  <c r="FY324" i="2"/>
  <c r="FY191" i="2"/>
  <c r="FY58" i="2"/>
  <c r="FY6" i="2"/>
  <c r="FY16" i="2"/>
  <c r="FY17" i="2"/>
  <c r="DC65" i="2"/>
  <c r="DC64" i="2"/>
  <c r="FW61" i="2"/>
  <c r="FW62" i="2"/>
  <c r="GP20" i="3"/>
  <c r="EE43" i="2"/>
  <c r="EE32" i="2"/>
  <c r="EF41" i="2"/>
  <c r="DW52" i="2"/>
  <c r="DW54" i="2"/>
  <c r="DW51" i="2"/>
  <c r="FD21" i="2"/>
  <c r="FD20" i="2"/>
  <c r="GA16" i="2"/>
  <c r="GA17" i="2"/>
  <c r="FZ16" i="2"/>
  <c r="FZ17" i="2"/>
  <c r="FT261" i="2"/>
  <c r="FT58" i="2"/>
  <c r="FT6" i="2"/>
  <c r="FZ61" i="2"/>
  <c r="BR65" i="2"/>
  <c r="FW47" i="2"/>
  <c r="EZ44" i="2"/>
  <c r="DX33" i="2"/>
  <c r="DX34" i="2"/>
  <c r="DX37" i="2"/>
  <c r="DX35" i="2"/>
  <c r="DX40" i="2"/>
  <c r="DL33" i="2"/>
  <c r="DL34" i="2"/>
  <c r="DL37" i="2"/>
  <c r="DL35" i="2"/>
  <c r="DL40" i="2"/>
  <c r="BJ33" i="2"/>
  <c r="BJ34" i="2"/>
  <c r="BJ35" i="2"/>
  <c r="FO32" i="2"/>
  <c r="N33" i="2"/>
  <c r="N34" i="2"/>
  <c r="N35" i="2"/>
  <c r="R34" i="2"/>
  <c r="FC32" i="2"/>
  <c r="EZ32" i="2"/>
  <c r="EZ35" i="2" s="1"/>
  <c r="B35" i="2"/>
  <c r="GC318" i="2"/>
  <c r="GC6" i="2"/>
  <c r="FT44" i="2"/>
  <c r="EA37" i="2"/>
  <c r="FR21" i="2"/>
  <c r="FW17" i="2"/>
  <c r="FW16" i="2"/>
  <c r="FJ58" i="2"/>
  <c r="FJ6" i="2"/>
  <c r="FZ191" i="2"/>
  <c r="FZ6" i="2"/>
  <c r="FI21" i="2"/>
  <c r="DC51" i="2"/>
  <c r="DC52" i="2"/>
  <c r="FR44" i="2"/>
  <c r="DH33" i="2"/>
  <c r="L34" i="2"/>
  <c r="EI316" i="3"/>
  <c r="EI289" i="3"/>
  <c r="EE390" i="3"/>
  <c r="EE389" i="3"/>
  <c r="DQ286" i="3"/>
  <c r="DQ281" i="3"/>
  <c r="EM316" i="3"/>
  <c r="ED315" i="3"/>
  <c r="EJ381" i="3"/>
  <c r="EJ380" i="3"/>
  <c r="EJ376" i="3"/>
  <c r="EM203" i="3"/>
  <c r="EM202" i="3"/>
  <c r="EI381" i="3"/>
  <c r="EI376" i="3"/>
  <c r="EI380" i="3"/>
  <c r="DE381" i="3"/>
  <c r="DE376" i="3"/>
  <c r="DE380" i="3"/>
  <c r="CY238" i="3"/>
  <c r="CY242" i="3" s="1"/>
  <c r="CY243" i="3" s="1"/>
  <c r="CY235" i="3"/>
  <c r="CY230" i="3"/>
  <c r="CY231" i="3" s="1"/>
  <c r="DZ202" i="3"/>
  <c r="DZ203" i="3"/>
  <c r="DD381" i="3"/>
  <c r="DD376" i="3"/>
  <c r="DD380" i="3"/>
  <c r="DS381" i="3"/>
  <c r="DS380" i="3"/>
  <c r="DS376" i="3"/>
  <c r="EI203" i="3"/>
  <c r="EI202" i="3"/>
  <c r="EO308" i="3"/>
  <c r="EO199" i="3"/>
  <c r="EO198" i="3"/>
  <c r="EJ307" i="3"/>
  <c r="EJ310" i="3" s="1"/>
  <c r="EJ201" i="3"/>
  <c r="EK201" i="3" s="1"/>
  <c r="EJ189" i="3"/>
  <c r="EJ188" i="3"/>
  <c r="EK187" i="3"/>
  <c r="CY137" i="3"/>
  <c r="DD136" i="3"/>
  <c r="DD137" i="3" s="1"/>
  <c r="FI115" i="3"/>
  <c r="DE86" i="2"/>
  <c r="FR122" i="3"/>
  <c r="BM14" i="3"/>
  <c r="DT170" i="3"/>
  <c r="DT169" i="3"/>
  <c r="DY163" i="3"/>
  <c r="DT153" i="3"/>
  <c r="AS146" i="3"/>
  <c r="AS147" i="3"/>
  <c r="AT147" i="3" s="1"/>
  <c r="AS148" i="3"/>
  <c r="AT148" i="3" s="1"/>
  <c r="AS92" i="3"/>
  <c r="AT87" i="3"/>
  <c r="CL14" i="3"/>
  <c r="EJ148" i="3"/>
  <c r="EK148" i="3" s="1"/>
  <c r="EJ146" i="3"/>
  <c r="EJ147" i="3"/>
  <c r="EK147" i="3" s="1"/>
  <c r="EK87" i="3"/>
  <c r="EJ92" i="3"/>
  <c r="AL146" i="3"/>
  <c r="AL147" i="3"/>
  <c r="AL148" i="3"/>
  <c r="AL92" i="3"/>
  <c r="AL163" i="3" s="1"/>
  <c r="AO86" i="2"/>
  <c r="AV147" i="3"/>
  <c r="AV148" i="3"/>
  <c r="AV146" i="3"/>
  <c r="BA157" i="3" s="1"/>
  <c r="AV92" i="3"/>
  <c r="BA170" i="3" s="1"/>
  <c r="U99" i="2"/>
  <c r="FD99" i="2" s="1"/>
  <c r="FP146" i="3"/>
  <c r="FU157" i="3" s="1"/>
  <c r="FP148" i="3"/>
  <c r="FP147" i="3"/>
  <c r="FP92" i="3"/>
  <c r="FU169" i="3" s="1"/>
  <c r="DZ88" i="3"/>
  <c r="EA88" i="3" s="1"/>
  <c r="EA89" i="3"/>
  <c r="EA99" i="2"/>
  <c r="FG148" i="3"/>
  <c r="FG146" i="3"/>
  <c r="FL157" i="3" s="1"/>
  <c r="FG147" i="3"/>
  <c r="FG92" i="3"/>
  <c r="FL170" i="3" s="1"/>
  <c r="FX153" i="3"/>
  <c r="FY153" i="3" s="1"/>
  <c r="FY92" i="3"/>
  <c r="AY99" i="2"/>
  <c r="DM169" i="3"/>
  <c r="DM170" i="3"/>
  <c r="DR163" i="3"/>
  <c r="DM153" i="3"/>
  <c r="CD99" i="2"/>
  <c r="FS146" i="3"/>
  <c r="FS157" i="3" s="1"/>
  <c r="FT157" i="3" s="1"/>
  <c r="FS148" i="3"/>
  <c r="FT148" i="3" s="1"/>
  <c r="FS147" i="3"/>
  <c r="FT147" i="3" s="1"/>
  <c r="FT87" i="3"/>
  <c r="FS92" i="3"/>
  <c r="BY146" i="3"/>
  <c r="BY147" i="3"/>
  <c r="BY148" i="3"/>
  <c r="BY92" i="3"/>
  <c r="FB172" i="3"/>
  <c r="FB174" i="3"/>
  <c r="FB24" i="3"/>
  <c r="FG173" i="3" s="1"/>
  <c r="FB19" i="3"/>
  <c r="CY26" i="2"/>
  <c r="DN155" i="3"/>
  <c r="DJ85" i="3"/>
  <c r="DJ18" i="3"/>
  <c r="DJ17" i="3"/>
  <c r="BP10" i="2"/>
  <c r="FZ156" i="3"/>
  <c r="FZ155" i="3"/>
  <c r="FX156" i="3"/>
  <c r="FY156" i="3" s="1"/>
  <c r="FX155" i="3"/>
  <c r="FY155" i="3" s="1"/>
  <c r="FV85" i="3"/>
  <c r="FV17" i="3"/>
  <c r="FV18" i="3"/>
  <c r="FW174" i="3" s="1"/>
  <c r="DO10" i="2"/>
  <c r="ED74" i="3"/>
  <c r="AL18" i="3"/>
  <c r="AL17" i="3"/>
  <c r="G10" i="2"/>
  <c r="DM85" i="3"/>
  <c r="DM17" i="3"/>
  <c r="DQ16" i="3"/>
  <c r="DQ17" i="3" s="1"/>
  <c r="DM18" i="3"/>
  <c r="BR10" i="2"/>
  <c r="FL174" i="3"/>
  <c r="FL172" i="3"/>
  <c r="FL24" i="3"/>
  <c r="FM175" i="3" s="1"/>
  <c r="FL19" i="3"/>
  <c r="DG26" i="2"/>
  <c r="EF447" i="2"/>
  <c r="FN175" i="3"/>
  <c r="FN70" i="3"/>
  <c r="FN69" i="3" s="1"/>
  <c r="FN25" i="3"/>
  <c r="FN32" i="3"/>
  <c r="FQ172" i="3"/>
  <c r="FQ24" i="3"/>
  <c r="FQ19" i="3"/>
  <c r="DK26" i="2"/>
  <c r="ED423" i="2"/>
  <c r="DJ155" i="3"/>
  <c r="EC70" i="3"/>
  <c r="EC32" i="3"/>
  <c r="EC25" i="3"/>
  <c r="EC69" i="3" s="1"/>
  <c r="DU438" i="2"/>
  <c r="DP431" i="2"/>
  <c r="DO428" i="2"/>
  <c r="FJ341" i="2"/>
  <c r="FJ346" i="2"/>
  <c r="FJ342" i="2"/>
  <c r="FZ443" i="2"/>
  <c r="FZ442" i="2"/>
  <c r="FN346" i="2"/>
  <c r="FN342" i="2"/>
  <c r="FN341" i="2"/>
  <c r="EI427" i="2"/>
  <c r="FM341" i="2"/>
  <c r="FM346" i="2"/>
  <c r="FM342" i="2"/>
  <c r="DV433" i="2"/>
  <c r="DV435" i="2"/>
  <c r="EC324" i="2"/>
  <c r="EC323" i="2"/>
  <c r="GF321" i="2"/>
  <c r="EC322" i="2"/>
  <c r="DX438" i="2"/>
  <c r="DX432" i="2"/>
  <c r="DX437" i="2"/>
  <c r="CT452" i="2"/>
  <c r="CT356" i="2"/>
  <c r="FX355" i="2"/>
  <c r="CT357" i="2"/>
  <c r="CK357" i="2"/>
  <c r="CK356" i="2"/>
  <c r="FY277" i="2"/>
  <c r="DM438" i="2"/>
  <c r="DM437" i="2"/>
  <c r="CR357" i="2"/>
  <c r="CR452" i="2"/>
  <c r="CR356" i="2"/>
  <c r="GD277" i="2"/>
  <c r="FW239" i="2"/>
  <c r="DH235" i="2"/>
  <c r="DH234" i="2"/>
  <c r="DC224" i="2"/>
  <c r="DD295" i="2"/>
  <c r="DD249" i="2"/>
  <c r="FX239" i="2"/>
  <c r="AS235" i="2"/>
  <c r="AS234" i="2"/>
  <c r="FY233" i="2"/>
  <c r="CX235" i="2"/>
  <c r="CX234" i="2"/>
  <c r="BZ234" i="2"/>
  <c r="BZ235" i="2"/>
  <c r="FS233" i="2"/>
  <c r="BB234" i="2"/>
  <c r="FM233" i="2"/>
  <c r="BB235" i="2"/>
  <c r="FG233" i="2"/>
  <c r="DT235" i="2"/>
  <c r="EC234" i="2"/>
  <c r="EC235" i="2"/>
  <c r="CC222" i="2"/>
  <c r="CD196" i="2"/>
  <c r="CC197" i="2"/>
  <c r="CC196" i="2"/>
  <c r="CC198" i="2"/>
  <c r="CC188" i="2"/>
  <c r="FZ227" i="2"/>
  <c r="FR88" i="2"/>
  <c r="FR89" i="2"/>
  <c r="DT118" i="2"/>
  <c r="DT120" i="2"/>
  <c r="BC234" i="2"/>
  <c r="CO65" i="2"/>
  <c r="CO64" i="2"/>
  <c r="ED64" i="2"/>
  <c r="ED65" i="2"/>
  <c r="FE43" i="2"/>
  <c r="FE44" i="2"/>
  <c r="FG58" i="2"/>
  <c r="FG6" i="2"/>
  <c r="DU65" i="2"/>
  <c r="DU64" i="2"/>
  <c r="DO64" i="2"/>
  <c r="GC63" i="2"/>
  <c r="DO65" i="2"/>
  <c r="DP64" i="2"/>
  <c r="FY44" i="2"/>
  <c r="FY43" i="2"/>
  <c r="U34" i="2"/>
  <c r="U35" i="2"/>
  <c r="U33" i="2"/>
  <c r="Y34" i="2"/>
  <c r="C33" i="2"/>
  <c r="G34" i="2"/>
  <c r="C35" i="2"/>
  <c r="FK20" i="2"/>
  <c r="FK21" i="2"/>
  <c r="ED33" i="2"/>
  <c r="ED34" i="2"/>
  <c r="ED37" i="2"/>
  <c r="ED35" i="2"/>
  <c r="ED40" i="2"/>
  <c r="GA43" i="2"/>
  <c r="GA44" i="2"/>
  <c r="FI44" i="2"/>
  <c r="FI43" i="2"/>
  <c r="BF33" i="2"/>
  <c r="DX19" i="2"/>
  <c r="DX21" i="2"/>
  <c r="DG19" i="2"/>
  <c r="DG21" i="2"/>
  <c r="DG20" i="2"/>
  <c r="BX33" i="2"/>
  <c r="CW39" i="2"/>
  <c r="FG20" i="2"/>
  <c r="FG21" i="2"/>
  <c r="FH58" i="2"/>
  <c r="FH6" i="2"/>
  <c r="FF43" i="2"/>
  <c r="CF49" i="2"/>
  <c r="CP64" i="2"/>
  <c r="CM381" i="3"/>
  <c r="CM376" i="3"/>
  <c r="DG375" i="3"/>
  <c r="EB316" i="3"/>
  <c r="CO390" i="3"/>
  <c r="CO389" i="3"/>
  <c r="EJ388" i="3"/>
  <c r="EK388" i="3" s="1"/>
  <c r="EK390" i="3" s="1"/>
  <c r="EM390" i="3"/>
  <c r="EM389" i="3"/>
  <c r="DA230" i="3"/>
  <c r="DA231" i="3" s="1"/>
  <c r="DA238" i="3"/>
  <c r="DA242" i="3" s="1"/>
  <c r="DA243" i="3" s="1"/>
  <c r="DA235" i="3"/>
  <c r="DB201" i="3"/>
  <c r="CZ381" i="3"/>
  <c r="CZ380" i="3"/>
  <c r="CZ376" i="3"/>
  <c r="EG203" i="3"/>
  <c r="EG202" i="3"/>
  <c r="DT203" i="3"/>
  <c r="DT202" i="3"/>
  <c r="CX381" i="3"/>
  <c r="DB379" i="3"/>
  <c r="CX376" i="3"/>
  <c r="CX380" i="3"/>
  <c r="DD236" i="3"/>
  <c r="EG380" i="3"/>
  <c r="EG381" i="3"/>
  <c r="EK379" i="3"/>
  <c r="EG376" i="3"/>
  <c r="ED238" i="3"/>
  <c r="ED235" i="3"/>
  <c r="ED230" i="3"/>
  <c r="ED236" i="3"/>
  <c r="EB238" i="3"/>
  <c r="EB230" i="3"/>
  <c r="EB236" i="3"/>
  <c r="EB235" i="3"/>
  <c r="DM381" i="3"/>
  <c r="DQ379" i="3"/>
  <c r="DM376" i="3"/>
  <c r="DM380" i="3"/>
  <c r="DV201" i="3"/>
  <c r="DR202" i="3"/>
  <c r="DR203" i="3"/>
  <c r="FQ124" i="3"/>
  <c r="FT124" i="3" s="1"/>
  <c r="CL124" i="3"/>
  <c r="CH121" i="3"/>
  <c r="FE119" i="3"/>
  <c r="CG114" i="3"/>
  <c r="CG115" i="3" s="1"/>
  <c r="DJ115" i="3"/>
  <c r="DL115" i="3" s="1"/>
  <c r="BP86" i="2"/>
  <c r="DF124" i="3"/>
  <c r="DG124" i="3" s="1"/>
  <c r="BM122" i="3"/>
  <c r="BN122" i="3" s="1"/>
  <c r="CE115" i="3"/>
  <c r="FT120" i="3"/>
  <c r="BX118" i="3"/>
  <c r="AM146" i="3"/>
  <c r="AM147" i="3"/>
  <c r="AM148" i="3"/>
  <c r="AM92" i="3"/>
  <c r="CM107" i="3"/>
  <c r="FL108" i="3"/>
  <c r="FM108" i="3" s="1"/>
  <c r="AK163" i="3"/>
  <c r="EB99" i="2"/>
  <c r="DD99" i="2"/>
  <c r="CK99" i="2"/>
  <c r="FU99" i="2" s="1"/>
  <c r="BF99" i="2"/>
  <c r="AH99" i="2"/>
  <c r="CP115" i="3"/>
  <c r="AZ86" i="2"/>
  <c r="AP147" i="3"/>
  <c r="AP148" i="3"/>
  <c r="AP146" i="3"/>
  <c r="AP92" i="3"/>
  <c r="DL99" i="2"/>
  <c r="CI99" i="2"/>
  <c r="BV108" i="3"/>
  <c r="BW108" i="3" s="1"/>
  <c r="CO146" i="3"/>
  <c r="CT157" i="3" s="1"/>
  <c r="CO147" i="3"/>
  <c r="CO148" i="3"/>
  <c r="CO92" i="3"/>
  <c r="GE148" i="3"/>
  <c r="GE146" i="3"/>
  <c r="GE147" i="3"/>
  <c r="GE92" i="3"/>
  <c r="DK157" i="3"/>
  <c r="DL157" i="3" s="1"/>
  <c r="DG146" i="3"/>
  <c r="DH99" i="2"/>
  <c r="EI146" i="3"/>
  <c r="EN157" i="3" s="1"/>
  <c r="EI148" i="3"/>
  <c r="EI147" i="3"/>
  <c r="EI92" i="3"/>
  <c r="BD99" i="2"/>
  <c r="AL99" i="2"/>
  <c r="ER149" i="3"/>
  <c r="ER144" i="3"/>
  <c r="ER100" i="3"/>
  <c r="ER87" i="3"/>
  <c r="CQ98" i="2"/>
  <c r="EY146" i="3"/>
  <c r="EY147" i="3"/>
  <c r="EZ147" i="3" s="1"/>
  <c r="EY148" i="3"/>
  <c r="EZ148" i="3" s="1"/>
  <c r="EZ87" i="3"/>
  <c r="EY92" i="3"/>
  <c r="EJ172" i="3"/>
  <c r="EJ174" i="3"/>
  <c r="EJ24" i="3"/>
  <c r="EO173" i="3" s="1"/>
  <c r="EJ19" i="3"/>
  <c r="CK26" i="2"/>
  <c r="FA172" i="3"/>
  <c r="FA174" i="3"/>
  <c r="FA19" i="3"/>
  <c r="FE18" i="3"/>
  <c r="FA24" i="3"/>
  <c r="CX26" i="2"/>
  <c r="CZ155" i="3"/>
  <c r="CZ156" i="3"/>
  <c r="CV85" i="3"/>
  <c r="CV17" i="3"/>
  <c r="CV18" i="3"/>
  <c r="BE10" i="2"/>
  <c r="DO155" i="3"/>
  <c r="DO156" i="3"/>
  <c r="DK85" i="3"/>
  <c r="DK18" i="3"/>
  <c r="DK17" i="3"/>
  <c r="BQ10" i="2"/>
  <c r="CJ85" i="3"/>
  <c r="CJ17" i="3"/>
  <c r="CJ18" i="3"/>
  <c r="AU10" i="2"/>
  <c r="HH28" i="3"/>
  <c r="GX26" i="3"/>
  <c r="CX85" i="3"/>
  <c r="CX18" i="3"/>
  <c r="CY174" i="3" s="1"/>
  <c r="CX17" i="3"/>
  <c r="DB16" i="3"/>
  <c r="DB17" i="3" s="1"/>
  <c r="BF10" i="2"/>
  <c r="GJ174" i="3"/>
  <c r="GJ172" i="3"/>
  <c r="GJ24" i="3"/>
  <c r="GJ19" i="3"/>
  <c r="DZ26" i="2"/>
  <c r="EB174" i="3"/>
  <c r="EB172" i="3"/>
  <c r="EB24" i="3"/>
  <c r="EF18" i="3"/>
  <c r="EB19" i="3"/>
  <c r="CD26" i="2"/>
  <c r="CU173" i="3"/>
  <c r="CU70" i="3"/>
  <c r="CU25" i="3"/>
  <c r="CU69" i="3" s="1"/>
  <c r="BD54" i="2" s="1"/>
  <c r="CU32" i="3"/>
  <c r="AG24" i="3"/>
  <c r="AG19" i="3"/>
  <c r="C26" i="2"/>
  <c r="FC174" i="3"/>
  <c r="FC24" i="3"/>
  <c r="FC19" i="3"/>
  <c r="CZ26" i="2"/>
  <c r="CA19" i="3"/>
  <c r="CA24" i="3"/>
  <c r="AN26" i="2"/>
  <c r="FX174" i="3"/>
  <c r="FX172" i="3"/>
  <c r="FX24" i="3"/>
  <c r="FX19" i="3"/>
  <c r="DQ26" i="2"/>
  <c r="DM430" i="2"/>
  <c r="DM429" i="2"/>
  <c r="FW330" i="2"/>
  <c r="FW334" i="2"/>
  <c r="FW329" i="2"/>
  <c r="DC452" i="2"/>
  <c r="DC357" i="2"/>
  <c r="DC356" i="2"/>
  <c r="DP357" i="2"/>
  <c r="DP358" i="2"/>
  <c r="DT357" i="2"/>
  <c r="DP356" i="2"/>
  <c r="CV437" i="2"/>
  <c r="CV438" i="2"/>
  <c r="FO341" i="2"/>
  <c r="FO346" i="2"/>
  <c r="FO342" i="2"/>
  <c r="GB436" i="2"/>
  <c r="DW324" i="2"/>
  <c r="DW323" i="2"/>
  <c r="EA323" i="2"/>
  <c r="DW322" i="2"/>
  <c r="GD330" i="2"/>
  <c r="GD334" i="2"/>
  <c r="GD329" i="2"/>
  <c r="CZ452" i="2"/>
  <c r="CZ432" i="2" s="1"/>
  <c r="CZ356" i="2"/>
  <c r="CZ357" i="2"/>
  <c r="GF277" i="2"/>
  <c r="DS432" i="2"/>
  <c r="DS438" i="2"/>
  <c r="DS437" i="2"/>
  <c r="DY243" i="2"/>
  <c r="DY242" i="2"/>
  <c r="EA242" i="2"/>
  <c r="FQ239" i="2"/>
  <c r="CZ235" i="2"/>
  <c r="CZ234" i="2"/>
  <c r="FO219" i="2"/>
  <c r="FM206" i="2"/>
  <c r="FM228" i="2"/>
  <c r="FM205" i="2"/>
  <c r="DW234" i="2"/>
  <c r="CW418" i="2"/>
  <c r="BJ235" i="2"/>
  <c r="BJ234" i="2"/>
  <c r="FO233" i="2"/>
  <c r="FN219" i="2"/>
  <c r="FN211" i="2"/>
  <c r="CQ235" i="2"/>
  <c r="CQ234" i="2"/>
  <c r="BS235" i="2"/>
  <c r="BS234" i="2"/>
  <c r="AU235" i="2"/>
  <c r="AU234" i="2"/>
  <c r="FW205" i="2"/>
  <c r="FW206" i="2"/>
  <c r="FW228" i="2"/>
  <c r="DT224" i="2"/>
  <c r="DH248" i="2"/>
  <c r="DH295" i="2"/>
  <c r="DH249" i="2"/>
  <c r="DW235" i="2"/>
  <c r="BQ235" i="2"/>
  <c r="BQ234" i="2"/>
  <c r="BW222" i="2"/>
  <c r="BX196" i="2"/>
  <c r="BW197" i="2"/>
  <c r="BW196" i="2"/>
  <c r="BW198" i="2"/>
  <c r="BW188" i="2"/>
  <c r="AM222" i="2"/>
  <c r="AN196" i="2"/>
  <c r="AM197" i="2"/>
  <c r="AM196" i="2"/>
  <c r="AM198" i="2"/>
  <c r="AM188" i="2"/>
  <c r="DJ156" i="2"/>
  <c r="GF112" i="2"/>
  <c r="GB215" i="2"/>
  <c r="GD185" i="2"/>
  <c r="GD184" i="2"/>
  <c r="EU153" i="2"/>
  <c r="GK153" i="2" s="1"/>
  <c r="ET155" i="2"/>
  <c r="GD136" i="2"/>
  <c r="FM225" i="2"/>
  <c r="FN227" i="2" s="1"/>
  <c r="FM201" i="2"/>
  <c r="FM202" i="2"/>
  <c r="DF416" i="2"/>
  <c r="DJ418" i="2" s="1"/>
  <c r="DF246" i="2"/>
  <c r="DF198" i="2"/>
  <c r="DF222" i="2"/>
  <c r="DF197" i="2"/>
  <c r="DF196" i="2"/>
  <c r="GA195" i="2"/>
  <c r="FU201" i="2"/>
  <c r="FU225" i="2"/>
  <c r="FU202" i="2"/>
  <c r="AF198" i="2"/>
  <c r="AF222" i="2"/>
  <c r="AF196" i="2"/>
  <c r="AF188" i="2"/>
  <c r="CN64" i="2"/>
  <c r="CN65" i="2"/>
  <c r="CB64" i="2"/>
  <c r="CB65" i="2"/>
  <c r="FS63" i="2"/>
  <c r="CF65" i="2"/>
  <c r="FA58" i="2"/>
  <c r="FA6" i="2"/>
  <c r="FX43" i="2"/>
  <c r="FX44" i="2"/>
  <c r="CT33" i="2"/>
  <c r="FX32" i="2"/>
  <c r="CT34" i="2"/>
  <c r="CT37" i="2"/>
  <c r="CT35" i="2"/>
  <c r="CT40" i="2"/>
  <c r="BD33" i="2"/>
  <c r="BD34" i="2"/>
  <c r="BD35" i="2"/>
  <c r="AL33" i="2"/>
  <c r="AL34" i="2"/>
  <c r="AL35" i="2"/>
  <c r="FI32" i="2"/>
  <c r="DJ34" i="2"/>
  <c r="FA32" i="2"/>
  <c r="FN16" i="2"/>
  <c r="FN17" i="2"/>
  <c r="FB58" i="2"/>
  <c r="FB6" i="2"/>
  <c r="FE47" i="2"/>
  <c r="FQ63" i="2"/>
  <c r="CQ396" i="3"/>
  <c r="CP398" i="3"/>
  <c r="CP399" i="3"/>
  <c r="EL390" i="3"/>
  <c r="DB388" i="3"/>
  <c r="DB390" i="3" s="1"/>
  <c r="DB286" i="3"/>
  <c r="DB281" i="3"/>
  <c r="DB283" i="3" s="1"/>
  <c r="EH316" i="3"/>
  <c r="EH289" i="3"/>
  <c r="DS390" i="3"/>
  <c r="DS389" i="3"/>
  <c r="CZ389" i="3"/>
  <c r="CZ390" i="3"/>
  <c r="EU305" i="3"/>
  <c r="EU304" i="3"/>
  <c r="DK390" i="3"/>
  <c r="DK389" i="3"/>
  <c r="CS389" i="3"/>
  <c r="CS390" i="3"/>
  <c r="DJ390" i="3"/>
  <c r="DJ389" i="3"/>
  <c r="CQ389" i="3"/>
  <c r="CQ390" i="3"/>
  <c r="EC315" i="3"/>
  <c r="EG272" i="3"/>
  <c r="DX238" i="3"/>
  <c r="DX236" i="3"/>
  <c r="DX230" i="3"/>
  <c r="DX235" i="3"/>
  <c r="EA229" i="3"/>
  <c r="DH235" i="3"/>
  <c r="DH236" i="3"/>
  <c r="DL234" i="3"/>
  <c r="DH238" i="3"/>
  <c r="DH230" i="3"/>
  <c r="EH203" i="3"/>
  <c r="EH202" i="3"/>
  <c r="ED381" i="3"/>
  <c r="ED380" i="3"/>
  <c r="ED376" i="3"/>
  <c r="DT236" i="3"/>
  <c r="DT238" i="3"/>
  <c r="DT235" i="3"/>
  <c r="DT230" i="3"/>
  <c r="CS381" i="3"/>
  <c r="CS376" i="3"/>
  <c r="CS380" i="3"/>
  <c r="CW379" i="3"/>
  <c r="EB381" i="3"/>
  <c r="EB380" i="3"/>
  <c r="EB376" i="3"/>
  <c r="EF379" i="3"/>
  <c r="CR199" i="3"/>
  <c r="CR194" i="3"/>
  <c r="CR196" i="3" s="1"/>
  <c r="DR238" i="3"/>
  <c r="DR235" i="3"/>
  <c r="DR230" i="3"/>
  <c r="DV234" i="3"/>
  <c r="DR236" i="3"/>
  <c r="DS202" i="3"/>
  <c r="DS203" i="3"/>
  <c r="CQ381" i="3"/>
  <c r="CQ380" i="3"/>
  <c r="CQ376" i="3"/>
  <c r="DL379" i="3"/>
  <c r="DH381" i="3"/>
  <c r="DH380" i="3"/>
  <c r="DH376" i="3"/>
  <c r="CW201" i="3"/>
  <c r="EK308" i="3"/>
  <c r="DN161" i="3"/>
  <c r="DJ164" i="3"/>
  <c r="EA124" i="3"/>
  <c r="EP120" i="3"/>
  <c r="DA114" i="3"/>
  <c r="DA115" i="3" s="1"/>
  <c r="CZ122" i="3"/>
  <c r="BS114" i="3"/>
  <c r="AY109" i="3"/>
  <c r="ED157" i="3"/>
  <c r="BW146" i="3"/>
  <c r="BW147" i="3"/>
  <c r="BX147" i="3" s="1"/>
  <c r="BW148" i="3"/>
  <c r="BX148" i="3" s="1"/>
  <c r="BW92" i="3"/>
  <c r="BX87" i="3"/>
  <c r="DX99" i="2"/>
  <c r="J99" i="2"/>
  <c r="BP146" i="3"/>
  <c r="BP147" i="3"/>
  <c r="BP148" i="3"/>
  <c r="BP92" i="3"/>
  <c r="DO157" i="3"/>
  <c r="HA115" i="3"/>
  <c r="HB113" i="3"/>
  <c r="EN86" i="2"/>
  <c r="AJ99" i="2"/>
  <c r="AG99" i="2"/>
  <c r="FG99" i="2" s="1"/>
  <c r="AZ99" i="2"/>
  <c r="FW146" i="3"/>
  <c r="FW147" i="3"/>
  <c r="FW148" i="3"/>
  <c r="FW92" i="3"/>
  <c r="AK99" i="2"/>
  <c r="FH99" i="2" s="1"/>
  <c r="L99" i="2"/>
  <c r="FY146" i="3"/>
  <c r="CX170" i="3"/>
  <c r="CX169" i="3"/>
  <c r="DC163" i="3"/>
  <c r="CX153" i="3"/>
  <c r="EW153" i="3"/>
  <c r="CY170" i="3"/>
  <c r="GJ147" i="3"/>
  <c r="GJ148" i="3"/>
  <c r="GJ146" i="3"/>
  <c r="GO157" i="3" s="1"/>
  <c r="GJ92" i="3"/>
  <c r="CE146" i="3"/>
  <c r="CJ157" i="3" s="1"/>
  <c r="CE147" i="3"/>
  <c r="CE148" i="3"/>
  <c r="CE92" i="3"/>
  <c r="GI51" i="3"/>
  <c r="ED99" i="2"/>
  <c r="CZ172" i="3"/>
  <c r="CZ174" i="3"/>
  <c r="CZ24" i="3"/>
  <c r="CZ19" i="3"/>
  <c r="BH26" i="2"/>
  <c r="EP295" i="3"/>
  <c r="EP39" i="3"/>
  <c r="EP31" i="3"/>
  <c r="EP11" i="3"/>
  <c r="BO19" i="3"/>
  <c r="BO24" i="3"/>
  <c r="AD26" i="2"/>
  <c r="BJ17" i="3"/>
  <c r="BJ18" i="3"/>
  <c r="BK174" i="3" s="1"/>
  <c r="Z10" i="2"/>
  <c r="BA172" i="3"/>
  <c r="BA24" i="3"/>
  <c r="BA19" i="3"/>
  <c r="S26" i="2"/>
  <c r="DA156" i="3"/>
  <c r="DB156" i="3" s="1"/>
  <c r="ES161" i="3"/>
  <c r="DT156" i="3"/>
  <c r="DT155" i="3"/>
  <c r="DP85" i="3"/>
  <c r="DP18" i="3"/>
  <c r="DP17" i="3"/>
  <c r="BU10" i="2"/>
  <c r="BP18" i="3"/>
  <c r="BP17" i="3"/>
  <c r="AE10" i="2"/>
  <c r="CR393" i="3"/>
  <c r="CR395" i="3" s="1"/>
  <c r="BY378" i="3"/>
  <c r="BY377" i="3"/>
  <c r="DQ375" i="3"/>
  <c r="CD378" i="3"/>
  <c r="CD377" i="3"/>
  <c r="CR375" i="3"/>
  <c r="CB377" i="3"/>
  <c r="CB378" i="3"/>
  <c r="CL377" i="3"/>
  <c r="BZ377" i="3"/>
  <c r="DZ389" i="3"/>
  <c r="DZ390" i="3"/>
  <c r="CP389" i="3"/>
  <c r="CP390" i="3"/>
  <c r="DG388" i="3"/>
  <c r="DG390" i="3" s="1"/>
  <c r="DG281" i="3"/>
  <c r="DG286" i="3"/>
  <c r="CM283" i="3"/>
  <c r="EP304" i="3"/>
  <c r="EP305" i="3"/>
  <c r="DX390" i="3"/>
  <c r="DX389" i="3"/>
  <c r="DE390" i="3"/>
  <c r="DE389" i="3"/>
  <c r="EH390" i="3"/>
  <c r="EH389" i="3"/>
  <c r="CX389" i="3"/>
  <c r="CX390" i="3"/>
  <c r="DU389" i="3"/>
  <c r="DU390" i="3"/>
  <c r="CW387" i="3"/>
  <c r="EG228" i="3"/>
  <c r="DY236" i="3"/>
  <c r="DY238" i="3"/>
  <c r="DY230" i="3"/>
  <c r="DY235" i="3"/>
  <c r="CW283" i="3"/>
  <c r="ER272" i="3"/>
  <c r="DP203" i="3"/>
  <c r="DP202" i="3"/>
  <c r="EP197" i="3"/>
  <c r="DR380" i="3"/>
  <c r="DR381" i="3"/>
  <c r="DV379" i="3"/>
  <c r="DR376" i="3"/>
  <c r="DN236" i="3"/>
  <c r="DN238" i="3"/>
  <c r="DN235" i="3"/>
  <c r="DN230" i="3"/>
  <c r="DI203" i="3"/>
  <c r="DI202" i="3"/>
  <c r="DQ199" i="3"/>
  <c r="DQ194" i="3"/>
  <c r="DP381" i="3"/>
  <c r="DP380" i="3"/>
  <c r="DP376" i="3"/>
  <c r="DK238" i="3"/>
  <c r="DK230" i="3"/>
  <c r="DK236" i="3"/>
  <c r="DK235" i="3"/>
  <c r="DB234" i="3"/>
  <c r="DB230" i="3" s="1"/>
  <c r="DO381" i="3"/>
  <c r="DO376" i="3"/>
  <c r="DO380" i="3"/>
  <c r="DB199" i="3"/>
  <c r="EF308" i="3"/>
  <c r="CP381" i="3"/>
  <c r="CP380" i="3"/>
  <c r="CP376" i="3"/>
  <c r="EE381" i="3"/>
  <c r="EE380" i="3"/>
  <c r="EE376" i="3"/>
  <c r="CO381" i="3"/>
  <c r="CR379" i="3"/>
  <c r="CO380" i="3"/>
  <c r="CO376" i="3"/>
  <c r="EQ184" i="3"/>
  <c r="EO187" i="3"/>
  <c r="EO186" i="3"/>
  <c r="DB189" i="3"/>
  <c r="DB184" i="3"/>
  <c r="DB186" i="3" s="1"/>
  <c r="DV186" i="3"/>
  <c r="DQ189" i="3"/>
  <c r="FK164" i="3"/>
  <c r="FJ164" i="3"/>
  <c r="FI161" i="3"/>
  <c r="FJ161" i="3" s="1"/>
  <c r="BQ120" i="3"/>
  <c r="BR120" i="3" s="1"/>
  <c r="FV124" i="3"/>
  <c r="FY124" i="3" s="1"/>
  <c r="BH124" i="3"/>
  <c r="AY124" i="3"/>
  <c r="DL120" i="3"/>
  <c r="BS124" i="3"/>
  <c r="EP122" i="3"/>
  <c r="DQ122" i="3"/>
  <c r="DG121" i="3"/>
  <c r="CQ118" i="3"/>
  <c r="BH122" i="3"/>
  <c r="BI118" i="3"/>
  <c r="AH122" i="3"/>
  <c r="AI118" i="3"/>
  <c r="DL119" i="3"/>
  <c r="CF122" i="3"/>
  <c r="HL115" i="3"/>
  <c r="HM115" i="3" s="1"/>
  <c r="EW86" i="2"/>
  <c r="BQ115" i="3"/>
  <c r="BS113" i="3"/>
  <c r="AF86" i="2"/>
  <c r="CY115" i="3"/>
  <c r="DG108" i="3"/>
  <c r="FY107" i="3"/>
  <c r="GE108" i="3"/>
  <c r="BK146" i="3"/>
  <c r="BK147" i="3"/>
  <c r="BK148" i="3"/>
  <c r="BK92" i="3"/>
  <c r="DJ99" i="2"/>
  <c r="AX146" i="3"/>
  <c r="AX147" i="3"/>
  <c r="AY147" i="3" s="1"/>
  <c r="AX148" i="3"/>
  <c r="AY148" i="3" s="1"/>
  <c r="AY87" i="3"/>
  <c r="AX92" i="3"/>
  <c r="BP85" i="3"/>
  <c r="DW99" i="2"/>
  <c r="DI99" i="2"/>
  <c r="GA99" i="2" s="1"/>
  <c r="CT99" i="2"/>
  <c r="CF99" i="2"/>
  <c r="AM99" i="2"/>
  <c r="FS114" i="3"/>
  <c r="FT114" i="3" s="1"/>
  <c r="FR115" i="3"/>
  <c r="DG113" i="3"/>
  <c r="AM115" i="3"/>
  <c r="H86" i="2"/>
  <c r="FJ108" i="3"/>
  <c r="DW148" i="3"/>
  <c r="DW146" i="3"/>
  <c r="DW147" i="3"/>
  <c r="DW92" i="3"/>
  <c r="BU148" i="3"/>
  <c r="BU146" i="3"/>
  <c r="BU147" i="3"/>
  <c r="BU92" i="3"/>
  <c r="FM115" i="3"/>
  <c r="FO115" i="3" s="1"/>
  <c r="DH86" i="2"/>
  <c r="CE14" i="3"/>
  <c r="DA99" i="2"/>
  <c r="FY99" i="2" s="1"/>
  <c r="BH147" i="3"/>
  <c r="BI147" i="3" s="1"/>
  <c r="BH148" i="3"/>
  <c r="BI148" i="3" s="1"/>
  <c r="BH146" i="3"/>
  <c r="BI87" i="3"/>
  <c r="BH92" i="3"/>
  <c r="DQ99" i="2"/>
  <c r="GC99" i="2" s="1"/>
  <c r="DG99" i="2"/>
  <c r="CN99" i="2"/>
  <c r="DO99" i="2"/>
  <c r="DV146" i="3"/>
  <c r="BN146" i="3"/>
  <c r="GB146" i="3"/>
  <c r="GG157" i="3" s="1"/>
  <c r="GB147" i="3"/>
  <c r="GB148" i="3"/>
  <c r="GB92" i="3"/>
  <c r="GG170" i="3" s="1"/>
  <c r="GX91" i="3"/>
  <c r="DS170" i="3"/>
  <c r="FK157" i="3"/>
  <c r="BL146" i="3"/>
  <c r="BQ157" i="3" s="1"/>
  <c r="BL147" i="3"/>
  <c r="BL148" i="3"/>
  <c r="BL92" i="3"/>
  <c r="FQ146" i="3"/>
  <c r="FQ148" i="3"/>
  <c r="FQ147" i="3"/>
  <c r="FQ92" i="3"/>
  <c r="CO99" i="2"/>
  <c r="FV99" i="2" s="1"/>
  <c r="EG146" i="3"/>
  <c r="EG148" i="3"/>
  <c r="EG147" i="3"/>
  <c r="EG92" i="3"/>
  <c r="EC99" i="2"/>
  <c r="GF99" i="2" s="1"/>
  <c r="DS157" i="3"/>
  <c r="DA169" i="3"/>
  <c r="DB169" i="3" s="1"/>
  <c r="DA170" i="3"/>
  <c r="DB170" i="3" s="1"/>
  <c r="DF163" i="3"/>
  <c r="DG163" i="3" s="1"/>
  <c r="DA153" i="3"/>
  <c r="DB153" i="3" s="1"/>
  <c r="DB92" i="3"/>
  <c r="DY170" i="3"/>
  <c r="DC169" i="3"/>
  <c r="FB157" i="3"/>
  <c r="DF170" i="3"/>
  <c r="DG170" i="3" s="1"/>
  <c r="DK163" i="3"/>
  <c r="DL163" i="3" s="1"/>
  <c r="DG92" i="3"/>
  <c r="CD146" i="3"/>
  <c r="CI157" i="3" s="1"/>
  <c r="CD147" i="3"/>
  <c r="CD148" i="3"/>
  <c r="CD92" i="3"/>
  <c r="BB99" i="2"/>
  <c r="DK169" i="3"/>
  <c r="DL169" i="3" s="1"/>
  <c r="DX148" i="3"/>
  <c r="DX146" i="3"/>
  <c r="EC157" i="3" s="1"/>
  <c r="DX147" i="3"/>
  <c r="DX92" i="3"/>
  <c r="BK99" i="2"/>
  <c r="CK146" i="3"/>
  <c r="CK147" i="3"/>
  <c r="CK148" i="3"/>
  <c r="CK92" i="3"/>
  <c r="AB99" i="2"/>
  <c r="HB46" i="3"/>
  <c r="HC46" i="3" s="1"/>
  <c r="FE51" i="3"/>
  <c r="GD51" i="3"/>
  <c r="DF99" i="2"/>
  <c r="EP13" i="3"/>
  <c r="GR40" i="3"/>
  <c r="EP29" i="3"/>
  <c r="EP27" i="3"/>
  <c r="CY19" i="3"/>
  <c r="CY24" i="3"/>
  <c r="BG26" i="2"/>
  <c r="AV174" i="3"/>
  <c r="AV172" i="3"/>
  <c r="AV24" i="3"/>
  <c r="AV19" i="3"/>
  <c r="O26" i="2"/>
  <c r="FQ155" i="3"/>
  <c r="DX172" i="3"/>
  <c r="DX174" i="3"/>
  <c r="DX24" i="3"/>
  <c r="EC173" i="3" s="1"/>
  <c r="DX19" i="3"/>
  <c r="CA26" i="2"/>
  <c r="EL85" i="3"/>
  <c r="EL74" i="3" s="1"/>
  <c r="EL17" i="3"/>
  <c r="EL18" i="3"/>
  <c r="EM174" i="3" s="1"/>
  <c r="EP16" i="3"/>
  <c r="EP17" i="3" s="1"/>
  <c r="CL10" i="2"/>
  <c r="DH85" i="3"/>
  <c r="DH17" i="3"/>
  <c r="DH18" i="3"/>
  <c r="DL16" i="3"/>
  <c r="DL17" i="3" s="1"/>
  <c r="BN10" i="2"/>
  <c r="CV155" i="3"/>
  <c r="CW155" i="3" s="1"/>
  <c r="DF157" i="3"/>
  <c r="DG157" i="3" s="1"/>
  <c r="EN156" i="3"/>
  <c r="CI17" i="3"/>
  <c r="CI18" i="3"/>
  <c r="AT10" i="2"/>
  <c r="AR85" i="3"/>
  <c r="AR17" i="3"/>
  <c r="AR18" i="3"/>
  <c r="L10" i="2"/>
  <c r="CS174" i="3"/>
  <c r="CS172" i="3"/>
  <c r="CS19" i="3"/>
  <c r="CS24" i="3"/>
  <c r="BB26" i="2"/>
  <c r="BL85" i="3"/>
  <c r="BL17" i="3"/>
  <c r="BL18" i="3"/>
  <c r="AB10" i="2"/>
  <c r="DD174" i="3"/>
  <c r="DD172" i="3"/>
  <c r="DD24" i="3"/>
  <c r="DD19" i="3"/>
  <c r="BK26" i="2"/>
  <c r="EB438" i="2"/>
  <c r="EB437" i="2"/>
  <c r="EB432" i="2"/>
  <c r="DO404" i="2"/>
  <c r="DO405" i="2"/>
  <c r="DP402" i="2"/>
  <c r="DO399" i="2"/>
  <c r="GH172" i="3"/>
  <c r="GH174" i="3"/>
  <c r="GH24" i="3"/>
  <c r="GH19" i="3"/>
  <c r="DY26" i="2"/>
  <c r="GA174" i="3"/>
  <c r="GA24" i="3"/>
  <c r="GA19" i="3"/>
  <c r="DS26" i="2"/>
  <c r="GG174" i="3"/>
  <c r="GG24" i="3"/>
  <c r="GG19" i="3"/>
  <c r="DX26" i="2"/>
  <c r="DR406" i="2"/>
  <c r="DQ408" i="2"/>
  <c r="ED175" i="3"/>
  <c r="ED70" i="3"/>
  <c r="ED25" i="3"/>
  <c r="ED69" i="3" s="1"/>
  <c r="CF54" i="2" s="1"/>
  <c r="ED32" i="3"/>
  <c r="BK172" i="3"/>
  <c r="BK24" i="3"/>
  <c r="BK19" i="3"/>
  <c r="AA26" i="2"/>
  <c r="AU42" i="3"/>
  <c r="AU45" i="3"/>
  <c r="AU35" i="3"/>
  <c r="AU51" i="3" s="1"/>
  <c r="AU33" i="3"/>
  <c r="FU155" i="3"/>
  <c r="ES172" i="3"/>
  <c r="ES24" i="3"/>
  <c r="ES19" i="3"/>
  <c r="CR26" i="2"/>
  <c r="GC406" i="2"/>
  <c r="EC438" i="2"/>
  <c r="EC437" i="2"/>
  <c r="EC432" i="2"/>
  <c r="GC341" i="2"/>
  <c r="GC346" i="2"/>
  <c r="GC342" i="2"/>
  <c r="DO437" i="2"/>
  <c r="CW437" i="2"/>
  <c r="CW438" i="2"/>
  <c r="FV341" i="2"/>
  <c r="FV346" i="2"/>
  <c r="FV342" i="2"/>
  <c r="DH452" i="2"/>
  <c r="DH432" i="2" s="1"/>
  <c r="DH357" i="2"/>
  <c r="DH356" i="2"/>
  <c r="FZ346" i="2"/>
  <c r="FZ342" i="2"/>
  <c r="FZ341" i="2"/>
  <c r="GB428" i="2"/>
  <c r="GA385" i="2"/>
  <c r="FY341" i="2"/>
  <c r="FY346" i="2"/>
  <c r="FY342" i="2"/>
  <c r="FR341" i="2"/>
  <c r="FR346" i="2"/>
  <c r="FR342" i="2"/>
  <c r="DP438" i="2"/>
  <c r="FY436" i="2"/>
  <c r="ED436" i="2"/>
  <c r="ED330" i="2"/>
  <c r="ED328" i="2"/>
  <c r="ED321" i="2"/>
  <c r="ED329" i="2"/>
  <c r="ED133" i="2"/>
  <c r="DX322" i="2"/>
  <c r="CQ452" i="2"/>
  <c r="CQ357" i="2"/>
  <c r="CQ356" i="2"/>
  <c r="DW437" i="2"/>
  <c r="DW432" i="2"/>
  <c r="DW438" i="2"/>
  <c r="DK438" i="2"/>
  <c r="DK437" i="2"/>
  <c r="DU312" i="2"/>
  <c r="DV310" i="2"/>
  <c r="DU266" i="2"/>
  <c r="GC381" i="2"/>
  <c r="FZ336" i="2"/>
  <c r="CN356" i="2"/>
  <c r="CN357" i="2"/>
  <c r="FS274" i="2"/>
  <c r="CM357" i="2"/>
  <c r="CM356" i="2"/>
  <c r="DP281" i="2"/>
  <c r="DL280" i="2"/>
  <c r="DL281" i="2"/>
  <c r="DG452" i="2"/>
  <c r="DG432" i="2" s="1"/>
  <c r="DG356" i="2"/>
  <c r="DG357" i="2"/>
  <c r="DA438" i="2"/>
  <c r="DA437" i="2"/>
  <c r="CF356" i="2"/>
  <c r="DK280" i="2"/>
  <c r="DK281" i="2"/>
  <c r="FQ288" i="2"/>
  <c r="FQ278" i="2"/>
  <c r="FQ274" i="2"/>
  <c r="DB426" i="2"/>
  <c r="DB425" i="2"/>
  <c r="FZ424" i="2"/>
  <c r="FM243" i="2"/>
  <c r="FR278" i="2"/>
  <c r="FR274" i="2"/>
  <c r="DL426" i="2"/>
  <c r="FQ243" i="2"/>
  <c r="FP239" i="2"/>
  <c r="FJ243" i="2"/>
  <c r="FO239" i="2"/>
  <c r="FO243" i="2"/>
  <c r="FT239" i="2"/>
  <c r="BX235" i="2"/>
  <c r="BX234" i="2"/>
  <c r="FO228" i="2"/>
  <c r="FO205" i="2"/>
  <c r="FO206" i="2"/>
  <c r="DQ295" i="2"/>
  <c r="AT191" i="2"/>
  <c r="BO235" i="2"/>
  <c r="BO234" i="2"/>
  <c r="FX219" i="2"/>
  <c r="DN235" i="2"/>
  <c r="DN234" i="2"/>
  <c r="GE206" i="2"/>
  <c r="GE228" i="2"/>
  <c r="GE205" i="2"/>
  <c r="DV239" i="2"/>
  <c r="CC235" i="2"/>
  <c r="CC234" i="2"/>
  <c r="EE243" i="2"/>
  <c r="EE242" i="2"/>
  <c r="GA211" i="2"/>
  <c r="GA215" i="2"/>
  <c r="DD235" i="2"/>
  <c r="DD234" i="2"/>
  <c r="FR228" i="2"/>
  <c r="FR205" i="2"/>
  <c r="FR206" i="2"/>
  <c r="FW225" i="2"/>
  <c r="FW201" i="2"/>
  <c r="FW202" i="2"/>
  <c r="CJ235" i="2"/>
  <c r="CJ234" i="2"/>
  <c r="AH235" i="2"/>
  <c r="AH234" i="2"/>
  <c r="FH233" i="2"/>
  <c r="GA219" i="2"/>
  <c r="GF219" i="2"/>
  <c r="GF211" i="2"/>
  <c r="CW235" i="2"/>
  <c r="CW234" i="2"/>
  <c r="CK234" i="2"/>
  <c r="CK235" i="2"/>
  <c r="BY234" i="2"/>
  <c r="BY235" i="2"/>
  <c r="BM235" i="2"/>
  <c r="BM234" i="2"/>
  <c r="BA234" i="2"/>
  <c r="BA235" i="2"/>
  <c r="AO235" i="2"/>
  <c r="AO234" i="2"/>
  <c r="FP225" i="2"/>
  <c r="FP201" i="2"/>
  <c r="FP202" i="2"/>
  <c r="DN295" i="2"/>
  <c r="DN249" i="2"/>
  <c r="CS234" i="2"/>
  <c r="CS235" i="2"/>
  <c r="AQ234" i="2"/>
  <c r="AQ235" i="2"/>
  <c r="BL224" i="2"/>
  <c r="FS211" i="2"/>
  <c r="FS219" i="2"/>
  <c r="FV205" i="2"/>
  <c r="FV206" i="2"/>
  <c r="FV228" i="2"/>
  <c r="DY222" i="2"/>
  <c r="EC224" i="2" s="1"/>
  <c r="DZ196" i="2"/>
  <c r="DY197" i="2"/>
  <c r="DY196" i="2"/>
  <c r="DY198" i="2"/>
  <c r="CO222" i="2"/>
  <c r="CP196" i="2"/>
  <c r="CO197" i="2"/>
  <c r="CO196" i="2"/>
  <c r="CO198" i="2"/>
  <c r="BE222" i="2"/>
  <c r="BF196" i="2"/>
  <c r="BE197" i="2"/>
  <c r="BE196" i="2"/>
  <c r="BE198" i="2"/>
  <c r="BE188" i="2"/>
  <c r="EP155" i="2"/>
  <c r="EQ153" i="2"/>
  <c r="GC211" i="2"/>
  <c r="FG225" i="2"/>
  <c r="FH227" i="2" s="1"/>
  <c r="FG202" i="2"/>
  <c r="AU190" i="2"/>
  <c r="AU191" i="2"/>
  <c r="CN295" i="2"/>
  <c r="CN249" i="2"/>
  <c r="GC160" i="2"/>
  <c r="CL197" i="2"/>
  <c r="AJ197" i="2"/>
  <c r="AQ197" i="2"/>
  <c r="CF249" i="2"/>
  <c r="GD88" i="2"/>
  <c r="GD89" i="2"/>
  <c r="AP197" i="2"/>
  <c r="FW88" i="2"/>
  <c r="FW89" i="2"/>
  <c r="GA233" i="2"/>
  <c r="CN235" i="2"/>
  <c r="GB191" i="2"/>
  <c r="FV89" i="2"/>
  <c r="FV88" i="2"/>
  <c r="BU235" i="2"/>
  <c r="DR416" i="2"/>
  <c r="DR198" i="2"/>
  <c r="DR222" i="2"/>
  <c r="DR197" i="2"/>
  <c r="DR196" i="2"/>
  <c r="GD195" i="2"/>
  <c r="CT416" i="2"/>
  <c r="CT246" i="2"/>
  <c r="CT198" i="2"/>
  <c r="CT197" i="2"/>
  <c r="CT196" i="2"/>
  <c r="CT222" i="2"/>
  <c r="FX195" i="2"/>
  <c r="BV198" i="2"/>
  <c r="BV222" i="2"/>
  <c r="BV197" i="2"/>
  <c r="BV196" i="2"/>
  <c r="FR195" i="2"/>
  <c r="BV188" i="2"/>
  <c r="AX198" i="2"/>
  <c r="AX222" i="2"/>
  <c r="AX197" i="2"/>
  <c r="AX196" i="2"/>
  <c r="AX188" i="2"/>
  <c r="FL195" i="2"/>
  <c r="FW85" i="2"/>
  <c r="FN85" i="2"/>
  <c r="GF61" i="2"/>
  <c r="GF62" i="2"/>
  <c r="DY65" i="2"/>
  <c r="DY64" i="2"/>
  <c r="FS61" i="2"/>
  <c r="FS62" i="2"/>
  <c r="FD43" i="2"/>
  <c r="FD44" i="2"/>
  <c r="BW65" i="2"/>
  <c r="BW64" i="2"/>
  <c r="FX61" i="2"/>
  <c r="FX62" i="2"/>
  <c r="FH47" i="2"/>
  <c r="GC144" i="2"/>
  <c r="CU65" i="2"/>
  <c r="BI65" i="2"/>
  <c r="BI64" i="2"/>
  <c r="BH65" i="2"/>
  <c r="BH64" i="2"/>
  <c r="FP62" i="2"/>
  <c r="FP61" i="2"/>
  <c r="CA65" i="2"/>
  <c r="FP47" i="2"/>
  <c r="FB44" i="2"/>
  <c r="FB43" i="2"/>
  <c r="FQ43" i="2"/>
  <c r="FQ44" i="2"/>
  <c r="DK21" i="2"/>
  <c r="DK20" i="2"/>
  <c r="GB17" i="2"/>
  <c r="GB16" i="2"/>
  <c r="FS58" i="2"/>
  <c r="FS6" i="2"/>
  <c r="FP17" i="2"/>
  <c r="FP16" i="2"/>
  <c r="FN58" i="2"/>
  <c r="FN6" i="2"/>
  <c r="BM65" i="2"/>
  <c r="CK65" i="2"/>
  <c r="CK64" i="2"/>
  <c r="GC47" i="2"/>
  <c r="DS34" i="2"/>
  <c r="DS37" i="2"/>
  <c r="DS33" i="2"/>
  <c r="DS40" i="2"/>
  <c r="DW34" i="2"/>
  <c r="DS35" i="2"/>
  <c r="DA34" i="2"/>
  <c r="DA37" i="2"/>
  <c r="DA35" i="2"/>
  <c r="DA33" i="2"/>
  <c r="DA40" i="2"/>
  <c r="DE34" i="2"/>
  <c r="CI34" i="2"/>
  <c r="CI33" i="2"/>
  <c r="CM34" i="2"/>
  <c r="CI35" i="2"/>
  <c r="BQ34" i="2"/>
  <c r="BQ35" i="2"/>
  <c r="BQ33" i="2"/>
  <c r="AY34" i="2"/>
  <c r="AY33" i="2"/>
  <c r="BC34" i="2"/>
  <c r="AY35" i="2"/>
  <c r="AG34" i="2"/>
  <c r="AG35" i="2"/>
  <c r="AG33" i="2"/>
  <c r="AK34" i="2"/>
  <c r="O34" i="2"/>
  <c r="O33" i="2"/>
  <c r="S34" i="2"/>
  <c r="O35" i="2"/>
  <c r="EB19" i="2"/>
  <c r="EB21" i="2"/>
  <c r="EB20" i="2"/>
  <c r="FQ17" i="2"/>
  <c r="FQ16" i="2"/>
  <c r="GE13" i="2"/>
  <c r="FT17" i="2"/>
  <c r="FT16" i="2"/>
  <c r="FQ58" i="2"/>
  <c r="FQ6" i="2"/>
  <c r="BF64" i="2"/>
  <c r="FW63" i="2"/>
  <c r="BL64" i="2"/>
  <c r="CZ33" i="2"/>
  <c r="CZ34" i="2"/>
  <c r="CZ37" i="2"/>
  <c r="CZ35" i="2"/>
  <c r="CZ40" i="2"/>
  <c r="DD34" i="2"/>
  <c r="CN33" i="2"/>
  <c r="CN34" i="2"/>
  <c r="FV32" i="2"/>
  <c r="CN37" i="2"/>
  <c r="CN35" i="2"/>
  <c r="CN40" i="2"/>
  <c r="AF33" i="2"/>
  <c r="AF34" i="2"/>
  <c r="AF35" i="2"/>
  <c r="AJ34" i="2"/>
  <c r="T33" i="2"/>
  <c r="T34" i="2"/>
  <c r="T35" i="2"/>
  <c r="FD32" i="2"/>
  <c r="BN34" i="2"/>
  <c r="CP33" i="2"/>
  <c r="FS32" i="2"/>
  <c r="GQ22" i="3"/>
  <c r="EG45" i="2"/>
  <c r="GG45" i="2" s="1"/>
  <c r="GG47" i="2" s="1"/>
  <c r="EF47" i="2"/>
  <c r="FH43" i="2"/>
  <c r="FJ21" i="2"/>
  <c r="FJ20" i="2"/>
  <c r="FO16" i="2"/>
  <c r="FO17" i="2"/>
  <c r="DM21" i="2"/>
  <c r="FD58" i="2"/>
  <c r="FD6" i="2"/>
  <c r="GE16" i="2"/>
  <c r="GE17" i="2"/>
  <c r="GA318" i="2"/>
  <c r="GA191" i="2"/>
  <c r="GA6" i="2"/>
  <c r="GE44" i="2"/>
  <c r="GE43" i="2"/>
  <c r="DW21" i="2"/>
  <c r="DW19" i="2"/>
  <c r="DW20" i="2"/>
  <c r="DT33" i="2"/>
  <c r="D33" i="2"/>
  <c r="GE18" i="2"/>
  <c r="FR16" i="2"/>
  <c r="GC17" i="2"/>
  <c r="GC16" i="2"/>
  <c r="EZ21" i="2"/>
  <c r="FR43" i="2"/>
  <c r="GD17" i="2"/>
  <c r="EB34" i="2"/>
  <c r="CM375" i="3"/>
  <c r="DT389" i="3"/>
  <c r="DT390" i="3"/>
  <c r="EQ385" i="3"/>
  <c r="EQ280" i="3"/>
  <c r="EQ284" i="3"/>
  <c r="ER278" i="3"/>
  <c r="EK286" i="3"/>
  <c r="EK281" i="3"/>
  <c r="EK283" i="3" s="1"/>
  <c r="EK309" i="3"/>
  <c r="DA390" i="3"/>
  <c r="DA389" i="3"/>
  <c r="DR390" i="3"/>
  <c r="DV388" i="3"/>
  <c r="DV390" i="3" s="1"/>
  <c r="DR389" i="3"/>
  <c r="DW389" i="3"/>
  <c r="DW390" i="3"/>
  <c r="EA388" i="3"/>
  <c r="DO389" i="3"/>
  <c r="DO390" i="3"/>
  <c r="EJ315" i="3"/>
  <c r="EJ272" i="3"/>
  <c r="EJ273" i="3"/>
  <c r="DS236" i="3"/>
  <c r="DS238" i="3"/>
  <c r="DS230" i="3"/>
  <c r="DS235" i="3"/>
  <c r="DO235" i="3"/>
  <c r="DO236" i="3"/>
  <c r="DO230" i="3"/>
  <c r="DP231" i="3" s="1"/>
  <c r="DO238" i="3"/>
  <c r="DP239" i="3" s="1"/>
  <c r="DJ203" i="3"/>
  <c r="DJ202" i="3"/>
  <c r="DL199" i="3"/>
  <c r="DL194" i="3"/>
  <c r="DL196" i="3" s="1"/>
  <c r="DC203" i="3"/>
  <c r="DC202" i="3"/>
  <c r="DG201" i="3"/>
  <c r="DK381" i="3"/>
  <c r="DK380" i="3"/>
  <c r="DK376" i="3"/>
  <c r="DE236" i="3"/>
  <c r="DE235" i="3"/>
  <c r="DE230" i="3"/>
  <c r="DE238" i="3"/>
  <c r="DE242" i="3" s="1"/>
  <c r="EL203" i="3"/>
  <c r="DJ380" i="3"/>
  <c r="DJ381" i="3"/>
  <c r="DJ376" i="3"/>
  <c r="DD232" i="3"/>
  <c r="EJ212" i="3"/>
  <c r="EL210" i="3"/>
  <c r="EJ213" i="3"/>
  <c r="EM381" i="3"/>
  <c r="EM380" i="3"/>
  <c r="EM376" i="3"/>
  <c r="DI381" i="3"/>
  <c r="DI380" i="3"/>
  <c r="DI376" i="3"/>
  <c r="EC238" i="3"/>
  <c r="EC230" i="3"/>
  <c r="EC236" i="3"/>
  <c r="EC235" i="3"/>
  <c r="DG234" i="3"/>
  <c r="DC238" i="3"/>
  <c r="DC236" i="3"/>
  <c r="DC235" i="3"/>
  <c r="DC230" i="3"/>
  <c r="DZ381" i="3"/>
  <c r="DZ380" i="3"/>
  <c r="DZ376" i="3"/>
  <c r="DP240" i="3"/>
  <c r="DP242" i="3"/>
  <c r="DY381" i="3"/>
  <c r="DY380" i="3"/>
  <c r="DY376" i="3"/>
  <c r="DE203" i="3"/>
  <c r="DE202" i="3"/>
  <c r="EQ197" i="3"/>
  <c r="EQ193" i="3"/>
  <c r="ER191" i="3"/>
  <c r="EF307" i="3"/>
  <c r="EF189" i="3"/>
  <c r="EF184" i="3"/>
  <c r="EF186" i="3" s="1"/>
  <c r="EQ373" i="3"/>
  <c r="ER181" i="3"/>
  <c r="EQ183" i="3"/>
  <c r="GA121" i="3"/>
  <c r="GA122" i="3" s="1"/>
  <c r="BC120" i="3"/>
  <c r="BD120" i="3" s="1"/>
  <c r="DP124" i="3"/>
  <c r="DU102" i="2"/>
  <c r="GD102" i="2" s="1"/>
  <c r="AL124" i="3"/>
  <c r="CU115" i="3"/>
  <c r="CW115" i="3" s="1"/>
  <c r="CW113" i="3"/>
  <c r="BD86" i="2"/>
  <c r="DM86" i="2"/>
  <c r="AW115" i="3"/>
  <c r="AY113" i="3"/>
  <c r="P86" i="2"/>
  <c r="CL108" i="3"/>
  <c r="GQ122" i="3"/>
  <c r="EF102" i="2"/>
  <c r="FY115" i="3"/>
  <c r="FV116" i="3"/>
  <c r="AS86" i="2"/>
  <c r="S99" i="2"/>
  <c r="BE146" i="3"/>
  <c r="BJ157" i="3" s="1"/>
  <c r="BE147" i="3"/>
  <c r="BE148" i="3"/>
  <c r="BE92" i="3"/>
  <c r="DS99" i="2"/>
  <c r="BH99" i="2"/>
  <c r="O99" i="2"/>
  <c r="BZ99" i="2"/>
  <c r="AR146" i="3"/>
  <c r="AW157" i="3" s="1"/>
  <c r="AR147" i="3"/>
  <c r="AR148" i="3"/>
  <c r="AR92" i="3"/>
  <c r="CB122" i="3"/>
  <c r="GW114" i="3"/>
  <c r="GV115" i="3"/>
  <c r="CA115" i="3"/>
  <c r="AN86" i="2"/>
  <c r="BO148" i="3"/>
  <c r="BO146" i="3"/>
  <c r="BT157" i="3" s="1"/>
  <c r="BO147" i="3"/>
  <c r="BO92" i="3"/>
  <c r="BM115" i="3"/>
  <c r="BN115" i="3" s="1"/>
  <c r="AC86" i="2"/>
  <c r="CL99" i="2"/>
  <c r="P99" i="2"/>
  <c r="GR95" i="3"/>
  <c r="DU157" i="3"/>
  <c r="DV157" i="3" s="1"/>
  <c r="DQ146" i="3"/>
  <c r="CL147" i="3"/>
  <c r="CM147" i="3" s="1"/>
  <c r="CL148" i="3"/>
  <c r="CM148" i="3" s="1"/>
  <c r="CL146" i="3"/>
  <c r="CM87" i="3"/>
  <c r="CL92" i="3"/>
  <c r="BB147" i="3"/>
  <c r="BB148" i="3"/>
  <c r="BB146" i="3"/>
  <c r="BB92" i="3"/>
  <c r="BG146" i="3"/>
  <c r="BG147" i="3"/>
  <c r="BG148" i="3"/>
  <c r="BG92" i="3"/>
  <c r="FJ113" i="3"/>
  <c r="CA109" i="3"/>
  <c r="BH107" i="3"/>
  <c r="BI107" i="3" s="1"/>
  <c r="FV146" i="3"/>
  <c r="GA157" i="3" s="1"/>
  <c r="FV147" i="3"/>
  <c r="FV148" i="3"/>
  <c r="FV92" i="3"/>
  <c r="GA169" i="3" s="1"/>
  <c r="BC99" i="2"/>
  <c r="AO99" i="2"/>
  <c r="FI99" i="2" s="1"/>
  <c r="AE99" i="2"/>
  <c r="GT86" i="3"/>
  <c r="GS86" i="3"/>
  <c r="GA153" i="3"/>
  <c r="BF146" i="3"/>
  <c r="BK157" i="3" s="1"/>
  <c r="BF147" i="3"/>
  <c r="BF148" i="3"/>
  <c r="BF92" i="3"/>
  <c r="BF163" i="3" s="1"/>
  <c r="DK99" i="2"/>
  <c r="DR169" i="3"/>
  <c r="GF170" i="3"/>
  <c r="GF169" i="3"/>
  <c r="GF153" i="3"/>
  <c r="GE157" i="3"/>
  <c r="CU146" i="3"/>
  <c r="CZ157" i="3" s="1"/>
  <c r="CU147" i="3"/>
  <c r="CU148" i="3"/>
  <c r="CU92" i="3"/>
  <c r="DU99" i="2"/>
  <c r="GD99" i="2" s="1"/>
  <c r="CH99" i="2"/>
  <c r="Q99" i="2"/>
  <c r="FC99" i="2" s="1"/>
  <c r="FO100" i="3"/>
  <c r="FR153" i="3"/>
  <c r="DH170" i="3"/>
  <c r="DM163" i="3"/>
  <c r="CY157" i="3"/>
  <c r="CR146" i="3"/>
  <c r="DE99" i="2"/>
  <c r="FZ99" i="2" s="1"/>
  <c r="DY169" i="3"/>
  <c r="GK169" i="3"/>
  <c r="GK170" i="3"/>
  <c r="GK153" i="3"/>
  <c r="EB147" i="3"/>
  <c r="EB148" i="3"/>
  <c r="EB146" i="3"/>
  <c r="EB92" i="3"/>
  <c r="FM157" i="3"/>
  <c r="DM99" i="2"/>
  <c r="GB99" i="2" s="1"/>
  <c r="BA153" i="3"/>
  <c r="FU153" i="3"/>
  <c r="CA99" i="2"/>
  <c r="EM146" i="3"/>
  <c r="EM147" i="3"/>
  <c r="EM148" i="3"/>
  <c r="EM92" i="3"/>
  <c r="HC28" i="3"/>
  <c r="GL172" i="3"/>
  <c r="GL174" i="3"/>
  <c r="GL24" i="3"/>
  <c r="GL19" i="3"/>
  <c r="EB26" i="2"/>
  <c r="CW16" i="3"/>
  <c r="CW17" i="3" s="1"/>
  <c r="GK172" i="3"/>
  <c r="GK174" i="3"/>
  <c r="GK19" i="3"/>
  <c r="GK24" i="3"/>
  <c r="EA26" i="2"/>
  <c r="CO175" i="3"/>
  <c r="CO70" i="3"/>
  <c r="CO25" i="3"/>
  <c r="CO69" i="3" s="1"/>
  <c r="AY54" i="2" s="1"/>
  <c r="CO32" i="3"/>
  <c r="FP85" i="3"/>
  <c r="FP17" i="3"/>
  <c r="FP18" i="3"/>
  <c r="FQ174" i="3" s="1"/>
  <c r="FT16" i="3"/>
  <c r="FT17" i="3" s="1"/>
  <c r="DJ10" i="2"/>
  <c r="DR85" i="3"/>
  <c r="DR18" i="3"/>
  <c r="DS174" i="3" s="1"/>
  <c r="DR17" i="3"/>
  <c r="DV16" i="3"/>
  <c r="DV17" i="3" s="1"/>
  <c r="BV10" i="2"/>
  <c r="BY70" i="3"/>
  <c r="BY32" i="3"/>
  <c r="BY25" i="3"/>
  <c r="BY69" i="3" s="1"/>
  <c r="FQ156" i="3"/>
  <c r="AF18" i="3"/>
  <c r="AF17" i="3"/>
  <c r="B10" i="2"/>
  <c r="FY16" i="3"/>
  <c r="FY17" i="3" s="1"/>
  <c r="EV155" i="3"/>
  <c r="EV156" i="3"/>
  <c r="ET155" i="3"/>
  <c r="EU155" i="3" s="1"/>
  <c r="ET156" i="3"/>
  <c r="EU156" i="3" s="1"/>
  <c r="ER85" i="3"/>
  <c r="ER74" i="3" s="1"/>
  <c r="ER17" i="3"/>
  <c r="ER18" i="3"/>
  <c r="ES174" i="3" s="1"/>
  <c r="CQ10" i="2"/>
  <c r="CX155" i="3"/>
  <c r="AZ85" i="3"/>
  <c r="AZ17" i="3"/>
  <c r="BD16" i="3"/>
  <c r="BD17" i="3" s="1"/>
  <c r="AZ18" i="3"/>
  <c r="BA174" i="3" s="1"/>
  <c r="R10" i="2"/>
  <c r="DF153" i="3"/>
  <c r="DG153" i="3" s="1"/>
  <c r="DE169" i="3"/>
  <c r="FB156" i="3"/>
  <c r="FB155" i="3"/>
  <c r="EX85" i="3"/>
  <c r="EX17" i="3"/>
  <c r="EX18" i="3"/>
  <c r="EY174" i="3" s="1"/>
  <c r="CV10" i="2"/>
  <c r="EN155" i="3"/>
  <c r="CB17" i="3"/>
  <c r="CB18" i="3"/>
  <c r="AO10" i="2"/>
  <c r="DX155" i="3"/>
  <c r="DX156" i="3"/>
  <c r="DT85" i="3"/>
  <c r="DT17" i="3"/>
  <c r="DT18" i="3"/>
  <c r="BX10" i="2"/>
  <c r="BE17" i="3"/>
  <c r="BE18" i="3"/>
  <c r="V10" i="2"/>
  <c r="BC174" i="3"/>
  <c r="AP172" i="3"/>
  <c r="AP24" i="3"/>
  <c r="AP19" i="3"/>
  <c r="J26" i="2"/>
  <c r="FM174" i="3"/>
  <c r="DN400" i="2"/>
  <c r="DN401" i="2"/>
  <c r="CD172" i="3"/>
  <c r="CD24" i="3"/>
  <c r="CD19" i="3"/>
  <c r="AP26" i="2"/>
  <c r="FA156" i="3"/>
  <c r="DW156" i="3"/>
  <c r="FK174" i="3"/>
  <c r="FK172" i="3"/>
  <c r="FK24" i="3"/>
  <c r="FO18" i="3"/>
  <c r="FK19" i="3"/>
  <c r="DF26" i="2"/>
  <c r="FG155" i="3"/>
  <c r="EN174" i="3"/>
  <c r="EN172" i="3"/>
  <c r="EN24" i="3"/>
  <c r="EN19" i="3"/>
  <c r="CN26" i="2"/>
  <c r="EG174" i="3"/>
  <c r="EG172" i="3"/>
  <c r="EG24" i="3"/>
  <c r="EG19" i="3"/>
  <c r="EK18" i="3"/>
  <c r="CH26" i="2"/>
  <c r="GF172" i="3"/>
  <c r="FS156" i="3"/>
  <c r="FT156" i="3" s="1"/>
  <c r="EM172" i="3"/>
  <c r="EM24" i="3"/>
  <c r="EM19" i="3"/>
  <c r="CM26" i="2"/>
  <c r="EU11" i="3"/>
  <c r="GF446" i="2"/>
  <c r="GF447" i="2"/>
  <c r="FW24" i="3"/>
  <c r="FW19" i="3"/>
  <c r="DP26" i="2"/>
  <c r="ES74" i="3"/>
  <c r="DJ156" i="3"/>
  <c r="GC172" i="3"/>
  <c r="GC24" i="3"/>
  <c r="GC19" i="3"/>
  <c r="DU26" i="2"/>
  <c r="FG174" i="3"/>
  <c r="DU172" i="3"/>
  <c r="DU24" i="3"/>
  <c r="DU19" i="3"/>
  <c r="BY26" i="2"/>
  <c r="EO174" i="3"/>
  <c r="GB397" i="2"/>
  <c r="FW341" i="2"/>
  <c r="FW346" i="2"/>
  <c r="FW342" i="2"/>
  <c r="DU435" i="2"/>
  <c r="DI452" i="2"/>
  <c r="DI432" i="2" s="1"/>
  <c r="DI357" i="2"/>
  <c r="DI356" i="2"/>
  <c r="DN430" i="2"/>
  <c r="DN429" i="2"/>
  <c r="FP341" i="2"/>
  <c r="FP346" i="2"/>
  <c r="FP342" i="2"/>
  <c r="FW443" i="2"/>
  <c r="DB437" i="2"/>
  <c r="FZ436" i="2"/>
  <c r="DB438" i="2"/>
  <c r="GA341" i="2"/>
  <c r="GA346" i="2"/>
  <c r="GA342" i="2"/>
  <c r="DR373" i="2"/>
  <c r="DQ375" i="2"/>
  <c r="DD357" i="2"/>
  <c r="DD452" i="2"/>
  <c r="DD356" i="2"/>
  <c r="FT346" i="2"/>
  <c r="FT342" i="2"/>
  <c r="FT341" i="2"/>
  <c r="CI356" i="2"/>
  <c r="CI357" i="2"/>
  <c r="FS341" i="2"/>
  <c r="FS346" i="2"/>
  <c r="FS342" i="2"/>
  <c r="FL341" i="2"/>
  <c r="FL346" i="2"/>
  <c r="FL342" i="2"/>
  <c r="DV438" i="2"/>
  <c r="DP435" i="2"/>
  <c r="DP433" i="2"/>
  <c r="CJ357" i="2"/>
  <c r="CJ356" i="2"/>
  <c r="DL356" i="2"/>
  <c r="DL357" i="2"/>
  <c r="DF438" i="2"/>
  <c r="DF437" i="2"/>
  <c r="GA436" i="2"/>
  <c r="FX330" i="2"/>
  <c r="FX334" i="2"/>
  <c r="FX329" i="2"/>
  <c r="DE452" i="2"/>
  <c r="DE357" i="2"/>
  <c r="DE356" i="2"/>
  <c r="CY452" i="2"/>
  <c r="CY357" i="2"/>
  <c r="CY356" i="2"/>
  <c r="GF358" i="2"/>
  <c r="FW324" i="2"/>
  <c r="FW323" i="2"/>
  <c r="DT318" i="2"/>
  <c r="DT317" i="2"/>
  <c r="DU315" i="2"/>
  <c r="DT316" i="2"/>
  <c r="DT188" i="2"/>
  <c r="FV324" i="2"/>
  <c r="FV323" i="2"/>
  <c r="CS452" i="2"/>
  <c r="CS357" i="2"/>
  <c r="CS356" i="2"/>
  <c r="CG356" i="2"/>
  <c r="DN280" i="2"/>
  <c r="DF280" i="2"/>
  <c r="DF281" i="2"/>
  <c r="GA279" i="2"/>
  <c r="GE278" i="2"/>
  <c r="GE277" i="2"/>
  <c r="FU334" i="2"/>
  <c r="FU330" i="2"/>
  <c r="DG438" i="2"/>
  <c r="DG437" i="2"/>
  <c r="FT470" i="2"/>
  <c r="FT324" i="2"/>
  <c r="FT323" i="2"/>
  <c r="DE280" i="2"/>
  <c r="DE281" i="2"/>
  <c r="FZ243" i="2"/>
  <c r="GE237" i="2"/>
  <c r="GF239" i="2" s="1"/>
  <c r="GC310" i="2"/>
  <c r="GC269" i="2"/>
  <c r="CF253" i="2"/>
  <c r="GD241" i="2"/>
  <c r="DR243" i="2"/>
  <c r="DR242" i="2"/>
  <c r="FX278" i="2"/>
  <c r="FX274" i="2"/>
  <c r="GC239" i="2"/>
  <c r="DO281" i="2"/>
  <c r="GA424" i="2"/>
  <c r="FK243" i="2"/>
  <c r="FJ239" i="2"/>
  <c r="DK426" i="2"/>
  <c r="DK425" i="2"/>
  <c r="FI239" i="2"/>
  <c r="GC277" i="2"/>
  <c r="GA269" i="2"/>
  <c r="GA310" i="2"/>
  <c r="GA268" i="2"/>
  <c r="FI243" i="2"/>
  <c r="EC239" i="2"/>
  <c r="FN239" i="2"/>
  <c r="BP235" i="2"/>
  <c r="BP234" i="2"/>
  <c r="GD211" i="2"/>
  <c r="FI228" i="2"/>
  <c r="FI205" i="2"/>
  <c r="FI206" i="2"/>
  <c r="AW235" i="2"/>
  <c r="AW234" i="2"/>
  <c r="CV235" i="2"/>
  <c r="CV234" i="2"/>
  <c r="FY206" i="2"/>
  <c r="FY228" i="2"/>
  <c r="FY205" i="2"/>
  <c r="DJ417" i="2"/>
  <c r="DW243" i="2"/>
  <c r="BK235" i="2"/>
  <c r="BK234" i="2"/>
  <c r="GB219" i="2"/>
  <c r="FU211" i="2"/>
  <c r="FL205" i="2"/>
  <c r="FL206" i="2"/>
  <c r="FL228" i="2"/>
  <c r="FQ225" i="2"/>
  <c r="FQ201" i="2"/>
  <c r="FQ202" i="2"/>
  <c r="ED235" i="2"/>
  <c r="ED234" i="2"/>
  <c r="CB235" i="2"/>
  <c r="CB234" i="2"/>
  <c r="FI219" i="2"/>
  <c r="ED243" i="2"/>
  <c r="ED242" i="2"/>
  <c r="FZ211" i="2"/>
  <c r="DI234" i="2"/>
  <c r="DI235" i="2"/>
  <c r="FT205" i="2"/>
  <c r="FJ225" i="2"/>
  <c r="FJ201" i="2"/>
  <c r="FJ202" i="2"/>
  <c r="DT242" i="2"/>
  <c r="CI235" i="2"/>
  <c r="CI234" i="2"/>
  <c r="AG234" i="2"/>
  <c r="FM219" i="2"/>
  <c r="FM211" i="2"/>
  <c r="GF206" i="2"/>
  <c r="FP228" i="2"/>
  <c r="FP205" i="2"/>
  <c r="FP206" i="2"/>
  <c r="DS416" i="2"/>
  <c r="DS222" i="2"/>
  <c r="DT196" i="2"/>
  <c r="DS197" i="2"/>
  <c r="DS196" i="2"/>
  <c r="DS198" i="2"/>
  <c r="CI222" i="2"/>
  <c r="CJ196" i="2"/>
  <c r="CI197" i="2"/>
  <c r="CI196" i="2"/>
  <c r="CI198" i="2"/>
  <c r="AY222" i="2"/>
  <c r="AZ196" i="2"/>
  <c r="AY197" i="2"/>
  <c r="AY196" i="2"/>
  <c r="AY198" i="2"/>
  <c r="AY188" i="2"/>
  <c r="CM197" i="2"/>
  <c r="FS88" i="2"/>
  <c r="FS89" i="2"/>
  <c r="GF202" i="2"/>
  <c r="FN201" i="2"/>
  <c r="EC197" i="2"/>
  <c r="DK197" i="2"/>
  <c r="CS197" i="2"/>
  <c r="DS246" i="2"/>
  <c r="FX88" i="2"/>
  <c r="FX89" i="2"/>
  <c r="FR219" i="2"/>
  <c r="CO235" i="2"/>
  <c r="AM235" i="2"/>
  <c r="FJ195" i="2"/>
  <c r="GB144" i="2"/>
  <c r="GB160" i="2"/>
  <c r="FQ89" i="2"/>
  <c r="FR233" i="2"/>
  <c r="BD235" i="2"/>
  <c r="FG206" i="2"/>
  <c r="AW197" i="2"/>
  <c r="AO223" i="2"/>
  <c r="FV191" i="2"/>
  <c r="FV190" i="2"/>
  <c r="GE163" i="2"/>
  <c r="GE124" i="2"/>
  <c r="DL416" i="2"/>
  <c r="DL246" i="2"/>
  <c r="DL198" i="2"/>
  <c r="DL197" i="2"/>
  <c r="DL196" i="2"/>
  <c r="DL222" i="2"/>
  <c r="CN198" i="2"/>
  <c r="CN222" i="2"/>
  <c r="CN197" i="2"/>
  <c r="CN196" i="2"/>
  <c r="BP198" i="2"/>
  <c r="BP222" i="2"/>
  <c r="BP197" i="2"/>
  <c r="BP196" i="2"/>
  <c r="BP188" i="2"/>
  <c r="AR198" i="2"/>
  <c r="AR197" i="2"/>
  <c r="AR196" i="2"/>
  <c r="AR222" i="2"/>
  <c r="AR188" i="2"/>
  <c r="FU190" i="2"/>
  <c r="FU191" i="2"/>
  <c r="CO246" i="2"/>
  <c r="DS120" i="2"/>
  <c r="DW119" i="2"/>
  <c r="FH85" i="2"/>
  <c r="FN61" i="2"/>
  <c r="FN62" i="2"/>
  <c r="GB124" i="2"/>
  <c r="DG65" i="2"/>
  <c r="DG64" i="2"/>
  <c r="FM61" i="2"/>
  <c r="FM62" i="2"/>
  <c r="DF64" i="2"/>
  <c r="DF65" i="2"/>
  <c r="GA63" i="2"/>
  <c r="BP64" i="2"/>
  <c r="BP65" i="2"/>
  <c r="FR61" i="2"/>
  <c r="FR62" i="2"/>
  <c r="FB47" i="2"/>
  <c r="GF124" i="2"/>
  <c r="FT88" i="2"/>
  <c r="GC85" i="2"/>
  <c r="DW64" i="2"/>
  <c r="DW65" i="2"/>
  <c r="CM64" i="2"/>
  <c r="CM65" i="2"/>
  <c r="BC64" i="2"/>
  <c r="BC65" i="2"/>
  <c r="CT64" i="2"/>
  <c r="CT65" i="2"/>
  <c r="FX63" i="2"/>
  <c r="FM63" i="2"/>
  <c r="BB65" i="2"/>
  <c r="BB64" i="2"/>
  <c r="GE63" i="2"/>
  <c r="CR65" i="2"/>
  <c r="FJ47" i="2"/>
  <c r="FK43" i="2"/>
  <c r="FK44" i="2"/>
  <c r="GE32" i="2"/>
  <c r="FS16" i="2"/>
  <c r="FS17" i="2"/>
  <c r="FM58" i="2"/>
  <c r="FM6" i="2"/>
  <c r="FL58" i="2"/>
  <c r="FL6" i="2"/>
  <c r="DI65" i="2"/>
  <c r="DI64" i="2"/>
  <c r="AZ49" i="2"/>
  <c r="FE20" i="2"/>
  <c r="FE21" i="2"/>
  <c r="DQ21" i="2"/>
  <c r="DQ19" i="2"/>
  <c r="DQ20" i="2"/>
  <c r="FE6" i="2"/>
  <c r="FE58" i="2"/>
  <c r="BL65" i="2"/>
  <c r="CB33" i="2"/>
  <c r="CB34" i="2"/>
  <c r="CB35" i="2"/>
  <c r="BP33" i="2"/>
  <c r="BP34" i="2"/>
  <c r="BP35" i="2"/>
  <c r="BT34" i="2"/>
  <c r="AX33" i="2"/>
  <c r="FL32" i="2"/>
  <c r="AX34" i="2"/>
  <c r="AX35" i="2"/>
  <c r="BB34" i="2"/>
  <c r="AL51" i="2"/>
  <c r="AP34" i="2"/>
  <c r="BR33" i="2"/>
  <c r="FH44" i="2"/>
  <c r="CQ39" i="2"/>
  <c r="CQ38" i="2"/>
  <c r="FB21" i="2"/>
  <c r="FB20" i="2"/>
  <c r="CX282" i="2"/>
  <c r="CX260" i="2"/>
  <c r="CX259" i="2"/>
  <c r="FM16" i="2"/>
  <c r="FM17" i="2"/>
  <c r="FC58" i="2"/>
  <c r="FC6" i="2"/>
  <c r="DA65" i="2"/>
  <c r="GD63" i="2"/>
  <c r="FS44" i="2"/>
  <c r="FS43" i="2"/>
  <c r="FY32" i="2"/>
  <c r="DS65" i="2"/>
  <c r="CJ33" i="2"/>
  <c r="FU17" i="2"/>
  <c r="FO13" i="2"/>
  <c r="FF44" i="2"/>
  <c r="EM30" i="2"/>
  <c r="EN30" i="2" s="1"/>
  <c r="EO30" i="2" s="1"/>
  <c r="EP30" i="2" s="1"/>
  <c r="BH34" i="2"/>
  <c r="DZ19" i="2"/>
  <c r="CR34" i="2"/>
  <c r="CS247" i="2" l="1"/>
  <c r="FX443" i="2"/>
  <c r="GF278" i="2"/>
  <c r="GF274" i="2"/>
  <c r="DZ224" i="2"/>
  <c r="FX442" i="2"/>
  <c r="BH224" i="2"/>
  <c r="DU417" i="2"/>
  <c r="AT189" i="2"/>
  <c r="DB295" i="2"/>
  <c r="EA434" i="2"/>
  <c r="CS295" i="2"/>
  <c r="CS296" i="2" s="1"/>
  <c r="BM189" i="2"/>
  <c r="GE147" i="2"/>
  <c r="BL191" i="2"/>
  <c r="CS420" i="2"/>
  <c r="CS421" i="2" s="1"/>
  <c r="DB248" i="2"/>
  <c r="BM190" i="2"/>
  <c r="DB420" i="2"/>
  <c r="DB412" i="2" s="1"/>
  <c r="DO247" i="2"/>
  <c r="FU246" i="2"/>
  <c r="CK247" i="2"/>
  <c r="CJ249" i="2"/>
  <c r="DO295" i="2"/>
  <c r="DO296" i="2" s="1"/>
  <c r="CN248" i="2"/>
  <c r="CJ247" i="2"/>
  <c r="DP247" i="2"/>
  <c r="BM191" i="2"/>
  <c r="GA442" i="2"/>
  <c r="ED442" i="2"/>
  <c r="GE148" i="2"/>
  <c r="DT155" i="2"/>
  <c r="DC418" i="2"/>
  <c r="GD147" i="2"/>
  <c r="DT156" i="2"/>
  <c r="GF442" i="2"/>
  <c r="DT154" i="2"/>
  <c r="DJ120" i="2"/>
  <c r="DB418" i="2"/>
  <c r="GE135" i="2"/>
  <c r="GA443" i="2"/>
  <c r="AE223" i="2"/>
  <c r="GC268" i="2"/>
  <c r="BB224" i="2"/>
  <c r="GB268" i="2"/>
  <c r="EH336" i="2"/>
  <c r="BR190" i="2"/>
  <c r="DN58" i="2"/>
  <c r="DL154" i="2"/>
  <c r="CF251" i="2"/>
  <c r="CY249" i="2"/>
  <c r="CE251" i="2"/>
  <c r="BR189" i="2"/>
  <c r="CX412" i="2"/>
  <c r="CX415" i="2" s="1"/>
  <c r="GE136" i="2"/>
  <c r="CY417" i="2"/>
  <c r="CE262" i="2"/>
  <c r="CE265" i="2" s="1"/>
  <c r="CY247" i="2"/>
  <c r="CY295" i="2"/>
  <c r="CY296" i="2" s="1"/>
  <c r="CY248" i="2"/>
  <c r="CF299" i="2"/>
  <c r="DM120" i="2"/>
  <c r="EA433" i="2"/>
  <c r="DN248" i="2"/>
  <c r="DC295" i="2"/>
  <c r="DM118" i="2"/>
  <c r="FH34" i="2"/>
  <c r="DC249" i="2"/>
  <c r="DJ247" i="2"/>
  <c r="DO223" i="2"/>
  <c r="CG223" i="2"/>
  <c r="DK154" i="2"/>
  <c r="GB117" i="2"/>
  <c r="DC420" i="2"/>
  <c r="DC412" i="2" s="1"/>
  <c r="DC413" i="2" s="1"/>
  <c r="EF336" i="2"/>
  <c r="EG336" i="2"/>
  <c r="FW34" i="2"/>
  <c r="DD247" i="2"/>
  <c r="DH418" i="2"/>
  <c r="DN118" i="2"/>
  <c r="FN47" i="2"/>
  <c r="DU224" i="2"/>
  <c r="CR224" i="2"/>
  <c r="CF295" i="2"/>
  <c r="CJ297" i="2" s="1"/>
  <c r="DJ224" i="2"/>
  <c r="BD50" i="2"/>
  <c r="DW223" i="2"/>
  <c r="BD51" i="2"/>
  <c r="CJ248" i="2"/>
  <c r="FK197" i="2"/>
  <c r="DV223" i="2"/>
  <c r="DR295" i="2"/>
  <c r="DR297" i="2" s="1"/>
  <c r="DT435" i="2"/>
  <c r="DT425" i="2"/>
  <c r="CF224" i="2"/>
  <c r="DS118" i="2"/>
  <c r="CQ295" i="2"/>
  <c r="CR296" i="2" s="1"/>
  <c r="CF223" i="2"/>
  <c r="GC274" i="2"/>
  <c r="CP224" i="2"/>
  <c r="DQ154" i="2"/>
  <c r="DO224" i="2"/>
  <c r="CJ224" i="2"/>
  <c r="CQ249" i="2"/>
  <c r="CQ420" i="2"/>
  <c r="CQ412" i="2" s="1"/>
  <c r="FV198" i="2"/>
  <c r="AI189" i="2"/>
  <c r="BS189" i="2"/>
  <c r="DR154" i="2"/>
  <c r="FQ188" i="2"/>
  <c r="FQ191" i="2" s="1"/>
  <c r="GB292" i="2"/>
  <c r="AH189" i="2"/>
  <c r="GC198" i="2"/>
  <c r="FN197" i="2"/>
  <c r="DN389" i="2"/>
  <c r="GB278" i="2"/>
  <c r="FO65" i="2"/>
  <c r="CV295" i="2"/>
  <c r="CV297" i="2" s="1"/>
  <c r="AH190" i="2"/>
  <c r="GC148" i="2"/>
  <c r="DZ416" i="2"/>
  <c r="DZ418" i="2" s="1"/>
  <c r="DP154" i="2"/>
  <c r="DN425" i="2"/>
  <c r="ED222" i="2"/>
  <c r="ED224" i="2" s="1"/>
  <c r="CV248" i="2"/>
  <c r="GF197" i="2"/>
  <c r="DN51" i="2"/>
  <c r="DN52" i="2"/>
  <c r="AV223" i="2"/>
  <c r="FT21" i="2"/>
  <c r="EB39" i="2"/>
  <c r="ED196" i="2"/>
  <c r="CG247" i="2"/>
  <c r="EF218" i="2"/>
  <c r="GE222" i="2"/>
  <c r="GE197" i="2"/>
  <c r="FN222" i="2"/>
  <c r="FN224" i="2" s="1"/>
  <c r="CV417" i="2"/>
  <c r="ED197" i="2"/>
  <c r="BG191" i="2"/>
  <c r="EF199" i="2"/>
  <c r="EF200" i="2" s="1"/>
  <c r="EF203" i="2"/>
  <c r="EF204" i="2" s="1"/>
  <c r="AJ189" i="2"/>
  <c r="FT20" i="2"/>
  <c r="DE249" i="2"/>
  <c r="BU223" i="2"/>
  <c r="DQ248" i="2"/>
  <c r="DE418" i="2"/>
  <c r="GF222" i="2"/>
  <c r="AW223" i="2"/>
  <c r="DE247" i="2"/>
  <c r="CM224" i="2"/>
  <c r="DC417" i="2"/>
  <c r="EF287" i="2"/>
  <c r="FQ21" i="2"/>
  <c r="AU224" i="2"/>
  <c r="DI248" i="2"/>
  <c r="AZ224" i="2"/>
  <c r="BT223" i="2"/>
  <c r="CS224" i="2"/>
  <c r="GC324" i="2"/>
  <c r="FQ20" i="2"/>
  <c r="EE210" i="2"/>
  <c r="CK224" i="2"/>
  <c r="DB223" i="2"/>
  <c r="DR19" i="2"/>
  <c r="AV224" i="2"/>
  <c r="EE215" i="2"/>
  <c r="DE248" i="2"/>
  <c r="DB224" i="2"/>
  <c r="DW417" i="2"/>
  <c r="BX190" i="2"/>
  <c r="FY88" i="2"/>
  <c r="DK223" i="2"/>
  <c r="DT39" i="2"/>
  <c r="EB223" i="2"/>
  <c r="DN21" i="2"/>
  <c r="DR249" i="2"/>
  <c r="AF223" i="2"/>
  <c r="EF209" i="2"/>
  <c r="EF219" i="2" s="1"/>
  <c r="DN120" i="2"/>
  <c r="DR247" i="2"/>
  <c r="FS21" i="2"/>
  <c r="DP38" i="2"/>
  <c r="DZ118" i="2"/>
  <c r="CG295" i="2"/>
  <c r="CN247" i="2"/>
  <c r="FV20" i="2"/>
  <c r="FY20" i="2"/>
  <c r="DH39" i="2"/>
  <c r="DN119" i="2"/>
  <c r="CM223" i="2"/>
  <c r="CA224" i="2"/>
  <c r="DJ223" i="2"/>
  <c r="EF291" i="2"/>
  <c r="FG198" i="2"/>
  <c r="CM247" i="2"/>
  <c r="DN39" i="2"/>
  <c r="EA224" i="2"/>
  <c r="CK248" i="2"/>
  <c r="CM295" i="2"/>
  <c r="CM297" i="2" s="1"/>
  <c r="DE38" i="2"/>
  <c r="DP39" i="2"/>
  <c r="CP249" i="2"/>
  <c r="DB247" i="2"/>
  <c r="CO52" i="2"/>
  <c r="CH247" i="2"/>
  <c r="FW246" i="2"/>
  <c r="FW295" i="2" s="1"/>
  <c r="CG262" i="2"/>
  <c r="CG265" i="2" s="1"/>
  <c r="BO223" i="2"/>
  <c r="DD38" i="2"/>
  <c r="GD115" i="2"/>
  <c r="BS190" i="2"/>
  <c r="FT197" i="2"/>
  <c r="CP295" i="2"/>
  <c r="DQ247" i="2"/>
  <c r="AN189" i="2"/>
  <c r="FW40" i="2"/>
  <c r="GF147" i="2"/>
  <c r="AW224" i="2"/>
  <c r="BC223" i="2"/>
  <c r="AN190" i="2"/>
  <c r="DO394" i="2"/>
  <c r="DO396" i="2" s="1"/>
  <c r="EE65" i="2"/>
  <c r="DP372" i="2"/>
  <c r="FK222" i="2"/>
  <c r="BX189" i="2"/>
  <c r="CL295" i="2"/>
  <c r="CL296" i="2" s="1"/>
  <c r="DO155" i="2"/>
  <c r="FS20" i="2"/>
  <c r="AK224" i="2"/>
  <c r="GD112" i="2"/>
  <c r="FZ37" i="2"/>
  <c r="BI223" i="2"/>
  <c r="DP155" i="2"/>
  <c r="CQ224" i="2"/>
  <c r="GC135" i="2"/>
  <c r="FO20" i="2"/>
  <c r="DS156" i="2"/>
  <c r="CL248" i="2"/>
  <c r="CL223" i="2"/>
  <c r="EG212" i="2"/>
  <c r="GG212" i="2" s="1"/>
  <c r="DC39" i="2"/>
  <c r="DW224" i="2"/>
  <c r="DU38" i="2"/>
  <c r="CL249" i="2"/>
  <c r="DS119" i="2"/>
  <c r="CQ247" i="2"/>
  <c r="CP248" i="2"/>
  <c r="DO118" i="2"/>
  <c r="DS155" i="2"/>
  <c r="DP249" i="2"/>
  <c r="CQ248" i="2"/>
  <c r="EE219" i="2"/>
  <c r="BX191" i="2"/>
  <c r="GB310" i="2"/>
  <c r="GC312" i="2" s="1"/>
  <c r="DN397" i="2"/>
  <c r="FY197" i="2"/>
  <c r="GC246" i="2"/>
  <c r="GC295" i="2" s="1"/>
  <c r="DC247" i="2"/>
  <c r="DJ249" i="2"/>
  <c r="DP359" i="2"/>
  <c r="DP448" i="2" s="1"/>
  <c r="FQ65" i="2"/>
  <c r="FB34" i="2"/>
  <c r="FN198" i="2"/>
  <c r="CR38" i="2"/>
  <c r="GC153" i="2"/>
  <c r="GC156" i="2" s="1"/>
  <c r="FH188" i="2"/>
  <c r="FH191" i="2" s="1"/>
  <c r="FH21" i="2"/>
  <c r="DN38" i="2"/>
  <c r="DP295" i="2"/>
  <c r="AO189" i="2"/>
  <c r="CM249" i="2"/>
  <c r="DQ426" i="2"/>
  <c r="GC117" i="2"/>
  <c r="GC120" i="2" s="1"/>
  <c r="DV120" i="2"/>
  <c r="DI223" i="2"/>
  <c r="BC224" i="2"/>
  <c r="DN396" i="2"/>
  <c r="AX52" i="2"/>
  <c r="FM197" i="2"/>
  <c r="DS154" i="2"/>
  <c r="FT222" i="2"/>
  <c r="EF214" i="2"/>
  <c r="DI295" i="2"/>
  <c r="DI297" i="2" s="1"/>
  <c r="EF272" i="2"/>
  <c r="EF288" i="2" s="1"/>
  <c r="BA224" i="2"/>
  <c r="BT189" i="2"/>
  <c r="GF117" i="2"/>
  <c r="GF120" i="2" s="1"/>
  <c r="AO224" i="2"/>
  <c r="FZ416" i="2"/>
  <c r="FZ419" i="2" s="1"/>
  <c r="DT434" i="2"/>
  <c r="CR39" i="2"/>
  <c r="FZ246" i="2"/>
  <c r="FZ295" i="2" s="1"/>
  <c r="DJ248" i="2"/>
  <c r="DT433" i="2"/>
  <c r="BL189" i="2"/>
  <c r="BO224" i="2"/>
  <c r="CG299" i="2"/>
  <c r="CL224" i="2"/>
  <c r="CX247" i="2"/>
  <c r="FW20" i="2"/>
  <c r="AK189" i="2"/>
  <c r="BG190" i="2"/>
  <c r="FH20" i="2"/>
  <c r="DI249" i="2"/>
  <c r="CW247" i="2"/>
  <c r="DI49" i="2"/>
  <c r="DO248" i="2"/>
  <c r="DZ434" i="2"/>
  <c r="GC65" i="2"/>
  <c r="DE417" i="2"/>
  <c r="CW248" i="2"/>
  <c r="DD418" i="2"/>
  <c r="DK249" i="2"/>
  <c r="GC292" i="2"/>
  <c r="DD417" i="2"/>
  <c r="DH38" i="2"/>
  <c r="CW295" i="2"/>
  <c r="CX296" i="2" s="1"/>
  <c r="CR223" i="2"/>
  <c r="DK247" i="2"/>
  <c r="GA12" i="2"/>
  <c r="FP20" i="2"/>
  <c r="CQ223" i="2"/>
  <c r="GB246" i="2"/>
  <c r="GB295" i="2" s="1"/>
  <c r="DI52" i="2"/>
  <c r="EG159" i="2"/>
  <c r="FT34" i="2"/>
  <c r="DY120" i="2"/>
  <c r="FW416" i="2"/>
  <c r="FW419" i="2" s="1"/>
  <c r="FT198" i="2"/>
  <c r="CW249" i="2"/>
  <c r="BN223" i="2"/>
  <c r="DO154" i="2"/>
  <c r="GC136" i="2"/>
  <c r="FW21" i="2"/>
  <c r="DI247" i="2"/>
  <c r="DW118" i="2"/>
  <c r="BG189" i="2"/>
  <c r="GF292" i="2"/>
  <c r="FW37" i="2"/>
  <c r="FS197" i="2"/>
  <c r="DI54" i="2"/>
  <c r="DI55" i="2" s="1"/>
  <c r="EH157" i="2"/>
  <c r="EH159" i="2" s="1"/>
  <c r="DY118" i="2"/>
  <c r="DZ119" i="2"/>
  <c r="GD135" i="2"/>
  <c r="DZ433" i="2"/>
  <c r="GC288" i="2"/>
  <c r="BN224" i="2"/>
  <c r="FV197" i="2"/>
  <c r="GB35" i="2"/>
  <c r="FX20" i="2"/>
  <c r="FZ198" i="2"/>
  <c r="FU65" i="2"/>
  <c r="FN20" i="2"/>
  <c r="BM224" i="2"/>
  <c r="FS222" i="2"/>
  <c r="AZ190" i="2"/>
  <c r="BY189" i="2"/>
  <c r="GB427" i="2"/>
  <c r="GF111" i="2"/>
  <c r="FN188" i="2"/>
  <c r="FN191" i="2" s="1"/>
  <c r="BF190" i="2"/>
  <c r="GF40" i="2"/>
  <c r="GE111" i="2"/>
  <c r="BF191" i="2"/>
  <c r="DP376" i="2"/>
  <c r="CY223" i="2"/>
  <c r="EF227" i="2"/>
  <c r="BT191" i="2"/>
  <c r="BU189" i="2"/>
  <c r="GB426" i="2"/>
  <c r="GE117" i="2"/>
  <c r="GE120" i="2" s="1"/>
  <c r="GC416" i="2"/>
  <c r="GC419" i="2" s="1"/>
  <c r="GC278" i="2"/>
  <c r="FM198" i="2"/>
  <c r="EC38" i="2"/>
  <c r="GC147" i="2"/>
  <c r="GF438" i="2"/>
  <c r="FZ224" i="2"/>
  <c r="EC119" i="2"/>
  <c r="FZ65" i="2"/>
  <c r="CS223" i="2"/>
  <c r="EB224" i="2"/>
  <c r="BY34" i="2"/>
  <c r="BU35" i="2"/>
  <c r="BU33" i="2"/>
  <c r="FM65" i="2"/>
  <c r="DQ417" i="2"/>
  <c r="DQ367" i="2"/>
  <c r="EC223" i="2"/>
  <c r="DV119" i="2"/>
  <c r="DE224" i="2"/>
  <c r="GE442" i="2"/>
  <c r="DR365" i="2"/>
  <c r="DR383" i="2" s="1"/>
  <c r="DR368" i="2" s="1"/>
  <c r="GD117" i="2"/>
  <c r="GD120" i="2" s="1"/>
  <c r="FW197" i="2"/>
  <c r="DQ355" i="2"/>
  <c r="GC355" i="2" s="1"/>
  <c r="GC357" i="2" s="1"/>
  <c r="DQ224" i="2"/>
  <c r="BV33" i="2"/>
  <c r="FH197" i="2"/>
  <c r="DR118" i="2"/>
  <c r="GC40" i="2"/>
  <c r="GC37" i="2"/>
  <c r="AN15" i="2"/>
  <c r="FQ32" i="2"/>
  <c r="FQ35" i="2" s="1"/>
  <c r="GD443" i="2"/>
  <c r="FS65" i="2"/>
  <c r="FW222" i="2"/>
  <c r="FW224" i="2" s="1"/>
  <c r="DQ383" i="2"/>
  <c r="DQ385" i="2" s="1"/>
  <c r="GC116" i="2"/>
  <c r="DI39" i="2"/>
  <c r="DR119" i="2"/>
  <c r="BU34" i="2"/>
  <c r="GA281" i="2"/>
  <c r="FQ222" i="2"/>
  <c r="FQ224" i="2" s="1"/>
  <c r="GC115" i="2"/>
  <c r="GE274" i="2"/>
  <c r="DO119" i="2"/>
  <c r="FZ278" i="2"/>
  <c r="GD278" i="2"/>
  <c r="DQ38" i="2"/>
  <c r="BA189" i="2"/>
  <c r="FM21" i="2"/>
  <c r="DV418" i="2"/>
  <c r="FK188" i="2"/>
  <c r="FK191" i="2" s="1"/>
  <c r="DP384" i="2"/>
  <c r="GC34" i="2"/>
  <c r="FY198" i="2"/>
  <c r="CS417" i="2"/>
  <c r="EA416" i="2"/>
  <c r="EA418" i="2" s="1"/>
  <c r="EA119" i="2"/>
  <c r="GD292" i="2"/>
  <c r="DU39" i="2"/>
  <c r="GC35" i="2"/>
  <c r="GD274" i="2"/>
  <c r="BA190" i="2"/>
  <c r="DP409" i="2"/>
  <c r="DP385" i="2"/>
  <c r="FZ197" i="2"/>
  <c r="CA223" i="2"/>
  <c r="GB34" i="2"/>
  <c r="CV418" i="2"/>
  <c r="BZ223" i="2"/>
  <c r="EB118" i="2"/>
  <c r="BY191" i="2"/>
  <c r="BZ224" i="2"/>
  <c r="GE416" i="2"/>
  <c r="FW336" i="2"/>
  <c r="DN223" i="2"/>
  <c r="AX51" i="2"/>
  <c r="DP380" i="2"/>
  <c r="FZ288" i="2"/>
  <c r="CE295" i="2"/>
  <c r="DL122" i="3"/>
  <c r="DA122" i="3"/>
  <c r="FK34" i="2"/>
  <c r="FC170" i="3"/>
  <c r="AM17" i="2"/>
  <c r="AM15" i="2"/>
  <c r="Y17" i="2"/>
  <c r="Y15" i="2"/>
  <c r="FE14" i="2"/>
  <c r="FE17" i="2" s="1"/>
  <c r="DG203" i="3"/>
  <c r="AM10" i="2"/>
  <c r="AP97" i="2" s="1"/>
  <c r="BZ85" i="3"/>
  <c r="BZ18" i="3"/>
  <c r="CC18" i="3" s="1"/>
  <c r="BZ17" i="3"/>
  <c r="CB156" i="3"/>
  <c r="CC156" i="3" s="1"/>
  <c r="CP157" i="3"/>
  <c r="DJ239" i="3"/>
  <c r="S14" i="2"/>
  <c r="W16" i="2" s="1"/>
  <c r="CM378" i="3"/>
  <c r="DS19" i="2"/>
  <c r="EQ146" i="3"/>
  <c r="EV157" i="3" s="1"/>
  <c r="EQ147" i="3"/>
  <c r="EQ148" i="3"/>
  <c r="EQ92" i="3"/>
  <c r="CF14" i="3"/>
  <c r="DB39" i="2"/>
  <c r="FN170" i="3"/>
  <c r="FO170" i="3" s="1"/>
  <c r="ED289" i="3"/>
  <c r="FZ20" i="2"/>
  <c r="CY172" i="3"/>
  <c r="CW18" i="3"/>
  <c r="DV203" i="3"/>
  <c r="EQ170" i="3"/>
  <c r="CM118" i="3"/>
  <c r="DI20" i="2"/>
  <c r="DR21" i="2"/>
  <c r="AX122" i="3"/>
  <c r="AY122" i="3" s="1"/>
  <c r="DR20" i="2"/>
  <c r="EK268" i="3"/>
  <c r="BA20" i="2"/>
  <c r="FL18" i="2"/>
  <c r="BE20" i="2"/>
  <c r="BA19" i="2"/>
  <c r="BA21" i="2"/>
  <c r="BC156" i="3"/>
  <c r="BD156" i="3" s="1"/>
  <c r="EG157" i="3"/>
  <c r="FV65" i="2"/>
  <c r="BW122" i="3"/>
  <c r="BX122" i="3" s="1"/>
  <c r="BC155" i="3"/>
  <c r="BD155" i="3" s="1"/>
  <c r="BF155" i="3"/>
  <c r="EL389" i="3"/>
  <c r="BP157" i="3"/>
  <c r="BE155" i="3"/>
  <c r="CH107" i="3"/>
  <c r="CG14" i="3"/>
  <c r="DG283" i="3"/>
  <c r="BF156" i="3"/>
  <c r="BC17" i="3"/>
  <c r="BC85" i="3"/>
  <c r="BI86" i="2"/>
  <c r="BM88" i="2" s="1"/>
  <c r="DB113" i="3"/>
  <c r="AK89" i="2"/>
  <c r="FH86" i="2"/>
  <c r="FH89" i="2" s="1"/>
  <c r="AL87" i="2"/>
  <c r="AK87" i="2"/>
  <c r="FZ40" i="2"/>
  <c r="FC169" i="3"/>
  <c r="CV39" i="2"/>
  <c r="EG74" i="3"/>
  <c r="EK203" i="3"/>
  <c r="FR170" i="3"/>
  <c r="I86" i="2"/>
  <c r="J87" i="2" s="1"/>
  <c r="EL202" i="3"/>
  <c r="BI122" i="3"/>
  <c r="EY74" i="3"/>
  <c r="DB108" i="3"/>
  <c r="BV157" i="3"/>
  <c r="EG289" i="3"/>
  <c r="EN310" i="3"/>
  <c r="FG35" i="2"/>
  <c r="DI21" i="2"/>
  <c r="GM174" i="3"/>
  <c r="AN16" i="3"/>
  <c r="AN156" i="3" s="1"/>
  <c r="AO156" i="3" s="1"/>
  <c r="CC113" i="3"/>
  <c r="BL97" i="2"/>
  <c r="BM12" i="2"/>
  <c r="BI13" i="2"/>
  <c r="BJ11" i="2"/>
  <c r="BK97" i="2"/>
  <c r="BJ97" i="2"/>
  <c r="BI11" i="2"/>
  <c r="EH87" i="2"/>
  <c r="EG87" i="2"/>
  <c r="GG86" i="2"/>
  <c r="GG88" i="2" s="1"/>
  <c r="EG88" i="2"/>
  <c r="AU157" i="3"/>
  <c r="J14" i="2"/>
  <c r="J15" i="2" s="1"/>
  <c r="CH118" i="3"/>
  <c r="BA169" i="3"/>
  <c r="AN115" i="3"/>
  <c r="AO115" i="3" s="1"/>
  <c r="DB242" i="3"/>
  <c r="DM20" i="2"/>
  <c r="EL157" i="3"/>
  <c r="BC118" i="3"/>
  <c r="BD118" i="3" s="1"/>
  <c r="FH169" i="3"/>
  <c r="FG34" i="2"/>
  <c r="DI19" i="2"/>
  <c r="AO107" i="3"/>
  <c r="AO14" i="3"/>
  <c r="CM115" i="3"/>
  <c r="BI26" i="2"/>
  <c r="BJ27" i="2" s="1"/>
  <c r="DA24" i="3"/>
  <c r="DF173" i="3" s="1"/>
  <c r="DA174" i="3"/>
  <c r="DA19" i="3"/>
  <c r="CY38" i="2"/>
  <c r="BU18" i="3"/>
  <c r="BU85" i="3"/>
  <c r="EF310" i="3"/>
  <c r="FJ115" i="3"/>
  <c r="CV38" i="2"/>
  <c r="GA65" i="2"/>
  <c r="GM172" i="3"/>
  <c r="FU170" i="3"/>
  <c r="FS115" i="3"/>
  <c r="FT115" i="3" s="1"/>
  <c r="FC153" i="3"/>
  <c r="CO163" i="3"/>
  <c r="FH170" i="3"/>
  <c r="DG115" i="3"/>
  <c r="GO174" i="3"/>
  <c r="BU17" i="3"/>
  <c r="AM16" i="2"/>
  <c r="AI15" i="2"/>
  <c r="AI17" i="2"/>
  <c r="AI16" i="2"/>
  <c r="AJ15" i="2"/>
  <c r="AX16" i="3"/>
  <c r="AX15" i="3"/>
  <c r="DC38" i="2"/>
  <c r="DD157" i="3"/>
  <c r="DL186" i="3"/>
  <c r="DZ38" i="2"/>
  <c r="E86" i="2"/>
  <c r="AJ113" i="3"/>
  <c r="FW65" i="2"/>
  <c r="CE249" i="2"/>
  <c r="AI115" i="3"/>
  <c r="AJ115" i="3" s="1"/>
  <c r="EJ88" i="2"/>
  <c r="EJ87" i="2"/>
  <c r="BC11" i="2"/>
  <c r="BC12" i="2"/>
  <c r="BD11" i="2"/>
  <c r="BG12" i="2"/>
  <c r="BC13" i="2"/>
  <c r="BC115" i="3"/>
  <c r="BD115" i="3" s="1"/>
  <c r="BD114" i="3"/>
  <c r="U26" i="2"/>
  <c r="U27" i="2" s="1"/>
  <c r="BC19" i="3"/>
  <c r="BC24" i="3"/>
  <c r="GF10" i="2"/>
  <c r="EC12" i="2"/>
  <c r="ED97" i="2"/>
  <c r="ED11" i="2"/>
  <c r="EC11" i="2"/>
  <c r="EC18" i="2"/>
  <c r="EC13" i="2"/>
  <c r="EC97" i="2"/>
  <c r="EN161" i="3"/>
  <c r="CM114" i="3"/>
  <c r="GA172" i="3"/>
  <c r="AN155" i="3"/>
  <c r="AO155" i="3" s="1"/>
  <c r="CH378" i="3"/>
  <c r="CI248" i="2"/>
  <c r="EK86" i="2"/>
  <c r="GH86" i="2" s="1"/>
  <c r="GX113" i="3"/>
  <c r="BC26" i="2"/>
  <c r="BG28" i="2" s="1"/>
  <c r="CT24" i="3"/>
  <c r="CT19" i="3"/>
  <c r="CU174" i="3"/>
  <c r="CT172" i="3"/>
  <c r="S17" i="2"/>
  <c r="CG12" i="2"/>
  <c r="CH97" i="2"/>
  <c r="CK12" i="2"/>
  <c r="CH11" i="2"/>
  <c r="CG97" i="2"/>
  <c r="FT10" i="2"/>
  <c r="CG13" i="2"/>
  <c r="CG11" i="2"/>
  <c r="EC26" i="2"/>
  <c r="ED27" i="2" s="1"/>
  <c r="GM24" i="3"/>
  <c r="GM19" i="3"/>
  <c r="AY15" i="3"/>
  <c r="U14" i="2"/>
  <c r="FZ34" i="2"/>
  <c r="CS453" i="2"/>
  <c r="FI17" i="2"/>
  <c r="FN34" i="2"/>
  <c r="CD174" i="3"/>
  <c r="BU157" i="3"/>
  <c r="AP155" i="3"/>
  <c r="GF37" i="2"/>
  <c r="AI13" i="2"/>
  <c r="AI16" i="3"/>
  <c r="E14" i="2"/>
  <c r="I16" i="2" s="1"/>
  <c r="AJ14" i="3"/>
  <c r="AI15" i="3"/>
  <c r="P10" i="2"/>
  <c r="P12" i="2" s="1"/>
  <c r="AW18" i="3"/>
  <c r="AW17" i="3"/>
  <c r="AW85" i="3"/>
  <c r="CG26" i="2"/>
  <c r="CK28" i="2" s="1"/>
  <c r="EE174" i="3"/>
  <c r="EE24" i="3"/>
  <c r="EE19" i="3"/>
  <c r="I10" i="2"/>
  <c r="AR155" i="3"/>
  <c r="AN17" i="3"/>
  <c r="AN18" i="3"/>
  <c r="AR156" i="3"/>
  <c r="AN85" i="3"/>
  <c r="BW16" i="3"/>
  <c r="AK14" i="2"/>
  <c r="BX14" i="3"/>
  <c r="BX15" i="3" s="1"/>
  <c r="BW15" i="3"/>
  <c r="AV15" i="2"/>
  <c r="AV17" i="2"/>
  <c r="AZ16" i="2"/>
  <c r="GM175" i="3"/>
  <c r="CF247" i="2"/>
  <c r="GG172" i="3"/>
  <c r="BZ157" i="3"/>
  <c r="BS115" i="3"/>
  <c r="EF288" i="3"/>
  <c r="EF316" i="3" s="1"/>
  <c r="AA15" i="2"/>
  <c r="AD16" i="2"/>
  <c r="Z17" i="2"/>
  <c r="Z15" i="2"/>
  <c r="Z16" i="2"/>
  <c r="BQ16" i="3"/>
  <c r="AF14" i="2"/>
  <c r="BQ15" i="3"/>
  <c r="AO15" i="3"/>
  <c r="K14" i="2"/>
  <c r="AV10" i="2"/>
  <c r="AV11" i="2" s="1"/>
  <c r="CK85" i="3"/>
  <c r="CK17" i="3"/>
  <c r="CK18" i="3"/>
  <c r="H10" i="2"/>
  <c r="L12" i="2" s="1"/>
  <c r="AQ155" i="3"/>
  <c r="AM17" i="3"/>
  <c r="AQ156" i="3"/>
  <c r="AM18" i="3"/>
  <c r="AR172" i="3" s="1"/>
  <c r="AM85" i="3"/>
  <c r="U13" i="2"/>
  <c r="U11" i="2"/>
  <c r="AO16" i="3"/>
  <c r="AO17" i="3" s="1"/>
  <c r="BL157" i="3"/>
  <c r="DX157" i="3"/>
  <c r="CV119" i="3"/>
  <c r="CV122" i="3" s="1"/>
  <c r="O12" i="2"/>
  <c r="O13" i="2"/>
  <c r="O11" i="2"/>
  <c r="S12" i="2"/>
  <c r="I17" i="2"/>
  <c r="M16" i="2"/>
  <c r="I15" i="2"/>
  <c r="BR14" i="3"/>
  <c r="BS14" i="3" s="1"/>
  <c r="BS15" i="3" s="1"/>
  <c r="BS107" i="3"/>
  <c r="T17" i="2"/>
  <c r="X16" i="2"/>
  <c r="EA118" i="2"/>
  <c r="EC120" i="2"/>
  <c r="EC416" i="2"/>
  <c r="EC418" i="2" s="1"/>
  <c r="DQ151" i="2"/>
  <c r="DM150" i="2"/>
  <c r="DM152" i="2"/>
  <c r="GB149" i="2"/>
  <c r="DN150" i="2"/>
  <c r="DM153" i="2"/>
  <c r="DM426" i="2"/>
  <c r="DM425" i="2"/>
  <c r="GI30" i="2"/>
  <c r="DP417" i="2"/>
  <c r="GD65" i="2"/>
  <c r="AI224" i="2"/>
  <c r="FP65" i="2"/>
  <c r="FH222" i="2"/>
  <c r="FH224" i="2" s="1"/>
  <c r="DT418" i="2"/>
  <c r="GB112" i="2"/>
  <c r="GE323" i="2"/>
  <c r="FT246" i="2"/>
  <c r="FT295" i="2" s="1"/>
  <c r="CV224" i="2"/>
  <c r="DJ38" i="2"/>
  <c r="FP35" i="2"/>
  <c r="DI38" i="2"/>
  <c r="CD249" i="2"/>
  <c r="FY292" i="2"/>
  <c r="EE201" i="2"/>
  <c r="FY288" i="2"/>
  <c r="DN417" i="2"/>
  <c r="FU336" i="2"/>
  <c r="GD323" i="2"/>
  <c r="FX336" i="2"/>
  <c r="AJ223" i="2"/>
  <c r="CD262" i="2"/>
  <c r="FY274" i="2"/>
  <c r="AQ223" i="2"/>
  <c r="FY246" i="2"/>
  <c r="FY295" i="2" s="1"/>
  <c r="AP223" i="2"/>
  <c r="EE200" i="2"/>
  <c r="GA288" i="2"/>
  <c r="FZ274" i="2"/>
  <c r="GD336" i="2"/>
  <c r="GA274" i="2"/>
  <c r="CE247" i="2"/>
  <c r="CD295" i="2"/>
  <c r="GB274" i="2"/>
  <c r="GA278" i="2"/>
  <c r="EE195" i="2"/>
  <c r="GE115" i="2"/>
  <c r="EE111" i="2"/>
  <c r="EE110" i="2"/>
  <c r="GE65" i="2"/>
  <c r="EB120" i="2"/>
  <c r="EB416" i="2"/>
  <c r="EC118" i="2"/>
  <c r="CP247" i="2"/>
  <c r="GF115" i="2"/>
  <c r="GF116" i="2"/>
  <c r="CW224" i="2"/>
  <c r="ED148" i="2"/>
  <c r="ED146" i="2"/>
  <c r="ED147" i="2"/>
  <c r="DU120" i="2"/>
  <c r="DU119" i="2"/>
  <c r="FX65" i="2"/>
  <c r="EB38" i="2"/>
  <c r="DY119" i="2"/>
  <c r="AV191" i="2"/>
  <c r="AW189" i="2"/>
  <c r="CX223" i="2"/>
  <c r="EE273" i="2"/>
  <c r="EE278" i="2"/>
  <c r="EE274" i="2"/>
  <c r="EE288" i="2"/>
  <c r="BS223" i="2"/>
  <c r="BS224" i="2"/>
  <c r="DU418" i="2"/>
  <c r="FQ197" i="2"/>
  <c r="EG281" i="2"/>
  <c r="EH279" i="2"/>
  <c r="GG279" i="2"/>
  <c r="GG281" i="2" s="1"/>
  <c r="EG275" i="2"/>
  <c r="EG272" i="2" s="1"/>
  <c r="DD223" i="2"/>
  <c r="CW223" i="2"/>
  <c r="EE114" i="2"/>
  <c r="EE115" i="2"/>
  <c r="EF348" i="2"/>
  <c r="EG346" i="2"/>
  <c r="DE223" i="2"/>
  <c r="FY416" i="2"/>
  <c r="FY419" i="2" s="1"/>
  <c r="BB223" i="2"/>
  <c r="BA223" i="2"/>
  <c r="FP198" i="2"/>
  <c r="ED116" i="2"/>
  <c r="ED117" i="2"/>
  <c r="ED114" i="2"/>
  <c r="ED115" i="2"/>
  <c r="EF276" i="2"/>
  <c r="EF277" i="2"/>
  <c r="CK223" i="2"/>
  <c r="AV189" i="2"/>
  <c r="DZ223" i="2"/>
  <c r="GA312" i="2"/>
  <c r="DL453" i="2"/>
  <c r="DK224" i="2"/>
  <c r="DH224" i="2"/>
  <c r="BY224" i="2"/>
  <c r="BY223" i="2"/>
  <c r="EE340" i="2"/>
  <c r="EE145" i="2"/>
  <c r="EE341" i="2"/>
  <c r="CA189" i="2"/>
  <c r="BZ191" i="2"/>
  <c r="CD190" i="2"/>
  <c r="BZ189" i="2"/>
  <c r="BB191" i="2"/>
  <c r="BB189" i="2"/>
  <c r="BC189" i="2"/>
  <c r="DO418" i="2"/>
  <c r="DO417" i="2"/>
  <c r="AP189" i="2"/>
  <c r="AP191" i="2"/>
  <c r="AQ189" i="2"/>
  <c r="DU118" i="2"/>
  <c r="DV417" i="2"/>
  <c r="DP118" i="2"/>
  <c r="DP120" i="2"/>
  <c r="DP119" i="2"/>
  <c r="DQ118" i="2"/>
  <c r="EG343" i="2"/>
  <c r="GG343" i="2" s="1"/>
  <c r="EF339" i="2"/>
  <c r="EF440" i="2" s="1"/>
  <c r="EF345" i="2"/>
  <c r="GF235" i="2"/>
  <c r="DH435" i="2"/>
  <c r="DH433" i="2"/>
  <c r="GI155" i="2"/>
  <c r="DI435" i="2"/>
  <c r="DI433" i="2"/>
  <c r="GG287" i="2"/>
  <c r="BS120" i="3"/>
  <c r="BR122" i="3"/>
  <c r="CZ435" i="2"/>
  <c r="CZ434" i="2"/>
  <c r="DB457" i="2"/>
  <c r="DB415" i="2"/>
  <c r="EQ30" i="2"/>
  <c r="ER30" i="2" s="1"/>
  <c r="ES30" i="2" s="1"/>
  <c r="ET30" i="2" s="1"/>
  <c r="FR235" i="2"/>
  <c r="DE296" i="2"/>
  <c r="FP230" i="2"/>
  <c r="GE40" i="2"/>
  <c r="GE34" i="2"/>
  <c r="GE35" i="2"/>
  <c r="BP224" i="2"/>
  <c r="BP223" i="2"/>
  <c r="DS418" i="2"/>
  <c r="DS417" i="2"/>
  <c r="FL230" i="2"/>
  <c r="EF243" i="2"/>
  <c r="EF242" i="2"/>
  <c r="GD243" i="2"/>
  <c r="DT190" i="2"/>
  <c r="DT189" i="2"/>
  <c r="DT191" i="2"/>
  <c r="DE454" i="2"/>
  <c r="DE453" i="2"/>
  <c r="GA439" i="2"/>
  <c r="GA438" i="2"/>
  <c r="FT348" i="2"/>
  <c r="EK172" i="3"/>
  <c r="EK174" i="3"/>
  <c r="EK19" i="3"/>
  <c r="BX97" i="2"/>
  <c r="BX13" i="2"/>
  <c r="BX12" i="2"/>
  <c r="BY11" i="2"/>
  <c r="BX11" i="2"/>
  <c r="BY97" i="2"/>
  <c r="CA97" i="2"/>
  <c r="CB12" i="2"/>
  <c r="BZ97" i="2"/>
  <c r="DJ18" i="2"/>
  <c r="DJ13" i="2"/>
  <c r="DJ11" i="2"/>
  <c r="DJ12" i="2"/>
  <c r="GB10" i="2"/>
  <c r="DN12" i="2"/>
  <c r="DJ97" i="2"/>
  <c r="DK11" i="2"/>
  <c r="DK97" i="2"/>
  <c r="AY57" i="2"/>
  <c r="AY58" i="2"/>
  <c r="AC89" i="2"/>
  <c r="AD87" i="2"/>
  <c r="AC87" i="2"/>
  <c r="FF86" i="2"/>
  <c r="BE169" i="3"/>
  <c r="BE170" i="3"/>
  <c r="BJ163" i="3"/>
  <c r="BE153" i="3"/>
  <c r="GB121" i="3"/>
  <c r="ER373" i="3"/>
  <c r="ES181" i="3"/>
  <c r="ER183" i="3"/>
  <c r="ER197" i="3"/>
  <c r="ER193" i="3"/>
  <c r="ES191" i="3"/>
  <c r="DG236" i="3"/>
  <c r="DG230" i="3"/>
  <c r="DG232" i="3" s="1"/>
  <c r="EL213" i="3"/>
  <c r="EL212" i="3"/>
  <c r="EM210" i="3"/>
  <c r="DE232" i="3"/>
  <c r="DE231" i="3"/>
  <c r="EQ309" i="3"/>
  <c r="EQ285" i="3"/>
  <c r="EQ286" i="3"/>
  <c r="GE21" i="2"/>
  <c r="CT420" i="2"/>
  <c r="CX422" i="2" s="1"/>
  <c r="CT295" i="2"/>
  <c r="CX297" i="2" s="1"/>
  <c r="CT247" i="2"/>
  <c r="FX246" i="2"/>
  <c r="CT248" i="2"/>
  <c r="CT249" i="2"/>
  <c r="FO230" i="2"/>
  <c r="DG454" i="2"/>
  <c r="DG453" i="2"/>
  <c r="FY439" i="2"/>
  <c r="FY438" i="2"/>
  <c r="DL454" i="2"/>
  <c r="GC348" i="2"/>
  <c r="CR29" i="2"/>
  <c r="CR31" i="2"/>
  <c r="CR48" i="2"/>
  <c r="CR28" i="2"/>
  <c r="AA48" i="2"/>
  <c r="AA29" i="2"/>
  <c r="CF57" i="2"/>
  <c r="CF58" i="2"/>
  <c r="GH173" i="3"/>
  <c r="GH175" i="3"/>
  <c r="GH70" i="3"/>
  <c r="GH25" i="3"/>
  <c r="GH32" i="3"/>
  <c r="GJ167" i="3" s="1"/>
  <c r="EB434" i="2"/>
  <c r="EB435" i="2"/>
  <c r="EB433" i="2"/>
  <c r="AR174" i="3"/>
  <c r="AR24" i="3"/>
  <c r="AR19" i="3"/>
  <c r="L26" i="2"/>
  <c r="BL170" i="3"/>
  <c r="BL169" i="3"/>
  <c r="BQ163" i="3"/>
  <c r="BL153" i="3"/>
  <c r="HC91" i="3"/>
  <c r="DH88" i="2"/>
  <c r="DH89" i="2"/>
  <c r="DI87" i="2"/>
  <c r="DH87" i="2"/>
  <c r="GA86" i="2"/>
  <c r="DL88" i="2"/>
  <c r="DW170" i="3"/>
  <c r="DW169" i="3"/>
  <c r="EB163" i="3"/>
  <c r="DW153" i="3"/>
  <c r="DW163" i="3"/>
  <c r="BK170" i="3"/>
  <c r="BK169" i="3"/>
  <c r="BP163" i="3"/>
  <c r="BK153" i="3"/>
  <c r="AF89" i="2"/>
  <c r="AF87" i="2"/>
  <c r="FG86" i="2"/>
  <c r="AF88" i="2"/>
  <c r="AJ88" i="2"/>
  <c r="CQ122" i="3"/>
  <c r="CR118" i="3"/>
  <c r="CR381" i="3"/>
  <c r="CR376" i="3"/>
  <c r="CR378" i="3" s="1"/>
  <c r="DK232" i="3"/>
  <c r="DK231" i="3"/>
  <c r="BP172" i="3"/>
  <c r="BP174" i="3"/>
  <c r="BP24" i="3"/>
  <c r="BP19" i="3"/>
  <c r="AE26" i="2"/>
  <c r="BO70" i="3"/>
  <c r="BO32" i="3"/>
  <c r="BO25" i="3"/>
  <c r="BO69" i="3" s="1"/>
  <c r="CE170" i="3"/>
  <c r="CE169" i="3"/>
  <c r="CJ163" i="3"/>
  <c r="CE153" i="3"/>
  <c r="EN87" i="2"/>
  <c r="EN88" i="2"/>
  <c r="BP170" i="3"/>
  <c r="BU163" i="3"/>
  <c r="BP169" i="3"/>
  <c r="BP153" i="3"/>
  <c r="DB122" i="3"/>
  <c r="DH378" i="3"/>
  <c r="DH377" i="3"/>
  <c r="DT231" i="3"/>
  <c r="DT232" i="3"/>
  <c r="CQ398" i="3"/>
  <c r="CQ399" i="3"/>
  <c r="EU155" i="2"/>
  <c r="FW230" i="2"/>
  <c r="DS435" i="2"/>
  <c r="DS434" i="2"/>
  <c r="DS433" i="2"/>
  <c r="DC453" i="2"/>
  <c r="DC454" i="2"/>
  <c r="DQ31" i="2"/>
  <c r="DQ27" i="2"/>
  <c r="DQ28" i="2"/>
  <c r="DQ48" i="2"/>
  <c r="DQ29" i="2"/>
  <c r="CA70" i="3"/>
  <c r="CA32" i="3"/>
  <c r="CA25" i="3"/>
  <c r="CA69" i="3" s="1"/>
  <c r="FC175" i="3"/>
  <c r="FC70" i="3"/>
  <c r="FC25" i="3"/>
  <c r="FC32" i="3"/>
  <c r="CU35" i="3"/>
  <c r="CU51" i="3" s="1"/>
  <c r="CU33" i="3"/>
  <c r="CU42" i="3"/>
  <c r="CU45" i="3"/>
  <c r="GN172" i="3"/>
  <c r="GN174" i="3"/>
  <c r="GN19" i="3"/>
  <c r="AY12" i="2"/>
  <c r="AU11" i="2"/>
  <c r="AU13" i="2"/>
  <c r="EI170" i="3"/>
  <c r="EI169" i="3"/>
  <c r="EN163" i="3"/>
  <c r="EI153" i="3"/>
  <c r="CH115" i="3"/>
  <c r="EB231" i="3"/>
  <c r="EB232" i="3"/>
  <c r="FV246" i="2"/>
  <c r="AJ224" i="2"/>
  <c r="CC191" i="2"/>
  <c r="CC189" i="2"/>
  <c r="CG190" i="2"/>
  <c r="CC190" i="2"/>
  <c r="CD189" i="2"/>
  <c r="CC224" i="2"/>
  <c r="CC223" i="2"/>
  <c r="CD223" i="2"/>
  <c r="GF324" i="2"/>
  <c r="GF323" i="2"/>
  <c r="CE54" i="2"/>
  <c r="CF55" i="2" s="1"/>
  <c r="EE423" i="2"/>
  <c r="DJ174" i="3"/>
  <c r="DJ172" i="3"/>
  <c r="DJ24" i="3"/>
  <c r="DJ19" i="3"/>
  <c r="BP26" i="2"/>
  <c r="CD157" i="3"/>
  <c r="AV170" i="3"/>
  <c r="AV169" i="3"/>
  <c r="BA163" i="3"/>
  <c r="AV153" i="3"/>
  <c r="AL157" i="3"/>
  <c r="AQ157" i="3"/>
  <c r="CL15" i="3"/>
  <c r="CL16" i="3"/>
  <c r="AW14" i="2"/>
  <c r="CM14" i="3"/>
  <c r="CM15" i="3" s="1"/>
  <c r="AX157" i="3"/>
  <c r="AY157" i="3" s="1"/>
  <c r="AT146" i="3"/>
  <c r="DB114" i="3"/>
  <c r="EJ378" i="3"/>
  <c r="EJ377" i="3"/>
  <c r="GB222" i="2"/>
  <c r="GC224" i="2" s="1"/>
  <c r="GB197" i="2"/>
  <c r="GB198" i="2"/>
  <c r="BK189" i="2"/>
  <c r="BK190" i="2"/>
  <c r="BK191" i="2"/>
  <c r="BO190" i="2"/>
  <c r="BK224" i="2"/>
  <c r="BK223" i="2"/>
  <c r="BL223" i="2"/>
  <c r="FX235" i="2"/>
  <c r="EF239" i="2"/>
  <c r="EF238" i="2"/>
  <c r="FU358" i="2"/>
  <c r="FU357" i="2"/>
  <c r="DW381" i="2"/>
  <c r="DX381" i="2" s="1"/>
  <c r="DY381" i="2" s="1"/>
  <c r="DZ381" i="2" s="1"/>
  <c r="FV336" i="2"/>
  <c r="FW452" i="2"/>
  <c r="FW455" i="2" s="1"/>
  <c r="CP432" i="2"/>
  <c r="FX348" i="2"/>
  <c r="FG45" i="3"/>
  <c r="FG42" i="3"/>
  <c r="FG35" i="3"/>
  <c r="FG33" i="3"/>
  <c r="EF431" i="2"/>
  <c r="DG19" i="3"/>
  <c r="FJ172" i="3"/>
  <c r="FJ174" i="3"/>
  <c r="FJ19" i="3"/>
  <c r="DH57" i="2"/>
  <c r="DH58" i="2"/>
  <c r="AH13" i="2"/>
  <c r="AH12" i="2"/>
  <c r="AI11" i="2"/>
  <c r="AL12" i="2"/>
  <c r="GB172" i="3"/>
  <c r="GB174" i="3"/>
  <c r="GB24" i="3"/>
  <c r="GD24" i="3" s="1"/>
  <c r="GB19" i="3"/>
  <c r="DT26" i="2"/>
  <c r="DU27" i="2" s="1"/>
  <c r="AJ13" i="2"/>
  <c r="AJ11" i="2"/>
  <c r="AN12" i="2"/>
  <c r="F29" i="2"/>
  <c r="F48" i="2"/>
  <c r="T48" i="2"/>
  <c r="T27" i="2"/>
  <c r="T29" i="2"/>
  <c r="DD29" i="2"/>
  <c r="DD31" i="2"/>
  <c r="DD27" i="2"/>
  <c r="DH28" i="2"/>
  <c r="DD48" i="2"/>
  <c r="DD28" i="2"/>
  <c r="CJ48" i="2"/>
  <c r="CJ29" i="2"/>
  <c r="CJ28" i="2"/>
  <c r="FP157" i="3"/>
  <c r="CO157" i="3"/>
  <c r="FI169" i="3"/>
  <c r="FJ169" i="3" s="1"/>
  <c r="FI170" i="3"/>
  <c r="FJ170" i="3" s="1"/>
  <c r="FI153" i="3"/>
  <c r="FJ153" i="3" s="1"/>
  <c r="FJ92" i="3"/>
  <c r="CX99" i="2"/>
  <c r="DZ170" i="3"/>
  <c r="EA170" i="3" s="1"/>
  <c r="DZ169" i="3"/>
  <c r="EA169" i="3" s="1"/>
  <c r="DZ153" i="3"/>
  <c r="EA153" i="3" s="1"/>
  <c r="EA92" i="3"/>
  <c r="DZ163" i="3"/>
  <c r="EA163" i="3" s="1"/>
  <c r="EM157" i="3"/>
  <c r="BQ122" i="3"/>
  <c r="DI239" i="3"/>
  <c r="DI242" i="3"/>
  <c r="EL378" i="3"/>
  <c r="EL377" i="3"/>
  <c r="DW239" i="3"/>
  <c r="DW240" i="3"/>
  <c r="DW242" i="3"/>
  <c r="EA238" i="3"/>
  <c r="DV196" i="3"/>
  <c r="EE234" i="3"/>
  <c r="EE312" i="3"/>
  <c r="EE225" i="3"/>
  <c r="EE224" i="3"/>
  <c r="EF223" i="3"/>
  <c r="CZ231" i="3"/>
  <c r="CP48" i="2"/>
  <c r="CP29" i="2"/>
  <c r="CP31" i="2"/>
  <c r="CP27" i="2"/>
  <c r="GR60" i="3"/>
  <c r="BH115" i="3"/>
  <c r="BI115" i="3" s="1"/>
  <c r="Y86" i="2"/>
  <c r="AV157" i="3"/>
  <c r="EA196" i="3"/>
  <c r="EN289" i="3"/>
  <c r="EN316" i="3"/>
  <c r="EO288" i="3"/>
  <c r="EN290" i="3"/>
  <c r="DF39" i="2"/>
  <c r="DF38" i="2"/>
  <c r="GA37" i="2"/>
  <c r="BJ224" i="2"/>
  <c r="BJ223" i="2"/>
  <c r="FU222" i="2"/>
  <c r="FV224" i="2" s="1"/>
  <c r="FU198" i="2"/>
  <c r="FU197" i="2"/>
  <c r="FX227" i="2"/>
  <c r="DG295" i="2"/>
  <c r="DH296" i="2" s="1"/>
  <c r="DG248" i="2"/>
  <c r="DG249" i="2"/>
  <c r="DG247" i="2"/>
  <c r="CV422" i="2"/>
  <c r="EG227" i="2"/>
  <c r="EH225" i="2"/>
  <c r="CJ296" i="2"/>
  <c r="EG291" i="2"/>
  <c r="EH289" i="2"/>
  <c r="GG289" i="2"/>
  <c r="FK348" i="2"/>
  <c r="CB48" i="2"/>
  <c r="CB29" i="2"/>
  <c r="CB27" i="2"/>
  <c r="CF28" i="2"/>
  <c r="EZ18" i="3"/>
  <c r="FE174" i="3" s="1"/>
  <c r="AH25" i="3"/>
  <c r="AH32" i="3"/>
  <c r="CN42" i="3"/>
  <c r="CN35" i="3"/>
  <c r="CN51" i="3" s="1"/>
  <c r="CN33" i="3"/>
  <c r="CN45" i="3"/>
  <c r="HD96" i="3"/>
  <c r="HE96" i="3" s="1"/>
  <c r="HF96" i="3" s="1"/>
  <c r="HG96" i="3" s="1"/>
  <c r="HC96" i="3"/>
  <c r="X89" i="2"/>
  <c r="X87" i="2"/>
  <c r="X88" i="2"/>
  <c r="AB88" i="2"/>
  <c r="BZ169" i="3"/>
  <c r="BZ170" i="3"/>
  <c r="CE163" i="3"/>
  <c r="BZ153" i="3"/>
  <c r="BB157" i="3"/>
  <c r="ED170" i="3"/>
  <c r="EI163" i="3"/>
  <c r="ED169" i="3"/>
  <c r="ED153" i="3"/>
  <c r="ED163" i="3"/>
  <c r="EG222" i="3"/>
  <c r="EH220" i="3"/>
  <c r="EG223" i="3"/>
  <c r="DR39" i="2"/>
  <c r="DR38" i="2"/>
  <c r="GD37" i="2"/>
  <c r="DV39" i="2"/>
  <c r="DM418" i="2"/>
  <c r="DM417" i="2"/>
  <c r="FJ235" i="2"/>
  <c r="GB281" i="2"/>
  <c r="FY336" i="2"/>
  <c r="K48" i="2"/>
  <c r="K29" i="2"/>
  <c r="K27" i="2"/>
  <c r="FI175" i="3"/>
  <c r="FI70" i="3"/>
  <c r="FI25" i="3"/>
  <c r="FI32" i="3"/>
  <c r="BW48" i="2"/>
  <c r="BW29" i="2"/>
  <c r="BZ29" i="2"/>
  <c r="FS26" i="2"/>
  <c r="BZ48" i="2"/>
  <c r="BZ27" i="2"/>
  <c r="DM28" i="2"/>
  <c r="DM48" i="2"/>
  <c r="DM31" i="2"/>
  <c r="DN27" i="2"/>
  <c r="DM29" i="2"/>
  <c r="CB109" i="3"/>
  <c r="CC109" i="3" s="1"/>
  <c r="ER196" i="3"/>
  <c r="ES194" i="3"/>
  <c r="DL390" i="3"/>
  <c r="FJ34" i="2"/>
  <c r="FJ35" i="2"/>
  <c r="DK248" i="2"/>
  <c r="AG191" i="2"/>
  <c r="AG189" i="2"/>
  <c r="AK190" i="2"/>
  <c r="DA224" i="2"/>
  <c r="DA223" i="2"/>
  <c r="DT417" i="2"/>
  <c r="GB227" i="2"/>
  <c r="GC197" i="2"/>
  <c r="FX439" i="2"/>
  <c r="FX438" i="2"/>
  <c r="FI348" i="2"/>
  <c r="DN354" i="2"/>
  <c r="GO173" i="3"/>
  <c r="GO175" i="3"/>
  <c r="GO70" i="3"/>
  <c r="GO32" i="3"/>
  <c r="GO25" i="3"/>
  <c r="FU69" i="3"/>
  <c r="Q88" i="2"/>
  <c r="Q89" i="2"/>
  <c r="R87" i="2"/>
  <c r="Q87" i="2"/>
  <c r="U88" i="2"/>
  <c r="FU249" i="2"/>
  <c r="FU295" i="2"/>
  <c r="EG218" i="2"/>
  <c r="EH216" i="2"/>
  <c r="EG203" i="2"/>
  <c r="GG216" i="2"/>
  <c r="DD453" i="2"/>
  <c r="DD454" i="2"/>
  <c r="DD432" i="2"/>
  <c r="DH434" i="2" s="1"/>
  <c r="DO397" i="2"/>
  <c r="FP348" i="2"/>
  <c r="BY48" i="2"/>
  <c r="BY29" i="2"/>
  <c r="DU48" i="2"/>
  <c r="DU29" i="2"/>
  <c r="DU31" i="2"/>
  <c r="DU28" i="2"/>
  <c r="EN175" i="3"/>
  <c r="EN173" i="3"/>
  <c r="EN70" i="3"/>
  <c r="EN32" i="3"/>
  <c r="EN25" i="3"/>
  <c r="FO172" i="3"/>
  <c r="FO174" i="3"/>
  <c r="FO19" i="3"/>
  <c r="CD173" i="3"/>
  <c r="CD70" i="3"/>
  <c r="CD25" i="3"/>
  <c r="CD69" i="3" s="1"/>
  <c r="CD32" i="3"/>
  <c r="AP173" i="3"/>
  <c r="AP70" i="3"/>
  <c r="AP32" i="3"/>
  <c r="AP25" i="3"/>
  <c r="AP69" i="3" s="1"/>
  <c r="AU173" i="3"/>
  <c r="DT172" i="3"/>
  <c r="DT174" i="3"/>
  <c r="DT24" i="3"/>
  <c r="DU175" i="3" s="1"/>
  <c r="DT19" i="3"/>
  <c r="BX26" i="2"/>
  <c r="BY27" i="2" s="1"/>
  <c r="CV97" i="2"/>
  <c r="CV13" i="2"/>
  <c r="CW11" i="2"/>
  <c r="CV12" i="2"/>
  <c r="CV11" i="2"/>
  <c r="CZ12" i="2"/>
  <c r="CW97" i="2"/>
  <c r="CX97" i="2"/>
  <c r="CY97" i="2"/>
  <c r="FX10" i="2"/>
  <c r="B13" i="2"/>
  <c r="F12" i="2"/>
  <c r="C11" i="2"/>
  <c r="AL54" i="2"/>
  <c r="BV97" i="2"/>
  <c r="BV13" i="2"/>
  <c r="BV11" i="2"/>
  <c r="FR10" i="2"/>
  <c r="BV12" i="2"/>
  <c r="BZ12" i="2"/>
  <c r="BW97" i="2"/>
  <c r="BW11" i="2"/>
  <c r="GL173" i="3"/>
  <c r="GL175" i="3"/>
  <c r="GL70" i="3"/>
  <c r="GL25" i="3"/>
  <c r="GL32" i="3"/>
  <c r="EM169" i="3"/>
  <c r="EM170" i="3"/>
  <c r="EM153" i="3"/>
  <c r="CL170" i="3"/>
  <c r="CM170" i="3" s="1"/>
  <c r="CL169" i="3"/>
  <c r="CM169" i="3" s="1"/>
  <c r="CQ163" i="3"/>
  <c r="CR163" i="3" s="1"/>
  <c r="CL153" i="3"/>
  <c r="CM153" i="3" s="1"/>
  <c r="CM92" i="3"/>
  <c r="GW115" i="3"/>
  <c r="GX115" i="3" s="1"/>
  <c r="GX114" i="3"/>
  <c r="P88" i="2"/>
  <c r="P89" i="2"/>
  <c r="P87" i="2"/>
  <c r="T88" i="2"/>
  <c r="FC86" i="2"/>
  <c r="BD89" i="2"/>
  <c r="BD87" i="2"/>
  <c r="FM86" i="2"/>
  <c r="BD88" i="2"/>
  <c r="BE87" i="2"/>
  <c r="BH88" i="2"/>
  <c r="EQ375" i="3"/>
  <c r="EQ374" i="3"/>
  <c r="DS232" i="3"/>
  <c r="DS231" i="3"/>
  <c r="GF34" i="2"/>
  <c r="FS34" i="2"/>
  <c r="FS35" i="2"/>
  <c r="FD35" i="2"/>
  <c r="FD34" i="2"/>
  <c r="DA39" i="2"/>
  <c r="DA38" i="2"/>
  <c r="DE39" i="2"/>
  <c r="DS39" i="2"/>
  <c r="DS38" i="2"/>
  <c r="DW39" i="2"/>
  <c r="CT224" i="2"/>
  <c r="CT223" i="2"/>
  <c r="CX224" i="2"/>
  <c r="CT417" i="2"/>
  <c r="CT418" i="2"/>
  <c r="FX416" i="2"/>
  <c r="DR224" i="2"/>
  <c r="DR223" i="2"/>
  <c r="DV224" i="2"/>
  <c r="CF265" i="2"/>
  <c r="CF307" i="2"/>
  <c r="DR296" i="2"/>
  <c r="DC297" i="2"/>
  <c r="FW227" i="2"/>
  <c r="DK434" i="2"/>
  <c r="DK435" i="2"/>
  <c r="GB430" i="2"/>
  <c r="GB431" i="2"/>
  <c r="FV348" i="2"/>
  <c r="DX48" i="2"/>
  <c r="DX31" i="2"/>
  <c r="DX27" i="2"/>
  <c r="DX29" i="2"/>
  <c r="GA175" i="3"/>
  <c r="GA70" i="3"/>
  <c r="GA25" i="3"/>
  <c r="GA32" i="3"/>
  <c r="BN13" i="2"/>
  <c r="BN11" i="2"/>
  <c r="FP10" i="2"/>
  <c r="BN12" i="2"/>
  <c r="BN97" i="2"/>
  <c r="EG170" i="3"/>
  <c r="EG169" i="3"/>
  <c r="EL163" i="3"/>
  <c r="EG153" i="3"/>
  <c r="H89" i="2"/>
  <c r="H87" i="2"/>
  <c r="H88" i="2"/>
  <c r="L88" i="2"/>
  <c r="BC157" i="3"/>
  <c r="BD157" i="3" s="1"/>
  <c r="AY146" i="3"/>
  <c r="DB115" i="3"/>
  <c r="FL164" i="3"/>
  <c r="FK161" i="3"/>
  <c r="DO378" i="3"/>
  <c r="DO377" i="3"/>
  <c r="DK242" i="3"/>
  <c r="DP244" i="3" s="1"/>
  <c r="DK239" i="3"/>
  <c r="DR377" i="3"/>
  <c r="DR378" i="3"/>
  <c r="Z12" i="2"/>
  <c r="Z13" i="2"/>
  <c r="AD12" i="2"/>
  <c r="AA11" i="2"/>
  <c r="FW169" i="3"/>
  <c r="FW170" i="3"/>
  <c r="FW153" i="3"/>
  <c r="HB115" i="3"/>
  <c r="HC115" i="3" s="1"/>
  <c r="EO86" i="2"/>
  <c r="DR242" i="3"/>
  <c r="DV238" i="3"/>
  <c r="DR239" i="3"/>
  <c r="DR240" i="3"/>
  <c r="DX242" i="3"/>
  <c r="DX239" i="3"/>
  <c r="DX240" i="3"/>
  <c r="DB38" i="2"/>
  <c r="FX40" i="2"/>
  <c r="FX34" i="2"/>
  <c r="FX35" i="2"/>
  <c r="GA222" i="2"/>
  <c r="GA198" i="2"/>
  <c r="GA197" i="2"/>
  <c r="DF295" i="2"/>
  <c r="DJ297" i="2" s="1"/>
  <c r="GA246" i="2"/>
  <c r="DF247" i="2"/>
  <c r="DF248" i="2"/>
  <c r="DF249" i="2"/>
  <c r="FI235" i="2"/>
  <c r="DH297" i="2"/>
  <c r="FO235" i="2"/>
  <c r="CW457" i="2"/>
  <c r="CW415" i="2"/>
  <c r="FO348" i="2"/>
  <c r="BD58" i="2"/>
  <c r="BD57" i="2"/>
  <c r="BD56" i="2"/>
  <c r="EF172" i="3"/>
  <c r="EF174" i="3"/>
  <c r="EF19" i="3"/>
  <c r="CJ174" i="3"/>
  <c r="CJ24" i="3"/>
  <c r="CJ19" i="3"/>
  <c r="AU26" i="2"/>
  <c r="CO172" i="3"/>
  <c r="FD157" i="3"/>
  <c r="FE157" i="3" s="1"/>
  <c r="EZ146" i="3"/>
  <c r="CO169" i="3"/>
  <c r="CO170" i="3"/>
  <c r="CT163" i="3"/>
  <c r="CO153" i="3"/>
  <c r="AZ88" i="2"/>
  <c r="AZ89" i="2"/>
  <c r="AZ87" i="2"/>
  <c r="DM377" i="3"/>
  <c r="DM378" i="3"/>
  <c r="ED239" i="3"/>
  <c r="ED242" i="3"/>
  <c r="ED313" i="3"/>
  <c r="ED314" i="3" s="1"/>
  <c r="ED317" i="3" s="1"/>
  <c r="ED240" i="3"/>
  <c r="ED39" i="2"/>
  <c r="ED38" i="2"/>
  <c r="FY65" i="2"/>
  <c r="CR453" i="2"/>
  <c r="CR432" i="2"/>
  <c r="CV434" i="2" s="1"/>
  <c r="CT454" i="2"/>
  <c r="CT453" i="2"/>
  <c r="FX452" i="2"/>
  <c r="FJ348" i="2"/>
  <c r="EC45" i="3"/>
  <c r="EC35" i="3"/>
  <c r="EC33" i="3"/>
  <c r="EC42" i="3"/>
  <c r="EE445" i="2"/>
  <c r="EE446" i="2"/>
  <c r="BR97" i="2"/>
  <c r="BR13" i="2"/>
  <c r="BR12" i="2"/>
  <c r="FQ10" i="2"/>
  <c r="BR11" i="2"/>
  <c r="G13" i="2"/>
  <c r="G11" i="2"/>
  <c r="G12" i="2"/>
  <c r="K12" i="2"/>
  <c r="DO18" i="2"/>
  <c r="DO12" i="2"/>
  <c r="DP11" i="2"/>
  <c r="DO11" i="2"/>
  <c r="DO13" i="2"/>
  <c r="GC10" i="2"/>
  <c r="DS12" i="2"/>
  <c r="DP97" i="2"/>
  <c r="DO97" i="2"/>
  <c r="DR97" i="2"/>
  <c r="DQ97" i="2"/>
  <c r="FS170" i="3"/>
  <c r="FT170" i="3" s="1"/>
  <c r="FS169" i="3"/>
  <c r="FT169" i="3" s="1"/>
  <c r="FS153" i="3"/>
  <c r="FT153" i="3" s="1"/>
  <c r="FT92" i="3"/>
  <c r="EB88" i="3"/>
  <c r="AO88" i="2"/>
  <c r="AO89" i="2"/>
  <c r="AP87" i="2"/>
  <c r="AO87" i="2"/>
  <c r="EO163" i="3"/>
  <c r="EP163" i="3" s="1"/>
  <c r="EJ153" i="3"/>
  <c r="EK153" i="3" s="1"/>
  <c r="EK92" i="3"/>
  <c r="BM16" i="3"/>
  <c r="BM15" i="3"/>
  <c r="BN14" i="3"/>
  <c r="BN15" i="3" s="1"/>
  <c r="DX39" i="2"/>
  <c r="DX38" i="2"/>
  <c r="GE37" i="2"/>
  <c r="EE34" i="2"/>
  <c r="EE37" i="2"/>
  <c r="EE33" i="2"/>
  <c r="CU224" i="2"/>
  <c r="CU223" i="2"/>
  <c r="FV227" i="2"/>
  <c r="CX418" i="2"/>
  <c r="DF454" i="2"/>
  <c r="DF453" i="2"/>
  <c r="GA452" i="2"/>
  <c r="FW358" i="2"/>
  <c r="FW357" i="2"/>
  <c r="GE348" i="2"/>
  <c r="EO45" i="3"/>
  <c r="EO42" i="3"/>
  <c r="EO35" i="3"/>
  <c r="EO33" i="3"/>
  <c r="DC57" i="2"/>
  <c r="DC58" i="2"/>
  <c r="DC70" i="3"/>
  <c r="DC32" i="3"/>
  <c r="DC25" i="3"/>
  <c r="DC69" i="3" s="1"/>
  <c r="DG24" i="3"/>
  <c r="GD17" i="3"/>
  <c r="GG156" i="3"/>
  <c r="GG155" i="3"/>
  <c r="GM173" i="3"/>
  <c r="FF173" i="3"/>
  <c r="FF70" i="3"/>
  <c r="FF32" i="3"/>
  <c r="FF25" i="3"/>
  <c r="FJ24" i="3"/>
  <c r="EH174" i="3"/>
  <c r="EH172" i="3"/>
  <c r="EH24" i="3"/>
  <c r="EK24" i="3" s="1"/>
  <c r="EH19" i="3"/>
  <c r="CI26" i="2"/>
  <c r="CM28" i="2" s="1"/>
  <c r="DV29" i="2"/>
  <c r="DV31" i="2"/>
  <c r="DV48" i="2"/>
  <c r="DV27" i="2"/>
  <c r="DV28" i="2"/>
  <c r="GE26" i="2"/>
  <c r="DW27" i="2"/>
  <c r="DO174" i="3"/>
  <c r="DO172" i="3"/>
  <c r="DO24" i="3"/>
  <c r="DO19" i="3"/>
  <c r="BT26" i="2"/>
  <c r="AK70" i="3"/>
  <c r="AK32" i="3"/>
  <c r="AK25" i="3"/>
  <c r="AK69" i="3" s="1"/>
  <c r="DI174" i="3"/>
  <c r="DI172" i="3"/>
  <c r="DI24" i="3"/>
  <c r="DI19" i="3"/>
  <c r="BO26" i="2"/>
  <c r="EI173" i="3"/>
  <c r="EI70" i="3"/>
  <c r="EI32" i="3"/>
  <c r="EI25" i="3"/>
  <c r="FA148" i="3"/>
  <c r="FA146" i="3"/>
  <c r="FA147" i="3"/>
  <c r="FA92" i="3"/>
  <c r="CA169" i="3"/>
  <c r="CA170" i="3"/>
  <c r="CF163" i="3"/>
  <c r="CA153" i="3"/>
  <c r="BO157" i="3"/>
  <c r="BQ169" i="3"/>
  <c r="BQ170" i="3"/>
  <c r="BV163" i="3"/>
  <c r="BQ153" i="3"/>
  <c r="FJ122" i="3"/>
  <c r="CW122" i="3"/>
  <c r="EA203" i="3"/>
  <c r="DW231" i="3"/>
  <c r="DW232" i="3"/>
  <c r="CZ243" i="3"/>
  <c r="DR48" i="2"/>
  <c r="DR29" i="2"/>
  <c r="DR28" i="2"/>
  <c r="DR31" i="2"/>
  <c r="DR27" i="2"/>
  <c r="EU18" i="3"/>
  <c r="ES149" i="3"/>
  <c r="ES144" i="3"/>
  <c r="ES100" i="3"/>
  <c r="ES87" i="3"/>
  <c r="CR98" i="2"/>
  <c r="CT170" i="3"/>
  <c r="EF61" i="2"/>
  <c r="EF36" i="2"/>
  <c r="EF60" i="2"/>
  <c r="GQ109" i="3"/>
  <c r="EO170" i="3"/>
  <c r="EP170" i="3" s="1"/>
  <c r="EP92" i="3"/>
  <c r="EO153" i="3"/>
  <c r="EP153" i="3" s="1"/>
  <c r="EO169" i="3"/>
  <c r="EP169" i="3" s="1"/>
  <c r="EL170" i="3"/>
  <c r="EL169" i="3"/>
  <c r="EQ163" i="3"/>
  <c r="EL153" i="3"/>
  <c r="EQ169" i="3"/>
  <c r="AS16" i="3"/>
  <c r="AS15" i="3"/>
  <c r="O14" i="2"/>
  <c r="AT14" i="3"/>
  <c r="EK316" i="3"/>
  <c r="EK290" i="3"/>
  <c r="DT38" i="2"/>
  <c r="FO222" i="2"/>
  <c r="FP224" i="2" s="1"/>
  <c r="FO198" i="2"/>
  <c r="FO197" i="2"/>
  <c r="FO227" i="2"/>
  <c r="GD227" i="2"/>
  <c r="DG418" i="2"/>
  <c r="DG417" i="2"/>
  <c r="FL235" i="2"/>
  <c r="DZ173" i="3"/>
  <c r="DZ175" i="3"/>
  <c r="DZ70" i="3"/>
  <c r="DZ25" i="3"/>
  <c r="DZ69" i="3" s="1"/>
  <c r="DZ32" i="3"/>
  <c r="DL97" i="2"/>
  <c r="DL13" i="2"/>
  <c r="DL11" i="2"/>
  <c r="DL12" i="2"/>
  <c r="DL18" i="2"/>
  <c r="DP12" i="2"/>
  <c r="DM97" i="2"/>
  <c r="DN97" i="2"/>
  <c r="DM11" i="2"/>
  <c r="BL48" i="2"/>
  <c r="BL29" i="2"/>
  <c r="BL27" i="2"/>
  <c r="BL28" i="2"/>
  <c r="AS163" i="3"/>
  <c r="AT163" i="3" s="1"/>
  <c r="AN153" i="3"/>
  <c r="AO153" i="3" s="1"/>
  <c r="AO92" i="3"/>
  <c r="FD170" i="3"/>
  <c r="FE170" i="3" s="1"/>
  <c r="FD169" i="3"/>
  <c r="FE169" i="3" s="1"/>
  <c r="FI163" i="3"/>
  <c r="FJ163" i="3" s="1"/>
  <c r="FD153" i="3"/>
  <c r="FE153" i="3" s="1"/>
  <c r="FE92" i="3"/>
  <c r="CE157" i="3"/>
  <c r="CI169" i="3"/>
  <c r="CI170" i="3"/>
  <c r="CN163" i="3"/>
  <c r="CI153" i="3"/>
  <c r="CY378" i="3"/>
  <c r="CY377" i="3"/>
  <c r="GP107" i="3"/>
  <c r="FK227" i="2"/>
  <c r="FZ358" i="2"/>
  <c r="FZ357" i="2"/>
  <c r="AQ175" i="3"/>
  <c r="AQ70" i="3"/>
  <c r="AQ32" i="3"/>
  <c r="AQ25" i="3"/>
  <c r="AQ69" i="3" s="1"/>
  <c r="ET175" i="3"/>
  <c r="ET173" i="3"/>
  <c r="ET70" i="3"/>
  <c r="ET69" i="3" s="1"/>
  <c r="CS54" i="2" s="1"/>
  <c r="ET32" i="3"/>
  <c r="ET25" i="3"/>
  <c r="EW175" i="3"/>
  <c r="EW70" i="3"/>
  <c r="EW25" i="3"/>
  <c r="EW32" i="3"/>
  <c r="DW175" i="3"/>
  <c r="DW70" i="3"/>
  <c r="DW32" i="3"/>
  <c r="DW25" i="3"/>
  <c r="DW69" i="3" s="1"/>
  <c r="EA24" i="3"/>
  <c r="FS173" i="3"/>
  <c r="FS70" i="3"/>
  <c r="FS32" i="3"/>
  <c r="FS25" i="3"/>
  <c r="CJ169" i="3"/>
  <c r="CN170" i="3"/>
  <c r="CF170" i="3"/>
  <c r="CF169" i="3"/>
  <c r="CK163" i="3"/>
  <c r="CF153" i="3"/>
  <c r="CB170" i="3"/>
  <c r="CC170" i="3" s="1"/>
  <c r="CG163" i="3"/>
  <c r="CH163" i="3" s="1"/>
  <c r="CB169" i="3"/>
  <c r="CC169" i="3" s="1"/>
  <c r="CB153" i="3"/>
  <c r="CC153" i="3" s="1"/>
  <c r="CC92" i="3"/>
  <c r="BG16" i="3"/>
  <c r="BG15" i="3"/>
  <c r="AC14" i="2"/>
  <c r="DM102" i="2"/>
  <c r="GB102" i="2" s="1"/>
  <c r="FS122" i="3"/>
  <c r="DG381" i="3"/>
  <c r="DG376" i="3"/>
  <c r="FU35" i="2"/>
  <c r="FU34" i="2"/>
  <c r="CU39" i="2"/>
  <c r="CU38" i="2"/>
  <c r="CY39" i="2"/>
  <c r="BD191" i="2"/>
  <c r="BD190" i="2"/>
  <c r="BD189" i="2"/>
  <c r="BH190" i="2"/>
  <c r="FM188" i="2"/>
  <c r="CB191" i="2"/>
  <c r="CB189" i="2"/>
  <c r="CB190" i="2"/>
  <c r="CF190" i="2"/>
  <c r="FS188" i="2"/>
  <c r="CZ420" i="2"/>
  <c r="CZ412" i="2" s="1"/>
  <c r="CZ295" i="2"/>
  <c r="DD297" i="2" s="1"/>
  <c r="CZ248" i="2"/>
  <c r="CZ249" i="2"/>
  <c r="CZ247" i="2"/>
  <c r="DA420" i="2"/>
  <c r="DA412" i="2" s="1"/>
  <c r="DB413" i="2" s="1"/>
  <c r="DA295" i="2"/>
  <c r="DB296" i="2" s="1"/>
  <c r="DA249" i="2"/>
  <c r="DA247" i="2"/>
  <c r="DA248" i="2"/>
  <c r="CV412" i="2"/>
  <c r="CW413" i="2" s="1"/>
  <c r="CX248" i="2"/>
  <c r="FY358" i="2"/>
  <c r="FY357" i="2"/>
  <c r="FU175" i="3"/>
  <c r="DA97" i="2"/>
  <c r="DA12" i="2"/>
  <c r="DA11" i="2"/>
  <c r="DA13" i="2"/>
  <c r="DB11" i="2"/>
  <c r="FY10" i="2"/>
  <c r="DC97" i="2"/>
  <c r="DB97" i="2"/>
  <c r="DE12" i="2"/>
  <c r="DD97" i="2"/>
  <c r="W12" i="2"/>
  <c r="W13" i="2"/>
  <c r="AA12" i="2"/>
  <c r="W11" i="2"/>
  <c r="W97" i="2"/>
  <c r="EV74" i="3"/>
  <c r="FP197" i="2"/>
  <c r="AG87" i="2"/>
  <c r="AG88" i="2"/>
  <c r="AK88" i="2"/>
  <c r="AG89" i="2"/>
  <c r="AH87" i="2"/>
  <c r="DL224" i="2"/>
  <c r="DL223" i="2"/>
  <c r="FI230" i="2"/>
  <c r="DG435" i="2"/>
  <c r="DG433" i="2"/>
  <c r="DV315" i="2"/>
  <c r="DU317" i="2"/>
  <c r="DU316" i="2"/>
  <c r="DU318" i="2"/>
  <c r="GD315" i="2"/>
  <c r="DF435" i="2"/>
  <c r="DF434" i="2"/>
  <c r="GA432" i="2"/>
  <c r="FL348" i="2"/>
  <c r="FW348" i="2"/>
  <c r="DP29" i="2"/>
  <c r="DP31" i="2"/>
  <c r="DP48" i="2"/>
  <c r="EG173" i="3"/>
  <c r="EG175" i="3"/>
  <c r="EG70" i="3"/>
  <c r="EG32" i="3"/>
  <c r="EG25" i="3"/>
  <c r="FK173" i="3"/>
  <c r="FK175" i="3"/>
  <c r="FK70" i="3"/>
  <c r="FK32" i="3"/>
  <c r="FK25" i="3"/>
  <c r="FO24" i="3"/>
  <c r="V97" i="2"/>
  <c r="V13" i="2"/>
  <c r="V12" i="2"/>
  <c r="V11" i="2"/>
  <c r="AP11" i="2"/>
  <c r="AO13" i="2"/>
  <c r="AO11" i="2"/>
  <c r="EX172" i="3"/>
  <c r="EX174" i="3"/>
  <c r="EX24" i="3"/>
  <c r="FC173" i="3" s="1"/>
  <c r="EX19" i="3"/>
  <c r="CV26" i="2"/>
  <c r="CW27" i="2" s="1"/>
  <c r="BY42" i="3"/>
  <c r="BY35" i="3"/>
  <c r="BY51" i="3" s="1"/>
  <c r="BY33" i="3"/>
  <c r="BY45" i="3"/>
  <c r="FP172" i="3"/>
  <c r="FP174" i="3"/>
  <c r="FP24" i="3"/>
  <c r="FT18" i="3"/>
  <c r="FP19" i="3"/>
  <c r="DJ26" i="2"/>
  <c r="DK27" i="2" s="1"/>
  <c r="FU172" i="3"/>
  <c r="CU170" i="3"/>
  <c r="CU169" i="3"/>
  <c r="CZ163" i="3"/>
  <c r="CU153" i="3"/>
  <c r="GU86" i="3"/>
  <c r="BH14" i="3"/>
  <c r="BI14" i="3" s="1"/>
  <c r="BI15" i="3" s="1"/>
  <c r="BO170" i="3"/>
  <c r="BO169" i="3"/>
  <c r="BT163" i="3"/>
  <c r="BO153" i="3"/>
  <c r="I89" i="2"/>
  <c r="CC122" i="3"/>
  <c r="AS87" i="2"/>
  <c r="AS88" i="2"/>
  <c r="AS89" i="2"/>
  <c r="FJ86" i="2"/>
  <c r="AT87" i="2"/>
  <c r="EQ308" i="3"/>
  <c r="EQ198" i="3"/>
  <c r="EQ199" i="3"/>
  <c r="DC232" i="3"/>
  <c r="DC231" i="3"/>
  <c r="EM377" i="3"/>
  <c r="EM378" i="3"/>
  <c r="DO240" i="3"/>
  <c r="DO239" i="3"/>
  <c r="DO242" i="3"/>
  <c r="DS242" i="3"/>
  <c r="DS239" i="3"/>
  <c r="DS240" i="3"/>
  <c r="EQ387" i="3"/>
  <c r="EQ386" i="3"/>
  <c r="AX224" i="2"/>
  <c r="AX223" i="2"/>
  <c r="BE190" i="2"/>
  <c r="BE191" i="2"/>
  <c r="BE189" i="2"/>
  <c r="BI190" i="2"/>
  <c r="BE223" i="2"/>
  <c r="BE224" i="2"/>
  <c r="BF223" i="2"/>
  <c r="CO223" i="2"/>
  <c r="CO224" i="2"/>
  <c r="CP412" i="2"/>
  <c r="DA435" i="2"/>
  <c r="DA434" i="2"/>
  <c r="DA433" i="2"/>
  <c r="EJ334" i="2"/>
  <c r="EI336" i="2"/>
  <c r="CQ453" i="2"/>
  <c r="CQ432" i="2"/>
  <c r="CU434" i="2" s="1"/>
  <c r="ED324" i="2"/>
  <c r="ED323" i="2"/>
  <c r="ED322" i="2"/>
  <c r="FZ348" i="2"/>
  <c r="CW435" i="2"/>
  <c r="CW433" i="2"/>
  <c r="EC433" i="2"/>
  <c r="EC434" i="2"/>
  <c r="EC435" i="2"/>
  <c r="ES173" i="3"/>
  <c r="ES70" i="3"/>
  <c r="ES69" i="3" s="1"/>
  <c r="CR54" i="2" s="1"/>
  <c r="ES32" i="3"/>
  <c r="ES25" i="3"/>
  <c r="BK70" i="3"/>
  <c r="BK25" i="3"/>
  <c r="BK69" i="3" s="1"/>
  <c r="AA54" i="2" s="1"/>
  <c r="BK32" i="3"/>
  <c r="DO401" i="2"/>
  <c r="DO400" i="2"/>
  <c r="CA27" i="2"/>
  <c r="CA28" i="2"/>
  <c r="CA48" i="2"/>
  <c r="CA29" i="2"/>
  <c r="CE28" i="2"/>
  <c r="BG48" i="2"/>
  <c r="BG29" i="2"/>
  <c r="FQ170" i="3"/>
  <c r="FQ169" i="3"/>
  <c r="FQ153" i="3"/>
  <c r="GB170" i="3"/>
  <c r="GB169" i="3"/>
  <c r="GB153" i="3"/>
  <c r="BH170" i="3"/>
  <c r="BI170" i="3" s="1"/>
  <c r="BH169" i="3"/>
  <c r="BI169" i="3" s="1"/>
  <c r="BM163" i="3"/>
  <c r="BN163" i="3" s="1"/>
  <c r="BH153" i="3"/>
  <c r="BI153" i="3" s="1"/>
  <c r="BI92" i="3"/>
  <c r="BM170" i="3"/>
  <c r="BN170" i="3" s="1"/>
  <c r="BM169" i="3"/>
  <c r="BN169" i="3" s="1"/>
  <c r="BU169" i="3"/>
  <c r="BU170" i="3"/>
  <c r="BZ163" i="3"/>
  <c r="BU153" i="3"/>
  <c r="EB157" i="3"/>
  <c r="AI122" i="3"/>
  <c r="AJ122" i="3" s="1"/>
  <c r="AJ118" i="3"/>
  <c r="EO307" i="3"/>
  <c r="EO310" i="3" s="1"/>
  <c r="EO188" i="3"/>
  <c r="EO189" i="3"/>
  <c r="EP187" i="3"/>
  <c r="EE377" i="3"/>
  <c r="EE378" i="3"/>
  <c r="DP377" i="3"/>
  <c r="DP378" i="3"/>
  <c r="DV381" i="3"/>
  <c r="DV376" i="3"/>
  <c r="S28" i="2"/>
  <c r="S48" i="2"/>
  <c r="S29" i="2"/>
  <c r="CB157" i="3"/>
  <c r="CC157" i="3" s="1"/>
  <c r="BX146" i="3"/>
  <c r="DJ161" i="3"/>
  <c r="DO161" i="3"/>
  <c r="DO163" i="3"/>
  <c r="DJ163" i="3"/>
  <c r="CW381" i="3"/>
  <c r="CW376" i="3"/>
  <c r="DT242" i="3"/>
  <c r="DT239" i="3"/>
  <c r="DT240" i="3"/>
  <c r="FI35" i="2"/>
  <c r="FI34" i="2"/>
  <c r="DF417" i="2"/>
  <c r="GA416" i="2"/>
  <c r="DF418" i="2"/>
  <c r="AM190" i="2"/>
  <c r="AM191" i="2"/>
  <c r="AM189" i="2"/>
  <c r="AQ190" i="2"/>
  <c r="AM223" i="2"/>
  <c r="AM224" i="2"/>
  <c r="AN223" i="2"/>
  <c r="DS235" i="2"/>
  <c r="DS234" i="2"/>
  <c r="CZ454" i="2"/>
  <c r="CZ453" i="2"/>
  <c r="GF432" i="2"/>
  <c r="FX175" i="3"/>
  <c r="FX173" i="3"/>
  <c r="FX70" i="3"/>
  <c r="FX32" i="3"/>
  <c r="FX25" i="3"/>
  <c r="FC172" i="3"/>
  <c r="EB175" i="3"/>
  <c r="EB173" i="3"/>
  <c r="EB70" i="3"/>
  <c r="EB32" i="3"/>
  <c r="EB25" i="3"/>
  <c r="EF24" i="3"/>
  <c r="GJ175" i="3"/>
  <c r="GJ173" i="3"/>
  <c r="GJ70" i="3"/>
  <c r="GJ32" i="3"/>
  <c r="GJ25" i="3"/>
  <c r="GN24" i="3"/>
  <c r="CX174" i="3"/>
  <c r="CX172" i="3"/>
  <c r="CX24" i="3"/>
  <c r="CY175" i="3" s="1"/>
  <c r="CX19" i="3"/>
  <c r="DB18" i="3"/>
  <c r="DG174" i="3" s="1"/>
  <c r="BF26" i="2"/>
  <c r="BJ28" i="2" s="1"/>
  <c r="FO108" i="3"/>
  <c r="AM157" i="3"/>
  <c r="AR157" i="3"/>
  <c r="DH124" i="3"/>
  <c r="DQ381" i="3"/>
  <c r="DQ376" i="3"/>
  <c r="EB313" i="3"/>
  <c r="EB314" i="3" s="1"/>
  <c r="EB317" i="3" s="1"/>
  <c r="EB240" i="3"/>
  <c r="EB239" i="3"/>
  <c r="EG378" i="3"/>
  <c r="EG377" i="3"/>
  <c r="CX378" i="3"/>
  <c r="CX377" i="3"/>
  <c r="DT234" i="2"/>
  <c r="FM348" i="2"/>
  <c r="FN348" i="2"/>
  <c r="EM74" i="3"/>
  <c r="EW74" i="3" s="1"/>
  <c r="FN33" i="3"/>
  <c r="FN42" i="3"/>
  <c r="FN45" i="3"/>
  <c r="FN35" i="3"/>
  <c r="EG447" i="2"/>
  <c r="EF444" i="2"/>
  <c r="DM172" i="3"/>
  <c r="DM174" i="3"/>
  <c r="DM24" i="3"/>
  <c r="DQ18" i="3"/>
  <c r="DM19" i="3"/>
  <c r="BR26" i="2"/>
  <c r="FV172" i="3"/>
  <c r="FV174" i="3"/>
  <c r="FV24" i="3"/>
  <c r="GA173" i="3" s="1"/>
  <c r="FV19" i="3"/>
  <c r="DO26" i="2"/>
  <c r="DS28" i="2" s="1"/>
  <c r="FY18" i="3"/>
  <c r="EJ203" i="3"/>
  <c r="EJ202" i="3"/>
  <c r="EO379" i="3"/>
  <c r="EI378" i="3"/>
  <c r="EI377" i="3"/>
  <c r="FO35" i="2"/>
  <c r="FO34" i="2"/>
  <c r="DL39" i="2"/>
  <c r="DL38" i="2"/>
  <c r="CG224" i="2"/>
  <c r="CU420" i="2"/>
  <c r="CY422" i="2" s="1"/>
  <c r="CU295" i="2"/>
  <c r="CU247" i="2"/>
  <c r="CU248" i="2"/>
  <c r="CU249" i="2"/>
  <c r="GB230" i="2"/>
  <c r="CP223" i="2"/>
  <c r="FK230" i="2"/>
  <c r="EE235" i="2"/>
  <c r="EE234" i="2"/>
  <c r="GG237" i="2"/>
  <c r="EG214" i="2"/>
  <c r="GC426" i="2"/>
  <c r="GC427" i="2"/>
  <c r="EE436" i="2"/>
  <c r="EE329" i="2"/>
  <c r="EE328" i="2"/>
  <c r="EE321" i="2"/>
  <c r="EE133" i="2"/>
  <c r="DR433" i="2"/>
  <c r="DR435" i="2"/>
  <c r="DR434" i="2"/>
  <c r="GD432" i="2"/>
  <c r="EI439" i="2"/>
  <c r="CW453" i="2"/>
  <c r="CW454" i="2"/>
  <c r="CO57" i="2"/>
  <c r="CO58" i="2"/>
  <c r="GF173" i="3"/>
  <c r="DC172" i="3"/>
  <c r="EG443" i="2"/>
  <c r="GE175" i="3"/>
  <c r="GE173" i="3"/>
  <c r="GE70" i="3"/>
  <c r="GE32" i="3"/>
  <c r="GE25" i="3"/>
  <c r="GI24" i="3"/>
  <c r="BV174" i="3"/>
  <c r="BV24" i="3"/>
  <c r="BV19" i="3"/>
  <c r="AJ26" i="2"/>
  <c r="AN28" i="2" s="1"/>
  <c r="BB175" i="3"/>
  <c r="BB70" i="3"/>
  <c r="BB32" i="3"/>
  <c r="BB25" i="3"/>
  <c r="BB69" i="3" s="1"/>
  <c r="FH173" i="3"/>
  <c r="FH175" i="3"/>
  <c r="FH70" i="3"/>
  <c r="FH25" i="3"/>
  <c r="FH32" i="3"/>
  <c r="CP42" i="3"/>
  <c r="CP45" i="3"/>
  <c r="CP35" i="3"/>
  <c r="CP51" i="3" s="1"/>
  <c r="CP33" i="3"/>
  <c r="GX46" i="3"/>
  <c r="HM26" i="3"/>
  <c r="AZ170" i="3"/>
  <c r="AZ169" i="3"/>
  <c r="BE163" i="3"/>
  <c r="AZ153" i="3"/>
  <c r="CZ169" i="3"/>
  <c r="FN157" i="3"/>
  <c r="FO157" i="3" s="1"/>
  <c r="FJ146" i="3"/>
  <c r="GH157" i="3"/>
  <c r="GI157" i="3" s="1"/>
  <c r="GD146" i="3"/>
  <c r="BR170" i="3"/>
  <c r="BS170" i="3" s="1"/>
  <c r="BR169" i="3"/>
  <c r="BS169" i="3" s="1"/>
  <c r="BW163" i="3"/>
  <c r="BX163" i="3" s="1"/>
  <c r="BR153" i="3"/>
  <c r="BS153" i="3" s="1"/>
  <c r="BS92" i="3"/>
  <c r="BR163" i="3"/>
  <c r="BS163" i="3" s="1"/>
  <c r="FK163" i="3"/>
  <c r="EA146" i="3"/>
  <c r="GM157" i="3"/>
  <c r="GN157" i="3" s="1"/>
  <c r="GI146" i="3"/>
  <c r="DW157" i="3"/>
  <c r="AW89" i="2"/>
  <c r="AW87" i="2"/>
  <c r="AW88" i="2"/>
  <c r="FK86" i="2"/>
  <c r="AX87" i="2"/>
  <c r="ER88" i="2"/>
  <c r="ER87" i="2"/>
  <c r="EV88" i="2"/>
  <c r="CU378" i="3"/>
  <c r="CU377" i="3"/>
  <c r="DL203" i="3"/>
  <c r="ES217" i="3"/>
  <c r="ER219" i="3"/>
  <c r="EF203" i="3"/>
  <c r="DF232" i="3"/>
  <c r="DF231" i="3"/>
  <c r="GD18" i="3"/>
  <c r="ET77" i="3"/>
  <c r="EU76" i="3"/>
  <c r="GR55" i="3"/>
  <c r="GT54" i="3"/>
  <c r="EG59" i="2"/>
  <c r="GR59" i="3"/>
  <c r="GS59" i="3" s="1"/>
  <c r="EF83" i="2"/>
  <c r="GQ51" i="3"/>
  <c r="CG169" i="3"/>
  <c r="CH169" i="3" s="1"/>
  <c r="CG170" i="3"/>
  <c r="CH170" i="3" s="1"/>
  <c r="CL163" i="3"/>
  <c r="CM163" i="3" s="1"/>
  <c r="CG153" i="3"/>
  <c r="CH153" i="3" s="1"/>
  <c r="CH92" i="3"/>
  <c r="DA377" i="3"/>
  <c r="DA378" i="3"/>
  <c r="CT377" i="3"/>
  <c r="CT378" i="3"/>
  <c r="DU240" i="3"/>
  <c r="DU242" i="3"/>
  <c r="DU239" i="3"/>
  <c r="GA21" i="2"/>
  <c r="GA20" i="2"/>
  <c r="AL224" i="2"/>
  <c r="AL223" i="2"/>
  <c r="FL227" i="2"/>
  <c r="GA227" i="2"/>
  <c r="CV247" i="2"/>
  <c r="DY173" i="3"/>
  <c r="DY175" i="3"/>
  <c r="DY70" i="3"/>
  <c r="DY25" i="3"/>
  <c r="DY69" i="3" s="1"/>
  <c r="DY32" i="3"/>
  <c r="EV173" i="3"/>
  <c r="EV175" i="3"/>
  <c r="EV70" i="3"/>
  <c r="EV25" i="3"/>
  <c r="EV32" i="3"/>
  <c r="DE175" i="3"/>
  <c r="DE173" i="3"/>
  <c r="DE32" i="3"/>
  <c r="DE25" i="3"/>
  <c r="DE69" i="3" s="1"/>
  <c r="AX54" i="2"/>
  <c r="AY55" i="2" s="1"/>
  <c r="GO169" i="3"/>
  <c r="GO170" i="3"/>
  <c r="GO153" i="3"/>
  <c r="CP170" i="3"/>
  <c r="CP169" i="3"/>
  <c r="CU163" i="3"/>
  <c r="CP153" i="3"/>
  <c r="FB170" i="3"/>
  <c r="FG163" i="3"/>
  <c r="FB169" i="3"/>
  <c r="FB153" i="3"/>
  <c r="FL169" i="3"/>
  <c r="CV170" i="3"/>
  <c r="CW170" i="3" s="1"/>
  <c r="CV169" i="3"/>
  <c r="CW169" i="3" s="1"/>
  <c r="DA163" i="3"/>
  <c r="DB163" i="3" s="1"/>
  <c r="CV153" i="3"/>
  <c r="CW153" i="3" s="1"/>
  <c r="CW92" i="3"/>
  <c r="BV170" i="3"/>
  <c r="CA163" i="3"/>
  <c r="BV169" i="3"/>
  <c r="BV153" i="3"/>
  <c r="EI157" i="3"/>
  <c r="CW196" i="3"/>
  <c r="EQ229" i="3"/>
  <c r="EQ228" i="3"/>
  <c r="GD40" i="2"/>
  <c r="GD34" i="2"/>
  <c r="GD35" i="2"/>
  <c r="AQ224" i="2"/>
  <c r="DW418" i="2"/>
  <c r="GC230" i="2"/>
  <c r="FQ235" i="2"/>
  <c r="FS230" i="2"/>
  <c r="FT230" i="2"/>
  <c r="FT235" i="2"/>
  <c r="FN235" i="2"/>
  <c r="GF243" i="2"/>
  <c r="FU348" i="2"/>
  <c r="FQ348" i="2"/>
  <c r="DS70" i="3"/>
  <c r="DS25" i="3"/>
  <c r="DS69" i="3" s="1"/>
  <c r="DS32" i="3"/>
  <c r="EA19" i="3"/>
  <c r="CJ170" i="3"/>
  <c r="AU170" i="3"/>
  <c r="AU169" i="3"/>
  <c r="AZ163" i="3"/>
  <c r="AU153" i="3"/>
  <c r="CK157" i="3"/>
  <c r="BH157" i="3"/>
  <c r="BI157" i="3" s="1"/>
  <c r="BD146" i="3"/>
  <c r="FO122" i="3"/>
  <c r="GG124" i="3"/>
  <c r="DC378" i="3"/>
  <c r="DC377" i="3"/>
  <c r="EH378" i="3"/>
  <c r="EH377" i="3"/>
  <c r="DF378" i="3"/>
  <c r="DF377" i="3"/>
  <c r="DQ236" i="3"/>
  <c r="DQ230" i="3"/>
  <c r="EE316" i="3"/>
  <c r="EE289" i="3"/>
  <c r="DO39" i="2"/>
  <c r="DO38" i="2"/>
  <c r="DM39" i="2"/>
  <c r="DM38" i="2"/>
  <c r="DQ39" i="2"/>
  <c r="CZ417" i="2"/>
  <c r="CZ418" i="2"/>
  <c r="DX224" i="2"/>
  <c r="DX223" i="2"/>
  <c r="AP224" i="2"/>
  <c r="CR297" i="2"/>
  <c r="DA418" i="2"/>
  <c r="DA417" i="2"/>
  <c r="GB235" i="2"/>
  <c r="CH253" i="2"/>
  <c r="CH251" i="2"/>
  <c r="CH252" i="2"/>
  <c r="CS432" i="2"/>
  <c r="CW434" i="2" s="1"/>
  <c r="CW48" i="2"/>
  <c r="CW29" i="2"/>
  <c r="CW31" i="2"/>
  <c r="CW28" i="2"/>
  <c r="CQ174" i="3"/>
  <c r="CQ24" i="3"/>
  <c r="CS175" i="3" s="1"/>
  <c r="CQ19" i="3"/>
  <c r="BA26" i="2"/>
  <c r="CR18" i="3"/>
  <c r="FD172" i="3"/>
  <c r="FD174" i="3"/>
  <c r="FD24" i="3"/>
  <c r="FF175" i="3" s="1"/>
  <c r="FD19" i="3"/>
  <c r="DA26" i="2"/>
  <c r="DE28" i="2" s="1"/>
  <c r="BF172" i="3"/>
  <c r="BF174" i="3"/>
  <c r="BF19" i="3"/>
  <c r="BF24" i="3"/>
  <c r="W26" i="2"/>
  <c r="HC113" i="3"/>
  <c r="GE243" i="2"/>
  <c r="GE239" i="2"/>
  <c r="DI453" i="2"/>
  <c r="DI454" i="2"/>
  <c r="DU70" i="3"/>
  <c r="DU32" i="3"/>
  <c r="DU25" i="3"/>
  <c r="DU69" i="3" s="1"/>
  <c r="GC173" i="3"/>
  <c r="GC70" i="3"/>
  <c r="GC32" i="3"/>
  <c r="GC25" i="3"/>
  <c r="CM31" i="2"/>
  <c r="CM48" i="2"/>
  <c r="CM29" i="2"/>
  <c r="CB174" i="3"/>
  <c r="CB24" i="3"/>
  <c r="CB19" i="3"/>
  <c r="AO26" i="2"/>
  <c r="BB170" i="3"/>
  <c r="BB169" i="3"/>
  <c r="BG163" i="3"/>
  <c r="BB153" i="3"/>
  <c r="CQ157" i="3"/>
  <c r="CR157" i="3" s="1"/>
  <c r="CM146" i="3"/>
  <c r="GS95" i="3"/>
  <c r="AR170" i="3"/>
  <c r="AR169" i="3"/>
  <c r="AW163" i="3"/>
  <c r="AR153" i="3"/>
  <c r="GR122" i="3"/>
  <c r="GS122" i="3" s="1"/>
  <c r="EG102" i="2"/>
  <c r="GG102" i="2" s="1"/>
  <c r="EC231" i="3"/>
  <c r="EC232" i="3"/>
  <c r="DD231" i="3"/>
  <c r="DK377" i="3"/>
  <c r="DK378" i="3"/>
  <c r="DO232" i="3"/>
  <c r="DO231" i="3"/>
  <c r="FL222" i="2"/>
  <c r="FM224" i="2" s="1"/>
  <c r="FL197" i="2"/>
  <c r="FL198" i="2"/>
  <c r="BV224" i="2"/>
  <c r="BV223" i="2"/>
  <c r="GD222" i="2"/>
  <c r="GD197" i="2"/>
  <c r="GD198" i="2"/>
  <c r="DY223" i="2"/>
  <c r="DY224" i="2"/>
  <c r="DB297" i="2"/>
  <c r="FP227" i="2"/>
  <c r="FR348" i="2"/>
  <c r="FY348" i="2"/>
  <c r="GG175" i="3"/>
  <c r="GG70" i="3"/>
  <c r="GG25" i="3"/>
  <c r="GG32" i="3"/>
  <c r="DP404" i="2"/>
  <c r="DP405" i="2"/>
  <c r="DQ402" i="2"/>
  <c r="GC402" i="2" s="1"/>
  <c r="DP399" i="2"/>
  <c r="BK28" i="2"/>
  <c r="BK48" i="2"/>
  <c r="BK27" i="2"/>
  <c r="BK29" i="2"/>
  <c r="BB29" i="2"/>
  <c r="BB48" i="2"/>
  <c r="BB28" i="2"/>
  <c r="DH172" i="3"/>
  <c r="DH174" i="3"/>
  <c r="DH24" i="3"/>
  <c r="DH19" i="3"/>
  <c r="DL18" i="3"/>
  <c r="BN26" i="2"/>
  <c r="CL12" i="2"/>
  <c r="CL11" i="2"/>
  <c r="FV10" i="2"/>
  <c r="CL13" i="2"/>
  <c r="CL97" i="2"/>
  <c r="CM97" i="2"/>
  <c r="CN97" i="2"/>
  <c r="CM11" i="2"/>
  <c r="CO97" i="2"/>
  <c r="CP12" i="2"/>
  <c r="O28" i="2"/>
  <c r="O48" i="2"/>
  <c r="O27" i="2"/>
  <c r="O29" i="2"/>
  <c r="CY173" i="3"/>
  <c r="CY70" i="3"/>
  <c r="CY32" i="3"/>
  <c r="CY25" i="3"/>
  <c r="CY69" i="3" s="1"/>
  <c r="GT40" i="3"/>
  <c r="GS40" i="3"/>
  <c r="CK170" i="3"/>
  <c r="CK169" i="3"/>
  <c r="CP163" i="3"/>
  <c r="CK153" i="3"/>
  <c r="DX170" i="3"/>
  <c r="EC163" i="3"/>
  <c r="DX169" i="3"/>
  <c r="DX153" i="3"/>
  <c r="EC170" i="3"/>
  <c r="EC169" i="3"/>
  <c r="DX163" i="3"/>
  <c r="AX170" i="3"/>
  <c r="AY170" i="3" s="1"/>
  <c r="AX169" i="3"/>
  <c r="AY169" i="3" s="1"/>
  <c r="BC163" i="3"/>
  <c r="BD163" i="3" s="1"/>
  <c r="AX153" i="3"/>
  <c r="AY153" i="3" s="1"/>
  <c r="AY92" i="3"/>
  <c r="CM108" i="3"/>
  <c r="EW87" i="2"/>
  <c r="GK86" i="2"/>
  <c r="EQ187" i="3"/>
  <c r="ER184" i="3"/>
  <c r="EQ186" i="3"/>
  <c r="DN231" i="3"/>
  <c r="DN232" i="3"/>
  <c r="DY231" i="3"/>
  <c r="DY232" i="3"/>
  <c r="BU13" i="2"/>
  <c r="BU11" i="2"/>
  <c r="BU12" i="2"/>
  <c r="BY12" i="2"/>
  <c r="BU97" i="2"/>
  <c r="BJ172" i="3"/>
  <c r="BJ24" i="3"/>
  <c r="BO173" i="3" s="1"/>
  <c r="BJ19" i="3"/>
  <c r="Z26" i="2"/>
  <c r="AA27" i="2" s="1"/>
  <c r="BO172" i="3"/>
  <c r="BH29" i="2"/>
  <c r="BH48" i="2"/>
  <c r="BH28" i="2"/>
  <c r="BH27" i="2"/>
  <c r="DL381" i="3"/>
  <c r="DL376" i="3"/>
  <c r="DL378" i="3" s="1"/>
  <c r="DH232" i="3"/>
  <c r="DH231" i="3"/>
  <c r="EO388" i="3"/>
  <c r="BW191" i="2"/>
  <c r="BW190" i="2"/>
  <c r="BW189" i="2"/>
  <c r="CA190" i="2"/>
  <c r="BW223" i="2"/>
  <c r="BW224" i="2"/>
  <c r="BX223" i="2"/>
  <c r="DT223" i="2"/>
  <c r="C48" i="2"/>
  <c r="C29" i="2"/>
  <c r="BQ97" i="2"/>
  <c r="BQ11" i="2"/>
  <c r="BQ12" i="2"/>
  <c r="BQ13" i="2"/>
  <c r="BE97" i="2"/>
  <c r="BE11" i="2"/>
  <c r="BE13" i="2"/>
  <c r="BE12" i="2"/>
  <c r="FM10" i="2"/>
  <c r="BI12" i="2"/>
  <c r="CX29" i="2"/>
  <c r="CX31" i="2"/>
  <c r="CX48" i="2"/>
  <c r="CX27" i="2"/>
  <c r="CX28" i="2"/>
  <c r="CK48" i="2"/>
  <c r="CK29" i="2"/>
  <c r="CK27" i="2"/>
  <c r="CO28" i="2"/>
  <c r="FD163" i="3"/>
  <c r="FE163" i="3" s="1"/>
  <c r="EY153" i="3"/>
  <c r="EZ153" i="3" s="1"/>
  <c r="EZ92" i="3"/>
  <c r="GE169" i="3"/>
  <c r="GE170" i="3"/>
  <c r="GE153" i="3"/>
  <c r="AP169" i="3"/>
  <c r="AP170" i="3"/>
  <c r="AU163" i="3"/>
  <c r="AP153" i="3"/>
  <c r="EB242" i="3"/>
  <c r="EK381" i="3"/>
  <c r="EK376" i="3"/>
  <c r="DB381" i="3"/>
  <c r="DB376" i="3"/>
  <c r="EJ390" i="3"/>
  <c r="EJ389" i="3"/>
  <c r="FS235" i="2"/>
  <c r="DX433" i="2"/>
  <c r="DX435" i="2"/>
  <c r="DX434" i="2"/>
  <c r="DO430" i="2"/>
  <c r="DO429" i="2"/>
  <c r="DK31" i="2"/>
  <c r="DK28" i="2"/>
  <c r="DK48" i="2"/>
  <c r="DK29" i="2"/>
  <c r="DG28" i="2"/>
  <c r="DG48" i="2"/>
  <c r="DG27" i="2"/>
  <c r="DG31" i="2"/>
  <c r="DG29" i="2"/>
  <c r="DH27" i="2"/>
  <c r="AL174" i="3"/>
  <c r="AL172" i="3"/>
  <c r="AL24" i="3"/>
  <c r="AQ173" i="3" s="1"/>
  <c r="AL19" i="3"/>
  <c r="G26" i="2"/>
  <c r="CY31" i="2"/>
  <c r="CY27" i="2"/>
  <c r="CY28" i="2"/>
  <c r="CY48" i="2"/>
  <c r="CY29" i="2"/>
  <c r="DC28" i="2"/>
  <c r="BY170" i="3"/>
  <c r="BY169" i="3"/>
  <c r="CD163" i="3"/>
  <c r="BY153" i="3"/>
  <c r="FX170" i="3"/>
  <c r="FY170" i="3" s="1"/>
  <c r="FP170" i="3"/>
  <c r="FP169" i="3"/>
  <c r="FP153" i="3"/>
  <c r="AL170" i="3"/>
  <c r="AL169" i="3"/>
  <c r="AQ163" i="3"/>
  <c r="AL153" i="3"/>
  <c r="AS169" i="3"/>
  <c r="AT169" i="3" s="1"/>
  <c r="AS170" i="3"/>
  <c r="AT170" i="3" s="1"/>
  <c r="AX163" i="3"/>
  <c r="AY163" i="3" s="1"/>
  <c r="AS153" i="3"/>
  <c r="AT153" i="3" s="1"/>
  <c r="AT92" i="3"/>
  <c r="DD377" i="3"/>
  <c r="DD378" i="3"/>
  <c r="DQ283" i="3"/>
  <c r="DV283" i="3"/>
  <c r="FC35" i="2"/>
  <c r="FC34" i="2"/>
  <c r="DW58" i="2"/>
  <c r="DW57" i="2"/>
  <c r="CU418" i="2"/>
  <c r="CU417" i="2"/>
  <c r="GC227" i="2"/>
  <c r="DX235" i="2"/>
  <c r="DX234" i="2"/>
  <c r="EB235" i="2"/>
  <c r="FU230" i="2"/>
  <c r="FU235" i="2"/>
  <c r="CG253" i="2"/>
  <c r="CG251" i="2"/>
  <c r="EG331" i="2"/>
  <c r="GG331" i="2" s="1"/>
  <c r="GG333" i="2" s="1"/>
  <c r="EF327" i="2"/>
  <c r="EF333" i="2"/>
  <c r="GB358" i="2"/>
  <c r="GB357" i="2"/>
  <c r="DO455" i="2"/>
  <c r="DN452" i="2"/>
  <c r="BM48" i="2"/>
  <c r="BM29" i="2"/>
  <c r="BM27" i="2"/>
  <c r="N57" i="2"/>
  <c r="EE441" i="2"/>
  <c r="EE442" i="2"/>
  <c r="BT172" i="3"/>
  <c r="BT24" i="3"/>
  <c r="BT19" i="3"/>
  <c r="AH26" i="2"/>
  <c r="BY172" i="3"/>
  <c r="GI174" i="3"/>
  <c r="GI172" i="3"/>
  <c r="GI19" i="3"/>
  <c r="EI174" i="3"/>
  <c r="AZ57" i="2"/>
  <c r="AZ55" i="2"/>
  <c r="AZ58" i="2"/>
  <c r="HI76" i="3"/>
  <c r="HJ76" i="3" s="1"/>
  <c r="HK76" i="3" s="1"/>
  <c r="HL76" i="3" s="1"/>
  <c r="HM76" i="3" s="1"/>
  <c r="HH76" i="3"/>
  <c r="EN170" i="3"/>
  <c r="GM169" i="3"/>
  <c r="GN169" i="3" s="1"/>
  <c r="GM170" i="3"/>
  <c r="GN170" i="3" s="1"/>
  <c r="GM153" i="3"/>
  <c r="GN153" i="3" s="1"/>
  <c r="GN92" i="3"/>
  <c r="CS157" i="3"/>
  <c r="AK169" i="3"/>
  <c r="AK170" i="3"/>
  <c r="AP163" i="3"/>
  <c r="AK153" i="3"/>
  <c r="HG115" i="3"/>
  <c r="ES86" i="2"/>
  <c r="CV378" i="3"/>
  <c r="CV377" i="3"/>
  <c r="EA236" i="3"/>
  <c r="EA230" i="3"/>
  <c r="EQ175" i="3"/>
  <c r="EQ70" i="3"/>
  <c r="EQ25" i="3"/>
  <c r="EQ32" i="3"/>
  <c r="FC163" i="3"/>
  <c r="EX153" i="3"/>
  <c r="BT169" i="3"/>
  <c r="BT170" i="3"/>
  <c r="BY163" i="3"/>
  <c r="BT153" i="3"/>
  <c r="CQ115" i="3"/>
  <c r="CR115" i="3" s="1"/>
  <c r="BA86" i="2"/>
  <c r="FL86" i="2" s="1"/>
  <c r="AY115" i="3"/>
  <c r="EC377" i="3"/>
  <c r="EC378" i="3"/>
  <c r="EN390" i="3"/>
  <c r="EN389" i="3"/>
  <c r="GA35" i="2"/>
  <c r="GA40" i="2"/>
  <c r="GA34" i="2"/>
  <c r="AL191" i="2"/>
  <c r="FI188" i="2"/>
  <c r="AL190" i="2"/>
  <c r="AL189" i="2"/>
  <c r="AP190" i="2"/>
  <c r="CH224" i="2"/>
  <c r="CH223" i="2"/>
  <c r="CK296" i="2"/>
  <c r="DA454" i="2"/>
  <c r="DA453" i="2"/>
  <c r="GE336" i="2"/>
  <c r="GC438" i="2"/>
  <c r="GC439" i="2"/>
  <c r="FR174" i="3"/>
  <c r="FR172" i="3"/>
  <c r="FR24" i="3"/>
  <c r="FS175" i="3" s="1"/>
  <c r="FR19" i="3"/>
  <c r="DL26" i="2"/>
  <c r="CQ169" i="3"/>
  <c r="CR169" i="3" s="1"/>
  <c r="FI157" i="3"/>
  <c r="FJ157" i="3" s="1"/>
  <c r="FE146" i="3"/>
  <c r="EB124" i="3"/>
  <c r="AT115" i="3"/>
  <c r="EN203" i="3"/>
  <c r="EN202" i="3"/>
  <c r="CY418" i="2"/>
  <c r="AS189" i="2"/>
  <c r="AS190" i="2"/>
  <c r="AS191" i="2"/>
  <c r="AW190" i="2"/>
  <c r="AS224" i="2"/>
  <c r="AS223" i="2"/>
  <c r="AT223" i="2"/>
  <c r="FJ230" i="2"/>
  <c r="CU454" i="2"/>
  <c r="CU453" i="2"/>
  <c r="AQ172" i="3"/>
  <c r="DQ433" i="2"/>
  <c r="DQ435" i="2"/>
  <c r="DQ434" i="2"/>
  <c r="EW172" i="3"/>
  <c r="FS174" i="3"/>
  <c r="M89" i="2"/>
  <c r="M87" i="2"/>
  <c r="N87" i="2"/>
  <c r="FB86" i="2"/>
  <c r="DP232" i="3"/>
  <c r="DM231" i="3"/>
  <c r="DM232" i="3"/>
  <c r="FR65" i="2"/>
  <c r="CB224" i="2"/>
  <c r="CB223" i="2"/>
  <c r="FY227" i="2"/>
  <c r="DH417" i="2"/>
  <c r="FQ230" i="2"/>
  <c r="BF189" i="2"/>
  <c r="FV358" i="2"/>
  <c r="FV357" i="2"/>
  <c r="GD348" i="2"/>
  <c r="DO448" i="2"/>
  <c r="DO362" i="2"/>
  <c r="DO360" i="2"/>
  <c r="DO351" i="2"/>
  <c r="FY452" i="2"/>
  <c r="CX453" i="2"/>
  <c r="CX454" i="2"/>
  <c r="CX432" i="2"/>
  <c r="DB434" i="2" s="1"/>
  <c r="ED48" i="2"/>
  <c r="ED29" i="2"/>
  <c r="ED28" i="2"/>
  <c r="ED31" i="2"/>
  <c r="FU35" i="3"/>
  <c r="FU33" i="3"/>
  <c r="FU42" i="3"/>
  <c r="FU45" i="3"/>
  <c r="AW172" i="3"/>
  <c r="CH114" i="3"/>
  <c r="BM109" i="3"/>
  <c r="BN109" i="3" s="1"/>
  <c r="FP34" i="2"/>
  <c r="DB284" i="2"/>
  <c r="CX284" i="2"/>
  <c r="CY282" i="2"/>
  <c r="CX279" i="2"/>
  <c r="AR191" i="2"/>
  <c r="AR189" i="2"/>
  <c r="AR190" i="2"/>
  <c r="FJ188" i="2"/>
  <c r="AV190" i="2"/>
  <c r="DL417" i="2"/>
  <c r="DL418" i="2"/>
  <c r="DP418" i="2"/>
  <c r="FJ227" i="2"/>
  <c r="FY230" i="2"/>
  <c r="FZ230" i="2"/>
  <c r="CY454" i="2"/>
  <c r="CY453" i="2"/>
  <c r="FS348" i="2"/>
  <c r="GB65" i="2"/>
  <c r="CO295" i="2"/>
  <c r="CO248" i="2"/>
  <c r="CO249" i="2"/>
  <c r="CO247" i="2"/>
  <c r="AR224" i="2"/>
  <c r="AR223" i="2"/>
  <c r="FJ222" i="2"/>
  <c r="FJ197" i="2"/>
  <c r="FJ198" i="2"/>
  <c r="AY190" i="2"/>
  <c r="AY191" i="2"/>
  <c r="AY189" i="2"/>
  <c r="BC190" i="2"/>
  <c r="AY224" i="2"/>
  <c r="AY223" i="2"/>
  <c r="AZ223" i="2"/>
  <c r="CI224" i="2"/>
  <c r="CI223" i="2"/>
  <c r="CJ223" i="2"/>
  <c r="DR235" i="2"/>
  <c r="DR234" i="2"/>
  <c r="GD233" i="2"/>
  <c r="GE235" i="2" s="1"/>
  <c r="DV235" i="2"/>
  <c r="DB435" i="2"/>
  <c r="DB433" i="2"/>
  <c r="FW70" i="3"/>
  <c r="FW32" i="3"/>
  <c r="FW25" i="3"/>
  <c r="J48" i="2"/>
  <c r="J29" i="2"/>
  <c r="N28" i="2"/>
  <c r="J28" i="2"/>
  <c r="BE172" i="3"/>
  <c r="BE174" i="3"/>
  <c r="BE24" i="3"/>
  <c r="BE19" i="3"/>
  <c r="V26" i="2"/>
  <c r="FD10" i="2"/>
  <c r="R13" i="2"/>
  <c r="R12" i="2"/>
  <c r="U97" i="2"/>
  <c r="S11" i="2"/>
  <c r="CQ25" i="2"/>
  <c r="CQ12" i="2"/>
  <c r="CQ13" i="2"/>
  <c r="CR11" i="2"/>
  <c r="CQ11" i="2"/>
  <c r="CU12" i="2"/>
  <c r="FW10" i="2"/>
  <c r="CR97" i="2"/>
  <c r="CS97" i="2"/>
  <c r="CT97" i="2"/>
  <c r="CQ97" i="2"/>
  <c r="AF24" i="3"/>
  <c r="AK173" i="3" s="1"/>
  <c r="AF19" i="3"/>
  <c r="B26" i="2"/>
  <c r="DR172" i="3"/>
  <c r="DR174" i="3"/>
  <c r="DR24" i="3"/>
  <c r="DS175" i="3" s="1"/>
  <c r="DR19" i="3"/>
  <c r="DV18" i="3"/>
  <c r="BV26" i="2"/>
  <c r="EA48" i="2"/>
  <c r="EA29" i="2"/>
  <c r="EA31" i="2"/>
  <c r="EA27" i="2"/>
  <c r="EA28" i="2"/>
  <c r="BF170" i="3"/>
  <c r="BF169" i="3"/>
  <c r="BK163" i="3"/>
  <c r="BF153" i="3"/>
  <c r="FV170" i="3"/>
  <c r="FV169" i="3"/>
  <c r="FV153" i="3"/>
  <c r="BG157" i="3"/>
  <c r="CF15" i="3"/>
  <c r="CF16" i="3"/>
  <c r="AR14" i="2"/>
  <c r="AN88" i="2"/>
  <c r="AN89" i="2"/>
  <c r="AN87" i="2"/>
  <c r="AR88" i="2"/>
  <c r="FI86" i="2"/>
  <c r="DM87" i="2"/>
  <c r="DM88" i="2"/>
  <c r="DQ88" i="2"/>
  <c r="DM89" i="2"/>
  <c r="DN87" i="2"/>
  <c r="GB86" i="2"/>
  <c r="DP126" i="3"/>
  <c r="DP130" i="3" s="1"/>
  <c r="DR124" i="3"/>
  <c r="EC313" i="3"/>
  <c r="EC314" i="3" s="1"/>
  <c r="EC242" i="3"/>
  <c r="EC239" i="3"/>
  <c r="EC240" i="3"/>
  <c r="ER385" i="3"/>
  <c r="ER284" i="3"/>
  <c r="ES278" i="3"/>
  <c r="ER280" i="3"/>
  <c r="CN38" i="2"/>
  <c r="FV37" i="2"/>
  <c r="FL188" i="2"/>
  <c r="AX191" i="2"/>
  <c r="AX190" i="2"/>
  <c r="AX189" i="2"/>
  <c r="BB190" i="2"/>
  <c r="FR188" i="2"/>
  <c r="BV191" i="2"/>
  <c r="BV190" i="2"/>
  <c r="BV189" i="2"/>
  <c r="BZ190" i="2"/>
  <c r="DR417" i="2"/>
  <c r="DR418" i="2"/>
  <c r="GD416" i="2"/>
  <c r="BI224" i="2"/>
  <c r="CN297" i="2"/>
  <c r="EQ155" i="2"/>
  <c r="DY418" i="2"/>
  <c r="DY417" i="2"/>
  <c r="FH235" i="2"/>
  <c r="FR230" i="2"/>
  <c r="FZ426" i="2"/>
  <c r="FZ427" i="2"/>
  <c r="DU424" i="2"/>
  <c r="DU268" i="2"/>
  <c r="DU267" i="2"/>
  <c r="DU269" i="2"/>
  <c r="DU149" i="2"/>
  <c r="GD266" i="2"/>
  <c r="EG287" i="2"/>
  <c r="EH285" i="2"/>
  <c r="AU106" i="3"/>
  <c r="AU47" i="3"/>
  <c r="AU43" i="3"/>
  <c r="DY28" i="2"/>
  <c r="DY48" i="2"/>
  <c r="DY31" i="2"/>
  <c r="DY27" i="2"/>
  <c r="DY29" i="2"/>
  <c r="AB13" i="2"/>
  <c r="AB11" i="2"/>
  <c r="CS173" i="3"/>
  <c r="CS70" i="3"/>
  <c r="CS32" i="3"/>
  <c r="CS25" i="3"/>
  <c r="CS69" i="3" s="1"/>
  <c r="AT13" i="2"/>
  <c r="AT12" i="2"/>
  <c r="AX12" i="2"/>
  <c r="GG169" i="3"/>
  <c r="DX173" i="3"/>
  <c r="DX175" i="3"/>
  <c r="DX70" i="3"/>
  <c r="DX25" i="3"/>
  <c r="DX69" i="3" s="1"/>
  <c r="DX32" i="3"/>
  <c r="BC122" i="3"/>
  <c r="BM157" i="3"/>
  <c r="BN157" i="3" s="1"/>
  <c r="BI146" i="3"/>
  <c r="CE16" i="3"/>
  <c r="CE15" i="3"/>
  <c r="CH14" i="3"/>
  <c r="CH15" i="3" s="1"/>
  <c r="AQ14" i="2"/>
  <c r="GI108" i="3"/>
  <c r="CO377" i="3"/>
  <c r="CO378" i="3"/>
  <c r="DJ244" i="3"/>
  <c r="DJ243" i="3"/>
  <c r="DY242" i="3"/>
  <c r="DY240" i="3"/>
  <c r="DY239" i="3"/>
  <c r="AE13" i="2"/>
  <c r="AE11" i="2"/>
  <c r="AE12" i="2"/>
  <c r="AI12" i="2"/>
  <c r="BA173" i="3"/>
  <c r="BA70" i="3"/>
  <c r="BA32" i="3"/>
  <c r="BA25" i="3"/>
  <c r="BA69" i="3" s="1"/>
  <c r="GJ170" i="3"/>
  <c r="GJ169" i="3"/>
  <c r="GJ153" i="3"/>
  <c r="GB157" i="3"/>
  <c r="CW119" i="3"/>
  <c r="CQ377" i="3"/>
  <c r="CQ378" i="3"/>
  <c r="DV236" i="3"/>
  <c r="DV230" i="3"/>
  <c r="EF381" i="3"/>
  <c r="EF376" i="3"/>
  <c r="CS377" i="3"/>
  <c r="CS378" i="3"/>
  <c r="ED377" i="3"/>
  <c r="ED378" i="3"/>
  <c r="DH239" i="3"/>
  <c r="DL238" i="3"/>
  <c r="DH242" i="3"/>
  <c r="CP401" i="3"/>
  <c r="CP400" i="3"/>
  <c r="FU227" i="2"/>
  <c r="DF224" i="2"/>
  <c r="DF223" i="2"/>
  <c r="CV435" i="2"/>
  <c r="CV433" i="2"/>
  <c r="CZ48" i="2"/>
  <c r="CZ31" i="2"/>
  <c r="CZ29" i="2"/>
  <c r="CZ27" i="2"/>
  <c r="CV172" i="3"/>
  <c r="CV174" i="3"/>
  <c r="CV24" i="3"/>
  <c r="CV19" i="3"/>
  <c r="BE26" i="2"/>
  <c r="DA172" i="3"/>
  <c r="FA175" i="3"/>
  <c r="FA173" i="3"/>
  <c r="FA70" i="3"/>
  <c r="FA32" i="3"/>
  <c r="FA25" i="3"/>
  <c r="ER146" i="3"/>
  <c r="EW157" i="3" s="1"/>
  <c r="ER147" i="3"/>
  <c r="ER148" i="3"/>
  <c r="ER92" i="3"/>
  <c r="BP89" i="2"/>
  <c r="BP87" i="2"/>
  <c r="BP88" i="2"/>
  <c r="FP86" i="2"/>
  <c r="BQ87" i="2"/>
  <c r="BT88" i="2"/>
  <c r="CZ378" i="3"/>
  <c r="CZ377" i="3"/>
  <c r="FN65" i="2"/>
  <c r="CW421" i="2"/>
  <c r="GE432" i="2"/>
  <c r="DP428" i="2"/>
  <c r="DQ431" i="2"/>
  <c r="EC175" i="3"/>
  <c r="BP97" i="2"/>
  <c r="BP11" i="2"/>
  <c r="BP12" i="2"/>
  <c r="BP13" i="2"/>
  <c r="FW157" i="3"/>
  <c r="FX169" i="3"/>
  <c r="FY169" i="3" s="1"/>
  <c r="CG16" i="3"/>
  <c r="CG15" i="3"/>
  <c r="AS14" i="2"/>
  <c r="EK146" i="3"/>
  <c r="EO157" i="3"/>
  <c r="EP157" i="3" s="1"/>
  <c r="DE89" i="2"/>
  <c r="DE87" i="2"/>
  <c r="DE88" i="2"/>
  <c r="DI88" i="2"/>
  <c r="DF87" i="2"/>
  <c r="FZ86" i="2"/>
  <c r="EO201" i="3"/>
  <c r="DU234" i="2"/>
  <c r="DU235" i="2"/>
  <c r="DV234" i="2"/>
  <c r="FX230" i="2"/>
  <c r="GD239" i="2"/>
  <c r="GD439" i="2"/>
  <c r="GD438" i="2"/>
  <c r="DJ453" i="2"/>
  <c r="GB452" i="2"/>
  <c r="DJ454" i="2"/>
  <c r="DJ432" i="2"/>
  <c r="DN434" i="2" s="1"/>
  <c r="DS377" i="2"/>
  <c r="DR379" i="2"/>
  <c r="GB348" i="2"/>
  <c r="DM454" i="2"/>
  <c r="DM453" i="2"/>
  <c r="EO175" i="3"/>
  <c r="GF35" i="3"/>
  <c r="GF33" i="3"/>
  <c r="GF42" i="3"/>
  <c r="GF45" i="3"/>
  <c r="BJ48" i="2"/>
  <c r="BJ29" i="2"/>
  <c r="FO26" i="2"/>
  <c r="DB48" i="2"/>
  <c r="DB29" i="2"/>
  <c r="DB28" i="2"/>
  <c r="FZ26" i="2"/>
  <c r="DB31" i="2"/>
  <c r="DC27" i="2"/>
  <c r="AK172" i="3"/>
  <c r="FK170" i="3"/>
  <c r="FK169" i="3"/>
  <c r="FK153" i="3"/>
  <c r="DD169" i="3"/>
  <c r="DD170" i="3"/>
  <c r="DI163" i="3"/>
  <c r="DD153" i="3"/>
  <c r="DI169" i="3"/>
  <c r="DI170" i="3"/>
  <c r="DD163" i="3"/>
  <c r="EN169" i="3"/>
  <c r="CZ170" i="3"/>
  <c r="GC170" i="3"/>
  <c r="GD170" i="3" s="1"/>
  <c r="GC169" i="3"/>
  <c r="GD169" i="3" s="1"/>
  <c r="GC153" i="3"/>
  <c r="GD153" i="3" s="1"/>
  <c r="GD92" i="3"/>
  <c r="BJ170" i="3"/>
  <c r="BO163" i="3"/>
  <c r="BJ169" i="3"/>
  <c r="BJ153" i="3"/>
  <c r="HH115" i="3"/>
  <c r="DQ186" i="3"/>
  <c r="DJ232" i="3"/>
  <c r="EA381" i="3"/>
  <c r="EA376" i="3"/>
  <c r="EA378" i="3" s="1"/>
  <c r="DX377" i="3"/>
  <c r="DX378" i="3"/>
  <c r="EK315" i="3"/>
  <c r="EK273" i="3"/>
  <c r="CR399" i="3"/>
  <c r="FZ173" i="3"/>
  <c r="FZ175" i="3"/>
  <c r="FZ70" i="3"/>
  <c r="FZ25" i="3"/>
  <c r="FZ32" i="3"/>
  <c r="BF157" i="3"/>
  <c r="FM170" i="3"/>
  <c r="FM169" i="3"/>
  <c r="FM153" i="3"/>
  <c r="GS54" i="3"/>
  <c r="EP146" i="3"/>
  <c r="BY157" i="3"/>
  <c r="AQ169" i="3"/>
  <c r="AQ170" i="3"/>
  <c r="AV163" i="3"/>
  <c r="AQ153" i="3"/>
  <c r="FV123" i="3"/>
  <c r="FY122" i="3"/>
  <c r="ES281" i="3"/>
  <c r="ER283" i="3"/>
  <c r="FI227" i="2"/>
  <c r="BJ191" i="2"/>
  <c r="BJ189" i="2"/>
  <c r="FO188" i="2"/>
  <c r="BJ190" i="2"/>
  <c r="BN190" i="2"/>
  <c r="FR227" i="2"/>
  <c r="DL433" i="2"/>
  <c r="DL434" i="2"/>
  <c r="DL435" i="2"/>
  <c r="DN435" i="2"/>
  <c r="GC432" i="2"/>
  <c r="DN433" i="2"/>
  <c r="DY172" i="3"/>
  <c r="D48" i="2"/>
  <c r="D29" i="2"/>
  <c r="D27" i="2"/>
  <c r="FG157" i="3"/>
  <c r="AS157" i="3"/>
  <c r="AT157" i="3" s="1"/>
  <c r="AN157" i="3"/>
  <c r="AO157" i="3" s="1"/>
  <c r="AO146" i="3"/>
  <c r="CQ170" i="3"/>
  <c r="CR170" i="3" s="1"/>
  <c r="AW169" i="3"/>
  <c r="AW170" i="3"/>
  <c r="BB163" i="3"/>
  <c r="AW153" i="3"/>
  <c r="AT114" i="3"/>
  <c r="DE102" i="2"/>
  <c r="FJ120" i="3"/>
  <c r="DN378" i="3"/>
  <c r="DN377" i="3"/>
  <c r="ER227" i="3"/>
  <c r="ER209" i="3"/>
  <c r="ES207" i="3"/>
  <c r="EU315" i="3"/>
  <c r="GQ14" i="3"/>
  <c r="EF16" i="2"/>
  <c r="EF15" i="2"/>
  <c r="EG14" i="2"/>
  <c r="GG14" i="2" s="1"/>
  <c r="GF65" i="2"/>
  <c r="DM224" i="2"/>
  <c r="DM223" i="2"/>
  <c r="FV235" i="2"/>
  <c r="FZ452" i="2"/>
  <c r="DB454" i="2"/>
  <c r="DB453" i="2"/>
  <c r="DE31" i="2"/>
  <c r="DE27" i="2"/>
  <c r="DE48" i="2"/>
  <c r="DE29" i="2"/>
  <c r="DI28" i="2"/>
  <c r="BS12" i="2"/>
  <c r="BW12" i="2"/>
  <c r="BS13" i="2"/>
  <c r="BS11" i="2"/>
  <c r="BS97" i="2"/>
  <c r="DW172" i="3"/>
  <c r="CG99" i="2"/>
  <c r="FT99" i="2" s="1"/>
  <c r="DT378" i="3"/>
  <c r="DT377" i="3"/>
  <c r="DZ232" i="3"/>
  <c r="DZ231" i="3"/>
  <c r="DM242" i="3"/>
  <c r="DM240" i="3"/>
  <c r="DQ238" i="3"/>
  <c r="DM239" i="3"/>
  <c r="EP268" i="3"/>
  <c r="EU268" i="3"/>
  <c r="DL283" i="3"/>
  <c r="DJ39" i="2"/>
  <c r="CZ224" i="2"/>
  <c r="CZ223" i="2"/>
  <c r="DD224" i="2"/>
  <c r="DX417" i="2"/>
  <c r="DX418" i="2"/>
  <c r="CR412" i="2"/>
  <c r="DK296" i="2"/>
  <c r="AG223" i="2"/>
  <c r="AH223" i="2"/>
  <c r="GA230" i="2"/>
  <c r="FW235" i="2"/>
  <c r="CT432" i="2"/>
  <c r="CU433" i="2" s="1"/>
  <c r="GF336" i="2"/>
  <c r="EO419" i="2"/>
  <c r="CV454" i="2"/>
  <c r="CV453" i="2"/>
  <c r="EY173" i="3"/>
  <c r="EY70" i="3"/>
  <c r="EY32" i="3"/>
  <c r="EY25" i="3"/>
  <c r="BC175" i="3"/>
  <c r="DY234" i="2"/>
  <c r="AJ114" i="3"/>
  <c r="DQ124" i="3"/>
  <c r="CQ109" i="3"/>
  <c r="CR109" i="3" s="1"/>
  <c r="CH262" i="2"/>
  <c r="AS108" i="3"/>
  <c r="GS120" i="3"/>
  <c r="BX115" i="3"/>
  <c r="DL295" i="2"/>
  <c r="DL247" i="2"/>
  <c r="DL248" i="2"/>
  <c r="DL249" i="2"/>
  <c r="BP191" i="2"/>
  <c r="BP190" i="2"/>
  <c r="BP189" i="2"/>
  <c r="BT190" i="2"/>
  <c r="FP188" i="2"/>
  <c r="FY40" i="2"/>
  <c r="FY34" i="2"/>
  <c r="FY35" i="2"/>
  <c r="CQ421" i="2"/>
  <c r="GB416" i="2"/>
  <c r="GA426" i="2"/>
  <c r="GA427" i="2"/>
  <c r="FL34" i="2"/>
  <c r="FL35" i="2"/>
  <c r="CN224" i="2"/>
  <c r="CN223" i="2"/>
  <c r="CY421" i="2"/>
  <c r="DS295" i="2"/>
  <c r="DS249" i="2"/>
  <c r="DS247" i="2"/>
  <c r="DS248" i="2"/>
  <c r="CS248" i="2"/>
  <c r="DS224" i="2"/>
  <c r="DS223" i="2"/>
  <c r="FQ227" i="2"/>
  <c r="DS373" i="2"/>
  <c r="DR375" i="2"/>
  <c r="GA348" i="2"/>
  <c r="FZ439" i="2"/>
  <c r="FZ438" i="2"/>
  <c r="DU174" i="3"/>
  <c r="EM173" i="3"/>
  <c r="EM70" i="3"/>
  <c r="EM32" i="3"/>
  <c r="EM25" i="3"/>
  <c r="CH48" i="2"/>
  <c r="CH29" i="2"/>
  <c r="CH28" i="2"/>
  <c r="CN48" i="2"/>
  <c r="CN31" i="2"/>
  <c r="CN27" i="2"/>
  <c r="CN29" i="2"/>
  <c r="CN28" i="2"/>
  <c r="CO27" i="2"/>
  <c r="DF48" i="2"/>
  <c r="DF29" i="2"/>
  <c r="DF27" i="2"/>
  <c r="GA26" i="2"/>
  <c r="DF31" i="2"/>
  <c r="DF28" i="2"/>
  <c r="AP29" i="2"/>
  <c r="AP28" i="2"/>
  <c r="AP48" i="2"/>
  <c r="AZ172" i="3"/>
  <c r="AZ24" i="3"/>
  <c r="BD18" i="3"/>
  <c r="AZ19" i="3"/>
  <c r="R26" i="2"/>
  <c r="S27" i="2" s="1"/>
  <c r="ER172" i="3"/>
  <c r="ER174" i="3"/>
  <c r="ER24" i="3"/>
  <c r="EW173" i="3" s="1"/>
  <c r="ER19" i="3"/>
  <c r="CQ26" i="2"/>
  <c r="CU28" i="2" s="1"/>
  <c r="CO35" i="3"/>
  <c r="CO51" i="3" s="1"/>
  <c r="CO33" i="3"/>
  <c r="CO45" i="3"/>
  <c r="CO42" i="3"/>
  <c r="GK175" i="3"/>
  <c r="GK173" i="3"/>
  <c r="GK70" i="3"/>
  <c r="GK32" i="3"/>
  <c r="GK25" i="3"/>
  <c r="EB29" i="2"/>
  <c r="EB31" i="2"/>
  <c r="EB48" i="2"/>
  <c r="EB28" i="2"/>
  <c r="EB27" i="2"/>
  <c r="EB170" i="3"/>
  <c r="EB169" i="3"/>
  <c r="EG163" i="3"/>
  <c r="EB153" i="3"/>
  <c r="GA170" i="3"/>
  <c r="BG170" i="3"/>
  <c r="BG169" i="3"/>
  <c r="BL163" i="3"/>
  <c r="BG153" i="3"/>
  <c r="CC115" i="3"/>
  <c r="AM124" i="3"/>
  <c r="DY377" i="3"/>
  <c r="DY378" i="3"/>
  <c r="DZ378" i="3"/>
  <c r="DZ377" i="3"/>
  <c r="DG238" i="3"/>
  <c r="DC242" i="3"/>
  <c r="DI377" i="3"/>
  <c r="DI378" i="3"/>
  <c r="EJ311" i="3"/>
  <c r="EJ214" i="3"/>
  <c r="EJ215" i="3"/>
  <c r="EK213" i="3"/>
  <c r="DJ378" i="3"/>
  <c r="DJ377" i="3"/>
  <c r="DE244" i="3"/>
  <c r="DE243" i="3"/>
  <c r="EA390" i="3"/>
  <c r="FE34" i="2"/>
  <c r="GR22" i="3"/>
  <c r="EH45" i="2"/>
  <c r="EG47" i="2"/>
  <c r="FV34" i="2"/>
  <c r="FV40" i="2"/>
  <c r="FV35" i="2"/>
  <c r="CZ39" i="2"/>
  <c r="CZ38" i="2"/>
  <c r="DD39" i="2"/>
  <c r="FY37" i="2"/>
  <c r="FR222" i="2"/>
  <c r="FR197" i="2"/>
  <c r="FR198" i="2"/>
  <c r="FX222" i="2"/>
  <c r="FX197" i="2"/>
  <c r="FX198" i="2"/>
  <c r="GA235" i="2"/>
  <c r="GJ153" i="2"/>
  <c r="FV230" i="2"/>
  <c r="BT224" i="2"/>
  <c r="DB422" i="2"/>
  <c r="DN297" i="2"/>
  <c r="DO235" i="2"/>
  <c r="DO234" i="2"/>
  <c r="DP234" i="2"/>
  <c r="DP224" i="2"/>
  <c r="GE230" i="2"/>
  <c r="GF230" i="2"/>
  <c r="GC233" i="2"/>
  <c r="DV312" i="2"/>
  <c r="DW310" i="2"/>
  <c r="DV266" i="2"/>
  <c r="DW433" i="2"/>
  <c r="DW435" i="2"/>
  <c r="DW434" i="2"/>
  <c r="ED135" i="2"/>
  <c r="ED134" i="2"/>
  <c r="ED136" i="2"/>
  <c r="ED438" i="2"/>
  <c r="ED437" i="2"/>
  <c r="ED432" i="2"/>
  <c r="DH454" i="2"/>
  <c r="DH453" i="2"/>
  <c r="ED168" i="3"/>
  <c r="ED35" i="3"/>
  <c r="ED33" i="3"/>
  <c r="ED42" i="3"/>
  <c r="ED45" i="3"/>
  <c r="DS406" i="2"/>
  <c r="DR408" i="2"/>
  <c r="DS48" i="2"/>
  <c r="DS31" i="2"/>
  <c r="DS27" i="2"/>
  <c r="DS29" i="2"/>
  <c r="DW28" i="2"/>
  <c r="DD175" i="3"/>
  <c r="DD173" i="3"/>
  <c r="DD70" i="3"/>
  <c r="DD32" i="3"/>
  <c r="DD25" i="3"/>
  <c r="DD69" i="3" s="1"/>
  <c r="BL174" i="3"/>
  <c r="BL19" i="3"/>
  <c r="BL24" i="3"/>
  <c r="AB26" i="2"/>
  <c r="CW174" i="3"/>
  <c r="CW172" i="3"/>
  <c r="CW19" i="3"/>
  <c r="L11" i="2"/>
  <c r="L13" i="2"/>
  <c r="CI172" i="3"/>
  <c r="CI24" i="3"/>
  <c r="CI19" i="3"/>
  <c r="AT26" i="2"/>
  <c r="CN172" i="3"/>
  <c r="EL172" i="3"/>
  <c r="EL174" i="3"/>
  <c r="EL24" i="3"/>
  <c r="EQ173" i="3" s="1"/>
  <c r="EP18" i="3"/>
  <c r="EL19" i="3"/>
  <c r="CL26" i="2"/>
  <c r="AV175" i="3"/>
  <c r="AV173" i="3"/>
  <c r="AV70" i="3"/>
  <c r="AV32" i="3"/>
  <c r="AV25" i="3"/>
  <c r="AV69" i="3" s="1"/>
  <c r="CD170" i="3"/>
  <c r="CD169" i="3"/>
  <c r="CI163" i="3"/>
  <c r="CD153" i="3"/>
  <c r="FV157" i="3"/>
  <c r="BI124" i="3"/>
  <c r="CP378" i="3"/>
  <c r="CP377" i="3"/>
  <c r="DQ196" i="3"/>
  <c r="DN242" i="3"/>
  <c r="DN239" i="3"/>
  <c r="DN240" i="3"/>
  <c r="EP308" i="3"/>
  <c r="EP199" i="3"/>
  <c r="EP194" i="3"/>
  <c r="EP196" i="3" s="1"/>
  <c r="DP174" i="3"/>
  <c r="DP172" i="3"/>
  <c r="DP24" i="3"/>
  <c r="DU173" i="3" s="1"/>
  <c r="DP19" i="3"/>
  <c r="BU26" i="2"/>
  <c r="BY28" i="2" s="1"/>
  <c r="AD29" i="2"/>
  <c r="AD48" i="2"/>
  <c r="CZ173" i="3"/>
  <c r="CZ175" i="3"/>
  <c r="CZ70" i="3"/>
  <c r="CZ25" i="3"/>
  <c r="CZ69" i="3" s="1"/>
  <c r="CZ32" i="3"/>
  <c r="FQ157" i="3"/>
  <c r="BW169" i="3"/>
  <c r="BX169" i="3" s="1"/>
  <c r="BW170" i="3"/>
  <c r="BX170" i="3" s="1"/>
  <c r="CB163" i="3"/>
  <c r="CC163" i="3" s="1"/>
  <c r="BW153" i="3"/>
  <c r="BX153" i="3" s="1"/>
  <c r="BX92" i="3"/>
  <c r="DR231" i="3"/>
  <c r="DR232" i="3"/>
  <c r="EB377" i="3"/>
  <c r="EB378" i="3"/>
  <c r="DL230" i="3"/>
  <c r="DL236" i="3"/>
  <c r="DX232" i="3"/>
  <c r="DX231" i="3"/>
  <c r="FA34" i="2"/>
  <c r="FA35" i="2"/>
  <c r="CT39" i="2"/>
  <c r="CT38" i="2"/>
  <c r="FX37" i="2"/>
  <c r="CX39" i="2"/>
  <c r="AF191" i="2"/>
  <c r="AF189" i="2"/>
  <c r="FG188" i="2"/>
  <c r="AJ190" i="2"/>
  <c r="FM227" i="2"/>
  <c r="DO297" i="2"/>
  <c r="FM230" i="2"/>
  <c r="FN230" i="2"/>
  <c r="GB438" i="2"/>
  <c r="GB439" i="2"/>
  <c r="AN48" i="2"/>
  <c r="AN29" i="2"/>
  <c r="AG25" i="3"/>
  <c r="AG32" i="3"/>
  <c r="CD48" i="2"/>
  <c r="CD29" i="2"/>
  <c r="CD27" i="2"/>
  <c r="CD28" i="2"/>
  <c r="CE27" i="2"/>
  <c r="DZ48" i="2"/>
  <c r="DZ29" i="2"/>
  <c r="DZ28" i="2"/>
  <c r="DZ31" i="2"/>
  <c r="DZ27" i="2"/>
  <c r="BF97" i="2"/>
  <c r="BF13" i="2"/>
  <c r="FN10" i="2"/>
  <c r="BF12" i="2"/>
  <c r="BG11" i="2"/>
  <c r="BF11" i="2"/>
  <c r="BH97" i="2"/>
  <c r="BI97" i="2"/>
  <c r="BJ12" i="2"/>
  <c r="BG97" i="2"/>
  <c r="DK174" i="3"/>
  <c r="DK172" i="3"/>
  <c r="DK19" i="3"/>
  <c r="DK24" i="3"/>
  <c r="BQ26" i="2"/>
  <c r="FE19" i="3"/>
  <c r="EJ173" i="3"/>
  <c r="EJ175" i="3"/>
  <c r="EJ70" i="3"/>
  <c r="EJ25" i="3"/>
  <c r="EJ32" i="3"/>
  <c r="CQ99" i="2"/>
  <c r="GJ157" i="3"/>
  <c r="AM169" i="3"/>
  <c r="AM170" i="3"/>
  <c r="AR163" i="3"/>
  <c r="AM153" i="3"/>
  <c r="AM163" i="3"/>
  <c r="ED231" i="3"/>
  <c r="ED232" i="3"/>
  <c r="FM235" i="2"/>
  <c r="FY235" i="2"/>
  <c r="DM435" i="2"/>
  <c r="DM433" i="2"/>
  <c r="DM434" i="2"/>
  <c r="FX358" i="2"/>
  <c r="FX357" i="2"/>
  <c r="EJ427" i="2"/>
  <c r="FQ173" i="3"/>
  <c r="FQ175" i="3"/>
  <c r="FQ70" i="3"/>
  <c r="FQ32" i="3"/>
  <c r="FQ25" i="3"/>
  <c r="FL175" i="3"/>
  <c r="FL173" i="3"/>
  <c r="FL70" i="3"/>
  <c r="FL32" i="3"/>
  <c r="FN167" i="3" s="1"/>
  <c r="FO167" i="3" s="1"/>
  <c r="FL25" i="3"/>
  <c r="FB173" i="3"/>
  <c r="FB175" i="3"/>
  <c r="FB70" i="3"/>
  <c r="FB25" i="3"/>
  <c r="FB32" i="3"/>
  <c r="FX157" i="3"/>
  <c r="FY157" i="3" s="1"/>
  <c r="FT146" i="3"/>
  <c r="FG170" i="3"/>
  <c r="FG169" i="3"/>
  <c r="FL163" i="3"/>
  <c r="FG153" i="3"/>
  <c r="EK307" i="3"/>
  <c r="EK310" i="3" s="1"/>
  <c r="EK184" i="3"/>
  <c r="EK186" i="3" s="1"/>
  <c r="EK189" i="3"/>
  <c r="DS377" i="3"/>
  <c r="DS378" i="3"/>
  <c r="DE378" i="3"/>
  <c r="DE377" i="3"/>
  <c r="EA39" i="2"/>
  <c r="EA38" i="2"/>
  <c r="GQ20" i="3"/>
  <c r="EG41" i="2"/>
  <c r="EF32" i="2"/>
  <c r="EF43" i="2"/>
  <c r="CY224" i="2"/>
  <c r="EM155" i="2"/>
  <c r="AZ189" i="2"/>
  <c r="CU435" i="2"/>
  <c r="DY435" i="2"/>
  <c r="DY434" i="2"/>
  <c r="DY433" i="2"/>
  <c r="GD381" i="2"/>
  <c r="GA358" i="2"/>
  <c r="GA357" i="2"/>
  <c r="GF348" i="2"/>
  <c r="DO434" i="2"/>
  <c r="DF175" i="3"/>
  <c r="DF25" i="3"/>
  <c r="DF69" i="3" s="1"/>
  <c r="DF32" i="3"/>
  <c r="FM45" i="3"/>
  <c r="FM35" i="3"/>
  <c r="FM33" i="3"/>
  <c r="FM42" i="3"/>
  <c r="CI97" i="2"/>
  <c r="CI11" i="2"/>
  <c r="CI13" i="2"/>
  <c r="CI12" i="2"/>
  <c r="CJ11" i="2"/>
  <c r="FU10" i="2"/>
  <c r="CM12" i="2"/>
  <c r="CJ97" i="2"/>
  <c r="CK97" i="2"/>
  <c r="DT97" i="2"/>
  <c r="DT13" i="2"/>
  <c r="DT18" i="2"/>
  <c r="DT12" i="2"/>
  <c r="DU11" i="2"/>
  <c r="DT11" i="2"/>
  <c r="DX12" i="2"/>
  <c r="GD10" i="2"/>
  <c r="DV97" i="2"/>
  <c r="DW97" i="2"/>
  <c r="DU97" i="2"/>
  <c r="BT13" i="2"/>
  <c r="BT11" i="2"/>
  <c r="BT12" i="2"/>
  <c r="BT97" i="2"/>
  <c r="BO13" i="2"/>
  <c r="BO11" i="2"/>
  <c r="BO12" i="2"/>
  <c r="BO97" i="2"/>
  <c r="EI74" i="3"/>
  <c r="EX74" i="3" s="1"/>
  <c r="BE157" i="3"/>
  <c r="CS170" i="3"/>
  <c r="CS169" i="3"/>
  <c r="CX163" i="3"/>
  <c r="CS153" i="3"/>
  <c r="BW157" i="3"/>
  <c r="BX157" i="3" s="1"/>
  <c r="BS146" i="3"/>
  <c r="GH169" i="3"/>
  <c r="GI169" i="3" s="1"/>
  <c r="GH170" i="3"/>
  <c r="GI170" i="3" s="1"/>
  <c r="GH153" i="3"/>
  <c r="GI153" i="3" s="1"/>
  <c r="GI92" i="3"/>
  <c r="EH170" i="3"/>
  <c r="EH169" i="3"/>
  <c r="EM163" i="3"/>
  <c r="EH153" i="3"/>
  <c r="EH163" i="3"/>
  <c r="AK157" i="3"/>
  <c r="AP157" i="3"/>
  <c r="DI232" i="3"/>
  <c r="DI231" i="3"/>
  <c r="DJ231" i="3"/>
  <c r="DU377" i="3"/>
  <c r="DU378" i="3"/>
  <c r="DW378" i="3"/>
  <c r="DW377" i="3"/>
  <c r="DF244" i="3"/>
  <c r="DF243" i="3"/>
  <c r="CK174" i="3"/>
  <c r="EQ172" i="3"/>
  <c r="CT169" i="3"/>
  <c r="GR58" i="3"/>
  <c r="CL157" i="3"/>
  <c r="CM157" i="3" s="1"/>
  <c r="CH146" i="3"/>
  <c r="BM89" i="2"/>
  <c r="BN87" i="2"/>
  <c r="BM87" i="2"/>
  <c r="BQ88" i="2"/>
  <c r="FO86" i="2"/>
  <c r="DG186" i="3"/>
  <c r="DD244" i="3"/>
  <c r="DU232" i="3"/>
  <c r="DU231" i="3"/>
  <c r="EC316" i="3"/>
  <c r="EC289" i="3"/>
  <c r="EP309" i="3"/>
  <c r="EP281" i="3"/>
  <c r="EP283" i="3" s="1"/>
  <c r="EP286" i="3"/>
  <c r="FF34" i="2"/>
  <c r="FF35" i="2"/>
  <c r="FI222" i="2"/>
  <c r="FI198" i="2"/>
  <c r="FI197" i="2"/>
  <c r="DG223" i="2"/>
  <c r="DG224" i="2"/>
  <c r="EH228" i="2"/>
  <c r="EG230" i="2"/>
  <c r="DS369" i="2"/>
  <c r="DR371" i="2"/>
  <c r="CT48" i="2"/>
  <c r="CT29" i="2"/>
  <c r="CT28" i="2"/>
  <c r="CT27" i="2"/>
  <c r="CT31" i="2"/>
  <c r="CC28" i="2"/>
  <c r="CC48" i="2"/>
  <c r="CC29" i="2"/>
  <c r="CC27" i="2"/>
  <c r="CU157" i="3"/>
  <c r="AJ87" i="3"/>
  <c r="AI92" i="3"/>
  <c r="AN170" i="3" s="1"/>
  <c r="AO170" i="3" s="1"/>
  <c r="DA157" i="3"/>
  <c r="DB157" i="3" s="1"/>
  <c r="CW146" i="3"/>
  <c r="DF70" i="3"/>
  <c r="CA157" i="3"/>
  <c r="FE122" i="3"/>
  <c r="EN380" i="3"/>
  <c r="EN381" i="3"/>
  <c r="EN376" i="3"/>
  <c r="CO38" i="2"/>
  <c r="CS39" i="2"/>
  <c r="DG39" i="2"/>
  <c r="DG38" i="2"/>
  <c r="DK39" i="2"/>
  <c r="DY39" i="2"/>
  <c r="DY38" i="2"/>
  <c r="EC39" i="2"/>
  <c r="CY412" i="2"/>
  <c r="DM295" i="2"/>
  <c r="DM247" i="2"/>
  <c r="DM248" i="2"/>
  <c r="DM249" i="2"/>
  <c r="CV223" i="2"/>
  <c r="FP235" i="2"/>
  <c r="FT250" i="2"/>
  <c r="CY432" i="2"/>
  <c r="CZ433" i="2" s="1"/>
  <c r="DK454" i="2"/>
  <c r="DK453" i="2"/>
  <c r="GC336" i="2"/>
  <c r="CS31" i="2"/>
  <c r="CS27" i="2"/>
  <c r="CS28" i="2"/>
  <c r="CS48" i="2"/>
  <c r="CS29" i="2"/>
  <c r="CU48" i="2"/>
  <c r="CU27" i="2"/>
  <c r="CU31" i="2"/>
  <c r="CU29" i="2"/>
  <c r="DN172" i="3"/>
  <c r="DN174" i="3"/>
  <c r="DN24" i="3"/>
  <c r="DS173" i="3" s="1"/>
  <c r="DN19" i="3"/>
  <c r="BS26" i="2"/>
  <c r="BW28" i="2" s="1"/>
  <c r="CN169" i="3"/>
  <c r="EE146" i="3"/>
  <c r="EE148" i="3"/>
  <c r="EF148" i="3" s="1"/>
  <c r="EE147" i="3"/>
  <c r="EF147" i="3" s="1"/>
  <c r="EE92" i="3"/>
  <c r="EE163" i="3" s="1"/>
  <c r="EF163" i="3" s="1"/>
  <c r="EF87" i="3"/>
  <c r="AZ157" i="3"/>
  <c r="BC170" i="3"/>
  <c r="BD170" i="3" s="1"/>
  <c r="BC169" i="3"/>
  <c r="BD169" i="3" s="1"/>
  <c r="BH163" i="3"/>
  <c r="BI163" i="3" s="1"/>
  <c r="BC153" i="3"/>
  <c r="BD153" i="3" s="1"/>
  <c r="BD92" i="3"/>
  <c r="CG157" i="3"/>
  <c r="CH157" i="3" s="1"/>
  <c r="CC146" i="3"/>
  <c r="CH122" i="3"/>
  <c r="DZ242" i="3"/>
  <c r="DZ240" i="3"/>
  <c r="DZ239" i="3"/>
  <c r="EF390" i="3"/>
  <c r="EL315" i="3"/>
  <c r="EL273" i="3"/>
  <c r="EL288" i="3"/>
  <c r="EP271" i="3"/>
  <c r="EL272" i="3"/>
  <c r="EM272" i="3"/>
  <c r="GB37" i="2"/>
  <c r="FR35" i="2"/>
  <c r="FT65" i="2"/>
  <c r="DP248" i="2"/>
  <c r="BD224" i="2"/>
  <c r="BD223" i="2"/>
  <c r="BQ191" i="2"/>
  <c r="BQ190" i="2"/>
  <c r="BQ189" i="2"/>
  <c r="BU190" i="2"/>
  <c r="BQ224" i="2"/>
  <c r="BQ223" i="2"/>
  <c r="BR223" i="2"/>
  <c r="FZ235" i="2"/>
  <c r="GD230" i="2"/>
  <c r="CX421" i="2"/>
  <c r="FK235" i="2"/>
  <c r="FZ312" i="2"/>
  <c r="CI303" i="2"/>
  <c r="CJ301" i="2"/>
  <c r="CI254" i="2"/>
  <c r="CH300" i="2"/>
  <c r="CH299" i="2"/>
  <c r="DE432" i="2"/>
  <c r="DC432" i="2"/>
  <c r="BA13" i="2"/>
  <c r="BB11" i="2"/>
  <c r="BA11" i="2"/>
  <c r="BD97" i="2"/>
  <c r="BB97" i="2"/>
  <c r="BC97" i="2"/>
  <c r="FL10" i="2"/>
  <c r="BA97" i="2"/>
  <c r="DY235" i="2"/>
  <c r="FM34" i="2"/>
  <c r="CI296" i="2"/>
  <c r="BX108" i="3"/>
  <c r="CM124" i="3"/>
  <c r="GE438" i="2"/>
  <c r="DC296" i="2" l="1"/>
  <c r="CX413" i="2"/>
  <c r="DB414" i="2"/>
  <c r="DP296" i="2"/>
  <c r="CF263" i="2"/>
  <c r="CE307" i="2"/>
  <c r="CF308" i="2" s="1"/>
  <c r="CS412" i="2"/>
  <c r="EF205" i="2"/>
  <c r="DQ356" i="2"/>
  <c r="CW422" i="2"/>
  <c r="DQ357" i="2"/>
  <c r="CE263" i="2"/>
  <c r="DD296" i="2"/>
  <c r="CY297" i="2"/>
  <c r="ED223" i="2"/>
  <c r="EF273" i="2"/>
  <c r="CQ296" i="2"/>
  <c r="DI57" i="2"/>
  <c r="FT26" i="2"/>
  <c r="AO97" i="2"/>
  <c r="DC422" i="2"/>
  <c r="DZ417" i="2"/>
  <c r="DC421" i="2"/>
  <c r="T15" i="2"/>
  <c r="CG296" i="2"/>
  <c r="GB39" i="2"/>
  <c r="DI296" i="2"/>
  <c r="CF296" i="2"/>
  <c r="GB312" i="2"/>
  <c r="DJ296" i="2"/>
  <c r="DP351" i="2"/>
  <c r="DP354" i="2" s="1"/>
  <c r="GE224" i="2"/>
  <c r="FI10" i="2"/>
  <c r="AM12" i="2"/>
  <c r="FN190" i="2"/>
  <c r="FW420" i="2"/>
  <c r="DC415" i="2"/>
  <c r="DC414" i="2"/>
  <c r="DC457" i="2"/>
  <c r="DC460" i="2" s="1"/>
  <c r="CR421" i="2"/>
  <c r="EF109" i="2"/>
  <c r="EF111" i="2" s="1"/>
  <c r="GF224" i="2"/>
  <c r="EF201" i="2"/>
  <c r="DQ296" i="2"/>
  <c r="I87" i="2"/>
  <c r="CG263" i="2"/>
  <c r="FT224" i="2"/>
  <c r="M88" i="2"/>
  <c r="CL297" i="2"/>
  <c r="CH296" i="2"/>
  <c r="CE296" i="2"/>
  <c r="CI297" i="2"/>
  <c r="DP297" i="2"/>
  <c r="FA86" i="2"/>
  <c r="FB88" i="2" s="1"/>
  <c r="FD14" i="2"/>
  <c r="FD17" i="2" s="1"/>
  <c r="EG199" i="2"/>
  <c r="GG199" i="2" s="1"/>
  <c r="GG225" i="2" s="1"/>
  <c r="GG272" i="2"/>
  <c r="GG274" i="2" s="1"/>
  <c r="FH190" i="2"/>
  <c r="EH212" i="2"/>
  <c r="EI212" i="2" s="1"/>
  <c r="DP362" i="2"/>
  <c r="GD39" i="2"/>
  <c r="DQ384" i="2"/>
  <c r="EF195" i="2"/>
  <c r="EF197" i="2" s="1"/>
  <c r="EF113" i="2"/>
  <c r="EF115" i="2" s="1"/>
  <c r="EG209" i="2"/>
  <c r="EG215" i="2" s="1"/>
  <c r="FS224" i="2"/>
  <c r="DI58" i="2"/>
  <c r="FK224" i="2"/>
  <c r="DP360" i="2"/>
  <c r="EF292" i="2"/>
  <c r="EF278" i="2"/>
  <c r="EF210" i="2"/>
  <c r="CG307" i="2"/>
  <c r="CG308" i="2" s="1"/>
  <c r="EF211" i="2"/>
  <c r="DO387" i="2"/>
  <c r="DO388" i="2" s="1"/>
  <c r="EF215" i="2"/>
  <c r="GC249" i="2"/>
  <c r="FY418" i="2"/>
  <c r="CK297" i="2"/>
  <c r="EI157" i="2"/>
  <c r="EJ157" i="2" s="1"/>
  <c r="FU26" i="2"/>
  <c r="FU28" i="2" s="1"/>
  <c r="DP394" i="2"/>
  <c r="DP396" i="2" s="1"/>
  <c r="CM296" i="2"/>
  <c r="FZ249" i="2"/>
  <c r="FW249" i="2"/>
  <c r="FW248" i="2"/>
  <c r="GC248" i="2"/>
  <c r="CN296" i="2"/>
  <c r="FZ418" i="2"/>
  <c r="CQ297" i="2"/>
  <c r="GD119" i="2"/>
  <c r="GC297" i="2"/>
  <c r="CP296" i="2"/>
  <c r="GD26" i="2"/>
  <c r="GD31" i="2" s="1"/>
  <c r="GA39" i="2"/>
  <c r="FY420" i="2"/>
  <c r="CH27" i="2"/>
  <c r="GC119" i="2"/>
  <c r="EF274" i="2"/>
  <c r="GB249" i="2"/>
  <c r="DK297" i="2"/>
  <c r="CG28" i="2"/>
  <c r="CP297" i="2"/>
  <c r="H11" i="2"/>
  <c r="FQ34" i="2"/>
  <c r="DS365" i="2"/>
  <c r="DS367" i="2" s="1"/>
  <c r="CW296" i="2"/>
  <c r="FZ248" i="2"/>
  <c r="S15" i="2"/>
  <c r="DQ409" i="2"/>
  <c r="DR367" i="2"/>
  <c r="EC27" i="2"/>
  <c r="CW297" i="2"/>
  <c r="GC358" i="2"/>
  <c r="FR34" i="2"/>
  <c r="FX26" i="2"/>
  <c r="FX29" i="2" s="1"/>
  <c r="DR356" i="2"/>
  <c r="FT262" i="2"/>
  <c r="FT307" i="2" s="1"/>
  <c r="FK190" i="2"/>
  <c r="BC27" i="2"/>
  <c r="CT412" i="2"/>
  <c r="CT457" i="2" s="1"/>
  <c r="GF119" i="2"/>
  <c r="GE419" i="2"/>
  <c r="DQ368" i="2"/>
  <c r="DQ358" i="2"/>
  <c r="CD265" i="2"/>
  <c r="DB421" i="2"/>
  <c r="GC418" i="2"/>
  <c r="GC383" i="2"/>
  <c r="GC385" i="2" s="1"/>
  <c r="EA417" i="2"/>
  <c r="DQ359" i="2"/>
  <c r="DQ448" i="2" s="1"/>
  <c r="GC448" i="2" s="1"/>
  <c r="GD357" i="2"/>
  <c r="CD307" i="2"/>
  <c r="DQ372" i="2"/>
  <c r="CV296" i="2"/>
  <c r="FM26" i="2"/>
  <c r="FM29" i="2" s="1"/>
  <c r="DU357" i="2"/>
  <c r="AD28" i="2"/>
  <c r="GE119" i="2"/>
  <c r="N16" i="2"/>
  <c r="DQ380" i="2"/>
  <c r="DQ376" i="2"/>
  <c r="FA10" i="2"/>
  <c r="FA13" i="2" s="1"/>
  <c r="CU412" i="2"/>
  <c r="CU414" i="2" s="1"/>
  <c r="BI27" i="2"/>
  <c r="DR372" i="2"/>
  <c r="BM28" i="2"/>
  <c r="FU248" i="2"/>
  <c r="CC19" i="3"/>
  <c r="CC174" i="3"/>
  <c r="FE172" i="3"/>
  <c r="FW175" i="3"/>
  <c r="DV232" i="3"/>
  <c r="DB378" i="3"/>
  <c r="DC175" i="3"/>
  <c r="DX28" i="2"/>
  <c r="DL232" i="3"/>
  <c r="FE24" i="3"/>
  <c r="FT249" i="2"/>
  <c r="CW378" i="3"/>
  <c r="AM174" i="3"/>
  <c r="BZ19" i="3"/>
  <c r="AM26" i="2"/>
  <c r="FI26" i="2" s="1"/>
  <c r="CA174" i="3"/>
  <c r="BZ24" i="3"/>
  <c r="BZ174" i="3"/>
  <c r="GH88" i="2"/>
  <c r="AM11" i="2"/>
  <c r="AN11" i="2"/>
  <c r="AM13" i="2"/>
  <c r="FM20" i="2"/>
  <c r="FL21" i="2"/>
  <c r="FL20" i="2"/>
  <c r="EQ153" i="3"/>
  <c r="EV163" i="3"/>
  <c r="EV169" i="3"/>
  <c r="EV170" i="3"/>
  <c r="EQ157" i="3"/>
  <c r="FM168" i="3"/>
  <c r="I88" i="2"/>
  <c r="DQ240" i="3"/>
  <c r="EI175" i="3"/>
  <c r="I97" i="2"/>
  <c r="BI87" i="2"/>
  <c r="FN86" i="2"/>
  <c r="FN89" i="2" s="1"/>
  <c r="BI88" i="2"/>
  <c r="BJ87" i="2"/>
  <c r="BI89" i="2"/>
  <c r="GF26" i="2"/>
  <c r="GF29" i="2" s="1"/>
  <c r="EC28" i="2"/>
  <c r="BB155" i="3"/>
  <c r="AZ156" i="3"/>
  <c r="AX18" i="3"/>
  <c r="BB156" i="3"/>
  <c r="AX17" i="3"/>
  <c r="AX85" i="3"/>
  <c r="BA155" i="3"/>
  <c r="AY16" i="3"/>
  <c r="AY17" i="3" s="1"/>
  <c r="Q10" i="2"/>
  <c r="BA156" i="3"/>
  <c r="AZ155" i="3"/>
  <c r="L97" i="2"/>
  <c r="J97" i="2"/>
  <c r="AX156" i="3"/>
  <c r="AY156" i="3" s="1"/>
  <c r="J17" i="2"/>
  <c r="DA175" i="3"/>
  <c r="DA70" i="3"/>
  <c r="DA25" i="3"/>
  <c r="DA69" i="3" s="1"/>
  <c r="DA32" i="3"/>
  <c r="AP156" i="3"/>
  <c r="GG173" i="3"/>
  <c r="AX155" i="3"/>
  <c r="AY155" i="3" s="1"/>
  <c r="FB14" i="2"/>
  <c r="FB17" i="2" s="1"/>
  <c r="BI29" i="2"/>
  <c r="BI48" i="2"/>
  <c r="BM50" i="2" s="1"/>
  <c r="EC317" i="3"/>
  <c r="GT58" i="3"/>
  <c r="GC175" i="3"/>
  <c r="ED102" i="3"/>
  <c r="CF101" i="2" s="1"/>
  <c r="CH297" i="2"/>
  <c r="BU172" i="3"/>
  <c r="BU19" i="3"/>
  <c r="BZ172" i="3"/>
  <c r="BU24" i="3"/>
  <c r="BU173" i="3" s="1"/>
  <c r="BU174" i="3"/>
  <c r="AI26" i="2"/>
  <c r="AJ27" i="2" s="1"/>
  <c r="DE167" i="3"/>
  <c r="EY175" i="3"/>
  <c r="DB27" i="2"/>
  <c r="L15" i="2"/>
  <c r="K15" i="2"/>
  <c r="K16" i="2"/>
  <c r="K17" i="2"/>
  <c r="AK10" i="2"/>
  <c r="CA155" i="3"/>
  <c r="BW85" i="3"/>
  <c r="BW17" i="3"/>
  <c r="BW18" i="3"/>
  <c r="BZ156" i="3"/>
  <c r="BW156" i="3"/>
  <c r="BX156" i="3" s="1"/>
  <c r="CA156" i="3"/>
  <c r="BY156" i="3"/>
  <c r="BZ155" i="3"/>
  <c r="BY155" i="3"/>
  <c r="BW155" i="3"/>
  <c r="BX155" i="3" s="1"/>
  <c r="BX16" i="3"/>
  <c r="BX17" i="3" s="1"/>
  <c r="J11" i="2"/>
  <c r="I11" i="2"/>
  <c r="K97" i="2"/>
  <c r="I13" i="2"/>
  <c r="AJ15" i="3"/>
  <c r="F14" i="2"/>
  <c r="H12" i="2"/>
  <c r="H13" i="2"/>
  <c r="EZ14" i="2"/>
  <c r="EZ17" i="2" s="1"/>
  <c r="E17" i="2"/>
  <c r="E15" i="2"/>
  <c r="U17" i="2"/>
  <c r="Y16" i="2"/>
  <c r="U15" i="2"/>
  <c r="V15" i="2"/>
  <c r="U16" i="2"/>
  <c r="FT25" i="2"/>
  <c r="FT13" i="2"/>
  <c r="FT12" i="2"/>
  <c r="GF13" i="2"/>
  <c r="GF12" i="2"/>
  <c r="AV26" i="2"/>
  <c r="AV27" i="2" s="1"/>
  <c r="CP172" i="3"/>
  <c r="CK19" i="3"/>
  <c r="CK24" i="3"/>
  <c r="EE70" i="3"/>
  <c r="EE102" i="3" s="1"/>
  <c r="EF102" i="3" s="1"/>
  <c r="EE175" i="3"/>
  <c r="EE25" i="3"/>
  <c r="EE69" i="3" s="1"/>
  <c r="CG54" i="2" s="1"/>
  <c r="EE32" i="3"/>
  <c r="EE173" i="3"/>
  <c r="E10" i="2"/>
  <c r="AK155" i="3"/>
  <c r="AI17" i="3"/>
  <c r="AK156" i="3"/>
  <c r="AI85" i="3"/>
  <c r="AM156" i="3"/>
  <c r="AI18" i="3"/>
  <c r="AN172" i="3" s="1"/>
  <c r="AJ16" i="3"/>
  <c r="AJ17" i="3" s="1"/>
  <c r="AL156" i="3"/>
  <c r="AM155" i="3"/>
  <c r="AL155" i="3"/>
  <c r="CT32" i="3"/>
  <c r="CT25" i="3"/>
  <c r="CT69" i="3" s="1"/>
  <c r="BC54" i="2" s="1"/>
  <c r="CU175" i="3"/>
  <c r="CT173" i="3"/>
  <c r="CT175" i="3"/>
  <c r="CT70" i="3"/>
  <c r="ED19" i="2"/>
  <c r="EC21" i="2"/>
  <c r="EC20" i="2"/>
  <c r="EC19" i="2"/>
  <c r="BC70" i="3"/>
  <c r="BC32" i="3"/>
  <c r="BC25" i="3"/>
  <c r="BC69" i="3" s="1"/>
  <c r="U54" i="2" s="1"/>
  <c r="U57" i="2" s="1"/>
  <c r="F87" i="2"/>
  <c r="EZ86" i="2"/>
  <c r="EZ89" i="2" s="1"/>
  <c r="E89" i="2"/>
  <c r="E87" i="2"/>
  <c r="AM19" i="3"/>
  <c r="H26" i="2"/>
  <c r="AM172" i="3"/>
  <c r="AM24" i="3"/>
  <c r="AN174" i="3"/>
  <c r="AN19" i="3"/>
  <c r="AN24" i="3"/>
  <c r="I26" i="2"/>
  <c r="AP174" i="3"/>
  <c r="AW19" i="3"/>
  <c r="AW24" i="3"/>
  <c r="P26" i="2"/>
  <c r="AY18" i="3"/>
  <c r="BB172" i="3"/>
  <c r="AW174" i="3"/>
  <c r="BC29" i="2"/>
  <c r="BD27" i="2"/>
  <c r="BC28" i="2"/>
  <c r="BC48" i="2"/>
  <c r="BC49" i="2" s="1"/>
  <c r="EZ24" i="3"/>
  <c r="EC102" i="3"/>
  <c r="CE101" i="2" s="1"/>
  <c r="AF17" i="2"/>
  <c r="AF15" i="2"/>
  <c r="AF16" i="2"/>
  <c r="AJ16" i="2"/>
  <c r="CG27" i="2"/>
  <c r="CG48" i="2"/>
  <c r="FT48" i="2" s="1"/>
  <c r="CG29" i="2"/>
  <c r="P11" i="2"/>
  <c r="P13" i="2"/>
  <c r="T12" i="2"/>
  <c r="GM70" i="3"/>
  <c r="GM69" i="3" s="1"/>
  <c r="GM25" i="3"/>
  <c r="GM32" i="3"/>
  <c r="GN32" i="3" s="1"/>
  <c r="U48" i="2"/>
  <c r="U51" i="2" s="1"/>
  <c r="U29" i="2"/>
  <c r="EC168" i="3"/>
  <c r="BR16" i="3"/>
  <c r="BU155" i="3" s="1"/>
  <c r="AG14" i="2"/>
  <c r="AK16" i="2" s="1"/>
  <c r="BR15" i="3"/>
  <c r="AV13" i="2"/>
  <c r="AZ12" i="2"/>
  <c r="AF10" i="2"/>
  <c r="BQ17" i="3"/>
  <c r="BQ18" i="3"/>
  <c r="BQ85" i="3"/>
  <c r="AO16" i="2"/>
  <c r="AL15" i="2"/>
  <c r="AK17" i="2"/>
  <c r="FH14" i="2"/>
  <c r="AK15" i="2"/>
  <c r="EC48" i="2"/>
  <c r="EC49" i="2" s="1"/>
  <c r="EC31" i="2"/>
  <c r="EC29" i="2"/>
  <c r="EK88" i="2"/>
  <c r="EK87" i="2"/>
  <c r="EL87" i="2"/>
  <c r="AO18" i="3"/>
  <c r="DR409" i="2"/>
  <c r="GC151" i="2"/>
  <c r="GB152" i="2"/>
  <c r="DQ155" i="2"/>
  <c r="DN154" i="2"/>
  <c r="DM154" i="2"/>
  <c r="DM156" i="2"/>
  <c r="GB153" i="2"/>
  <c r="CZ28" i="2"/>
  <c r="FZ297" i="2"/>
  <c r="GE39" i="2"/>
  <c r="AP27" i="2"/>
  <c r="EG288" i="2"/>
  <c r="FY249" i="2"/>
  <c r="EE222" i="2"/>
  <c r="EE197" i="2"/>
  <c r="EE196" i="2"/>
  <c r="DR376" i="2"/>
  <c r="EC417" i="2"/>
  <c r="EB418" i="2"/>
  <c r="GF416" i="2"/>
  <c r="EB417" i="2"/>
  <c r="GG345" i="2"/>
  <c r="DR380" i="2"/>
  <c r="EG339" i="2"/>
  <c r="GG339" i="2" s="1"/>
  <c r="EG345" i="2"/>
  <c r="EH343" i="2"/>
  <c r="EE147" i="2"/>
  <c r="EE146" i="2"/>
  <c r="EH281" i="2"/>
  <c r="EI279" i="2"/>
  <c r="EH275" i="2"/>
  <c r="EH272" i="2" s="1"/>
  <c r="EH292" i="2" s="1"/>
  <c r="EG348" i="2"/>
  <c r="EH346" i="2"/>
  <c r="EF145" i="2"/>
  <c r="EF341" i="2"/>
  <c r="EF340" i="2"/>
  <c r="ED120" i="2"/>
  <c r="ED118" i="2"/>
  <c r="ED119" i="2"/>
  <c r="EE117" i="2"/>
  <c r="ED416" i="2"/>
  <c r="GG275" i="2"/>
  <c r="EG276" i="2"/>
  <c r="EG277" i="2"/>
  <c r="GG239" i="2"/>
  <c r="GG16" i="2"/>
  <c r="DC458" i="2"/>
  <c r="FL88" i="2"/>
  <c r="FL89" i="2"/>
  <c r="DF101" i="3"/>
  <c r="BM54" i="2"/>
  <c r="BH54" i="2"/>
  <c r="EP315" i="3"/>
  <c r="EP273" i="3"/>
  <c r="CI257" i="2"/>
  <c r="CI255" i="2"/>
  <c r="CI298" i="2"/>
  <c r="CI250" i="2"/>
  <c r="CI256" i="2"/>
  <c r="GR20" i="3"/>
  <c r="EH41" i="2"/>
  <c r="EG43" i="2"/>
  <c r="EG32" i="2"/>
  <c r="GG32" i="2" s="1"/>
  <c r="GG41" i="2"/>
  <c r="DS371" i="2"/>
  <c r="DT369" i="2"/>
  <c r="FQ42" i="3"/>
  <c r="FQ45" i="3"/>
  <c r="FQ33" i="3"/>
  <c r="FQ35" i="3"/>
  <c r="CD49" i="2"/>
  <c r="CD51" i="2"/>
  <c r="CD50" i="2"/>
  <c r="CD52" i="2"/>
  <c r="CE49" i="2"/>
  <c r="BK54" i="2"/>
  <c r="DD101" i="3"/>
  <c r="BK100" i="2" s="1"/>
  <c r="DW312" i="2"/>
  <c r="DX310" i="2"/>
  <c r="DW266" i="2"/>
  <c r="DE433" i="2"/>
  <c r="DE435" i="2"/>
  <c r="DE434" i="2"/>
  <c r="EJ157" i="3"/>
  <c r="EK157" i="3" s="1"/>
  <c r="EF146" i="3"/>
  <c r="FB45" i="3"/>
  <c r="FB35" i="3"/>
  <c r="FB33" i="3"/>
  <c r="FB42" i="3"/>
  <c r="FL168" i="3"/>
  <c r="FL45" i="3"/>
  <c r="FL33" i="3"/>
  <c r="FL42" i="3"/>
  <c r="FL35" i="3"/>
  <c r="EJ69" i="3"/>
  <c r="BQ28" i="2"/>
  <c r="BQ48" i="2"/>
  <c r="BQ29" i="2"/>
  <c r="BQ27" i="2"/>
  <c r="CL29" i="2"/>
  <c r="CL31" i="2"/>
  <c r="FV26" i="2"/>
  <c r="CL48" i="2"/>
  <c r="CM49" i="2" s="1"/>
  <c r="CL27" i="2"/>
  <c r="CL28" i="2"/>
  <c r="DS54" i="2"/>
  <c r="DS49" i="2"/>
  <c r="DS51" i="2"/>
  <c r="DS52" i="2"/>
  <c r="DW50" i="2"/>
  <c r="CO106" i="3"/>
  <c r="CO110" i="3" s="1"/>
  <c r="CO47" i="3"/>
  <c r="CO43" i="3"/>
  <c r="AY79" i="2"/>
  <c r="CQ48" i="2"/>
  <c r="FW48" i="2" s="1"/>
  <c r="CQ29" i="2"/>
  <c r="CQ31" i="2"/>
  <c r="CQ27" i="2"/>
  <c r="CQ28" i="2"/>
  <c r="AP51" i="2"/>
  <c r="AP50" i="2"/>
  <c r="GA31" i="2"/>
  <c r="GA29" i="2"/>
  <c r="GA28" i="2"/>
  <c r="EM175" i="3"/>
  <c r="AT108" i="3"/>
  <c r="CT433" i="2"/>
  <c r="CT434" i="2"/>
  <c r="FX432" i="2"/>
  <c r="CT435" i="2"/>
  <c r="GQ107" i="3"/>
  <c r="ER229" i="3"/>
  <c r="ER228" i="3"/>
  <c r="GD25" i="3"/>
  <c r="BJ52" i="2"/>
  <c r="FO48" i="2"/>
  <c r="BJ51" i="2"/>
  <c r="DR359" i="2"/>
  <c r="DR385" i="2"/>
  <c r="DR384" i="2"/>
  <c r="FZ88" i="2"/>
  <c r="FZ89" i="2"/>
  <c r="DP430" i="2"/>
  <c r="DP429" i="2"/>
  <c r="ER170" i="3"/>
  <c r="EW163" i="3"/>
  <c r="ER169" i="3"/>
  <c r="ER153" i="3"/>
  <c r="EW169" i="3"/>
  <c r="EW170" i="3"/>
  <c r="FA45" i="3"/>
  <c r="FA35" i="3"/>
  <c r="FA33" i="3"/>
  <c r="FA42" i="3"/>
  <c r="GD418" i="2"/>
  <c r="GD419" i="2"/>
  <c r="ER157" i="3"/>
  <c r="FR26" i="2"/>
  <c r="FS28" i="2" s="1"/>
  <c r="BV48" i="2"/>
  <c r="BW49" i="2" s="1"/>
  <c r="BV29" i="2"/>
  <c r="BV27" i="2"/>
  <c r="BV28" i="2"/>
  <c r="B48" i="2"/>
  <c r="F50" i="2" s="1"/>
  <c r="B29" i="2"/>
  <c r="V48" i="2"/>
  <c r="V29" i="2"/>
  <c r="V28" i="2"/>
  <c r="V27" i="2"/>
  <c r="DO352" i="2"/>
  <c r="DO354" i="2"/>
  <c r="FB89" i="2"/>
  <c r="EQ69" i="3"/>
  <c r="EQ102" i="3"/>
  <c r="CP101" i="2" s="1"/>
  <c r="BM51" i="2"/>
  <c r="BM52" i="2"/>
  <c r="BM49" i="2"/>
  <c r="EF329" i="2"/>
  <c r="EF328" i="2"/>
  <c r="EF133" i="2"/>
  <c r="EF436" i="2"/>
  <c r="EF321" i="2"/>
  <c r="DG49" i="2"/>
  <c r="DG51" i="2"/>
  <c r="DG50" i="2"/>
  <c r="DG52" i="2"/>
  <c r="DH49" i="2"/>
  <c r="FM13" i="2"/>
  <c r="FM12" i="2"/>
  <c r="EQ307" i="3"/>
  <c r="EQ310" i="3" s="1"/>
  <c r="EQ189" i="3"/>
  <c r="EQ188" i="3"/>
  <c r="BG54" i="2"/>
  <c r="BB51" i="2"/>
  <c r="BB50" i="2"/>
  <c r="BB52" i="2"/>
  <c r="AO48" i="2"/>
  <c r="AO29" i="2"/>
  <c r="AO27" i="2"/>
  <c r="CM52" i="2"/>
  <c r="CM51" i="2"/>
  <c r="CR19" i="3"/>
  <c r="BW54" i="2"/>
  <c r="BL54" i="2"/>
  <c r="DE101" i="3"/>
  <c r="BL100" i="2" s="1"/>
  <c r="DY102" i="3"/>
  <c r="CB101" i="2" s="1"/>
  <c r="EG61" i="2"/>
  <c r="EG36" i="2"/>
  <c r="GG36" i="2" s="1"/>
  <c r="EG60" i="2"/>
  <c r="GD174" i="3"/>
  <c r="GD172" i="3"/>
  <c r="GD19" i="3"/>
  <c r="ES219" i="3"/>
  <c r="ET217" i="3"/>
  <c r="EE157" i="3"/>
  <c r="EF157" i="3" s="1"/>
  <c r="T54" i="2"/>
  <c r="GE45" i="3"/>
  <c r="GE35" i="3"/>
  <c r="GE33" i="3"/>
  <c r="GI32" i="3"/>
  <c r="GE42" i="3"/>
  <c r="EE322" i="2"/>
  <c r="EE323" i="2"/>
  <c r="GG233" i="2"/>
  <c r="FY172" i="3"/>
  <c r="FY174" i="3"/>
  <c r="FY19" i="3"/>
  <c r="BR48" i="2"/>
  <c r="BR29" i="2"/>
  <c r="BR28" i="2"/>
  <c r="FQ26" i="2"/>
  <c r="BR27" i="2"/>
  <c r="EH447" i="2"/>
  <c r="EG444" i="2"/>
  <c r="GG444" i="2" s="1"/>
  <c r="FN168" i="3"/>
  <c r="FO168" i="3" s="1"/>
  <c r="DT244" i="3"/>
  <c r="DT243" i="3"/>
  <c r="EQ201" i="3"/>
  <c r="FP173" i="3"/>
  <c r="FP175" i="3"/>
  <c r="FP70" i="3"/>
  <c r="FP25" i="3"/>
  <c r="FT24" i="3"/>
  <c r="FP32" i="3"/>
  <c r="FQ168" i="3" s="1"/>
  <c r="FU173" i="3"/>
  <c r="GA435" i="2"/>
  <c r="DG378" i="3"/>
  <c r="DW173" i="3"/>
  <c r="K54" i="2"/>
  <c r="AN169" i="3"/>
  <c r="AO169" i="3" s="1"/>
  <c r="O17" i="2"/>
  <c r="O15" i="2"/>
  <c r="O16" i="2"/>
  <c r="S16" i="2"/>
  <c r="GG59" i="2"/>
  <c r="FA169" i="3"/>
  <c r="FA170" i="3"/>
  <c r="FF163" i="3"/>
  <c r="FA153" i="3"/>
  <c r="FF170" i="3"/>
  <c r="FF169" i="3"/>
  <c r="FA163" i="3"/>
  <c r="EI69" i="3"/>
  <c r="DG69" i="3"/>
  <c r="BJ54" i="2"/>
  <c r="DC101" i="3"/>
  <c r="BJ100" i="2" s="1"/>
  <c r="EO47" i="3"/>
  <c r="EO50" i="3"/>
  <c r="EO43" i="3"/>
  <c r="CO79" i="2"/>
  <c r="EF235" i="2"/>
  <c r="EF234" i="2"/>
  <c r="EJ169" i="3"/>
  <c r="EK169" i="3" s="1"/>
  <c r="DV240" i="3"/>
  <c r="FP12" i="2"/>
  <c r="FP13" i="2"/>
  <c r="AL58" i="2"/>
  <c r="AL57" i="2"/>
  <c r="BX48" i="2"/>
  <c r="BY49" i="2" s="1"/>
  <c r="BX29" i="2"/>
  <c r="BX28" i="2"/>
  <c r="BX27" i="2"/>
  <c r="CD42" i="3"/>
  <c r="CD45" i="3"/>
  <c r="CD35" i="3"/>
  <c r="CD51" i="3" s="1"/>
  <c r="CD33" i="3"/>
  <c r="EG205" i="2"/>
  <c r="EG204" i="2"/>
  <c r="EG113" i="2"/>
  <c r="GO42" i="3"/>
  <c r="GO45" i="3"/>
  <c r="GO35" i="3"/>
  <c r="GO33" i="3"/>
  <c r="DM54" i="2"/>
  <c r="DM51" i="2"/>
  <c r="DM50" i="2"/>
  <c r="DM52" i="2"/>
  <c r="DN49" i="2"/>
  <c r="EI220" i="3"/>
  <c r="EH223" i="3"/>
  <c r="EH222" i="3"/>
  <c r="EZ174" i="3"/>
  <c r="EZ172" i="3"/>
  <c r="EZ19" i="3"/>
  <c r="EH227" i="2"/>
  <c r="EI225" i="2"/>
  <c r="EF312" i="3"/>
  <c r="EF225" i="3"/>
  <c r="EA240" i="3"/>
  <c r="DI243" i="3"/>
  <c r="DI244" i="3"/>
  <c r="GB173" i="3"/>
  <c r="GB175" i="3"/>
  <c r="GB70" i="3"/>
  <c r="GF102" i="3" s="1"/>
  <c r="DW101" i="2" s="1"/>
  <c r="GB25" i="3"/>
  <c r="GB32" i="3"/>
  <c r="GB167" i="3" s="1"/>
  <c r="FY412" i="2"/>
  <c r="GB224" i="2"/>
  <c r="GA89" i="2"/>
  <c r="GA88" i="2"/>
  <c r="HM91" i="3"/>
  <c r="HH91" i="3"/>
  <c r="L29" i="2"/>
  <c r="L27" i="2"/>
  <c r="L48" i="2"/>
  <c r="ER374" i="3"/>
  <c r="ER375" i="3"/>
  <c r="EU30" i="2"/>
  <c r="EV30" i="2" s="1"/>
  <c r="EW30" i="2" s="1"/>
  <c r="FI224" i="2"/>
  <c r="FO89" i="2"/>
  <c r="EF34" i="2"/>
  <c r="EF37" i="2"/>
  <c r="EF33" i="2"/>
  <c r="FL69" i="3"/>
  <c r="FM102" i="3"/>
  <c r="DH101" i="2" s="1"/>
  <c r="FL102" i="3"/>
  <c r="DG101" i="2" s="1"/>
  <c r="FN102" i="3"/>
  <c r="EK427" i="2"/>
  <c r="DK175" i="3"/>
  <c r="DK173" i="3"/>
  <c r="DK70" i="3"/>
  <c r="DK32" i="3"/>
  <c r="DK25" i="3"/>
  <c r="DK69" i="3" s="1"/>
  <c r="FN13" i="2"/>
  <c r="FN12" i="2"/>
  <c r="FO12" i="2"/>
  <c r="FT29" i="2"/>
  <c r="FT31" i="2"/>
  <c r="FT28" i="2"/>
  <c r="FG191" i="2"/>
  <c r="O54" i="2"/>
  <c r="AT48" i="2"/>
  <c r="AT29" i="2"/>
  <c r="AX28" i="2"/>
  <c r="AT28" i="2"/>
  <c r="ED50" i="3"/>
  <c r="ED47" i="3"/>
  <c r="ED43" i="3"/>
  <c r="CF79" i="2"/>
  <c r="GJ155" i="2"/>
  <c r="FX224" i="2"/>
  <c r="GT22" i="3"/>
  <c r="EI45" i="2"/>
  <c r="EH47" i="2"/>
  <c r="BD174" i="3"/>
  <c r="BD172" i="3"/>
  <c r="BD19" i="3"/>
  <c r="DL296" i="2"/>
  <c r="DL297" i="2"/>
  <c r="DE52" i="2"/>
  <c r="DE49" i="2"/>
  <c r="DE51" i="2"/>
  <c r="DI50" i="2"/>
  <c r="FZ454" i="2"/>
  <c r="FZ455" i="2"/>
  <c r="EU273" i="3"/>
  <c r="D49" i="2"/>
  <c r="D51" i="2"/>
  <c r="BI54" i="2"/>
  <c r="FZ48" i="2"/>
  <c r="DB51" i="2"/>
  <c r="DB50" i="2"/>
  <c r="DB52" i="2"/>
  <c r="DC49" i="2"/>
  <c r="GE434" i="2"/>
  <c r="GE435" i="2"/>
  <c r="FA69" i="3"/>
  <c r="CV173" i="3"/>
  <c r="CV175" i="3"/>
  <c r="CV70" i="3"/>
  <c r="CV25" i="3"/>
  <c r="CV69" i="3" s="1"/>
  <c r="CV32" i="3"/>
  <c r="CW32" i="3" s="1"/>
  <c r="DA173" i="3"/>
  <c r="S54" i="2"/>
  <c r="AQ17" i="2"/>
  <c r="AQ15" i="2"/>
  <c r="AQ16" i="2"/>
  <c r="FJ14" i="2"/>
  <c r="AU16" i="2"/>
  <c r="BD122" i="3"/>
  <c r="AU50" i="3"/>
  <c r="AU52" i="3" s="1"/>
  <c r="AU48" i="3"/>
  <c r="EC243" i="3"/>
  <c r="EC244" i="3"/>
  <c r="DV174" i="3"/>
  <c r="DV172" i="3"/>
  <c r="DV19" i="3"/>
  <c r="CO296" i="2"/>
  <c r="CO297" i="2"/>
  <c r="CX281" i="2"/>
  <c r="CX280" i="2"/>
  <c r="DB281" i="2"/>
  <c r="ED52" i="2"/>
  <c r="ED54" i="2"/>
  <c r="ED51" i="2"/>
  <c r="ED50" i="2"/>
  <c r="CX434" i="2"/>
  <c r="FY432" i="2"/>
  <c r="CX435" i="2"/>
  <c r="CX433" i="2"/>
  <c r="EC124" i="3"/>
  <c r="DL48" i="2"/>
  <c r="DM49" i="2" s="1"/>
  <c r="DL28" i="2"/>
  <c r="DL31" i="2"/>
  <c r="DL29" i="2"/>
  <c r="DL27" i="2"/>
  <c r="ES88" i="2"/>
  <c r="ET87" i="2"/>
  <c r="ES87" i="2"/>
  <c r="DN454" i="2"/>
  <c r="DN453" i="2"/>
  <c r="DN444" i="2"/>
  <c r="EH331" i="2"/>
  <c r="EG327" i="2"/>
  <c r="GG327" i="2" s="1"/>
  <c r="EG333" i="2"/>
  <c r="EK378" i="3"/>
  <c r="Z48" i="2"/>
  <c r="AA49" i="2" s="1"/>
  <c r="Z29" i="2"/>
  <c r="Z28" i="2"/>
  <c r="DC167" i="3"/>
  <c r="CY45" i="3"/>
  <c r="CY35" i="3"/>
  <c r="CY33" i="3"/>
  <c r="CY42" i="3"/>
  <c r="DP400" i="2"/>
  <c r="DP401" i="2"/>
  <c r="GT95" i="3"/>
  <c r="DA28" i="2"/>
  <c r="DA48" i="2"/>
  <c r="DB49" i="2" s="1"/>
  <c r="DA31" i="2"/>
  <c r="DA29" i="2"/>
  <c r="DA27" i="2"/>
  <c r="BA48" i="2"/>
  <c r="BA29" i="2"/>
  <c r="BA27" i="2"/>
  <c r="FL26" i="2"/>
  <c r="CZ414" i="2"/>
  <c r="CZ457" i="2"/>
  <c r="CZ413" i="2"/>
  <c r="CZ415" i="2"/>
  <c r="GH124" i="3"/>
  <c r="DE168" i="3"/>
  <c r="DF167" i="3"/>
  <c r="DG167" i="3" s="1"/>
  <c r="DE45" i="3"/>
  <c r="DE42" i="3"/>
  <c r="DE35" i="3"/>
  <c r="DE33" i="3"/>
  <c r="EV69" i="3"/>
  <c r="FL167" i="3"/>
  <c r="FI167" i="3"/>
  <c r="FJ167" i="3" s="1"/>
  <c r="FH42" i="3"/>
  <c r="FH35" i="3"/>
  <c r="FH33" i="3"/>
  <c r="FH45" i="3"/>
  <c r="BB45" i="3"/>
  <c r="BB42" i="3"/>
  <c r="BB35" i="3"/>
  <c r="BB51" i="3" s="1"/>
  <c r="BB33" i="3"/>
  <c r="BV70" i="3"/>
  <c r="BV25" i="3"/>
  <c r="BV69" i="3" s="1"/>
  <c r="BV32" i="3"/>
  <c r="GE69" i="3"/>
  <c r="GI70" i="3"/>
  <c r="GM102" i="3" s="1"/>
  <c r="GD434" i="2"/>
  <c r="GD435" i="2"/>
  <c r="CU296" i="2"/>
  <c r="CU297" i="2"/>
  <c r="DO48" i="2"/>
  <c r="DO29" i="2"/>
  <c r="DO31" i="2"/>
  <c r="DO27" i="2"/>
  <c r="GC26" i="2"/>
  <c r="DO28" i="2"/>
  <c r="BF48" i="2"/>
  <c r="BG49" i="2" s="1"/>
  <c r="BF29" i="2"/>
  <c r="BF28" i="2"/>
  <c r="FN26" i="2"/>
  <c r="BF27" i="2"/>
  <c r="GN173" i="3"/>
  <c r="GN175" i="3"/>
  <c r="GN25" i="3"/>
  <c r="EF173" i="3"/>
  <c r="EF175" i="3"/>
  <c r="EF25" i="3"/>
  <c r="GF434" i="2"/>
  <c r="GF435" i="2"/>
  <c r="DV378" i="3"/>
  <c r="EP307" i="3"/>
  <c r="EP310" i="3" s="1"/>
  <c r="EP189" i="3"/>
  <c r="EP184" i="3"/>
  <c r="EP186" i="3" s="1"/>
  <c r="BK35" i="3"/>
  <c r="BK33" i="3"/>
  <c r="BK42" i="3"/>
  <c r="BK45" i="3"/>
  <c r="EW167" i="3"/>
  <c r="ES42" i="3"/>
  <c r="ES33" i="3"/>
  <c r="ES45" i="3"/>
  <c r="ES35" i="3"/>
  <c r="DS244" i="3"/>
  <c r="DS243" i="3"/>
  <c r="BY106" i="3"/>
  <c r="BY47" i="3"/>
  <c r="BY43" i="3"/>
  <c r="FY25" i="2"/>
  <c r="FY13" i="2"/>
  <c r="FY12" i="2"/>
  <c r="FZ12" i="2"/>
  <c r="BG85" i="3"/>
  <c r="BG18" i="3"/>
  <c r="BG17" i="3"/>
  <c r="X10" i="2"/>
  <c r="BG155" i="3"/>
  <c r="BG156" i="3"/>
  <c r="AQ45" i="3"/>
  <c r="AQ35" i="3"/>
  <c r="AQ51" i="3" s="1"/>
  <c r="AQ33" i="3"/>
  <c r="AQ42" i="3"/>
  <c r="FO224" i="2"/>
  <c r="ES146" i="3"/>
  <c r="ES147" i="3"/>
  <c r="ES148" i="3"/>
  <c r="ES92" i="3"/>
  <c r="FJ173" i="3"/>
  <c r="FJ175" i="3"/>
  <c r="FJ25" i="3"/>
  <c r="DC168" i="3"/>
  <c r="DC42" i="3"/>
  <c r="DC45" i="3"/>
  <c r="DC35" i="3"/>
  <c r="DC33" i="3"/>
  <c r="DG32" i="3"/>
  <c r="EE39" i="2"/>
  <c r="EE38" i="2"/>
  <c r="DO21" i="2"/>
  <c r="DO19" i="2"/>
  <c r="DO20" i="2"/>
  <c r="DP19" i="2"/>
  <c r="GC18" i="2"/>
  <c r="DS20" i="2"/>
  <c r="FQ12" i="2"/>
  <c r="FQ13" i="2"/>
  <c r="AU48" i="2"/>
  <c r="AU29" i="2"/>
  <c r="AU27" i="2"/>
  <c r="AY28" i="2"/>
  <c r="GK155" i="2"/>
  <c r="DR244" i="3"/>
  <c r="DR243" i="3"/>
  <c r="DV242" i="3"/>
  <c r="FL161" i="3"/>
  <c r="FM164" i="3"/>
  <c r="FM88" i="2"/>
  <c r="FM89" i="2"/>
  <c r="GL69" i="3"/>
  <c r="J54" i="2"/>
  <c r="GO69" i="3"/>
  <c r="FI69" i="3"/>
  <c r="FI102" i="3"/>
  <c r="K51" i="2"/>
  <c r="K49" i="2"/>
  <c r="CR51" i="3"/>
  <c r="Y89" i="2"/>
  <c r="Y87" i="2"/>
  <c r="Y88" i="2"/>
  <c r="Z87" i="2"/>
  <c r="FW26" i="2"/>
  <c r="DW243" i="3"/>
  <c r="EA242" i="3"/>
  <c r="DW244" i="3"/>
  <c r="T49" i="2"/>
  <c r="T51" i="2"/>
  <c r="FG106" i="3"/>
  <c r="FG110" i="3" s="1"/>
  <c r="FG63" i="3"/>
  <c r="DC76" i="2" s="1"/>
  <c r="FG47" i="3"/>
  <c r="FG48" i="3" s="1"/>
  <c r="FG50" i="3"/>
  <c r="FG43" i="3"/>
  <c r="DC79" i="2"/>
  <c r="FG56" i="3"/>
  <c r="DC66" i="2" s="1"/>
  <c r="EA381" i="2"/>
  <c r="EB381" i="2" s="1"/>
  <c r="EC381" i="2" s="1"/>
  <c r="ED381" i="2" s="1"/>
  <c r="BP48" i="2"/>
  <c r="BP28" i="2"/>
  <c r="BP29" i="2"/>
  <c r="BP27" i="2"/>
  <c r="EF423" i="2"/>
  <c r="AN54" i="2"/>
  <c r="DQ52" i="2"/>
  <c r="DQ54" i="2"/>
  <c r="DQ49" i="2"/>
  <c r="DQ50" i="2"/>
  <c r="DQ51" i="2"/>
  <c r="AA51" i="2"/>
  <c r="ES197" i="3"/>
  <c r="ES193" i="3"/>
  <c r="ET191" i="3"/>
  <c r="GB122" i="3"/>
  <c r="GC121" i="3"/>
  <c r="AC88" i="2"/>
  <c r="CS297" i="2"/>
  <c r="GE418" i="2"/>
  <c r="FL13" i="2"/>
  <c r="DD167" i="3"/>
  <c r="CZ45" i="3"/>
  <c r="CZ35" i="3"/>
  <c r="CZ33" i="3"/>
  <c r="CZ42" i="3"/>
  <c r="AV45" i="3"/>
  <c r="AV42" i="3"/>
  <c r="AV35" i="3"/>
  <c r="AV51" i="3" s="1"/>
  <c r="AV33" i="3"/>
  <c r="EP172" i="3"/>
  <c r="EP174" i="3"/>
  <c r="EP19" i="3"/>
  <c r="DV269" i="2"/>
  <c r="DV267" i="2"/>
  <c r="DV268" i="2"/>
  <c r="DV149" i="2"/>
  <c r="GK168" i="3"/>
  <c r="GK45" i="3"/>
  <c r="GK35" i="3"/>
  <c r="GK33" i="3"/>
  <c r="GK42" i="3"/>
  <c r="ER173" i="3"/>
  <c r="ER175" i="3"/>
  <c r="ER70" i="3"/>
  <c r="EV102" i="3" s="1"/>
  <c r="CT101" i="2" s="1"/>
  <c r="ER25" i="3"/>
  <c r="ER32" i="3"/>
  <c r="ET167" i="3" s="1"/>
  <c r="EU167" i="3" s="1"/>
  <c r="AZ173" i="3"/>
  <c r="AZ70" i="3"/>
  <c r="BD70" i="3" s="1"/>
  <c r="AZ25" i="3"/>
  <c r="AZ69" i="3" s="1"/>
  <c r="BC101" i="3" s="1"/>
  <c r="BD24" i="3"/>
  <c r="AZ32" i="3"/>
  <c r="BC168" i="3" s="1"/>
  <c r="BD168" i="3" s="1"/>
  <c r="CH52" i="2"/>
  <c r="CH51" i="2"/>
  <c r="CH50" i="2"/>
  <c r="CQ457" i="2"/>
  <c r="CQ413" i="2"/>
  <c r="CQ415" i="2"/>
  <c r="CH307" i="2"/>
  <c r="CH263" i="2"/>
  <c r="CH264" i="2"/>
  <c r="CH265" i="2"/>
  <c r="CS415" i="2"/>
  <c r="CS457" i="2"/>
  <c r="CS413" i="2"/>
  <c r="FZ69" i="3"/>
  <c r="GD70" i="3"/>
  <c r="GG102" i="3" s="1"/>
  <c r="DX101" i="2" s="1"/>
  <c r="FO31" i="2"/>
  <c r="FO29" i="2"/>
  <c r="GF106" i="3"/>
  <c r="GF50" i="3"/>
  <c r="GF63" i="3"/>
  <c r="DW76" i="2" s="1"/>
  <c r="GF47" i="3"/>
  <c r="GF48" i="3" s="1"/>
  <c r="GF43" i="3"/>
  <c r="DW79" i="2"/>
  <c r="GF56" i="3"/>
  <c r="DW66" i="2" s="1"/>
  <c r="DS379" i="2"/>
  <c r="DT377" i="2"/>
  <c r="GB432" i="2"/>
  <c r="GC434" i="2" s="1"/>
  <c r="DJ434" i="2"/>
  <c r="DJ435" i="2"/>
  <c r="DJ433" i="2"/>
  <c r="AS17" i="2"/>
  <c r="AS15" i="2"/>
  <c r="AS16" i="2"/>
  <c r="AT15" i="2"/>
  <c r="FP89" i="2"/>
  <c r="FP88" i="2"/>
  <c r="FQ88" i="2"/>
  <c r="BA42" i="3"/>
  <c r="BA45" i="3"/>
  <c r="BA35" i="3"/>
  <c r="BA51" i="3" s="1"/>
  <c r="BA33" i="3"/>
  <c r="EB167" i="3"/>
  <c r="DX42" i="3"/>
  <c r="DX35" i="3"/>
  <c r="DX33" i="3"/>
  <c r="DX45" i="3"/>
  <c r="CW24" i="3"/>
  <c r="FR191" i="2"/>
  <c r="FR190" i="2"/>
  <c r="FL191" i="2"/>
  <c r="FL190" i="2"/>
  <c r="ES385" i="3"/>
  <c r="ET278" i="3"/>
  <c r="EU278" i="3" s="1"/>
  <c r="ES280" i="3"/>
  <c r="ES284" i="3"/>
  <c r="FW25" i="2"/>
  <c r="FW12" i="2"/>
  <c r="FW13" i="2"/>
  <c r="GA167" i="3"/>
  <c r="FW42" i="3"/>
  <c r="FW45" i="3"/>
  <c r="FW35" i="3"/>
  <c r="FW33" i="3"/>
  <c r="FJ191" i="2"/>
  <c r="FJ190" i="2"/>
  <c r="CY284" i="2"/>
  <c r="CZ282" i="2"/>
  <c r="FY282" i="2" s="1"/>
  <c r="FY284" i="2" s="1"/>
  <c r="DC284" i="2"/>
  <c r="CY258" i="2"/>
  <c r="CY279" i="2"/>
  <c r="EA232" i="3"/>
  <c r="BT173" i="3"/>
  <c r="BT70" i="3"/>
  <c r="BT32" i="3"/>
  <c r="BT25" i="3"/>
  <c r="BT69" i="3" s="1"/>
  <c r="BY173" i="3"/>
  <c r="DP455" i="2"/>
  <c r="DO452" i="2"/>
  <c r="DO444" i="2" s="1"/>
  <c r="CX51" i="2"/>
  <c r="CX50" i="2"/>
  <c r="CX52" i="2"/>
  <c r="CX49" i="2"/>
  <c r="EO390" i="3"/>
  <c r="EO389" i="3"/>
  <c r="EP388" i="3"/>
  <c r="EP390" i="3" s="1"/>
  <c r="O49" i="2"/>
  <c r="O51" i="2"/>
  <c r="O50" i="2"/>
  <c r="BN29" i="2"/>
  <c r="FP26" i="2"/>
  <c r="BN48" i="2"/>
  <c r="BN27" i="2"/>
  <c r="BN28" i="2"/>
  <c r="DQ405" i="2"/>
  <c r="DR402" i="2"/>
  <c r="DQ399" i="2"/>
  <c r="DQ404" i="2"/>
  <c r="GD224" i="2"/>
  <c r="FL224" i="2"/>
  <c r="CB175" i="3"/>
  <c r="CB70" i="3"/>
  <c r="CB25" i="3"/>
  <c r="CB69" i="3" s="1"/>
  <c r="CB32" i="3"/>
  <c r="CC24" i="3"/>
  <c r="CM27" i="2"/>
  <c r="BY54" i="2"/>
  <c r="GG214" i="2"/>
  <c r="W48" i="2"/>
  <c r="W29" i="2"/>
  <c r="W27" i="2"/>
  <c r="W28" i="2"/>
  <c r="DU243" i="3"/>
  <c r="DU244" i="3"/>
  <c r="GU54" i="3"/>
  <c r="EH59" i="2"/>
  <c r="EO381" i="3"/>
  <c r="EO376" i="3"/>
  <c r="EO380" i="3"/>
  <c r="EP379" i="3"/>
  <c r="DQ174" i="3"/>
  <c r="DQ172" i="3"/>
  <c r="DQ19" i="3"/>
  <c r="DB172" i="3"/>
  <c r="DB174" i="3"/>
  <c r="DB19" i="3"/>
  <c r="CA52" i="2"/>
  <c r="CA49" i="2"/>
  <c r="CA50" i="2"/>
  <c r="CA51" i="2"/>
  <c r="CE50" i="2"/>
  <c r="AA57" i="2"/>
  <c r="CR57" i="2"/>
  <c r="CR58" i="2"/>
  <c r="CQ435" i="2"/>
  <c r="CQ433" i="2"/>
  <c r="DO243" i="3"/>
  <c r="DO244" i="3"/>
  <c r="FJ89" i="2"/>
  <c r="FJ88" i="2"/>
  <c r="GV86" i="3"/>
  <c r="FO173" i="3"/>
  <c r="FO175" i="3"/>
  <c r="FO25" i="3"/>
  <c r="EK173" i="3"/>
  <c r="EK175" i="3"/>
  <c r="EK25" i="3"/>
  <c r="DP28" i="2"/>
  <c r="DV317" i="2"/>
  <c r="DW315" i="2"/>
  <c r="DV316" i="2"/>
  <c r="DV318" i="2"/>
  <c r="DA296" i="2"/>
  <c r="DA297" i="2"/>
  <c r="FT122" i="3"/>
  <c r="EA25" i="3"/>
  <c r="EW168" i="3"/>
  <c r="EW35" i="3"/>
  <c r="EW33" i="3"/>
  <c r="EW42" i="3"/>
  <c r="EW45" i="3"/>
  <c r="ET45" i="3"/>
  <c r="ET33" i="3"/>
  <c r="ET42" i="3"/>
  <c r="ET35" i="3"/>
  <c r="AW155" i="3"/>
  <c r="AS17" i="3"/>
  <c r="AS18" i="3"/>
  <c r="M10" i="2"/>
  <c r="AW156" i="3"/>
  <c r="AS156" i="3"/>
  <c r="AT156" i="3" s="1"/>
  <c r="AS85" i="3"/>
  <c r="AV156" i="3"/>
  <c r="AU156" i="3"/>
  <c r="AT16" i="3"/>
  <c r="AT17" i="3" s="1"/>
  <c r="AV155" i="3"/>
  <c r="AS155" i="3"/>
  <c r="AT155" i="3" s="1"/>
  <c r="AU155" i="3"/>
  <c r="CR99" i="2"/>
  <c r="FF157" i="3"/>
  <c r="FA157" i="3"/>
  <c r="BT29" i="2"/>
  <c r="BT27" i="2"/>
  <c r="BT48" i="2"/>
  <c r="BT28" i="2"/>
  <c r="GE29" i="2"/>
  <c r="GE31" i="2"/>
  <c r="CI28" i="2"/>
  <c r="CI48" i="2"/>
  <c r="CJ49" i="2" s="1"/>
  <c r="CI27" i="2"/>
  <c r="CI29" i="2"/>
  <c r="DG70" i="3"/>
  <c r="GA455" i="2"/>
  <c r="GA454" i="2"/>
  <c r="BQ155" i="3"/>
  <c r="BM85" i="3"/>
  <c r="BM18" i="3"/>
  <c r="BM17" i="3"/>
  <c r="AC10" i="2"/>
  <c r="BM156" i="3"/>
  <c r="BN156" i="3" s="1"/>
  <c r="BP156" i="3"/>
  <c r="BQ156" i="3"/>
  <c r="BM155" i="3"/>
  <c r="BN155" i="3" s="1"/>
  <c r="BO156" i="3"/>
  <c r="BO155" i="3"/>
  <c r="BN16" i="3"/>
  <c r="BN17" i="3" s="1"/>
  <c r="BP155" i="3"/>
  <c r="EJ170" i="3"/>
  <c r="EK170" i="3" s="1"/>
  <c r="EC88" i="3"/>
  <c r="GC12" i="2"/>
  <c r="GC13" i="2"/>
  <c r="EC47" i="3"/>
  <c r="EC50" i="3"/>
  <c r="EC43" i="3"/>
  <c r="CE79" i="2"/>
  <c r="CR435" i="2"/>
  <c r="CR433" i="2"/>
  <c r="ED243" i="3"/>
  <c r="ED244" i="3"/>
  <c r="CW460" i="2"/>
  <c r="GA249" i="2"/>
  <c r="GA248" i="2"/>
  <c r="GA295" i="2"/>
  <c r="GA297" i="2" s="1"/>
  <c r="GA224" i="2"/>
  <c r="EO87" i="2"/>
  <c r="EO88" i="2"/>
  <c r="EP87" i="2"/>
  <c r="DK244" i="3"/>
  <c r="DK243" i="3"/>
  <c r="ER163" i="3"/>
  <c r="FR13" i="2"/>
  <c r="FR12" i="2"/>
  <c r="FS12" i="2"/>
  <c r="FX13" i="2"/>
  <c r="FX12" i="2"/>
  <c r="FX25" i="2"/>
  <c r="DT173" i="3"/>
  <c r="DT175" i="3"/>
  <c r="DT70" i="3"/>
  <c r="DX102" i="3" s="1"/>
  <c r="CA101" i="2" s="1"/>
  <c r="DT25" i="3"/>
  <c r="DT69" i="3" s="1"/>
  <c r="DT32" i="3"/>
  <c r="DW167" i="3" s="1"/>
  <c r="AP45" i="3"/>
  <c r="AP35" i="3"/>
  <c r="AP51" i="3" s="1"/>
  <c r="AP33" i="3"/>
  <c r="AP42" i="3"/>
  <c r="AP54" i="2"/>
  <c r="FU297" i="2"/>
  <c r="DM27" i="2"/>
  <c r="BW27" i="2"/>
  <c r="CN106" i="3"/>
  <c r="CN47" i="3"/>
  <c r="CN43" i="3"/>
  <c r="AX79" i="2"/>
  <c r="GG291" i="2"/>
  <c r="DG296" i="2"/>
  <c r="DG297" i="2"/>
  <c r="EO316" i="3"/>
  <c r="EO290" i="3"/>
  <c r="EQ288" i="3"/>
  <c r="CP28" i="2"/>
  <c r="BS122" i="3"/>
  <c r="CJ51" i="2"/>
  <c r="CJ50" i="2"/>
  <c r="CJ52" i="2"/>
  <c r="DG172" i="3"/>
  <c r="GE381" i="2"/>
  <c r="AW17" i="2"/>
  <c r="AW15" i="2"/>
  <c r="AW16" i="2"/>
  <c r="FK14" i="2"/>
  <c r="AX15" i="2"/>
  <c r="BA16" i="2"/>
  <c r="CU106" i="3"/>
  <c r="CU110" i="3" s="1"/>
  <c r="CU43" i="3"/>
  <c r="CU47" i="3"/>
  <c r="BD79" i="2"/>
  <c r="FC168" i="3"/>
  <c r="FC35" i="3"/>
  <c r="FC33" i="3"/>
  <c r="FC42" i="3"/>
  <c r="FC45" i="3"/>
  <c r="CA45" i="3"/>
  <c r="CA35" i="3"/>
  <c r="CA51" i="3" s="1"/>
  <c r="CA33" i="3"/>
  <c r="CA42" i="3"/>
  <c r="AE27" i="2"/>
  <c r="AE28" i="2"/>
  <c r="AE48" i="2"/>
  <c r="AE29" i="2"/>
  <c r="AR173" i="3"/>
  <c r="AR175" i="3"/>
  <c r="AR70" i="3"/>
  <c r="AR25" i="3"/>
  <c r="AR69" i="3" s="1"/>
  <c r="AR32" i="3"/>
  <c r="GH168" i="3"/>
  <c r="GI168" i="3" s="1"/>
  <c r="GL167" i="3"/>
  <c r="GH42" i="3"/>
  <c r="GH45" i="3"/>
  <c r="GH35" i="3"/>
  <c r="GH33" i="3"/>
  <c r="AA28" i="2"/>
  <c r="FX295" i="2"/>
  <c r="FX297" i="2" s="1"/>
  <c r="FX249" i="2"/>
  <c r="FX248" i="2"/>
  <c r="EM213" i="3"/>
  <c r="EM212" i="3"/>
  <c r="EN210" i="3"/>
  <c r="DJ19" i="2"/>
  <c r="DJ21" i="2"/>
  <c r="DJ20" i="2"/>
  <c r="GB18" i="2"/>
  <c r="DN20" i="2"/>
  <c r="DK19" i="2"/>
  <c r="CY415" i="2"/>
  <c r="CY457" i="2"/>
  <c r="CY413" i="2"/>
  <c r="EL290" i="3"/>
  <c r="EL316" i="3"/>
  <c r="EP288" i="3"/>
  <c r="EL289" i="3"/>
  <c r="EM289" i="3"/>
  <c r="DF52" i="2"/>
  <c r="GA48" i="2"/>
  <c r="DF49" i="2"/>
  <c r="DF51" i="2"/>
  <c r="DF50" i="2"/>
  <c r="CN52" i="2"/>
  <c r="CN49" i="2"/>
  <c r="CN51" i="2"/>
  <c r="CN50" i="2"/>
  <c r="CO49" i="2"/>
  <c r="FP191" i="2"/>
  <c r="FP190" i="2"/>
  <c r="FC167" i="3"/>
  <c r="EY42" i="3"/>
  <c r="EY45" i="3"/>
  <c r="EY35" i="3"/>
  <c r="EY33" i="3"/>
  <c r="CR415" i="2"/>
  <c r="CR457" i="2"/>
  <c r="CR413" i="2"/>
  <c r="DM244" i="3"/>
  <c r="DQ242" i="3"/>
  <c r="DM243" i="3"/>
  <c r="GR14" i="3"/>
  <c r="EH14" i="2"/>
  <c r="EG15" i="2"/>
  <c r="EG16" i="2"/>
  <c r="ES227" i="3"/>
  <c r="ES209" i="3"/>
  <c r="ET207" i="3"/>
  <c r="EU207" i="3" s="1"/>
  <c r="EU209" i="3" s="1"/>
  <c r="FO190" i="2"/>
  <c r="FO191" i="2"/>
  <c r="CZ52" i="2"/>
  <c r="CZ49" i="2"/>
  <c r="CZ51" i="2"/>
  <c r="CA54" i="2"/>
  <c r="CE56" i="2" s="1"/>
  <c r="BB54" i="2"/>
  <c r="AU110" i="3"/>
  <c r="ER309" i="3"/>
  <c r="ER285" i="3"/>
  <c r="ER286" i="3"/>
  <c r="DS124" i="3"/>
  <c r="DV124" i="3" s="1"/>
  <c r="DR173" i="3"/>
  <c r="DR175" i="3"/>
  <c r="DR70" i="3"/>
  <c r="DR25" i="3"/>
  <c r="DR69" i="3" s="1"/>
  <c r="DV24" i="3"/>
  <c r="EA173" i="3" s="1"/>
  <c r="DR32" i="3"/>
  <c r="AF25" i="3"/>
  <c r="AF32" i="3"/>
  <c r="BE173" i="3"/>
  <c r="BE175" i="3"/>
  <c r="BE70" i="3"/>
  <c r="BE25" i="3"/>
  <c r="BE69" i="3" s="1"/>
  <c r="BE32" i="3"/>
  <c r="FW69" i="3"/>
  <c r="FU106" i="3"/>
  <c r="FU50" i="3"/>
  <c r="FU63" i="3"/>
  <c r="FU47" i="3"/>
  <c r="FU43" i="3"/>
  <c r="DN79" i="2"/>
  <c r="FU56" i="3"/>
  <c r="DN66" i="2" s="1"/>
  <c r="DO450" i="2"/>
  <c r="DO449" i="2"/>
  <c r="FR175" i="3"/>
  <c r="FR173" i="3"/>
  <c r="FR70" i="3"/>
  <c r="FU102" i="3" s="1"/>
  <c r="DN101" i="2" s="1"/>
  <c r="FR32" i="3"/>
  <c r="FU167" i="3" s="1"/>
  <c r="FR25" i="3"/>
  <c r="BA88" i="2"/>
  <c r="BA89" i="2"/>
  <c r="BB87" i="2"/>
  <c r="BA87" i="2"/>
  <c r="BE88" i="2"/>
  <c r="EQ168" i="3"/>
  <c r="EQ35" i="3"/>
  <c r="EQ33" i="3"/>
  <c r="EQ45" i="3"/>
  <c r="EQ42" i="3"/>
  <c r="G27" i="2"/>
  <c r="G28" i="2"/>
  <c r="G48" i="2"/>
  <c r="K50" i="2" s="1"/>
  <c r="G29" i="2"/>
  <c r="DK52" i="2"/>
  <c r="DK54" i="2"/>
  <c r="DK50" i="2"/>
  <c r="DK51" i="2"/>
  <c r="EB244" i="3"/>
  <c r="EB243" i="3"/>
  <c r="DL172" i="3"/>
  <c r="DL174" i="3"/>
  <c r="DL19" i="3"/>
  <c r="GK167" i="3"/>
  <c r="GH167" i="3"/>
  <c r="GI167" i="3" s="1"/>
  <c r="GG35" i="3"/>
  <c r="GG33" i="3"/>
  <c r="GG42" i="3"/>
  <c r="GG45" i="3"/>
  <c r="DY167" i="3"/>
  <c r="DU42" i="3"/>
  <c r="DU45" i="3"/>
  <c r="DU35" i="3"/>
  <c r="DU33" i="3"/>
  <c r="BF173" i="3"/>
  <c r="BF175" i="3"/>
  <c r="BF70" i="3"/>
  <c r="BF25" i="3"/>
  <c r="BF69" i="3" s="1"/>
  <c r="BF32" i="3"/>
  <c r="FD173" i="3"/>
  <c r="FD175" i="3"/>
  <c r="FD70" i="3"/>
  <c r="FE70" i="3" s="1"/>
  <c r="FD25" i="3"/>
  <c r="FD32" i="3"/>
  <c r="FF167" i="3" s="1"/>
  <c r="CQ175" i="3"/>
  <c r="CQ32" i="3"/>
  <c r="CS168" i="3" s="1"/>
  <c r="CQ25" i="3"/>
  <c r="CQ69" i="3" s="1"/>
  <c r="CT101" i="3" s="1"/>
  <c r="BC100" i="2" s="1"/>
  <c r="CQ70" i="3"/>
  <c r="CR70" i="3" s="1"/>
  <c r="CR24" i="3"/>
  <c r="EA172" i="3"/>
  <c r="EG273" i="2"/>
  <c r="EG274" i="2"/>
  <c r="EG278" i="2"/>
  <c r="EF85" i="2"/>
  <c r="EF84" i="2"/>
  <c r="GR109" i="3"/>
  <c r="CP106" i="3"/>
  <c r="CP110" i="3" s="1"/>
  <c r="CP47" i="3"/>
  <c r="CP43" i="3"/>
  <c r="AZ79" i="2"/>
  <c r="FH69" i="3"/>
  <c r="CU422" i="2"/>
  <c r="CU421" i="2"/>
  <c r="FV173" i="3"/>
  <c r="FV175" i="3"/>
  <c r="FV70" i="3"/>
  <c r="FV25" i="3"/>
  <c r="FV32" i="3"/>
  <c r="FZ168" i="3" s="1"/>
  <c r="FY24" i="3"/>
  <c r="DM173" i="3"/>
  <c r="DM175" i="3"/>
  <c r="DM70" i="3"/>
  <c r="DM25" i="3"/>
  <c r="DM69" i="3" s="1"/>
  <c r="DQ24" i="3"/>
  <c r="DM32" i="3"/>
  <c r="FN106" i="3"/>
  <c r="FN110" i="3" s="1"/>
  <c r="FN50" i="3"/>
  <c r="FN63" i="3"/>
  <c r="DI76" i="2" s="1"/>
  <c r="FN47" i="3"/>
  <c r="FN48" i="3" s="1"/>
  <c r="FN43" i="3"/>
  <c r="DI79" i="2"/>
  <c r="FN56" i="3"/>
  <c r="DI66" i="2" s="1"/>
  <c r="DQ378" i="3"/>
  <c r="GJ168" i="3"/>
  <c r="GJ45" i="3"/>
  <c r="GJ42" i="3"/>
  <c r="GJ35" i="3"/>
  <c r="GJ33" i="3"/>
  <c r="EB168" i="3"/>
  <c r="EB45" i="3"/>
  <c r="EB35" i="3"/>
  <c r="EB33" i="3"/>
  <c r="EF32" i="3"/>
  <c r="EB42" i="3"/>
  <c r="FX45" i="3"/>
  <c r="FX42" i="3"/>
  <c r="FX35" i="3"/>
  <c r="FX33" i="3"/>
  <c r="BG27" i="2"/>
  <c r="ES175" i="3"/>
  <c r="DP449" i="2"/>
  <c r="DP450" i="2"/>
  <c r="EJ336" i="2"/>
  <c r="EK334" i="2"/>
  <c r="DJ29" i="2"/>
  <c r="DJ31" i="2"/>
  <c r="GB26" i="2"/>
  <c r="DJ28" i="2"/>
  <c r="DJ48" i="2"/>
  <c r="DK49" i="2" s="1"/>
  <c r="DJ27" i="2"/>
  <c r="DN28" i="2"/>
  <c r="CV48" i="2"/>
  <c r="CW49" i="2" s="1"/>
  <c r="CV29" i="2"/>
  <c r="CV27" i="2"/>
  <c r="CV31" i="2"/>
  <c r="CV28" i="2"/>
  <c r="DP51" i="2"/>
  <c r="DP52" i="2"/>
  <c r="DP54" i="2"/>
  <c r="DF433" i="2"/>
  <c r="CV457" i="2"/>
  <c r="CW458" i="2" s="1"/>
  <c r="CV415" i="2"/>
  <c r="CV414" i="2"/>
  <c r="CZ296" i="2"/>
  <c r="CZ297" i="2"/>
  <c r="EA69" i="3"/>
  <c r="BZ54" i="2"/>
  <c r="CS58" i="2"/>
  <c r="CS56" i="2"/>
  <c r="CS55" i="2"/>
  <c r="CS57" i="2"/>
  <c r="FY224" i="2"/>
  <c r="DZ168" i="3"/>
  <c r="EA168" i="3" s="1"/>
  <c r="ED167" i="3"/>
  <c r="DZ42" i="3"/>
  <c r="DZ45" i="3"/>
  <c r="DZ35" i="3"/>
  <c r="DZ33" i="3"/>
  <c r="GS55" i="3"/>
  <c r="EF63" i="2"/>
  <c r="DR52" i="2"/>
  <c r="DR54" i="2"/>
  <c r="DR49" i="2"/>
  <c r="DR51" i="2"/>
  <c r="DR50" i="2"/>
  <c r="BO27" i="2"/>
  <c r="BO28" i="2"/>
  <c r="BO48" i="2"/>
  <c r="BO29" i="2"/>
  <c r="F54" i="2"/>
  <c r="FF45" i="3"/>
  <c r="FF42" i="3"/>
  <c r="FF35" i="3"/>
  <c r="FF33" i="3"/>
  <c r="FJ32" i="3"/>
  <c r="CJ175" i="3"/>
  <c r="CJ70" i="3"/>
  <c r="CJ25" i="3"/>
  <c r="CJ69" i="3" s="1"/>
  <c r="AU54" i="2" s="1"/>
  <c r="CJ32" i="3"/>
  <c r="CO173" i="3"/>
  <c r="DF296" i="2"/>
  <c r="DF297" i="2"/>
  <c r="DX244" i="3"/>
  <c r="DX243" i="3"/>
  <c r="GA168" i="3"/>
  <c r="GA35" i="3"/>
  <c r="GA33" i="3"/>
  <c r="GA45" i="3"/>
  <c r="GA42" i="3"/>
  <c r="FX418" i="2"/>
  <c r="FX419" i="2"/>
  <c r="BY51" i="2"/>
  <c r="BY52" i="2"/>
  <c r="DD434" i="2"/>
  <c r="DD433" i="2"/>
  <c r="DD435" i="2"/>
  <c r="EH218" i="2"/>
  <c r="EI216" i="2"/>
  <c r="EH203" i="2"/>
  <c r="BZ51" i="2"/>
  <c r="BZ52" i="2"/>
  <c r="FS48" i="2"/>
  <c r="BZ49" i="2"/>
  <c r="BW51" i="2"/>
  <c r="BW52" i="2"/>
  <c r="FI173" i="3"/>
  <c r="GS22" i="3"/>
  <c r="HH96" i="3"/>
  <c r="HI96" i="3"/>
  <c r="HJ96" i="3" s="1"/>
  <c r="HK96" i="3" s="1"/>
  <c r="HL96" i="3" s="1"/>
  <c r="HM96" i="3" s="1"/>
  <c r="EH291" i="2"/>
  <c r="EI289" i="2"/>
  <c r="GC39" i="2"/>
  <c r="GT60" i="3"/>
  <c r="F51" i="2"/>
  <c r="FK167" i="3"/>
  <c r="CP435" i="2"/>
  <c r="FW432" i="2"/>
  <c r="FW435" i="2" s="1"/>
  <c r="CP155" i="3"/>
  <c r="CL85" i="3"/>
  <c r="CL18" i="3"/>
  <c r="CL17" i="3"/>
  <c r="AW10" i="2"/>
  <c r="CO155" i="3"/>
  <c r="CO156" i="3"/>
  <c r="CP156" i="3"/>
  <c r="CN156" i="3"/>
  <c r="CN155" i="3"/>
  <c r="CL155" i="3"/>
  <c r="CM155" i="3" s="1"/>
  <c r="CL156" i="3"/>
  <c r="CM156" i="3" s="1"/>
  <c r="CM16" i="3"/>
  <c r="CM17" i="3" s="1"/>
  <c r="DJ175" i="3"/>
  <c r="DJ173" i="3"/>
  <c r="DJ70" i="3"/>
  <c r="DJ32" i="3"/>
  <c r="DJ25" i="3"/>
  <c r="DJ69" i="3" s="1"/>
  <c r="CE57" i="2"/>
  <c r="CE58" i="2"/>
  <c r="FV295" i="2"/>
  <c r="FV297" i="2" s="1"/>
  <c r="FV249" i="2"/>
  <c r="FV248" i="2"/>
  <c r="AD54" i="2"/>
  <c r="FG88" i="2"/>
  <c r="FG89" i="2"/>
  <c r="FH88" i="2"/>
  <c r="CR27" i="2"/>
  <c r="ER308" i="3"/>
  <c r="ER198" i="3"/>
  <c r="ER199" i="3"/>
  <c r="FF89" i="2"/>
  <c r="GF39" i="2"/>
  <c r="CS52" i="2"/>
  <c r="CS49" i="2"/>
  <c r="CS50" i="2"/>
  <c r="CS51" i="2"/>
  <c r="EI228" i="2"/>
  <c r="EH230" i="2"/>
  <c r="CJ303" i="2"/>
  <c r="CK301" i="2"/>
  <c r="CJ254" i="2"/>
  <c r="DZ54" i="2"/>
  <c r="DZ49" i="2"/>
  <c r="DZ51" i="2"/>
  <c r="DZ50" i="2"/>
  <c r="DZ52" i="2"/>
  <c r="BU27" i="2"/>
  <c r="BU28" i="2"/>
  <c r="BU48" i="2"/>
  <c r="BY50" i="2" s="1"/>
  <c r="BU29" i="2"/>
  <c r="ED433" i="2"/>
  <c r="ED434" i="2"/>
  <c r="ED435" i="2"/>
  <c r="GC235" i="2"/>
  <c r="DG242" i="3"/>
  <c r="DG244" i="3" s="1"/>
  <c r="DC244" i="3"/>
  <c r="DC243" i="3"/>
  <c r="DD243" i="3"/>
  <c r="DN173" i="3"/>
  <c r="DN175" i="3"/>
  <c r="DN70" i="3"/>
  <c r="DN25" i="3"/>
  <c r="DN69" i="3" s="1"/>
  <c r="DN32" i="3"/>
  <c r="CU49" i="2"/>
  <c r="CU51" i="2"/>
  <c r="CU52" i="2"/>
  <c r="AN163" i="3"/>
  <c r="AO163" i="3" s="1"/>
  <c r="AJ92" i="3"/>
  <c r="CC49" i="2"/>
  <c r="CC51" i="2"/>
  <c r="CC50" i="2"/>
  <c r="CC52" i="2"/>
  <c r="CT52" i="2"/>
  <c r="CT49" i="2"/>
  <c r="CT51" i="2"/>
  <c r="CT50" i="2"/>
  <c r="GS58" i="3"/>
  <c r="DT20" i="2"/>
  <c r="DT19" i="2"/>
  <c r="DT21" i="2"/>
  <c r="DU19" i="2"/>
  <c r="DX20" i="2"/>
  <c r="GD18" i="2"/>
  <c r="FU25" i="2"/>
  <c r="FU13" i="2"/>
  <c r="FU12" i="2"/>
  <c r="FM106" i="3"/>
  <c r="FM110" i="3" s="1"/>
  <c r="FM63" i="3"/>
  <c r="DH76" i="2" s="1"/>
  <c r="FM47" i="3"/>
  <c r="FM48" i="3" s="1"/>
  <c r="FM50" i="3"/>
  <c r="FM43" i="3"/>
  <c r="DH79" i="2"/>
  <c r="FM56" i="3"/>
  <c r="DH66" i="2" s="1"/>
  <c r="DF168" i="3"/>
  <c r="DG168" i="3" s="1"/>
  <c r="DF42" i="3"/>
  <c r="DF35" i="3"/>
  <c r="DF33" i="3"/>
  <c r="DF45" i="3"/>
  <c r="FQ69" i="3"/>
  <c r="FQ102" i="3"/>
  <c r="DK101" i="2" s="1"/>
  <c r="EJ45" i="3"/>
  <c r="EJ35" i="3"/>
  <c r="EJ33" i="3"/>
  <c r="EJ42" i="3"/>
  <c r="AG35" i="3"/>
  <c r="AG51" i="3" s="1"/>
  <c r="AG33" i="3"/>
  <c r="AG42" i="3"/>
  <c r="AG45" i="3"/>
  <c r="DP352" i="2"/>
  <c r="AD51" i="2"/>
  <c r="CI173" i="3"/>
  <c r="CI70" i="3"/>
  <c r="CI25" i="3"/>
  <c r="CI69" i="3" s="1"/>
  <c r="CI32" i="3"/>
  <c r="CN173" i="3"/>
  <c r="AB48" i="2"/>
  <c r="AB29" i="2"/>
  <c r="AB27" i="2"/>
  <c r="DD168" i="3"/>
  <c r="DD45" i="3"/>
  <c r="DD42" i="3"/>
  <c r="DD35" i="3"/>
  <c r="DD33" i="3"/>
  <c r="FR224" i="2"/>
  <c r="AN124" i="3"/>
  <c r="EB51" i="2"/>
  <c r="EB50" i="2"/>
  <c r="EB52" i="2"/>
  <c r="EB54" i="2"/>
  <c r="EB49" i="2"/>
  <c r="EQ167" i="3"/>
  <c r="EM42" i="3"/>
  <c r="EM45" i="3"/>
  <c r="EM35" i="3"/>
  <c r="EM33" i="3"/>
  <c r="DS375" i="2"/>
  <c r="DT373" i="2"/>
  <c r="EY69" i="3"/>
  <c r="EP419" i="2"/>
  <c r="ET281" i="3"/>
  <c r="ET283" i="3" s="1"/>
  <c r="ES283" i="3"/>
  <c r="FZ29" i="2"/>
  <c r="FZ31" i="2"/>
  <c r="GB455" i="2"/>
  <c r="GB454" i="2"/>
  <c r="CK155" i="3"/>
  <c r="CG18" i="3"/>
  <c r="CG17" i="3"/>
  <c r="AS10" i="2"/>
  <c r="CG85" i="3"/>
  <c r="CK156" i="3"/>
  <c r="FE173" i="3"/>
  <c r="FE175" i="3"/>
  <c r="FE25" i="3"/>
  <c r="DH243" i="3"/>
  <c r="DL242" i="3"/>
  <c r="DH244" i="3"/>
  <c r="BA175" i="3"/>
  <c r="CI155" i="3"/>
  <c r="CG155" i="3"/>
  <c r="CH155" i="3" s="1"/>
  <c r="CE85" i="3"/>
  <c r="CE18" i="3"/>
  <c r="CE17" i="3"/>
  <c r="AQ10" i="2"/>
  <c r="CG156" i="3"/>
  <c r="CH156" i="3" s="1"/>
  <c r="CH16" i="3"/>
  <c r="CH17" i="3" s="1"/>
  <c r="CF156" i="3"/>
  <c r="CE155" i="3"/>
  <c r="CE156" i="3"/>
  <c r="CI156" i="3"/>
  <c r="CF155" i="3"/>
  <c r="CS45" i="3"/>
  <c r="CS35" i="3"/>
  <c r="CS51" i="3" s="1"/>
  <c r="CS33" i="3"/>
  <c r="CS42" i="3"/>
  <c r="DY54" i="2"/>
  <c r="DY49" i="2"/>
  <c r="DY51" i="2"/>
  <c r="DY50" i="2"/>
  <c r="DY52" i="2"/>
  <c r="GD310" i="2"/>
  <c r="GD312" i="2" s="1"/>
  <c r="GD269" i="2"/>
  <c r="GD268" i="2"/>
  <c r="DU426" i="2"/>
  <c r="DU425" i="2"/>
  <c r="GD424" i="2"/>
  <c r="ER387" i="3"/>
  <c r="ER386" i="3"/>
  <c r="AR17" i="2"/>
  <c r="AR15" i="2"/>
  <c r="AV16" i="2"/>
  <c r="AR16" i="2"/>
  <c r="FD13" i="2"/>
  <c r="GD235" i="2"/>
  <c r="FJ224" i="2"/>
  <c r="FY454" i="2"/>
  <c r="FY455" i="2"/>
  <c r="FI190" i="2"/>
  <c r="FI191" i="2"/>
  <c r="EU24" i="3"/>
  <c r="CK51" i="2"/>
  <c r="CK52" i="2"/>
  <c r="CK49" i="2"/>
  <c r="CO50" i="2"/>
  <c r="C27" i="2"/>
  <c r="BH51" i="2"/>
  <c r="BH50" i="2"/>
  <c r="BH52" i="2"/>
  <c r="BH49" i="2"/>
  <c r="BJ173" i="3"/>
  <c r="BJ70" i="3"/>
  <c r="BJ25" i="3"/>
  <c r="BJ69" i="3" s="1"/>
  <c r="BJ32" i="3"/>
  <c r="GU40" i="3"/>
  <c r="BK49" i="2"/>
  <c r="BK51" i="2"/>
  <c r="BK50" i="2"/>
  <c r="BK52" i="2"/>
  <c r="GC168" i="3"/>
  <c r="GD168" i="3" s="1"/>
  <c r="GC42" i="3"/>
  <c r="GC35" i="3"/>
  <c r="GC33" i="3"/>
  <c r="GC45" i="3"/>
  <c r="DU102" i="3"/>
  <c r="CW51" i="2"/>
  <c r="CW50" i="2"/>
  <c r="CW52" i="2"/>
  <c r="EA174" i="3"/>
  <c r="AX58" i="2"/>
  <c r="AX57" i="2"/>
  <c r="EV168" i="3"/>
  <c r="EV35" i="3"/>
  <c r="EV33" i="3"/>
  <c r="EV42" i="3"/>
  <c r="EV45" i="3"/>
  <c r="EC167" i="3"/>
  <c r="DZ167" i="3"/>
  <c r="EA167" i="3" s="1"/>
  <c r="DY168" i="3"/>
  <c r="DY35" i="3"/>
  <c r="DY33" i="3"/>
  <c r="DY45" i="3"/>
  <c r="DY42" i="3"/>
  <c r="GJ86" i="2"/>
  <c r="FK88" i="2"/>
  <c r="FK89" i="2"/>
  <c r="GI173" i="3"/>
  <c r="GI175" i="3"/>
  <c r="GI25" i="3"/>
  <c r="EH443" i="2"/>
  <c r="EG440" i="2"/>
  <c r="GG440" i="2" s="1"/>
  <c r="EE432" i="2"/>
  <c r="EE438" i="2"/>
  <c r="EE437" i="2"/>
  <c r="EG239" i="2"/>
  <c r="EG238" i="2"/>
  <c r="CX175" i="3"/>
  <c r="CX173" i="3"/>
  <c r="CX70" i="3"/>
  <c r="DB70" i="3" s="1"/>
  <c r="CX32" i="3"/>
  <c r="CX25" i="3"/>
  <c r="CX69" i="3" s="1"/>
  <c r="CZ101" i="3" s="1"/>
  <c r="BH100" i="2" s="1"/>
  <c r="DB24" i="3"/>
  <c r="GJ69" i="3"/>
  <c r="GN70" i="3"/>
  <c r="GO102" i="3" s="1"/>
  <c r="ED101" i="2" s="1"/>
  <c r="GJ102" i="3"/>
  <c r="DZ101" i="2" s="1"/>
  <c r="EB69" i="3"/>
  <c r="EB102" i="3"/>
  <c r="CD101" i="2" s="1"/>
  <c r="FX69" i="3"/>
  <c r="FX102" i="3"/>
  <c r="S51" i="2"/>
  <c r="S50" i="2"/>
  <c r="BK175" i="3"/>
  <c r="DP243" i="3"/>
  <c r="EQ379" i="3"/>
  <c r="FI13" i="2"/>
  <c r="FK168" i="3"/>
  <c r="FK42" i="3"/>
  <c r="FK158" i="3" s="1"/>
  <c r="FK33" i="3"/>
  <c r="FO32" i="3"/>
  <c r="FK45" i="3"/>
  <c r="FK35" i="3"/>
  <c r="EG168" i="3"/>
  <c r="EG42" i="3"/>
  <c r="EG45" i="3"/>
  <c r="EG35" i="3"/>
  <c r="EG33" i="3"/>
  <c r="DP27" i="2"/>
  <c r="GD317" i="2"/>
  <c r="GD318" i="2"/>
  <c r="DG434" i="2"/>
  <c r="DA422" i="2"/>
  <c r="DA421" i="2"/>
  <c r="CZ422" i="2"/>
  <c r="CZ421" i="2"/>
  <c r="FS45" i="3"/>
  <c r="FS33" i="3"/>
  <c r="FS42" i="3"/>
  <c r="FS35" i="3"/>
  <c r="DW45" i="3"/>
  <c r="DW42" i="3"/>
  <c r="DW33" i="3"/>
  <c r="EA32" i="3"/>
  <c r="DW35" i="3"/>
  <c r="DW51" i="3" s="1"/>
  <c r="EA51" i="3" s="1"/>
  <c r="EW69" i="3"/>
  <c r="EW102" i="3"/>
  <c r="CU101" i="2" s="1"/>
  <c r="DL19" i="2"/>
  <c r="DL20" i="2"/>
  <c r="DL21" i="2"/>
  <c r="DP20" i="2"/>
  <c r="DM19" i="2"/>
  <c r="CC54" i="2"/>
  <c r="DZ101" i="3"/>
  <c r="GS109" i="3"/>
  <c r="AK45" i="3"/>
  <c r="AK42" i="3"/>
  <c r="AK35" i="3"/>
  <c r="AK51" i="3" s="1"/>
  <c r="AK33" i="3"/>
  <c r="DO173" i="3"/>
  <c r="DO175" i="3"/>
  <c r="DO70" i="3"/>
  <c r="DO32" i="3"/>
  <c r="DO25" i="3"/>
  <c r="DO69" i="3" s="1"/>
  <c r="EH175" i="3"/>
  <c r="EH173" i="3"/>
  <c r="EH70" i="3"/>
  <c r="EJ102" i="3" s="1"/>
  <c r="EH32" i="3"/>
  <c r="EH25" i="3"/>
  <c r="FJ70" i="3"/>
  <c r="FF69" i="3"/>
  <c r="FF102" i="3"/>
  <c r="DB101" i="2" s="1"/>
  <c r="DC173" i="3"/>
  <c r="FX455" i="2"/>
  <c r="FX454" i="2"/>
  <c r="DX52" i="2"/>
  <c r="DX54" i="2"/>
  <c r="DX49" i="2"/>
  <c r="DX51" i="2"/>
  <c r="FC89" i="2"/>
  <c r="FC88" i="2"/>
  <c r="FD88" i="2"/>
  <c r="CD175" i="3"/>
  <c r="ER167" i="3"/>
  <c r="EN45" i="3"/>
  <c r="EN42" i="3"/>
  <c r="EN35" i="3"/>
  <c r="EN33" i="3"/>
  <c r="EG243" i="2"/>
  <c r="EG242" i="2"/>
  <c r="GG241" i="2"/>
  <c r="ES196" i="3"/>
  <c r="ET194" i="3"/>
  <c r="ET196" i="3" s="1"/>
  <c r="FS29" i="2"/>
  <c r="FS31" i="2"/>
  <c r="K28" i="2"/>
  <c r="FE86" i="2"/>
  <c r="FF88" i="2" s="1"/>
  <c r="AH42" i="3"/>
  <c r="AH45" i="3"/>
  <c r="AH35" i="3"/>
  <c r="AH51" i="3" s="1"/>
  <c r="AH33" i="3"/>
  <c r="CB28" i="2"/>
  <c r="EG292" i="2"/>
  <c r="CV421" i="2"/>
  <c r="GS60" i="3"/>
  <c r="CP49" i="2"/>
  <c r="CP51" i="2"/>
  <c r="CP52" i="2"/>
  <c r="EE236" i="3"/>
  <c r="EE238" i="3"/>
  <c r="EE230" i="3"/>
  <c r="EE235" i="3"/>
  <c r="EF234" i="3"/>
  <c r="DD51" i="2"/>
  <c r="DD50" i="2"/>
  <c r="DD52" i="2"/>
  <c r="DD49" i="2"/>
  <c r="DH50" i="2"/>
  <c r="DT48" i="2"/>
  <c r="GD48" i="2" s="1"/>
  <c r="DT29" i="2"/>
  <c r="DT28" i="2"/>
  <c r="DT31" i="2"/>
  <c r="DT27" i="2"/>
  <c r="FG168" i="3"/>
  <c r="CX457" i="2"/>
  <c r="DB459" i="2" s="1"/>
  <c r="FC69" i="3"/>
  <c r="FC102" i="3"/>
  <c r="CZ101" i="2" s="1"/>
  <c r="CA173" i="3"/>
  <c r="CQ401" i="3"/>
  <c r="CQ400" i="3"/>
  <c r="BO45" i="3"/>
  <c r="BO35" i="3"/>
  <c r="BO33" i="3"/>
  <c r="BO42" i="3"/>
  <c r="BP173" i="3"/>
  <c r="BP175" i="3"/>
  <c r="BP70" i="3"/>
  <c r="BP25" i="3"/>
  <c r="BP69" i="3" s="1"/>
  <c r="BP32" i="3"/>
  <c r="GH69" i="3"/>
  <c r="GH102" i="3"/>
  <c r="CT296" i="2"/>
  <c r="CT297" i="2"/>
  <c r="EQ388" i="3"/>
  <c r="EL311" i="3"/>
  <c r="EL215" i="3"/>
  <c r="EL214" i="3"/>
  <c r="GB12" i="2"/>
  <c r="GB13" i="2"/>
  <c r="GB248" i="2"/>
  <c r="DI434" i="2"/>
  <c r="DC434" i="2"/>
  <c r="DC433" i="2"/>
  <c r="DC435" i="2"/>
  <c r="BS48" i="2"/>
  <c r="BS29" i="2"/>
  <c r="BS27" i="2"/>
  <c r="BS28" i="2"/>
  <c r="FB69" i="3"/>
  <c r="DZ244" i="3"/>
  <c r="DZ243" i="3"/>
  <c r="EE170" i="3"/>
  <c r="EF170" i="3" s="1"/>
  <c r="EE169" i="3"/>
  <c r="EF169" i="3" s="1"/>
  <c r="EJ163" i="3"/>
  <c r="EK163" i="3" s="1"/>
  <c r="EE153" i="3"/>
  <c r="EF153" i="3" s="1"/>
  <c r="EF92" i="3"/>
  <c r="CY433" i="2"/>
  <c r="CY435" i="2"/>
  <c r="CY434" i="2"/>
  <c r="AN51" i="2"/>
  <c r="EL173" i="3"/>
  <c r="EL175" i="3"/>
  <c r="EL70" i="3"/>
  <c r="EM102" i="3" s="1"/>
  <c r="CM101" i="2" s="1"/>
  <c r="EL25" i="3"/>
  <c r="EP24" i="3"/>
  <c r="EL32" i="3"/>
  <c r="EN168" i="3" s="1"/>
  <c r="EK311" i="3"/>
  <c r="EK215" i="3"/>
  <c r="GK69" i="3"/>
  <c r="GK102" i="3"/>
  <c r="EA101" i="2" s="1"/>
  <c r="DM296" i="2"/>
  <c r="DM297" i="2"/>
  <c r="EN377" i="3"/>
  <c r="EN378" i="3"/>
  <c r="GD13" i="2"/>
  <c r="GD12" i="2"/>
  <c r="GE12" i="2"/>
  <c r="DP175" i="3"/>
  <c r="DP173" i="3"/>
  <c r="DP70" i="3"/>
  <c r="DP32" i="3"/>
  <c r="DP25" i="3"/>
  <c r="DP69" i="3" s="1"/>
  <c r="DN243" i="3"/>
  <c r="DN244" i="3"/>
  <c r="BL175" i="3"/>
  <c r="BL70" i="3"/>
  <c r="BL25" i="3"/>
  <c r="BL69" i="3" s="1"/>
  <c r="BL32" i="3"/>
  <c r="DS408" i="2"/>
  <c r="DT406" i="2"/>
  <c r="DN296" i="2"/>
  <c r="R29" i="2"/>
  <c r="FD26" i="2"/>
  <c r="R48" i="2"/>
  <c r="S49" i="2" s="1"/>
  <c r="R28" i="2"/>
  <c r="EM69" i="3"/>
  <c r="DS296" i="2"/>
  <c r="DS297" i="2"/>
  <c r="GB419" i="2"/>
  <c r="GB418" i="2"/>
  <c r="GC435" i="2"/>
  <c r="FZ42" i="3"/>
  <c r="FZ35" i="3"/>
  <c r="FZ33" i="3"/>
  <c r="GD32" i="3"/>
  <c r="GG167" i="3" s="1"/>
  <c r="FZ45" i="3"/>
  <c r="CR401" i="3"/>
  <c r="CR396" i="3"/>
  <c r="CR398" i="3" s="1"/>
  <c r="EO202" i="3"/>
  <c r="EO203" i="3"/>
  <c r="EP201" i="3"/>
  <c r="EP203" i="3" s="1"/>
  <c r="DR431" i="2"/>
  <c r="DQ428" i="2"/>
  <c r="GC428" i="2" s="1"/>
  <c r="FQ190" i="2"/>
  <c r="BE28" i="2"/>
  <c r="BE48" i="2"/>
  <c r="BE27" i="2"/>
  <c r="BE29" i="2"/>
  <c r="BI28" i="2"/>
  <c r="DL240" i="3"/>
  <c r="EF378" i="3"/>
  <c r="DY244" i="3"/>
  <c r="DY243" i="3"/>
  <c r="CW70" i="3"/>
  <c r="EH287" i="2"/>
  <c r="EI285" i="2"/>
  <c r="DU152" i="2"/>
  <c r="DU151" i="2"/>
  <c r="DU150" i="2"/>
  <c r="DU153" i="2"/>
  <c r="GD149" i="2"/>
  <c r="GB89" i="2"/>
  <c r="GB88" i="2"/>
  <c r="GC88" i="2"/>
  <c r="FI89" i="2"/>
  <c r="FI88" i="2"/>
  <c r="CJ155" i="3"/>
  <c r="CF18" i="3"/>
  <c r="CF17" i="3"/>
  <c r="AR10" i="2"/>
  <c r="CJ156" i="3"/>
  <c r="CF85" i="3"/>
  <c r="EA51" i="2"/>
  <c r="EA50" i="2"/>
  <c r="EA52" i="2"/>
  <c r="EA54" i="2"/>
  <c r="EA49" i="2"/>
  <c r="J51" i="2"/>
  <c r="J50" i="2"/>
  <c r="N50" i="2"/>
  <c r="FW173" i="3"/>
  <c r="FZ432" i="2"/>
  <c r="GA434" i="2" s="1"/>
  <c r="AH48" i="2"/>
  <c r="AH29" i="2"/>
  <c r="AH28" i="2"/>
  <c r="AL28" i="2"/>
  <c r="CY52" i="2"/>
  <c r="CY49" i="2"/>
  <c r="CY50" i="2"/>
  <c r="CY51" i="2"/>
  <c r="DC50" i="2"/>
  <c r="AL173" i="3"/>
  <c r="AL175" i="3"/>
  <c r="AL70" i="3"/>
  <c r="AL25" i="3"/>
  <c r="AL69" i="3" s="1"/>
  <c r="G54" i="2" s="1"/>
  <c r="AL32" i="3"/>
  <c r="FY26" i="2"/>
  <c r="C51" i="2"/>
  <c r="ER187" i="3"/>
  <c r="ER201" i="3" s="1"/>
  <c r="ES184" i="3"/>
  <c r="ER186" i="3"/>
  <c r="EW88" i="2"/>
  <c r="FV12" i="2"/>
  <c r="FV25" i="2"/>
  <c r="FV13" i="2"/>
  <c r="DH173" i="3"/>
  <c r="DH175" i="3"/>
  <c r="DH70" i="3"/>
  <c r="DH25" i="3"/>
  <c r="DH69" i="3" s="1"/>
  <c r="DL24" i="3"/>
  <c r="DH32" i="3"/>
  <c r="BB27" i="2"/>
  <c r="GG69" i="3"/>
  <c r="GC69" i="3"/>
  <c r="GC102" i="3"/>
  <c r="CS433" i="2"/>
  <c r="CS435" i="2"/>
  <c r="DA414" i="2"/>
  <c r="DA457" i="2"/>
  <c r="DA413" i="2"/>
  <c r="DA415" i="2"/>
  <c r="DQ232" i="3"/>
  <c r="DS35" i="3"/>
  <c r="DS33" i="3"/>
  <c r="DS42" i="3"/>
  <c r="DS45" i="3"/>
  <c r="EZ175" i="3"/>
  <c r="EZ173" i="3"/>
  <c r="EZ25" i="3"/>
  <c r="DY101" i="3"/>
  <c r="CB100" i="2" s="1"/>
  <c r="CB54" i="2"/>
  <c r="GT59" i="3"/>
  <c r="EG83" i="2"/>
  <c r="GR51" i="3"/>
  <c r="GS51" i="3" s="1"/>
  <c r="ET149" i="3"/>
  <c r="EU149" i="3" s="1"/>
  <c r="ET144" i="3"/>
  <c r="EU144" i="3" s="1"/>
  <c r="ET100" i="3"/>
  <c r="EU77" i="3"/>
  <c r="EU100" i="3" s="1"/>
  <c r="CS98" i="2"/>
  <c r="FW98" i="2" s="1"/>
  <c r="ET87" i="3"/>
  <c r="AJ29" i="2"/>
  <c r="AJ48" i="2"/>
  <c r="EF442" i="2"/>
  <c r="EF441" i="2"/>
  <c r="EJ439" i="2"/>
  <c r="EE135" i="2"/>
  <c r="EE134" i="2"/>
  <c r="EF445" i="2"/>
  <c r="EF446" i="2"/>
  <c r="DI124" i="3"/>
  <c r="GA419" i="2"/>
  <c r="GA418" i="2"/>
  <c r="BG51" i="2"/>
  <c r="BG52" i="2"/>
  <c r="BK173" i="3"/>
  <c r="DQ297" i="2"/>
  <c r="CP457" i="2"/>
  <c r="CP415" i="2"/>
  <c r="FW412" i="2"/>
  <c r="FW415" i="2" s="1"/>
  <c r="BH15" i="3"/>
  <c r="BH16" i="3"/>
  <c r="BH155" i="3" s="1"/>
  <c r="BI155" i="3" s="1"/>
  <c r="FT172" i="3"/>
  <c r="FT174" i="3"/>
  <c r="FT19" i="3"/>
  <c r="EX173" i="3"/>
  <c r="EX175" i="3"/>
  <c r="EX70" i="3"/>
  <c r="EZ70" i="3" s="1"/>
  <c r="EX25" i="3"/>
  <c r="EX32" i="3"/>
  <c r="EX167" i="3" s="1"/>
  <c r="FO70" i="3"/>
  <c r="FK69" i="3"/>
  <c r="FK102" i="3"/>
  <c r="DF101" i="2" s="1"/>
  <c r="EG69" i="3"/>
  <c r="FS191" i="2"/>
  <c r="FS190" i="2"/>
  <c r="FT190" i="2"/>
  <c r="FM190" i="2"/>
  <c r="FM191" i="2"/>
  <c r="AC16" i="2"/>
  <c r="AC15" i="2"/>
  <c r="AC17" i="2"/>
  <c r="AD15" i="2"/>
  <c r="FF14" i="2"/>
  <c r="FS69" i="3"/>
  <c r="EA70" i="3"/>
  <c r="DW102" i="3"/>
  <c r="BZ101" i="2" s="1"/>
  <c r="BL49" i="2"/>
  <c r="BL51" i="2"/>
  <c r="BL50" i="2"/>
  <c r="BL52" i="2"/>
  <c r="DZ102" i="3"/>
  <c r="AT15" i="3"/>
  <c r="P14" i="2"/>
  <c r="FC14" i="2" s="1"/>
  <c r="EU172" i="3"/>
  <c r="EU174" i="3"/>
  <c r="EU19" i="3"/>
  <c r="EI45" i="3"/>
  <c r="EI35" i="3"/>
  <c r="EI33" i="3"/>
  <c r="EI42" i="3"/>
  <c r="DI173" i="3"/>
  <c r="DI175" i="3"/>
  <c r="DI70" i="3"/>
  <c r="DI32" i="3"/>
  <c r="DI25" i="3"/>
  <c r="DI69" i="3" s="1"/>
  <c r="DV51" i="2"/>
  <c r="DV50" i="2"/>
  <c r="DV52" i="2"/>
  <c r="GE48" i="2"/>
  <c r="DV54" i="2"/>
  <c r="DV49" i="2"/>
  <c r="DW49" i="2"/>
  <c r="DG173" i="3"/>
  <c r="DG175" i="3"/>
  <c r="DG25" i="3"/>
  <c r="CW414" i="2"/>
  <c r="GA69" i="3"/>
  <c r="DK433" i="2"/>
  <c r="GL168" i="3"/>
  <c r="GM167" i="3"/>
  <c r="GN167" i="3" s="1"/>
  <c r="GL45" i="3"/>
  <c r="GL35" i="3"/>
  <c r="GL33" i="3"/>
  <c r="GL42" i="3"/>
  <c r="EN69" i="3"/>
  <c r="EN102" i="3"/>
  <c r="CN101" i="2" s="1"/>
  <c r="EO102" i="3"/>
  <c r="DA168" i="3"/>
  <c r="DB168" i="3" s="1"/>
  <c r="DU51" i="2"/>
  <c r="DU50" i="2"/>
  <c r="DU52" i="2"/>
  <c r="DU54" i="2"/>
  <c r="GG218" i="2"/>
  <c r="BZ28" i="2"/>
  <c r="FM167" i="3"/>
  <c r="FI168" i="3"/>
  <c r="FJ168" i="3" s="1"/>
  <c r="FI35" i="3"/>
  <c r="FI33" i="3"/>
  <c r="FI45" i="3"/>
  <c r="FI42" i="3"/>
  <c r="EG312" i="3"/>
  <c r="EG234" i="3"/>
  <c r="EG225" i="3"/>
  <c r="EG224" i="3"/>
  <c r="CB52" i="2"/>
  <c r="CB49" i="2"/>
  <c r="CB51" i="2"/>
  <c r="CF50" i="2"/>
  <c r="FU224" i="2"/>
  <c r="CJ27" i="2"/>
  <c r="F28" i="2"/>
  <c r="EG431" i="2"/>
  <c r="CU168" i="3"/>
  <c r="GI86" i="2"/>
  <c r="CR122" i="3"/>
  <c r="CR51" i="2"/>
  <c r="CR50" i="2"/>
  <c r="CR52" i="2"/>
  <c r="CT422" i="2"/>
  <c r="FX420" i="2"/>
  <c r="CT421" i="2"/>
  <c r="ES373" i="3"/>
  <c r="ES183" i="3"/>
  <c r="ET181" i="3"/>
  <c r="EU181" i="3" s="1"/>
  <c r="EU183" i="3" s="1"/>
  <c r="GG203" i="2"/>
  <c r="DE297" i="2"/>
  <c r="GJ30" i="2"/>
  <c r="DB460" i="2"/>
  <c r="FY248" i="2"/>
  <c r="FA89" i="2" l="1"/>
  <c r="CE308" i="2"/>
  <c r="EF114" i="2"/>
  <c r="FM31" i="2"/>
  <c r="EG109" i="2"/>
  <c r="GG201" i="2"/>
  <c r="EG195" i="2"/>
  <c r="GG195" i="2" s="1"/>
  <c r="GG197" i="2" s="1"/>
  <c r="EG200" i="2"/>
  <c r="CU415" i="2"/>
  <c r="EG201" i="2"/>
  <c r="FU31" i="2"/>
  <c r="EH214" i="2"/>
  <c r="FE16" i="2"/>
  <c r="DQ362" i="2"/>
  <c r="DQ360" i="2"/>
  <c r="EF110" i="2"/>
  <c r="EF222" i="2"/>
  <c r="EF223" i="2" s="1"/>
  <c r="EF196" i="2"/>
  <c r="EI159" i="2"/>
  <c r="GG292" i="2"/>
  <c r="GG288" i="2"/>
  <c r="GG113" i="2"/>
  <c r="GG115" i="2" s="1"/>
  <c r="DQ394" i="2"/>
  <c r="DQ396" i="2" s="1"/>
  <c r="FT265" i="2"/>
  <c r="EH199" i="2"/>
  <c r="EH109" i="2" s="1"/>
  <c r="EH209" i="2"/>
  <c r="EH210" i="2" s="1"/>
  <c r="EG219" i="2"/>
  <c r="DO389" i="2"/>
  <c r="FU29" i="2"/>
  <c r="GG209" i="2"/>
  <c r="GG219" i="2" s="1"/>
  <c r="EG211" i="2"/>
  <c r="EG210" i="2"/>
  <c r="BZ50" i="2"/>
  <c r="FA26" i="2"/>
  <c r="FA29" i="2" s="1"/>
  <c r="DP387" i="2"/>
  <c r="DP388" i="2" s="1"/>
  <c r="FX31" i="2"/>
  <c r="DP397" i="2"/>
  <c r="L28" i="2"/>
  <c r="U49" i="2"/>
  <c r="FY422" i="2"/>
  <c r="FA88" i="2"/>
  <c r="CV413" i="2"/>
  <c r="GD29" i="2"/>
  <c r="DS383" i="2"/>
  <c r="DS380" i="2" s="1"/>
  <c r="CY414" i="2"/>
  <c r="CB50" i="2"/>
  <c r="GE28" i="2"/>
  <c r="GD28" i="2"/>
  <c r="DT365" i="2"/>
  <c r="DT367" i="2" s="1"/>
  <c r="AG16" i="2"/>
  <c r="CT414" i="2"/>
  <c r="FO88" i="2"/>
  <c r="BJ49" i="2"/>
  <c r="CT415" i="2"/>
  <c r="BI49" i="2"/>
  <c r="CU50" i="2"/>
  <c r="CK50" i="2"/>
  <c r="CT413" i="2"/>
  <c r="CX414" i="2"/>
  <c r="CG50" i="2"/>
  <c r="CU457" i="2"/>
  <c r="CU460" i="2" s="1"/>
  <c r="FX412" i="2"/>
  <c r="FX415" i="2" s="1"/>
  <c r="DQ351" i="2"/>
  <c r="GC359" i="2"/>
  <c r="GC362" i="2" s="1"/>
  <c r="CU413" i="2"/>
  <c r="C49" i="2"/>
  <c r="FN88" i="2"/>
  <c r="GF48" i="2"/>
  <c r="GF52" i="2" s="1"/>
  <c r="EC50" i="2"/>
  <c r="ED49" i="2"/>
  <c r="DP50" i="2"/>
  <c r="FI31" i="2"/>
  <c r="FI29" i="2"/>
  <c r="BG50" i="2"/>
  <c r="GF28" i="2"/>
  <c r="GF31" i="2"/>
  <c r="BZ32" i="3"/>
  <c r="BZ25" i="3"/>
  <c r="BZ69" i="3" s="1"/>
  <c r="AM54" i="2" s="1"/>
  <c r="AM58" i="2" s="1"/>
  <c r="BZ175" i="3"/>
  <c r="BZ70" i="3"/>
  <c r="CA175" i="3"/>
  <c r="FK166" i="3"/>
  <c r="EK70" i="3"/>
  <c r="AM48" i="2"/>
  <c r="AM27" i="2"/>
  <c r="AN27" i="2"/>
  <c r="AM29" i="2"/>
  <c r="CC70" i="3"/>
  <c r="GE102" i="3"/>
  <c r="DV101" i="2" s="1"/>
  <c r="BR156" i="3"/>
  <c r="BS156" i="3" s="1"/>
  <c r="AO24" i="3"/>
  <c r="EM167" i="3"/>
  <c r="FW167" i="3"/>
  <c r="DW168" i="3"/>
  <c r="DU101" i="3"/>
  <c r="DS168" i="3"/>
  <c r="BF167" i="3"/>
  <c r="CG101" i="2"/>
  <c r="GO167" i="3"/>
  <c r="BV175" i="3"/>
  <c r="AX174" i="3"/>
  <c r="AX24" i="3"/>
  <c r="AZ174" i="3"/>
  <c r="AX19" i="3"/>
  <c r="Q26" i="2"/>
  <c r="FC26" i="2" s="1"/>
  <c r="FD28" i="2" s="1"/>
  <c r="BC172" i="3"/>
  <c r="AD50" i="2"/>
  <c r="EU32" i="3"/>
  <c r="EU33" i="3" s="1"/>
  <c r="CW69" i="3"/>
  <c r="ES102" i="3"/>
  <c r="CR101" i="2" s="1"/>
  <c r="CH49" i="2"/>
  <c r="CV167" i="3"/>
  <c r="CW167" i="3" s="1"/>
  <c r="BU25" i="3"/>
  <c r="BU69" i="3" s="1"/>
  <c r="AI54" i="2" s="1"/>
  <c r="AI58" i="2" s="1"/>
  <c r="BU70" i="3"/>
  <c r="BU32" i="3"/>
  <c r="BZ173" i="3"/>
  <c r="GM168" i="3"/>
  <c r="GN168" i="3" s="1"/>
  <c r="U12" i="2"/>
  <c r="T97" i="2"/>
  <c r="R11" i="2"/>
  <c r="S97" i="2"/>
  <c r="Q11" i="2"/>
  <c r="FC10" i="2"/>
  <c r="Q97" i="2"/>
  <c r="R97" i="2"/>
  <c r="Q13" i="2"/>
  <c r="FK171" i="3"/>
  <c r="FS102" i="3"/>
  <c r="FS168" i="3"/>
  <c r="FT168" i="3" s="1"/>
  <c r="DX101" i="3"/>
  <c r="CA100" i="2" s="1"/>
  <c r="FG14" i="2"/>
  <c r="FG17" i="2" s="1"/>
  <c r="BI52" i="2"/>
  <c r="BI51" i="2"/>
  <c r="DA42" i="3"/>
  <c r="DE159" i="3" s="1"/>
  <c r="DA45" i="3"/>
  <c r="DA35" i="3"/>
  <c r="DA33" i="3"/>
  <c r="FY48" i="2"/>
  <c r="FY51" i="2" s="1"/>
  <c r="GO168" i="3"/>
  <c r="AI48" i="2"/>
  <c r="AI49" i="2" s="1"/>
  <c r="AI27" i="2"/>
  <c r="AI29" i="2"/>
  <c r="AM28" i="2"/>
  <c r="AI28" i="2"/>
  <c r="FR167" i="3"/>
  <c r="GE167" i="3"/>
  <c r="DW101" i="3"/>
  <c r="BZ100" i="2" s="1"/>
  <c r="BU175" i="3"/>
  <c r="EG102" i="3"/>
  <c r="CH101" i="2" s="1"/>
  <c r="EF70" i="3"/>
  <c r="CY168" i="3"/>
  <c r="DI167" i="3"/>
  <c r="EO167" i="3"/>
  <c r="EP167" i="3" s="1"/>
  <c r="EM168" i="3"/>
  <c r="DS101" i="3"/>
  <c r="BW100" i="2" s="1"/>
  <c r="EA175" i="3"/>
  <c r="DV244" i="3"/>
  <c r="FP167" i="3"/>
  <c r="AG10" i="2"/>
  <c r="FG10" i="2" s="1"/>
  <c r="FG13" i="2" s="1"/>
  <c r="BV155" i="3"/>
  <c r="BR17" i="3"/>
  <c r="BR85" i="3"/>
  <c r="BV156" i="3"/>
  <c r="BR18" i="3"/>
  <c r="BW172" i="3" s="1"/>
  <c r="AY174" i="3"/>
  <c r="AY19" i="3"/>
  <c r="AP175" i="3"/>
  <c r="AN175" i="3"/>
  <c r="AN70" i="3"/>
  <c r="AN25" i="3"/>
  <c r="AN69" i="3" s="1"/>
  <c r="AN32" i="3"/>
  <c r="H48" i="2"/>
  <c r="L50" i="2" s="1"/>
  <c r="H28" i="2"/>
  <c r="H29" i="2"/>
  <c r="BC56" i="2"/>
  <c r="BC57" i="2"/>
  <c r="BD55" i="2"/>
  <c r="BC58" i="2"/>
  <c r="AK174" i="3"/>
  <c r="AI24" i="3"/>
  <c r="AI19" i="3"/>
  <c r="E26" i="2"/>
  <c r="I28" i="2" s="1"/>
  <c r="AJ18" i="3"/>
  <c r="E13" i="2"/>
  <c r="F97" i="2"/>
  <c r="F11" i="2"/>
  <c r="E11" i="2"/>
  <c r="EZ10" i="2"/>
  <c r="G97" i="2"/>
  <c r="E97" i="2"/>
  <c r="H97" i="2"/>
  <c r="CP173" i="3"/>
  <c r="CK25" i="3"/>
  <c r="CK69" i="3" s="1"/>
  <c r="AV54" i="2" s="1"/>
  <c r="AV55" i="2" s="1"/>
  <c r="CK175" i="3"/>
  <c r="CK70" i="3"/>
  <c r="CK32" i="3"/>
  <c r="BY174" i="3"/>
  <c r="BW174" i="3"/>
  <c r="BW24" i="3"/>
  <c r="BW19" i="3"/>
  <c r="AK26" i="2"/>
  <c r="CB172" i="3"/>
  <c r="BX18" i="3"/>
  <c r="ES168" i="3"/>
  <c r="AF13" i="2"/>
  <c r="AF11" i="2"/>
  <c r="AF12" i="2"/>
  <c r="AJ12" i="2"/>
  <c r="T28" i="2"/>
  <c r="P48" i="2"/>
  <c r="P29" i="2"/>
  <c r="P28" i="2"/>
  <c r="P27" i="2"/>
  <c r="CT42" i="3"/>
  <c r="CT45" i="3"/>
  <c r="CT35" i="3"/>
  <c r="CT51" i="3" s="1"/>
  <c r="CT33" i="3"/>
  <c r="AO174" i="3"/>
  <c r="AO19" i="3"/>
  <c r="EC52" i="2"/>
  <c r="EC54" i="2"/>
  <c r="GF54" i="2" s="1"/>
  <c r="EC51" i="2"/>
  <c r="BC51" i="2"/>
  <c r="BC50" i="2"/>
  <c r="BD49" i="2"/>
  <c r="BC52" i="2"/>
  <c r="BB173" i="3"/>
  <c r="AW175" i="3"/>
  <c r="AW173" i="3"/>
  <c r="AW70" i="3"/>
  <c r="AW32" i="3"/>
  <c r="AW25" i="3"/>
  <c r="AW69" i="3" s="1"/>
  <c r="BC45" i="3"/>
  <c r="BC42" i="3"/>
  <c r="BC35" i="3"/>
  <c r="BC51" i="3" s="1"/>
  <c r="BC33" i="3"/>
  <c r="EE168" i="3"/>
  <c r="EF168" i="3" s="1"/>
  <c r="EE35" i="3"/>
  <c r="EE167" i="3"/>
  <c r="EF167" i="3" s="1"/>
  <c r="EE33" i="3"/>
  <c r="EE42" i="3"/>
  <c r="EG166" i="3" s="1"/>
  <c r="EE45" i="3"/>
  <c r="I12" i="2"/>
  <c r="DL70" i="3"/>
  <c r="GK101" i="3"/>
  <c r="EA100" i="2" s="1"/>
  <c r="EN167" i="3"/>
  <c r="ER379" i="3"/>
  <c r="ER380" i="3" s="1"/>
  <c r="DE160" i="3"/>
  <c r="BR155" i="3"/>
  <c r="BS155" i="3" s="1"/>
  <c r="BU156" i="3"/>
  <c r="CG57" i="2"/>
  <c r="CG55" i="2"/>
  <c r="CG58" i="2"/>
  <c r="AV48" i="2"/>
  <c r="AV49" i="2" s="1"/>
  <c r="AV29" i="2"/>
  <c r="AZ28" i="2"/>
  <c r="F15" i="2"/>
  <c r="F16" i="2"/>
  <c r="G15" i="2"/>
  <c r="F17" i="2"/>
  <c r="FA14" i="2"/>
  <c r="J16" i="2"/>
  <c r="EG167" i="3"/>
  <c r="DE166" i="3"/>
  <c r="DE171" i="3" s="1"/>
  <c r="FI158" i="3"/>
  <c r="FJ158" i="3" s="1"/>
  <c r="BT155" i="3"/>
  <c r="BT156" i="3"/>
  <c r="GM42" i="3"/>
  <c r="GM158" i="3" s="1"/>
  <c r="GN158" i="3" s="1"/>
  <c r="GM45" i="3"/>
  <c r="GM35" i="3"/>
  <c r="GM33" i="3"/>
  <c r="AM175" i="3"/>
  <c r="AM70" i="3"/>
  <c r="AO70" i="3" s="1"/>
  <c r="AM173" i="3"/>
  <c r="AM25" i="3"/>
  <c r="AM69" i="3" s="1"/>
  <c r="H54" i="2" s="1"/>
  <c r="H57" i="2" s="1"/>
  <c r="AM32" i="3"/>
  <c r="AK13" i="2"/>
  <c r="AL11" i="2"/>
  <c r="AN97" i="2"/>
  <c r="AK11" i="2"/>
  <c r="AO12" i="2"/>
  <c r="AL97" i="2"/>
  <c r="AM97" i="2"/>
  <c r="FH10" i="2"/>
  <c r="AK97" i="2"/>
  <c r="H27" i="2"/>
  <c r="DU49" i="2"/>
  <c r="CW51" i="3"/>
  <c r="EY168" i="3"/>
  <c r="EZ168" i="3" s="1"/>
  <c r="GL102" i="3"/>
  <c r="EB101" i="2" s="1"/>
  <c r="FH17" i="2"/>
  <c r="FI16" i="2"/>
  <c r="BS16" i="3"/>
  <c r="BS17" i="3" s="1"/>
  <c r="BQ19" i="3"/>
  <c r="AF26" i="2"/>
  <c r="BQ24" i="3"/>
  <c r="BS18" i="3"/>
  <c r="BV172" i="3"/>
  <c r="BQ172" i="3"/>
  <c r="BQ174" i="3"/>
  <c r="AH15" i="2"/>
  <c r="AG17" i="2"/>
  <c r="AG15" i="2"/>
  <c r="CG51" i="2"/>
  <c r="CG49" i="2"/>
  <c r="CG52" i="2"/>
  <c r="I48" i="2"/>
  <c r="I29" i="2"/>
  <c r="I27" i="2"/>
  <c r="J27" i="2"/>
  <c r="GB156" i="2"/>
  <c r="GC155" i="2"/>
  <c r="CP50" i="2"/>
  <c r="CR49" i="2"/>
  <c r="EE224" i="2"/>
  <c r="EE223" i="2"/>
  <c r="FX48" i="2"/>
  <c r="FX51" i="2" s="1"/>
  <c r="DE50" i="2"/>
  <c r="GF418" i="2"/>
  <c r="GF419" i="2"/>
  <c r="DX50" i="2"/>
  <c r="GG346" i="2"/>
  <c r="GG341" i="2"/>
  <c r="EE416" i="2"/>
  <c r="EF117" i="2"/>
  <c r="EE119" i="2"/>
  <c r="EE105" i="2"/>
  <c r="GG277" i="2"/>
  <c r="EF147" i="2"/>
  <c r="EF146" i="2"/>
  <c r="EG145" i="2"/>
  <c r="GG145" i="2" s="1"/>
  <c r="GG147" i="2" s="1"/>
  <c r="EG341" i="2"/>
  <c r="EG340" i="2"/>
  <c r="GG278" i="2"/>
  <c r="GF381" i="2"/>
  <c r="EH348" i="2"/>
  <c r="EI346" i="2"/>
  <c r="EH277" i="2"/>
  <c r="EH276" i="2"/>
  <c r="EH288" i="2"/>
  <c r="ED417" i="2"/>
  <c r="ED418" i="2"/>
  <c r="EJ279" i="2"/>
  <c r="EI275" i="2"/>
  <c r="EI272" i="2" s="1"/>
  <c r="EI281" i="2"/>
  <c r="EH339" i="2"/>
  <c r="EH440" i="2" s="1"/>
  <c r="EI343" i="2"/>
  <c r="EH345" i="2"/>
  <c r="GC430" i="2"/>
  <c r="GC431" i="2"/>
  <c r="GD51" i="2"/>
  <c r="GD52" i="2"/>
  <c r="FC16" i="2"/>
  <c r="FC17" i="2"/>
  <c r="FD16" i="2"/>
  <c r="ER203" i="3"/>
  <c r="ER202" i="3"/>
  <c r="DO447" i="2"/>
  <c r="DO445" i="2"/>
  <c r="EU280" i="3"/>
  <c r="GN102" i="3"/>
  <c r="EC101" i="2"/>
  <c r="GG235" i="2"/>
  <c r="EK102" i="3"/>
  <c r="CK101" i="2"/>
  <c r="GU59" i="3"/>
  <c r="GT51" i="3"/>
  <c r="EH83" i="2"/>
  <c r="EH63" i="2" s="1"/>
  <c r="DY57" i="2"/>
  <c r="DY56" i="2"/>
  <c r="DY55" i="2"/>
  <c r="DY58" i="2"/>
  <c r="EQ419" i="2"/>
  <c r="EB57" i="2"/>
  <c r="EB56" i="2"/>
  <c r="EB55" i="2"/>
  <c r="EB58" i="2"/>
  <c r="ER381" i="3"/>
  <c r="F57" i="2"/>
  <c r="DM168" i="3"/>
  <c r="DM35" i="3"/>
  <c r="DM33" i="3"/>
  <c r="DQ32" i="3"/>
  <c r="DM42" i="3"/>
  <c r="DM45" i="3"/>
  <c r="BF168" i="3"/>
  <c r="BF42" i="3"/>
  <c r="BF45" i="3"/>
  <c r="BF35" i="3"/>
  <c r="BF51" i="3" s="1"/>
  <c r="BF33" i="3"/>
  <c r="GK166" i="3"/>
  <c r="GK171" i="3" s="1"/>
  <c r="GK159" i="3"/>
  <c r="GH166" i="3"/>
  <c r="GK160" i="3"/>
  <c r="GK158" i="3"/>
  <c r="GG106" i="3"/>
  <c r="GG50" i="3"/>
  <c r="GG63" i="3"/>
  <c r="DX76" i="2" s="1"/>
  <c r="GG47" i="3"/>
  <c r="GG48" i="3" s="1"/>
  <c r="GG43" i="3"/>
  <c r="DX79" i="2"/>
  <c r="GG56" i="3"/>
  <c r="DX66" i="2" s="1"/>
  <c r="DN76" i="2"/>
  <c r="AU145" i="3"/>
  <c r="AU132" i="3"/>
  <c r="N90" i="2" s="1"/>
  <c r="AU126" i="3"/>
  <c r="GL159" i="3"/>
  <c r="GL166" i="3"/>
  <c r="GL171" i="3" s="1"/>
  <c r="GL160" i="3"/>
  <c r="GL158" i="3"/>
  <c r="GH106" i="3"/>
  <c r="GH50" i="3"/>
  <c r="GH63" i="3"/>
  <c r="DY76" i="2" s="1"/>
  <c r="GH47" i="3"/>
  <c r="GH48" i="3" s="1"/>
  <c r="GH43" i="3"/>
  <c r="DY79" i="2"/>
  <c r="GH56" i="3"/>
  <c r="DY66" i="2" s="1"/>
  <c r="CU48" i="3"/>
  <c r="CU50" i="3"/>
  <c r="CU63" i="3"/>
  <c r="ET106" i="3"/>
  <c r="ET110" i="3" s="1"/>
  <c r="ET132" i="3" s="1"/>
  <c r="CS90" i="2" s="1"/>
  <c r="ET43" i="3"/>
  <c r="ET63" i="3"/>
  <c r="CS76" i="2" s="1"/>
  <c r="ET47" i="3"/>
  <c r="ET48" i="3" s="1"/>
  <c r="ET50" i="3"/>
  <c r="CS79" i="2"/>
  <c r="EW106" i="3"/>
  <c r="EW110" i="3" s="1"/>
  <c r="EW132" i="3" s="1"/>
  <c r="CU90" i="2" s="1"/>
  <c r="CU93" i="2" s="1"/>
  <c r="EW50" i="3"/>
  <c r="EW63" i="3"/>
  <c r="CU76" i="2" s="1"/>
  <c r="EW47" i="3"/>
  <c r="EW48" i="3" s="1"/>
  <c r="EW43" i="3"/>
  <c r="CU79" i="2"/>
  <c r="EO378" i="3"/>
  <c r="EO377" i="3"/>
  <c r="GV54" i="3"/>
  <c r="EI59" i="2"/>
  <c r="CC175" i="3"/>
  <c r="CC25" i="3"/>
  <c r="DR405" i="2"/>
  <c r="DS402" i="2"/>
  <c r="DR399" i="2"/>
  <c r="DR404" i="2"/>
  <c r="ES387" i="3"/>
  <c r="ES386" i="3"/>
  <c r="GF52" i="3"/>
  <c r="DW72" i="2"/>
  <c r="CS460" i="2"/>
  <c r="CS458" i="2"/>
  <c r="CH309" i="2"/>
  <c r="CH308" i="2"/>
  <c r="BD175" i="3"/>
  <c r="BD25" i="3"/>
  <c r="EG423" i="2"/>
  <c r="FI159" i="3"/>
  <c r="FJ159" i="3" s="1"/>
  <c r="FW28" i="2"/>
  <c r="FW31" i="2"/>
  <c r="FW29" i="2"/>
  <c r="J57" i="2"/>
  <c r="J56" i="2"/>
  <c r="N56" i="2"/>
  <c r="GC20" i="2"/>
  <c r="GC21" i="2"/>
  <c r="X13" i="2"/>
  <c r="X11" i="2"/>
  <c r="X12" i="2"/>
  <c r="X97" i="2"/>
  <c r="AB12" i="2"/>
  <c r="BK106" i="3"/>
  <c r="BK110" i="3" s="1"/>
  <c r="BK43" i="3"/>
  <c r="BK47" i="3"/>
  <c r="BF49" i="2"/>
  <c r="FN48" i="2"/>
  <c r="BF51" i="2"/>
  <c r="BF50" i="2"/>
  <c r="BF52" i="2"/>
  <c r="DO51" i="2"/>
  <c r="DO50" i="2"/>
  <c r="DO52" i="2"/>
  <c r="DO49" i="2"/>
  <c r="DO54" i="2"/>
  <c r="DP55" i="2" s="1"/>
  <c r="GC48" i="2"/>
  <c r="GD50" i="2" s="1"/>
  <c r="EH211" i="2"/>
  <c r="AJ54" i="2"/>
  <c r="AN56" i="2" s="1"/>
  <c r="BB106" i="3"/>
  <c r="BB110" i="3" s="1"/>
  <c r="BB43" i="3"/>
  <c r="BB47" i="3"/>
  <c r="FL29" i="2"/>
  <c r="FL31" i="2"/>
  <c r="GU95" i="3"/>
  <c r="DN447" i="2"/>
  <c r="ED124" i="3"/>
  <c r="FJ17" i="2"/>
  <c r="FJ16" i="2"/>
  <c r="DG54" i="2"/>
  <c r="DK56" i="2" s="1"/>
  <c r="FN101" i="3"/>
  <c r="FL101" i="3"/>
  <c r="DG100" i="2" s="1"/>
  <c r="FM101" i="3"/>
  <c r="DH100" i="2" s="1"/>
  <c r="EJ225" i="2"/>
  <c r="EI227" i="2"/>
  <c r="BX49" i="2"/>
  <c r="BX51" i="2"/>
  <c r="BX50" i="2"/>
  <c r="BX52" i="2"/>
  <c r="EO52" i="3"/>
  <c r="CO72" i="2"/>
  <c r="ET219" i="3"/>
  <c r="V49" i="2"/>
  <c r="V51" i="2"/>
  <c r="V50" i="2"/>
  <c r="DR362" i="2"/>
  <c r="DR448" i="2"/>
  <c r="DR351" i="2"/>
  <c r="DR360" i="2"/>
  <c r="DR361" i="2"/>
  <c r="FX435" i="2"/>
  <c r="FX434" i="2"/>
  <c r="FT51" i="2"/>
  <c r="FT50" i="2"/>
  <c r="FT52" i="2"/>
  <c r="GG227" i="2"/>
  <c r="GG446" i="2"/>
  <c r="GG447" i="2"/>
  <c r="GD33" i="3"/>
  <c r="GD45" i="3"/>
  <c r="GD35" i="3"/>
  <c r="BL42" i="3"/>
  <c r="BL45" i="3"/>
  <c r="BL35" i="3"/>
  <c r="BL33" i="3"/>
  <c r="AB49" i="2"/>
  <c r="AB51" i="2"/>
  <c r="FM132" i="3"/>
  <c r="DH90" i="2" s="1"/>
  <c r="FM126" i="3"/>
  <c r="FM130" i="3" s="1"/>
  <c r="DK167" i="3"/>
  <c r="DL167" i="3" s="1"/>
  <c r="DJ168" i="3"/>
  <c r="DN167" i="3"/>
  <c r="DJ45" i="3"/>
  <c r="DJ35" i="3"/>
  <c r="DJ33" i="3"/>
  <c r="DJ42" i="3"/>
  <c r="AW11" i="2"/>
  <c r="AW13" i="2"/>
  <c r="AW12" i="2"/>
  <c r="AZ97" i="2"/>
  <c r="AX11" i="2"/>
  <c r="AX97" i="2"/>
  <c r="AY97" i="2"/>
  <c r="AW97" i="2"/>
  <c r="BA12" i="2"/>
  <c r="FK10" i="2"/>
  <c r="EF65" i="2"/>
  <c r="EF64" i="2"/>
  <c r="DP57" i="2"/>
  <c r="DP58" i="2"/>
  <c r="DI67" i="2"/>
  <c r="FY175" i="3"/>
  <c r="FY173" i="3"/>
  <c r="FY25" i="3"/>
  <c r="GR107" i="3"/>
  <c r="GS107" i="3" s="1"/>
  <c r="GE51" i="2"/>
  <c r="GE52" i="2"/>
  <c r="GE50" i="2"/>
  <c r="ET102" i="3"/>
  <c r="CS99" i="2"/>
  <c r="FW99" i="2" s="1"/>
  <c r="CB58" i="2"/>
  <c r="CB57" i="2"/>
  <c r="CB55" i="2"/>
  <c r="CF56" i="2"/>
  <c r="AP167" i="3"/>
  <c r="AL42" i="3"/>
  <c r="AL35" i="3"/>
  <c r="AL51" i="3" s="1"/>
  <c r="AL33" i="3"/>
  <c r="AL45" i="3"/>
  <c r="EA57" i="2"/>
  <c r="EA56" i="2"/>
  <c r="EA55" i="2"/>
  <c r="EA58" i="2"/>
  <c r="AB54" i="2"/>
  <c r="AE54" i="2"/>
  <c r="FO33" i="3"/>
  <c r="FO45" i="3"/>
  <c r="FO35" i="3"/>
  <c r="DV102" i="3"/>
  <c r="BY101" i="2"/>
  <c r="GV40" i="3"/>
  <c r="GD426" i="2"/>
  <c r="GD427" i="2"/>
  <c r="CS106" i="3"/>
  <c r="CS47" i="3"/>
  <c r="CS43" i="3"/>
  <c r="BB79" i="2"/>
  <c r="EY102" i="3"/>
  <c r="DH167" i="3"/>
  <c r="DZ57" i="2"/>
  <c r="DZ56" i="2"/>
  <c r="DZ55" i="2"/>
  <c r="DZ58" i="2"/>
  <c r="AD57" i="2"/>
  <c r="AD58" i="2"/>
  <c r="EH243" i="2"/>
  <c r="EH242" i="2"/>
  <c r="GA106" i="3"/>
  <c r="GA50" i="3"/>
  <c r="GA63" i="3"/>
  <c r="DS76" i="2" s="1"/>
  <c r="DW78" i="2" s="1"/>
  <c r="GA47" i="3"/>
  <c r="GA48" i="3" s="1"/>
  <c r="GA43" i="3"/>
  <c r="DS79" i="2"/>
  <c r="DW81" i="2" s="1"/>
  <c r="GA56" i="3"/>
  <c r="DS66" i="2" s="1"/>
  <c r="DW68" i="2" s="1"/>
  <c r="CJ42" i="3"/>
  <c r="CJ45" i="3"/>
  <c r="CJ35" i="3"/>
  <c r="CJ51" i="3" s="1"/>
  <c r="CJ33" i="3"/>
  <c r="AO69" i="3"/>
  <c r="BZ57" i="2"/>
  <c r="BZ55" i="2"/>
  <c r="FS54" i="2"/>
  <c r="FS57" i="2" s="1"/>
  <c r="BZ58" i="2"/>
  <c r="GB28" i="2"/>
  <c r="GB29" i="2"/>
  <c r="GB31" i="2"/>
  <c r="FX106" i="3"/>
  <c r="FX43" i="3"/>
  <c r="FX63" i="3"/>
  <c r="DQ76" i="2" s="1"/>
  <c r="FX47" i="3"/>
  <c r="FX48" i="3" s="1"/>
  <c r="FX50" i="3"/>
  <c r="DQ79" i="2"/>
  <c r="FX56" i="3"/>
  <c r="DQ66" i="2" s="1"/>
  <c r="DI80" i="2"/>
  <c r="DQ175" i="3"/>
  <c r="DQ173" i="3"/>
  <c r="DQ25" i="3"/>
  <c r="FV168" i="3"/>
  <c r="FZ167" i="3"/>
  <c r="FV42" i="3"/>
  <c r="FV45" i="3"/>
  <c r="FV33" i="3"/>
  <c r="FV35" i="3"/>
  <c r="FY32" i="3"/>
  <c r="CP145" i="3"/>
  <c r="CP132" i="3"/>
  <c r="AZ90" i="2" s="1"/>
  <c r="AZ93" i="2" s="1"/>
  <c r="CP126" i="3"/>
  <c r="CP130" i="3" s="1"/>
  <c r="CR25" i="3"/>
  <c r="FD168" i="3"/>
  <c r="FE168" i="3" s="1"/>
  <c r="FH167" i="3"/>
  <c r="FD42" i="3"/>
  <c r="FD45" i="3"/>
  <c r="FD35" i="3"/>
  <c r="FD33" i="3"/>
  <c r="W54" i="2"/>
  <c r="BF101" i="3"/>
  <c r="W100" i="2" s="1"/>
  <c r="FU52" i="3"/>
  <c r="DN72" i="2"/>
  <c r="V54" i="2"/>
  <c r="CA58" i="2"/>
  <c r="CA57" i="2"/>
  <c r="CA56" i="2"/>
  <c r="CA55" i="2"/>
  <c r="ES229" i="3"/>
  <c r="ES228" i="3"/>
  <c r="AP57" i="2"/>
  <c r="AP56" i="2"/>
  <c r="AP58" i="2"/>
  <c r="CT458" i="2"/>
  <c r="CT460" i="2"/>
  <c r="CT459" i="2"/>
  <c r="CI49" i="2"/>
  <c r="CI51" i="2"/>
  <c r="CI50" i="2"/>
  <c r="CI52" i="2"/>
  <c r="BT51" i="2"/>
  <c r="BT50" i="2"/>
  <c r="BT52" i="2"/>
  <c r="BT49" i="2"/>
  <c r="M11" i="2"/>
  <c r="M13" i="2"/>
  <c r="M12" i="2"/>
  <c r="O97" i="2"/>
  <c r="M97" i="2"/>
  <c r="N97" i="2"/>
  <c r="P97" i="2"/>
  <c r="N11" i="2"/>
  <c r="Q12" i="2"/>
  <c r="FB10" i="2"/>
  <c r="DW317" i="2"/>
  <c r="DX315" i="2"/>
  <c r="DW316" i="2"/>
  <c r="DW318" i="2"/>
  <c r="CB168" i="3"/>
  <c r="CC168" i="3" s="1"/>
  <c r="CB33" i="3"/>
  <c r="CB42" i="3"/>
  <c r="CB45" i="3"/>
  <c r="CB35" i="3"/>
  <c r="AH54" i="2"/>
  <c r="FX166" i="3"/>
  <c r="GA158" i="3"/>
  <c r="GA159" i="3"/>
  <c r="GA166" i="3"/>
  <c r="GA171" i="3" s="1"/>
  <c r="GA160" i="3"/>
  <c r="FW106" i="3"/>
  <c r="FW50" i="3"/>
  <c r="FW63" i="3"/>
  <c r="DP76" i="2" s="1"/>
  <c r="FW43" i="3"/>
  <c r="FW47" i="3"/>
  <c r="FW48" i="3" s="1"/>
  <c r="DP79" i="2"/>
  <c r="FW56" i="3"/>
  <c r="DP66" i="2" s="1"/>
  <c r="EB166" i="3"/>
  <c r="EB171" i="3" s="1"/>
  <c r="EB160" i="3"/>
  <c r="DZ158" i="3"/>
  <c r="EA158" i="3" s="1"/>
  <c r="DZ159" i="3"/>
  <c r="EA159" i="3" s="1"/>
  <c r="EB162" i="3"/>
  <c r="DZ160" i="3"/>
  <c r="EA160" i="3" s="1"/>
  <c r="DZ162" i="3"/>
  <c r="EA162" i="3" s="1"/>
  <c r="EB159" i="3"/>
  <c r="EB158" i="3"/>
  <c r="DX50" i="3"/>
  <c r="DX47" i="3"/>
  <c r="DX43" i="3"/>
  <c r="CA79" i="2"/>
  <c r="BA106" i="3"/>
  <c r="BA110" i="3" s="1"/>
  <c r="BA43" i="3"/>
  <c r="BA47" i="3"/>
  <c r="GF109" i="3"/>
  <c r="GF110" i="3" s="1"/>
  <c r="GH159" i="3"/>
  <c r="GI159" i="3" s="1"/>
  <c r="FU48" i="2"/>
  <c r="BD69" i="3"/>
  <c r="R54" i="2"/>
  <c r="S55" i="2" s="1"/>
  <c r="ER69" i="3"/>
  <c r="EV101" i="3" s="1"/>
  <c r="CT100" i="2" s="1"/>
  <c r="ER102" i="3"/>
  <c r="CQ101" i="2" s="1"/>
  <c r="ES308" i="3"/>
  <c r="ES199" i="3"/>
  <c r="ES198" i="3"/>
  <c r="DQ58" i="2"/>
  <c r="DQ57" i="2"/>
  <c r="DQ56" i="2"/>
  <c r="DQ55" i="2"/>
  <c r="FG132" i="3"/>
  <c r="DC90" i="2" s="1"/>
  <c r="DC93" i="2" s="1"/>
  <c r="FG126" i="3"/>
  <c r="FG130" i="3" s="1"/>
  <c r="FA102" i="3"/>
  <c r="CX101" i="2" s="1"/>
  <c r="DG33" i="3"/>
  <c r="DG35" i="3"/>
  <c r="DG45" i="3"/>
  <c r="BY110" i="3"/>
  <c r="EW166" i="3"/>
  <c r="EW171" i="3" s="1"/>
  <c r="EW158" i="3"/>
  <c r="EW159" i="3"/>
  <c r="EW160" i="3"/>
  <c r="EW162" i="3"/>
  <c r="ES106" i="3"/>
  <c r="ES110" i="3" s="1"/>
  <c r="ES132" i="3" s="1"/>
  <c r="CR90" i="2" s="1"/>
  <c r="CR93" i="2" s="1"/>
  <c r="ES50" i="3"/>
  <c r="ES63" i="3"/>
  <c r="CR76" i="2" s="1"/>
  <c r="ES47" i="3"/>
  <c r="ES48" i="3" s="1"/>
  <c r="ES43" i="3"/>
  <c r="CR79" i="2"/>
  <c r="EJ212" i="2"/>
  <c r="EI209" i="2"/>
  <c r="EI215" i="2" s="1"/>
  <c r="EI199" i="2"/>
  <c r="EI214" i="2"/>
  <c r="CT54" i="2"/>
  <c r="GJ124" i="3"/>
  <c r="GI124" i="3"/>
  <c r="GK124" i="3" s="1"/>
  <c r="AR167" i="3"/>
  <c r="S56" i="2"/>
  <c r="S57" i="2"/>
  <c r="GU22" i="3"/>
  <c r="EJ45" i="2"/>
  <c r="EI47" i="2"/>
  <c r="EL427" i="2"/>
  <c r="GG34" i="2"/>
  <c r="GK30" i="2"/>
  <c r="EH312" i="3"/>
  <c r="EH234" i="3"/>
  <c r="EH225" i="3"/>
  <c r="EH224" i="3"/>
  <c r="CD106" i="3"/>
  <c r="CD47" i="3"/>
  <c r="CD43" i="3"/>
  <c r="AP79" i="2"/>
  <c r="EO106" i="3"/>
  <c r="EO110" i="3" s="1"/>
  <c r="EO132" i="3" s="1"/>
  <c r="CO90" i="2" s="1"/>
  <c r="EO63" i="3"/>
  <c r="CO76" i="2" s="1"/>
  <c r="EO48" i="3"/>
  <c r="FT70" i="3"/>
  <c r="FP69" i="3"/>
  <c r="FP102" i="3"/>
  <c r="DJ101" i="2" s="1"/>
  <c r="CM50" i="2"/>
  <c r="GG329" i="2"/>
  <c r="GG334" i="2"/>
  <c r="GG336" i="2" s="1"/>
  <c r="EU70" i="3"/>
  <c r="BV52" i="2"/>
  <c r="BV49" i="2"/>
  <c r="FR48" i="2"/>
  <c r="FS50" i="2" s="1"/>
  <c r="BV51" i="2"/>
  <c r="BV50" i="2"/>
  <c r="FA168" i="3"/>
  <c r="BJ50" i="2"/>
  <c r="DS57" i="2"/>
  <c r="DS55" i="2"/>
  <c r="DS58" i="2"/>
  <c r="DW56" i="2"/>
  <c r="CK54" i="2"/>
  <c r="FB168" i="3"/>
  <c r="BK57" i="2"/>
  <c r="BK56" i="2"/>
  <c r="BK55" i="2"/>
  <c r="BK58" i="2"/>
  <c r="GG43" i="2"/>
  <c r="CU101" i="3"/>
  <c r="BD100" i="2" s="1"/>
  <c r="DI101" i="3"/>
  <c r="BO100" i="2" s="1"/>
  <c r="BO54" i="2"/>
  <c r="DH168" i="3"/>
  <c r="DH42" i="3"/>
  <c r="DH45" i="3"/>
  <c r="DH35" i="3"/>
  <c r="DH33" i="3"/>
  <c r="DL32" i="3"/>
  <c r="FY29" i="2"/>
  <c r="FY31" i="2"/>
  <c r="FY28" i="2"/>
  <c r="AH51" i="2"/>
  <c r="AH50" i="2"/>
  <c r="AL50" i="2"/>
  <c r="FE88" i="2"/>
  <c r="FE89" i="2"/>
  <c r="EF69" i="3"/>
  <c r="CD54" i="2"/>
  <c r="EB101" i="3"/>
  <c r="CD100" i="2" s="1"/>
  <c r="EE101" i="3"/>
  <c r="EC101" i="3"/>
  <c r="CE100" i="2" s="1"/>
  <c r="ED101" i="3"/>
  <c r="CF100" i="2" s="1"/>
  <c r="GI88" i="2"/>
  <c r="GL106" i="3"/>
  <c r="GL110" i="3" s="1"/>
  <c r="GL132" i="3" s="1"/>
  <c r="EB90" i="2" s="1"/>
  <c r="GL50" i="3"/>
  <c r="GL63" i="3"/>
  <c r="EB76" i="2" s="1"/>
  <c r="GL47" i="3"/>
  <c r="GL48" i="3" s="1"/>
  <c r="GL43" i="3"/>
  <c r="EB79" i="2"/>
  <c r="GL56" i="3"/>
  <c r="EB66" i="2" s="1"/>
  <c r="BL155" i="3"/>
  <c r="BH85" i="3"/>
  <c r="BH18" i="3"/>
  <c r="BI18" i="3" s="1"/>
  <c r="BH17" i="3"/>
  <c r="Y10" i="2"/>
  <c r="AC12" i="2" s="1"/>
  <c r="BL156" i="3"/>
  <c r="EK439" i="2"/>
  <c r="AJ51" i="2"/>
  <c r="DS43" i="3"/>
  <c r="DS47" i="3"/>
  <c r="BW79" i="2"/>
  <c r="DL173" i="3"/>
  <c r="DL175" i="3"/>
  <c r="DL25" i="3"/>
  <c r="AR97" i="2"/>
  <c r="AR13" i="2"/>
  <c r="AR11" i="2"/>
  <c r="AR12" i="2"/>
  <c r="AV12" i="2"/>
  <c r="EE231" i="3"/>
  <c r="EE232" i="3"/>
  <c r="EH168" i="3"/>
  <c r="EL167" i="3"/>
  <c r="EH45" i="3"/>
  <c r="EH42" i="3"/>
  <c r="EH159" i="3" s="1"/>
  <c r="EH35" i="3"/>
  <c r="EH33" i="3"/>
  <c r="EH167" i="3"/>
  <c r="EI167" i="3"/>
  <c r="AK106" i="3"/>
  <c r="AK50" i="3"/>
  <c r="AK43" i="3"/>
  <c r="CX168" i="3"/>
  <c r="CX45" i="3"/>
  <c r="CX42" i="3"/>
  <c r="DA158" i="3" s="1"/>
  <c r="DB158" i="3" s="1"/>
  <c r="CX35" i="3"/>
  <c r="CX51" i="3" s="1"/>
  <c r="DB51" i="3" s="1"/>
  <c r="CX33" i="3"/>
  <c r="DB32" i="3"/>
  <c r="EC166" i="3"/>
  <c r="EC171" i="3" s="1"/>
  <c r="EC162" i="3"/>
  <c r="EC159" i="3"/>
  <c r="DZ166" i="3"/>
  <c r="EC160" i="3"/>
  <c r="EC158" i="3"/>
  <c r="DY50" i="3"/>
  <c r="DY47" i="3"/>
  <c r="DY43" i="3"/>
  <c r="CB79" i="2"/>
  <c r="EG230" i="3"/>
  <c r="EG236" i="3"/>
  <c r="EG235" i="3"/>
  <c r="EG238" i="3"/>
  <c r="FO69" i="3"/>
  <c r="DF54" i="2"/>
  <c r="FK101" i="3"/>
  <c r="DF100" i="2" s="1"/>
  <c r="DL69" i="3"/>
  <c r="BN54" i="2"/>
  <c r="DH101" i="3"/>
  <c r="BN100" i="2" s="1"/>
  <c r="ES187" i="3"/>
  <c r="ET184" i="3"/>
  <c r="ES186" i="3"/>
  <c r="G57" i="2"/>
  <c r="G55" i="2"/>
  <c r="BE49" i="2"/>
  <c r="BE51" i="2"/>
  <c r="BE50" i="2"/>
  <c r="BE52" i="2"/>
  <c r="BI50" i="2"/>
  <c r="CM54" i="2"/>
  <c r="EL168" i="3"/>
  <c r="EL42" i="3"/>
  <c r="EM166" i="3" s="1"/>
  <c r="EL45" i="3"/>
  <c r="EL35" i="3"/>
  <c r="EL33" i="3"/>
  <c r="EP32" i="3"/>
  <c r="AN50" i="2"/>
  <c r="EE242" i="3"/>
  <c r="EE313" i="3"/>
  <c r="EE314" i="3" s="1"/>
  <c r="EE317" i="3" s="1"/>
  <c r="EE239" i="3"/>
  <c r="EE240" i="3"/>
  <c r="EF238" i="3"/>
  <c r="GG243" i="2"/>
  <c r="FW297" i="2"/>
  <c r="EN43" i="3"/>
  <c r="EN47" i="3"/>
  <c r="EN50" i="3"/>
  <c r="CN79" i="2"/>
  <c r="DX58" i="2"/>
  <c r="DX57" i="2"/>
  <c r="DX55" i="2"/>
  <c r="EH69" i="3"/>
  <c r="EJ101" i="3" s="1"/>
  <c r="EH102" i="3"/>
  <c r="CI101" i="2" s="1"/>
  <c r="CU54" i="2"/>
  <c r="EW101" i="3"/>
  <c r="CU100" i="2" s="1"/>
  <c r="EQ381" i="3"/>
  <c r="EQ380" i="3"/>
  <c r="EQ376" i="3"/>
  <c r="CW45" i="3"/>
  <c r="CW35" i="3"/>
  <c r="CW33" i="3"/>
  <c r="CG174" i="3"/>
  <c r="CG172" i="3"/>
  <c r="CG19" i="3"/>
  <c r="CG24" i="3"/>
  <c r="AS26" i="2"/>
  <c r="CI174" i="3"/>
  <c r="CW54" i="2"/>
  <c r="CI35" i="3"/>
  <c r="CI51" i="3" s="1"/>
  <c r="CI33" i="3"/>
  <c r="CI42" i="3"/>
  <c r="CI45" i="3"/>
  <c r="EJ168" i="3"/>
  <c r="EK168" i="3" s="1"/>
  <c r="FN166" i="3"/>
  <c r="GU58" i="3"/>
  <c r="EJ228" i="2"/>
  <c r="EI230" i="2"/>
  <c r="EU217" i="3"/>
  <c r="EU219" i="3" s="1"/>
  <c r="CL174" i="3"/>
  <c r="CL172" i="3"/>
  <c r="CL24" i="3"/>
  <c r="CL19" i="3"/>
  <c r="AW26" i="2"/>
  <c r="CN174" i="3"/>
  <c r="CQ172" i="3"/>
  <c r="CM18" i="3"/>
  <c r="DQ449" i="2"/>
  <c r="DQ450" i="2"/>
  <c r="FS51" i="2"/>
  <c r="FS52" i="2"/>
  <c r="EH205" i="2"/>
  <c r="EH204" i="2"/>
  <c r="EH113" i="2"/>
  <c r="DE158" i="3"/>
  <c r="AU57" i="2"/>
  <c r="AU58" i="2"/>
  <c r="AY56" i="2"/>
  <c r="CV459" i="2"/>
  <c r="CV460" i="2"/>
  <c r="CV49" i="2"/>
  <c r="CV51" i="2"/>
  <c r="CV50" i="2"/>
  <c r="CV52" i="2"/>
  <c r="GJ106" i="3"/>
  <c r="GJ43" i="3"/>
  <c r="GJ63" i="3"/>
  <c r="GJ47" i="3"/>
  <c r="GJ50" i="3"/>
  <c r="DZ79" i="2"/>
  <c r="GJ56" i="3"/>
  <c r="DZ66" i="2" s="1"/>
  <c r="DQ69" i="3"/>
  <c r="BR54" i="2"/>
  <c r="DM101" i="3"/>
  <c r="BR100" i="2" s="1"/>
  <c r="FH102" i="3"/>
  <c r="DD101" i="2" s="1"/>
  <c r="DY166" i="3"/>
  <c r="DY171" i="3" s="1"/>
  <c r="DY158" i="3"/>
  <c r="DY159" i="3"/>
  <c r="DY160" i="3"/>
  <c r="DY162" i="3"/>
  <c r="DU43" i="3"/>
  <c r="DU47" i="3"/>
  <c r="BY79" i="2"/>
  <c r="G49" i="2"/>
  <c r="G50" i="2"/>
  <c r="G51" i="2"/>
  <c r="EQ106" i="3"/>
  <c r="EQ50" i="3"/>
  <c r="EQ63" i="3"/>
  <c r="EQ47" i="3"/>
  <c r="EQ43" i="3"/>
  <c r="CP79" i="2"/>
  <c r="FS167" i="3"/>
  <c r="FT167" i="3" s="1"/>
  <c r="FR168" i="3"/>
  <c r="FV167" i="3"/>
  <c r="FR45" i="3"/>
  <c r="FR42" i="3"/>
  <c r="FU166" i="3" s="1"/>
  <c r="FR35" i="3"/>
  <c r="FR33" i="3"/>
  <c r="FU168" i="3"/>
  <c r="FU110" i="3"/>
  <c r="DR168" i="3"/>
  <c r="DR45" i="3"/>
  <c r="DR35" i="3"/>
  <c r="DR33" i="3"/>
  <c r="DV32" i="3"/>
  <c r="DR42" i="3"/>
  <c r="ER388" i="3"/>
  <c r="CZ50" i="2"/>
  <c r="DQ244" i="3"/>
  <c r="CY460" i="2"/>
  <c r="CY458" i="2"/>
  <c r="EK157" i="2"/>
  <c r="EJ159" i="2"/>
  <c r="CB167" i="3"/>
  <c r="CC167" i="3" s="1"/>
  <c r="CU132" i="3"/>
  <c r="BD90" i="2" s="1"/>
  <c r="BD93" i="2" s="1"/>
  <c r="CU145" i="3"/>
  <c r="CU126" i="3"/>
  <c r="CU130" i="3" s="1"/>
  <c r="AP168" i="3"/>
  <c r="AS172" i="3"/>
  <c r="AS174" i="3"/>
  <c r="AS24" i="3"/>
  <c r="AS19" i="3"/>
  <c r="M26" i="2"/>
  <c r="AU174" i="3"/>
  <c r="AT18" i="3"/>
  <c r="AX172" i="3"/>
  <c r="AO54" i="2"/>
  <c r="CB101" i="3"/>
  <c r="BT45" i="3"/>
  <c r="BT42" i="3"/>
  <c r="BT35" i="3"/>
  <c r="BT33" i="3"/>
  <c r="CY280" i="2"/>
  <c r="CY281" i="2"/>
  <c r="DC281" i="2"/>
  <c r="BE167" i="3"/>
  <c r="GB435" i="2"/>
  <c r="GB434" i="2"/>
  <c r="GJ158" i="3"/>
  <c r="GH158" i="3"/>
  <c r="GI158" i="3" s="1"/>
  <c r="FK160" i="3"/>
  <c r="CC69" i="3"/>
  <c r="AU51" i="2"/>
  <c r="AU49" i="2"/>
  <c r="AY50" i="2"/>
  <c r="ES170" i="3"/>
  <c r="EX163" i="3"/>
  <c r="ES153" i="3"/>
  <c r="ES169" i="3"/>
  <c r="ES163" i="3"/>
  <c r="EX170" i="3"/>
  <c r="EX169" i="3"/>
  <c r="BH156" i="3"/>
  <c r="BI156" i="3" s="1"/>
  <c r="BG174" i="3"/>
  <c r="BG172" i="3"/>
  <c r="BG24" i="3"/>
  <c r="BG19" i="3"/>
  <c r="X26" i="2"/>
  <c r="BL172" i="3"/>
  <c r="GC28" i="2"/>
  <c r="GC31" i="2"/>
  <c r="GC29" i="2"/>
  <c r="FL166" i="3"/>
  <c r="FL171" i="3" s="1"/>
  <c r="FI166" i="3"/>
  <c r="FL160" i="3"/>
  <c r="FL162" i="3"/>
  <c r="FL159" i="3"/>
  <c r="FL158" i="3"/>
  <c r="FH106" i="3"/>
  <c r="FH110" i="3" s="1"/>
  <c r="FH50" i="3"/>
  <c r="FH63" i="3"/>
  <c r="DD76" i="2" s="1"/>
  <c r="DH78" i="2" s="1"/>
  <c r="FH47" i="3"/>
  <c r="FH48" i="3" s="1"/>
  <c r="FH43" i="3"/>
  <c r="DD79" i="2"/>
  <c r="FH56" i="3"/>
  <c r="DD66" i="2" s="1"/>
  <c r="DH68" i="2" s="1"/>
  <c r="DA49" i="2"/>
  <c r="DA51" i="2"/>
  <c r="DA50" i="2"/>
  <c r="DA52" i="2"/>
  <c r="DC166" i="3"/>
  <c r="DC171" i="3" s="1"/>
  <c r="DC159" i="3"/>
  <c r="DC160" i="3"/>
  <c r="DA159" i="3"/>
  <c r="DB159" i="3" s="1"/>
  <c r="DC162" i="3"/>
  <c r="DA160" i="3"/>
  <c r="DB160" i="3" s="1"/>
  <c r="DA162" i="3"/>
  <c r="DB162" i="3" s="1"/>
  <c r="DC158" i="3"/>
  <c r="CY106" i="3"/>
  <c r="CY110" i="3" s="1"/>
  <c r="CY47" i="3"/>
  <c r="CY43" i="3"/>
  <c r="BG79" i="2"/>
  <c r="ED58" i="2"/>
  <c r="ED57" i="2"/>
  <c r="ED56" i="2"/>
  <c r="AU56" i="3"/>
  <c r="N66" i="2" s="1"/>
  <c r="N69" i="2"/>
  <c r="AN168" i="3"/>
  <c r="AO168" i="3" s="1"/>
  <c r="FZ51" i="2"/>
  <c r="FZ52" i="2"/>
  <c r="O57" i="2"/>
  <c r="O56" i="2"/>
  <c r="O55" i="2"/>
  <c r="BQ54" i="2"/>
  <c r="DK101" i="3"/>
  <c r="GB168" i="3"/>
  <c r="GF167" i="3"/>
  <c r="GC167" i="3"/>
  <c r="GD167" i="3" s="1"/>
  <c r="GB42" i="3"/>
  <c r="GE159" i="3" s="1"/>
  <c r="GB45" i="3"/>
  <c r="GB35" i="3"/>
  <c r="GB33" i="3"/>
  <c r="GF168" i="3"/>
  <c r="EI223" i="3"/>
  <c r="EI222" i="3"/>
  <c r="EJ220" i="3"/>
  <c r="GO106" i="3"/>
  <c r="GO50" i="3"/>
  <c r="GO63" i="3"/>
  <c r="GO43" i="3"/>
  <c r="GO47" i="3"/>
  <c r="ED79" i="2"/>
  <c r="GO56" i="3"/>
  <c r="ED66" i="2" s="1"/>
  <c r="CD168" i="3"/>
  <c r="BJ58" i="2"/>
  <c r="BJ57" i="2"/>
  <c r="BJ55" i="2"/>
  <c r="FO54" i="2"/>
  <c r="FO57" i="2" s="1"/>
  <c r="GG61" i="2"/>
  <c r="EG446" i="2"/>
  <c r="EG445" i="2"/>
  <c r="BR49" i="2"/>
  <c r="BR51" i="2"/>
  <c r="BR50" i="2"/>
  <c r="BR52" i="2"/>
  <c r="FQ48" i="2"/>
  <c r="GE168" i="3"/>
  <c r="BL57" i="2"/>
  <c r="BL56" i="2"/>
  <c r="BL55" i="2"/>
  <c r="BL58" i="2"/>
  <c r="AO51" i="2"/>
  <c r="AO49" i="2"/>
  <c r="EF322" i="2"/>
  <c r="EF323" i="2"/>
  <c r="EU69" i="3"/>
  <c r="CP54" i="2"/>
  <c r="EQ101" i="3"/>
  <c r="CP100" i="2" s="1"/>
  <c r="B51" i="2"/>
  <c r="FR28" i="2"/>
  <c r="FR29" i="2"/>
  <c r="FR31" i="2"/>
  <c r="FA106" i="3"/>
  <c r="FA63" i="3"/>
  <c r="FA47" i="3"/>
  <c r="FA50" i="3"/>
  <c r="FA43" i="3"/>
  <c r="FE42" i="3"/>
  <c r="CX79" i="2"/>
  <c r="FA56" i="3"/>
  <c r="CX66" i="2" s="1"/>
  <c r="CO48" i="3"/>
  <c r="CO50" i="3"/>
  <c r="CO63" i="3"/>
  <c r="AY76" i="2" s="1"/>
  <c r="FF166" i="3"/>
  <c r="FF160" i="3"/>
  <c r="FD158" i="3"/>
  <c r="FE158" i="3" s="1"/>
  <c r="FD159" i="3"/>
  <c r="FE159" i="3" s="1"/>
  <c r="FF162" i="3"/>
  <c r="FD160" i="3"/>
  <c r="FE160" i="3" s="1"/>
  <c r="FD162" i="3"/>
  <c r="FE162" i="3" s="1"/>
  <c r="FF159" i="3"/>
  <c r="FF158" i="3"/>
  <c r="FB106" i="3"/>
  <c r="FB110" i="3" s="1"/>
  <c r="FB50" i="3"/>
  <c r="FB63" i="3"/>
  <c r="CY76" i="2" s="1"/>
  <c r="DC78" i="2" s="1"/>
  <c r="FB47" i="3"/>
  <c r="FB48" i="3" s="1"/>
  <c r="FB43" i="3"/>
  <c r="CY79" i="2"/>
  <c r="FB56" i="3"/>
  <c r="CY66" i="2" s="1"/>
  <c r="DT371" i="2"/>
  <c r="DU369" i="2"/>
  <c r="GD369" i="2" s="1"/>
  <c r="GD371" i="2" s="1"/>
  <c r="GX90" i="3"/>
  <c r="EG37" i="2"/>
  <c r="GG37" i="2" s="1"/>
  <c r="GG39" i="2" s="1"/>
  <c r="EG34" i="2"/>
  <c r="EG33" i="2"/>
  <c r="GS20" i="3"/>
  <c r="EO168" i="3"/>
  <c r="EP168" i="3" s="1"/>
  <c r="CN54" i="2"/>
  <c r="EX69" i="3"/>
  <c r="EZ69" i="3" s="1"/>
  <c r="EX102" i="3"/>
  <c r="CV101" i="2" s="1"/>
  <c r="EQ390" i="3"/>
  <c r="EQ389" i="3"/>
  <c r="BP45" i="3"/>
  <c r="BP35" i="3"/>
  <c r="BP33" i="3"/>
  <c r="BP42" i="3"/>
  <c r="EI443" i="2"/>
  <c r="AS97" i="2"/>
  <c r="AS13" i="2"/>
  <c r="AS11" i="2"/>
  <c r="AS12" i="2"/>
  <c r="AV97" i="2"/>
  <c r="AU97" i="2"/>
  <c r="AT11" i="2"/>
  <c r="AT97" i="2"/>
  <c r="FJ33" i="3"/>
  <c r="FJ35" i="3"/>
  <c r="FJ45" i="3"/>
  <c r="EF42" i="3"/>
  <c r="EF45" i="3"/>
  <c r="EF33" i="3"/>
  <c r="EF35" i="3"/>
  <c r="FN132" i="3"/>
  <c r="DI90" i="2" s="1"/>
  <c r="FN126" i="3"/>
  <c r="FN130" i="3" s="1"/>
  <c r="CP50" i="3"/>
  <c r="CP63" i="3"/>
  <c r="AZ76" i="2" s="1"/>
  <c r="CP48" i="3"/>
  <c r="GI102" i="3"/>
  <c r="DY101" i="2"/>
  <c r="EG50" i="3"/>
  <c r="EG47" i="3"/>
  <c r="EG43" i="3"/>
  <c r="CH79" i="2"/>
  <c r="FK106" i="3"/>
  <c r="FK50" i="3"/>
  <c r="FK63" i="3"/>
  <c r="FO42" i="3"/>
  <c r="FK43" i="3"/>
  <c r="FK47" i="3"/>
  <c r="DF79" i="2"/>
  <c r="FK56" i="3"/>
  <c r="DF66" i="2" s="1"/>
  <c r="FY102" i="3"/>
  <c r="DQ101" i="2"/>
  <c r="BJ35" i="3"/>
  <c r="BJ33" i="3"/>
  <c r="BJ42" i="3"/>
  <c r="BJ45" i="3"/>
  <c r="AQ13" i="2"/>
  <c r="AQ11" i="2"/>
  <c r="FJ10" i="2"/>
  <c r="AQ12" i="2"/>
  <c r="AQ97" i="2"/>
  <c r="AU12" i="2"/>
  <c r="FZ28" i="2"/>
  <c r="EN158" i="3"/>
  <c r="EJ50" i="3"/>
  <c r="EJ47" i="3"/>
  <c r="EJ43" i="3"/>
  <c r="CK79" i="2"/>
  <c r="DF47" i="3"/>
  <c r="DF43" i="3"/>
  <c r="BM79" i="2"/>
  <c r="FM52" i="3"/>
  <c r="DH72" i="2"/>
  <c r="EI291" i="2"/>
  <c r="EJ289" i="2"/>
  <c r="FF106" i="3"/>
  <c r="FF43" i="3"/>
  <c r="FJ42" i="3"/>
  <c r="FF63" i="3"/>
  <c r="FF47" i="3"/>
  <c r="FF50" i="3"/>
  <c r="DB79" i="2"/>
  <c r="FF56" i="3"/>
  <c r="DB66" i="2" s="1"/>
  <c r="BO52" i="2"/>
  <c r="BO49" i="2"/>
  <c r="BO50" i="2"/>
  <c r="BO51" i="2"/>
  <c r="ED162" i="3"/>
  <c r="ED159" i="3"/>
  <c r="ED166" i="3"/>
  <c r="ED171" i="3" s="1"/>
  <c r="ED160" i="3"/>
  <c r="ED158" i="3"/>
  <c r="DZ50" i="3"/>
  <c r="DZ47" i="3"/>
  <c r="DZ43" i="3"/>
  <c r="CC79" i="2"/>
  <c r="DQ70" i="3"/>
  <c r="FV69" i="3"/>
  <c r="FX101" i="3" s="1"/>
  <c r="FV102" i="3"/>
  <c r="DO101" i="2" s="1"/>
  <c r="FY70" i="3"/>
  <c r="DD54" i="2"/>
  <c r="BA54" i="2"/>
  <c r="BB55" i="2" s="1"/>
  <c r="CR69" i="3"/>
  <c r="FD69" i="3"/>
  <c r="FG101" i="3" s="1"/>
  <c r="DC100" i="2" s="1"/>
  <c r="FD102" i="3"/>
  <c r="FG102" i="3"/>
  <c r="DC101" i="2" s="1"/>
  <c r="GG168" i="3"/>
  <c r="DK58" i="2"/>
  <c r="DK57" i="2"/>
  <c r="FR69" i="3"/>
  <c r="FR101" i="3" s="1"/>
  <c r="DL100" i="2" s="1"/>
  <c r="FR102" i="3"/>
  <c r="DL101" i="2" s="1"/>
  <c r="FW102" i="3"/>
  <c r="DP101" i="2" s="1"/>
  <c r="DV175" i="3"/>
  <c r="DV173" i="3"/>
  <c r="DV25" i="3"/>
  <c r="CS101" i="3"/>
  <c r="BB100" i="2" s="1"/>
  <c r="EN213" i="3"/>
  <c r="EN212" i="3"/>
  <c r="EO210" i="3"/>
  <c r="EP210" i="3" s="1"/>
  <c r="EP212" i="3" s="1"/>
  <c r="AR168" i="3"/>
  <c r="AR35" i="3"/>
  <c r="AR51" i="3" s="1"/>
  <c r="AR33" i="3"/>
  <c r="AR42" i="3"/>
  <c r="AR45" i="3"/>
  <c r="AE49" i="2"/>
  <c r="AE50" i="2"/>
  <c r="AE51" i="2"/>
  <c r="CA106" i="3"/>
  <c r="CA110" i="3" s="1"/>
  <c r="CA47" i="3"/>
  <c r="CA43" i="3"/>
  <c r="FD167" i="3"/>
  <c r="FE167" i="3" s="1"/>
  <c r="CN48" i="3"/>
  <c r="CN50" i="3"/>
  <c r="CN63" i="3"/>
  <c r="AP106" i="3"/>
  <c r="AP43" i="3"/>
  <c r="AP47" i="3"/>
  <c r="DT168" i="3"/>
  <c r="DX167" i="3"/>
  <c r="DU167" i="3"/>
  <c r="DV167" i="3" s="1"/>
  <c r="DT42" i="3"/>
  <c r="DW162" i="3" s="1"/>
  <c r="DT45" i="3"/>
  <c r="DT35" i="3"/>
  <c r="DT33" i="3"/>
  <c r="EC52" i="3"/>
  <c r="CE72" i="2"/>
  <c r="AC13" i="2"/>
  <c r="AD11" i="2"/>
  <c r="AC11" i="2"/>
  <c r="AD97" i="2"/>
  <c r="AC97" i="2"/>
  <c r="AE97" i="2"/>
  <c r="FF10" i="2"/>
  <c r="AF97" i="2"/>
  <c r="EH36" i="2"/>
  <c r="EH60" i="2"/>
  <c r="EH61" i="2"/>
  <c r="DV101" i="3"/>
  <c r="BY100" i="2"/>
  <c r="FR100" i="2" s="1"/>
  <c r="DO453" i="2"/>
  <c r="DO454" i="2"/>
  <c r="CY260" i="2"/>
  <c r="CY261" i="2"/>
  <c r="CY259" i="2"/>
  <c r="DC260" i="2"/>
  <c r="FW168" i="3"/>
  <c r="ES388" i="3"/>
  <c r="ES309" i="3"/>
  <c r="ES285" i="3"/>
  <c r="ES286" i="3"/>
  <c r="CW173" i="3"/>
  <c r="CW175" i="3"/>
  <c r="CW25" i="3"/>
  <c r="DX168" i="3"/>
  <c r="GJ159" i="3"/>
  <c r="GJ160" i="3"/>
  <c r="CQ460" i="2"/>
  <c r="CQ458" i="2"/>
  <c r="DA167" i="3"/>
  <c r="DB167" i="3" s="1"/>
  <c r="GC122" i="3"/>
  <c r="GD121" i="3"/>
  <c r="FI162" i="3"/>
  <c r="FJ162" i="3" s="1"/>
  <c r="FK159" i="3"/>
  <c r="EA244" i="3"/>
  <c r="FJ102" i="3"/>
  <c r="DE101" i="2"/>
  <c r="FN164" i="3"/>
  <c r="FN162" i="3" s="1"/>
  <c r="FO162" i="3" s="1"/>
  <c r="FM161" i="3"/>
  <c r="FM163" i="3"/>
  <c r="GS14" i="3"/>
  <c r="BK156" i="3"/>
  <c r="FN29" i="2"/>
  <c r="FN31" i="2"/>
  <c r="FN28" i="2"/>
  <c r="DL52" i="2"/>
  <c r="DL54" i="2"/>
  <c r="DM55" i="2" s="1"/>
  <c r="DL49" i="2"/>
  <c r="DL51" i="2"/>
  <c r="DL50" i="2"/>
  <c r="FY434" i="2"/>
  <c r="FY435" i="2"/>
  <c r="CV168" i="3"/>
  <c r="CW168" i="3" s="1"/>
  <c r="CZ167" i="3"/>
  <c r="CV42" i="3"/>
  <c r="CW42" i="3" s="1"/>
  <c r="CV45" i="3"/>
  <c r="CV35" i="3"/>
  <c r="CV33" i="3"/>
  <c r="CX167" i="3"/>
  <c r="CY167" i="3"/>
  <c r="CX54" i="2"/>
  <c r="FA101" i="3"/>
  <c r="CX100" i="2" s="1"/>
  <c r="DK168" i="3"/>
  <c r="DL168" i="3" s="1"/>
  <c r="DO167" i="3"/>
  <c r="DK45" i="3"/>
  <c r="DK35" i="3"/>
  <c r="DK33" i="3"/>
  <c r="DK42" i="3"/>
  <c r="FO102" i="3"/>
  <c r="DI101" i="2"/>
  <c r="FY415" i="2"/>
  <c r="DM57" i="2"/>
  <c r="DM56" i="2"/>
  <c r="DM58" i="2"/>
  <c r="DN55" i="2"/>
  <c r="EI447" i="2"/>
  <c r="EH444" i="2"/>
  <c r="GE106" i="3"/>
  <c r="GE63" i="3"/>
  <c r="GE47" i="3"/>
  <c r="GE50" i="3"/>
  <c r="GE43" i="3"/>
  <c r="GI42" i="3"/>
  <c r="DV79" i="2"/>
  <c r="GE56" i="3"/>
  <c r="DV66" i="2" s="1"/>
  <c r="CY101" i="3"/>
  <c r="BG100" i="2" s="1"/>
  <c r="EF437" i="2"/>
  <c r="EF432" i="2"/>
  <c r="EF438" i="2"/>
  <c r="FE32" i="3"/>
  <c r="GD173" i="3"/>
  <c r="CO145" i="3"/>
  <c r="CO132" i="3"/>
  <c r="AY90" i="2" s="1"/>
  <c r="AY93" i="2" s="1"/>
  <c r="CO126" i="3"/>
  <c r="CO130" i="3" s="1"/>
  <c r="FN159" i="3"/>
  <c r="FO159" i="3" s="1"/>
  <c r="FN160" i="3"/>
  <c r="FO160" i="3" s="1"/>
  <c r="FN158" i="3"/>
  <c r="FO158" i="3" s="1"/>
  <c r="FL106" i="3"/>
  <c r="FL110" i="3" s="1"/>
  <c r="FL43" i="3"/>
  <c r="FL63" i="3"/>
  <c r="DG76" i="2" s="1"/>
  <c r="DH77" i="2" s="1"/>
  <c r="FL47" i="3"/>
  <c r="FL48" i="3" s="1"/>
  <c r="FL50" i="3"/>
  <c r="DG79" i="2"/>
  <c r="FL56" i="3"/>
  <c r="DG66" i="2" s="1"/>
  <c r="DW269" i="2"/>
  <c r="DW267" i="2"/>
  <c r="DW268" i="2"/>
  <c r="DW149" i="2"/>
  <c r="CI251" i="2"/>
  <c r="CI252" i="2"/>
  <c r="CI253" i="2"/>
  <c r="CI262" i="2"/>
  <c r="BM57" i="2"/>
  <c r="BM56" i="2"/>
  <c r="BM55" i="2"/>
  <c r="BM58" i="2"/>
  <c r="DC459" i="2"/>
  <c r="DS431" i="2"/>
  <c r="DR428" i="2"/>
  <c r="FD29" i="2"/>
  <c r="FD31" i="2"/>
  <c r="DP167" i="3"/>
  <c r="DQ167" i="3" s="1"/>
  <c r="DO168" i="3"/>
  <c r="DS167" i="3"/>
  <c r="DO42" i="3"/>
  <c r="DO45" i="3"/>
  <c r="DO35" i="3"/>
  <c r="DO33" i="3"/>
  <c r="DW47" i="3"/>
  <c r="DW50" i="3"/>
  <c r="DW43" i="3"/>
  <c r="BZ79" i="2"/>
  <c r="DB69" i="3"/>
  <c r="BF54" i="2"/>
  <c r="CX101" i="3"/>
  <c r="BF100" i="2" s="1"/>
  <c r="GJ88" i="2"/>
  <c r="GA52" i="2"/>
  <c r="GA50" i="2"/>
  <c r="GA51" i="2"/>
  <c r="ES374" i="3"/>
  <c r="ES375" i="3"/>
  <c r="EH431" i="2"/>
  <c r="DI168" i="3"/>
  <c r="DM167" i="3"/>
  <c r="DI42" i="3"/>
  <c r="DI35" i="3"/>
  <c r="DI33" i="3"/>
  <c r="DI45" i="3"/>
  <c r="FX422" i="2"/>
  <c r="ER307" i="3"/>
  <c r="ER310" i="3" s="1"/>
  <c r="ER189" i="3"/>
  <c r="ER188" i="3"/>
  <c r="AN167" i="3"/>
  <c r="AO167" i="3" s="1"/>
  <c r="EP173" i="3"/>
  <c r="EP175" i="3"/>
  <c r="EP25" i="3"/>
  <c r="BS51" i="2"/>
  <c r="BS50" i="2"/>
  <c r="BS52" i="2"/>
  <c r="BS49" i="2"/>
  <c r="CZ54" i="2"/>
  <c r="FC101" i="3"/>
  <c r="CZ100" i="2" s="1"/>
  <c r="EV106" i="3"/>
  <c r="EV50" i="3"/>
  <c r="EV63" i="3"/>
  <c r="EV47" i="3"/>
  <c r="EV43" i="3"/>
  <c r="CT79" i="2"/>
  <c r="DU57" i="2"/>
  <c r="DU56" i="2"/>
  <c r="DU58" i="2"/>
  <c r="EP102" i="3"/>
  <c r="CO101" i="2"/>
  <c r="EJ167" i="3"/>
  <c r="EK167" i="3" s="1"/>
  <c r="FF17" i="2"/>
  <c r="FF16" i="2"/>
  <c r="EX168" i="3"/>
  <c r="FB167" i="3"/>
  <c r="EY167" i="3"/>
  <c r="EZ167" i="3" s="1"/>
  <c r="EX42" i="3"/>
  <c r="FA166" i="3" s="1"/>
  <c r="EX45" i="3"/>
  <c r="EX35" i="3"/>
  <c r="EX33" i="3"/>
  <c r="EG111" i="2"/>
  <c r="EG110" i="2"/>
  <c r="ET147" i="3"/>
  <c r="EU147" i="3" s="1"/>
  <c r="ET148" i="3"/>
  <c r="EU148" i="3" s="1"/>
  <c r="ET146" i="3"/>
  <c r="EU87" i="3"/>
  <c r="ET92" i="3"/>
  <c r="GD102" i="3"/>
  <c r="DU101" i="2"/>
  <c r="GD152" i="2"/>
  <c r="GD151" i="2"/>
  <c r="BU54" i="2"/>
  <c r="BY56" i="2" s="1"/>
  <c r="DP101" i="3"/>
  <c r="FB102" i="3"/>
  <c r="CY101" i="2" s="1"/>
  <c r="GH101" i="3"/>
  <c r="CX460" i="2"/>
  <c r="CX458" i="2"/>
  <c r="CX459" i="2"/>
  <c r="FY457" i="2"/>
  <c r="DT54" i="2"/>
  <c r="GD54" i="2" s="1"/>
  <c r="DT49" i="2"/>
  <c r="DT51" i="2"/>
  <c r="DT50" i="2"/>
  <c r="DT52" i="2"/>
  <c r="FW51" i="2"/>
  <c r="FW52" i="2"/>
  <c r="AH106" i="3"/>
  <c r="AH110" i="3" s="1"/>
  <c r="AH50" i="3"/>
  <c r="AH52" i="3" s="1"/>
  <c r="AH43" i="3"/>
  <c r="FJ69" i="3"/>
  <c r="DB54" i="2"/>
  <c r="AO32" i="3"/>
  <c r="EA42" i="3"/>
  <c r="EA33" i="3"/>
  <c r="EA45" i="3"/>
  <c r="EA35" i="3"/>
  <c r="FW166" i="3"/>
  <c r="FW171" i="3" s="1"/>
  <c r="FW159" i="3"/>
  <c r="FW160" i="3"/>
  <c r="FW158" i="3"/>
  <c r="FS106" i="3"/>
  <c r="FS110" i="3" s="1"/>
  <c r="FS63" i="3"/>
  <c r="DM76" i="2" s="1"/>
  <c r="FS47" i="3"/>
  <c r="FS48" i="3" s="1"/>
  <c r="FS50" i="3"/>
  <c r="FS43" i="3"/>
  <c r="DM79" i="2"/>
  <c r="FS56" i="3"/>
  <c r="DM66" i="2" s="1"/>
  <c r="GN69" i="3"/>
  <c r="GO101" i="3" s="1"/>
  <c r="ED100" i="2" s="1"/>
  <c r="EE435" i="2"/>
  <c r="EE433" i="2"/>
  <c r="EE434" i="2"/>
  <c r="EZ32" i="3"/>
  <c r="DT375" i="2"/>
  <c r="DU373" i="2"/>
  <c r="GD373" i="2" s="1"/>
  <c r="GD375" i="2" s="1"/>
  <c r="EQ158" i="3"/>
  <c r="EQ159" i="3"/>
  <c r="EQ166" i="3"/>
  <c r="EQ171" i="3" s="1"/>
  <c r="EQ160" i="3"/>
  <c r="EQ162" i="3"/>
  <c r="EO158" i="3"/>
  <c r="EP158" i="3" s="1"/>
  <c r="EM50" i="3"/>
  <c r="EM43" i="3"/>
  <c r="EM47" i="3"/>
  <c r="CM79" i="2"/>
  <c r="AT54" i="2"/>
  <c r="AU55" i="2" s="1"/>
  <c r="FQ101" i="3"/>
  <c r="DK100" i="2" s="1"/>
  <c r="DJ167" i="3"/>
  <c r="GD21" i="2"/>
  <c r="GD20" i="2"/>
  <c r="GE20" i="2"/>
  <c r="DN168" i="3"/>
  <c r="DR167" i="3"/>
  <c r="DN42" i="3"/>
  <c r="DN45" i="3"/>
  <c r="DN35" i="3"/>
  <c r="DN33" i="3"/>
  <c r="CJ298" i="2"/>
  <c r="CJ257" i="2"/>
  <c r="CJ255" i="2"/>
  <c r="CJ256" i="2"/>
  <c r="CJ250" i="2"/>
  <c r="BW50" i="2"/>
  <c r="DR58" i="2"/>
  <c r="DR57" i="2"/>
  <c r="DR56" i="2"/>
  <c r="DR55" i="2"/>
  <c r="EK336" i="2"/>
  <c r="EL334" i="2"/>
  <c r="FX168" i="3"/>
  <c r="FY168" i="3" s="1"/>
  <c r="DI77" i="2"/>
  <c r="AZ80" i="2"/>
  <c r="CQ168" i="3"/>
  <c r="CR168" i="3" s="1"/>
  <c r="CU167" i="3"/>
  <c r="CQ42" i="3"/>
  <c r="CQ35" i="3"/>
  <c r="CQ33" i="3"/>
  <c r="CQ45" i="3"/>
  <c r="CR32" i="3"/>
  <c r="CT167" i="3"/>
  <c r="CS167" i="3"/>
  <c r="CQ167" i="3"/>
  <c r="CR167" i="3" s="1"/>
  <c r="DU168" i="3"/>
  <c r="DV168" i="3" s="1"/>
  <c r="DR101" i="3"/>
  <c r="BV100" i="2" s="1"/>
  <c r="DV69" i="3"/>
  <c r="BV54" i="2"/>
  <c r="BW55" i="2" s="1"/>
  <c r="BB57" i="2"/>
  <c r="BB56" i="2"/>
  <c r="BB58" i="2"/>
  <c r="BC55" i="2"/>
  <c r="ET227" i="3"/>
  <c r="EU227" i="3" s="1"/>
  <c r="EU229" i="3" s="1"/>
  <c r="ET209" i="3"/>
  <c r="FC158" i="3"/>
  <c r="FC159" i="3"/>
  <c r="FC166" i="3"/>
  <c r="FC171" i="3" s="1"/>
  <c r="FC160" i="3"/>
  <c r="FC162" i="3"/>
  <c r="EY106" i="3"/>
  <c r="EY110" i="3" s="1"/>
  <c r="EY132" i="3" s="1"/>
  <c r="CW90" i="2" s="1"/>
  <c r="EY50" i="3"/>
  <c r="EY63" i="3"/>
  <c r="CW76" i="2" s="1"/>
  <c r="EY47" i="3"/>
  <c r="EY48" i="3" s="1"/>
  <c r="EY43" i="3"/>
  <c r="CW79" i="2"/>
  <c r="EY56" i="3"/>
  <c r="CW66" i="2" s="1"/>
  <c r="EP316" i="3"/>
  <c r="EP290" i="3"/>
  <c r="L54" i="2"/>
  <c r="AR101" i="3"/>
  <c r="L100" i="2" s="1"/>
  <c r="FG167" i="3"/>
  <c r="CN110" i="3"/>
  <c r="BX54" i="2"/>
  <c r="CB56" i="2" s="1"/>
  <c r="DT101" i="3"/>
  <c r="BX100" i="2" s="1"/>
  <c r="EC106" i="3"/>
  <c r="EC110" i="3" s="1"/>
  <c r="EC132" i="3" s="1"/>
  <c r="CE90" i="2" s="1"/>
  <c r="CE93" i="2" s="1"/>
  <c r="EC63" i="3"/>
  <c r="CE76" i="2" s="1"/>
  <c r="EC48" i="3"/>
  <c r="AO175" i="3"/>
  <c r="AO25" i="3"/>
  <c r="ET168" i="3"/>
  <c r="EU168" i="3" s="1"/>
  <c r="FA167" i="3"/>
  <c r="EP381" i="3"/>
  <c r="EP376" i="3"/>
  <c r="EP378" i="3" s="1"/>
  <c r="BY57" i="2"/>
  <c r="BY58" i="2"/>
  <c r="BN51" i="2"/>
  <c r="BN50" i="2"/>
  <c r="BN52" i="2"/>
  <c r="BN49" i="2"/>
  <c r="FP48" i="2"/>
  <c r="DQ455" i="2"/>
  <c r="DP452" i="2"/>
  <c r="FX167" i="3"/>
  <c r="FY167" i="3" s="1"/>
  <c r="DT379" i="2"/>
  <c r="DU377" i="2"/>
  <c r="GD377" i="2" s="1"/>
  <c r="GD379" i="2" s="1"/>
  <c r="DT363" i="2"/>
  <c r="GJ166" i="3"/>
  <c r="GJ171" i="3" s="1"/>
  <c r="GO160" i="3"/>
  <c r="GO158" i="3"/>
  <c r="GK106" i="3"/>
  <c r="GK110" i="3" s="1"/>
  <c r="GK132" i="3" s="1"/>
  <c r="EA90" i="2" s="1"/>
  <c r="GK63" i="3"/>
  <c r="EA76" i="2" s="1"/>
  <c r="GK47" i="3"/>
  <c r="GK48" i="3" s="1"/>
  <c r="GK50" i="3"/>
  <c r="GK43" i="3"/>
  <c r="EA79" i="2"/>
  <c r="GK56" i="3"/>
  <c r="EA66" i="2" s="1"/>
  <c r="GD122" i="3"/>
  <c r="AN57" i="2"/>
  <c r="AN55" i="2"/>
  <c r="AN58" i="2"/>
  <c r="BP52" i="2"/>
  <c r="BP49" i="2"/>
  <c r="BP51" i="2"/>
  <c r="BP50" i="2"/>
  <c r="FG52" i="3"/>
  <c r="DC72" i="2"/>
  <c r="FI160" i="3"/>
  <c r="FJ160" i="3" s="1"/>
  <c r="DE54" i="2"/>
  <c r="FI101" i="3"/>
  <c r="GC394" i="2"/>
  <c r="GC397" i="2" s="1"/>
  <c r="AU158" i="3"/>
  <c r="AQ106" i="3"/>
  <c r="AQ110" i="3" s="1"/>
  <c r="AQ47" i="3"/>
  <c r="AQ43" i="3"/>
  <c r="BJ155" i="3"/>
  <c r="BK155" i="3"/>
  <c r="EH239" i="2"/>
  <c r="EH238" i="2"/>
  <c r="GI69" i="3"/>
  <c r="GJ101" i="3" s="1"/>
  <c r="DZ100" i="2" s="1"/>
  <c r="BC167" i="3"/>
  <c r="BD167" i="3" s="1"/>
  <c r="CZ458" i="2"/>
  <c r="CZ460" i="2"/>
  <c r="CZ459" i="2"/>
  <c r="BA51" i="2"/>
  <c r="BA52" i="2"/>
  <c r="BA49" i="2"/>
  <c r="FL48" i="2"/>
  <c r="EG329" i="2"/>
  <c r="EG328" i="2"/>
  <c r="EG321" i="2"/>
  <c r="EG133" i="2"/>
  <c r="GG133" i="2" s="1"/>
  <c r="EG436" i="2"/>
  <c r="GG436" i="2" s="1"/>
  <c r="BE54" i="2"/>
  <c r="CV101" i="3"/>
  <c r="DA101" i="3"/>
  <c r="ED106" i="3"/>
  <c r="ED110" i="3" s="1"/>
  <c r="ED132" i="3" s="1"/>
  <c r="CF90" i="2" s="1"/>
  <c r="CF93" i="2" s="1"/>
  <c r="ED48" i="3"/>
  <c r="ED63" i="3"/>
  <c r="CF76" i="2" s="1"/>
  <c r="GB69" i="3"/>
  <c r="GB101" i="3" s="1"/>
  <c r="DT100" i="2" s="1"/>
  <c r="GB102" i="3"/>
  <c r="DT101" i="2" s="1"/>
  <c r="EG115" i="2"/>
  <c r="EG114" i="2"/>
  <c r="EI102" i="3"/>
  <c r="CJ101" i="2" s="1"/>
  <c r="K57" i="2"/>
  <c r="K56" i="2"/>
  <c r="K55" i="2"/>
  <c r="FP168" i="3"/>
  <c r="FP42" i="3"/>
  <c r="FP166" i="3" s="1"/>
  <c r="FP45" i="3"/>
  <c r="FP33" i="3"/>
  <c r="FT32" i="3"/>
  <c r="FP35" i="3"/>
  <c r="FQ167" i="3"/>
  <c r="EQ203" i="3"/>
  <c r="EQ202" i="3"/>
  <c r="GI45" i="3"/>
  <c r="GI33" i="3"/>
  <c r="GI35" i="3"/>
  <c r="T57" i="2"/>
  <c r="T55" i="2"/>
  <c r="U55" i="2"/>
  <c r="BW57" i="2"/>
  <c r="BW58" i="2"/>
  <c r="BB49" i="2"/>
  <c r="BG57" i="2"/>
  <c r="BG56" i="2"/>
  <c r="BG58" i="2"/>
  <c r="EF135" i="2"/>
  <c r="EF134" i="2"/>
  <c r="FO52" i="2"/>
  <c r="FO51" i="2"/>
  <c r="GD175" i="3"/>
  <c r="AP49" i="2"/>
  <c r="CS158" i="3"/>
  <c r="DS50" i="2"/>
  <c r="CL51" i="2"/>
  <c r="CL50" i="2"/>
  <c r="CL52" i="2"/>
  <c r="CL49" i="2"/>
  <c r="FV48" i="2"/>
  <c r="BQ49" i="2"/>
  <c r="BQ51" i="2"/>
  <c r="BQ50" i="2"/>
  <c r="BQ52" i="2"/>
  <c r="DX312" i="2"/>
  <c r="DY310" i="2"/>
  <c r="DX266" i="2"/>
  <c r="GT20" i="3"/>
  <c r="EI41" i="2"/>
  <c r="EH43" i="2"/>
  <c r="EH32" i="2"/>
  <c r="CI300" i="2"/>
  <c r="CI299" i="2"/>
  <c r="BH57" i="2"/>
  <c r="BH56" i="2"/>
  <c r="BH55" i="2"/>
  <c r="BH58" i="2"/>
  <c r="DG101" i="3"/>
  <c r="BM100" i="2"/>
  <c r="FO100" i="2" s="1"/>
  <c r="AO124" i="3"/>
  <c r="AP124" i="3" s="1"/>
  <c r="DV57" i="2"/>
  <c r="DV56" i="2"/>
  <c r="DV55" i="2"/>
  <c r="GE54" i="2"/>
  <c r="DV58" i="2"/>
  <c r="DW55" i="2"/>
  <c r="EA102" i="3"/>
  <c r="CC101" i="2"/>
  <c r="EI287" i="2"/>
  <c r="EJ285" i="2"/>
  <c r="CC57" i="2"/>
  <c r="CC56" i="2"/>
  <c r="CC55" i="2"/>
  <c r="CC58" i="2"/>
  <c r="CG56" i="2"/>
  <c r="FT102" i="3"/>
  <c r="DM101" i="2"/>
  <c r="GG228" i="2"/>
  <c r="GG205" i="2"/>
  <c r="P16" i="2"/>
  <c r="Q15" i="2"/>
  <c r="P17" i="2"/>
  <c r="P15" i="2"/>
  <c r="T16" i="2"/>
  <c r="BD101" i="3"/>
  <c r="U100" i="2"/>
  <c r="FD100" i="2" s="1"/>
  <c r="GG442" i="2"/>
  <c r="GG443" i="2"/>
  <c r="DA459" i="2"/>
  <c r="DA458" i="2"/>
  <c r="DA460" i="2"/>
  <c r="CF174" i="3"/>
  <c r="CF172" i="3"/>
  <c r="CF24" i="3"/>
  <c r="CF19" i="3"/>
  <c r="AR26" i="2"/>
  <c r="CK172" i="3"/>
  <c r="FZ106" i="3"/>
  <c r="FZ50" i="3"/>
  <c r="FZ63" i="3"/>
  <c r="FZ47" i="3"/>
  <c r="FZ43" i="3"/>
  <c r="DR79" i="2"/>
  <c r="FZ56" i="3"/>
  <c r="DR66" i="2" s="1"/>
  <c r="DT408" i="2"/>
  <c r="DU406" i="2"/>
  <c r="DB458" i="2"/>
  <c r="ET373" i="3"/>
  <c r="ET183" i="3"/>
  <c r="FM166" i="3"/>
  <c r="FM171" i="3" s="1"/>
  <c r="FM162" i="3"/>
  <c r="FM159" i="3"/>
  <c r="FM160" i="3"/>
  <c r="FM158" i="3"/>
  <c r="FI106" i="3"/>
  <c r="FI110" i="3" s="1"/>
  <c r="FI50" i="3"/>
  <c r="FI63" i="3"/>
  <c r="DE76" i="2" s="1"/>
  <c r="FI47" i="3"/>
  <c r="FI48" i="3" s="1"/>
  <c r="FI43" i="3"/>
  <c r="DE79" i="2"/>
  <c r="FI56" i="3"/>
  <c r="DE66" i="2" s="1"/>
  <c r="EM158" i="3"/>
  <c r="EI47" i="3"/>
  <c r="EI50" i="3"/>
  <c r="EI43" i="3"/>
  <c r="CJ79" i="2"/>
  <c r="CJ81" i="2" s="1"/>
  <c r="EI168" i="3"/>
  <c r="EK69" i="3"/>
  <c r="CH54" i="2"/>
  <c r="EG101" i="3"/>
  <c r="CH100" i="2" s="1"/>
  <c r="FW457" i="2"/>
  <c r="CP460" i="2"/>
  <c r="DJ124" i="3"/>
  <c r="EG84" i="2"/>
  <c r="GG83" i="2"/>
  <c r="GG85" i="2" s="1"/>
  <c r="EG85" i="2"/>
  <c r="FZ434" i="2"/>
  <c r="FZ435" i="2"/>
  <c r="DU155" i="2"/>
  <c r="DU156" i="2"/>
  <c r="DU154" i="2"/>
  <c r="GD153" i="2"/>
  <c r="EH273" i="2"/>
  <c r="EH274" i="2"/>
  <c r="EH278" i="2"/>
  <c r="DQ430" i="2"/>
  <c r="DQ429" i="2"/>
  <c r="R51" i="2"/>
  <c r="R50" i="2"/>
  <c r="FD48" i="2"/>
  <c r="FD51" i="2" s="1"/>
  <c r="DP168" i="3"/>
  <c r="DQ168" i="3" s="1"/>
  <c r="DT167" i="3"/>
  <c r="DP45" i="3"/>
  <c r="DP42" i="3"/>
  <c r="DP35" i="3"/>
  <c r="DP51" i="3" s="1"/>
  <c r="DQ51" i="3" s="1"/>
  <c r="DP33" i="3"/>
  <c r="FX28" i="2"/>
  <c r="EP70" i="3"/>
  <c r="EL69" i="3"/>
  <c r="EN101" i="3" s="1"/>
  <c r="CN100" i="2" s="1"/>
  <c r="EL102" i="3"/>
  <c r="CL101" i="2" s="1"/>
  <c r="CY54" i="2"/>
  <c r="BO106" i="3"/>
  <c r="BO47" i="3"/>
  <c r="BO43" i="3"/>
  <c r="EF236" i="3"/>
  <c r="EF230" i="3"/>
  <c r="EF232" i="3" s="1"/>
  <c r="BT54" i="2"/>
  <c r="DO101" i="3"/>
  <c r="BT100" i="2" s="1"/>
  <c r="EA101" i="3"/>
  <c r="CC100" i="2"/>
  <c r="FS100" i="2" s="1"/>
  <c r="EK32" i="3"/>
  <c r="DB173" i="3"/>
  <c r="DB175" i="3"/>
  <c r="DB25" i="3"/>
  <c r="EG442" i="2"/>
  <c r="EG441" i="2"/>
  <c r="GC106" i="3"/>
  <c r="GC50" i="3"/>
  <c r="GC63" i="3"/>
  <c r="DU76" i="2" s="1"/>
  <c r="GC47" i="3"/>
  <c r="GC48" i="3" s="1"/>
  <c r="GC43" i="3"/>
  <c r="DU79" i="2"/>
  <c r="GC56" i="3"/>
  <c r="DU66" i="2" s="1"/>
  <c r="Z54" i="2"/>
  <c r="EU175" i="3"/>
  <c r="EU173" i="3"/>
  <c r="EU25" i="3"/>
  <c r="CE174" i="3"/>
  <c r="CE172" i="3"/>
  <c r="CE24" i="3"/>
  <c r="CE19" i="3"/>
  <c r="AQ26" i="2"/>
  <c r="CH18" i="3"/>
  <c r="CJ172" i="3"/>
  <c r="DL244" i="3"/>
  <c r="DF162" i="3"/>
  <c r="DG162" i="3" s="1"/>
  <c r="DH158" i="3"/>
  <c r="DH159" i="3"/>
  <c r="DH166" i="3"/>
  <c r="DH160" i="3"/>
  <c r="DF159" i="3"/>
  <c r="DG159" i="3" s="1"/>
  <c r="DH162" i="3"/>
  <c r="DF160" i="3"/>
  <c r="DG160" i="3" s="1"/>
  <c r="DF158" i="3"/>
  <c r="DG158" i="3" s="1"/>
  <c r="DD43" i="3"/>
  <c r="DD47" i="3"/>
  <c r="BK79" i="2"/>
  <c r="AK158" i="3"/>
  <c r="AG106" i="3"/>
  <c r="AG110" i="3" s="1"/>
  <c r="AG50" i="3"/>
  <c r="AG52" i="3" s="1"/>
  <c r="AG43" i="3"/>
  <c r="BS54" i="2"/>
  <c r="DN101" i="3"/>
  <c r="BS100" i="2" s="1"/>
  <c r="BU52" i="2"/>
  <c r="BU49" i="2"/>
  <c r="BU50" i="2"/>
  <c r="BU51" i="2"/>
  <c r="CL301" i="2"/>
  <c r="CK303" i="2"/>
  <c r="CK254" i="2"/>
  <c r="FU254" i="2" s="1"/>
  <c r="BP54" i="2"/>
  <c r="DJ101" i="3"/>
  <c r="BP100" i="2" s="1"/>
  <c r="GG109" i="2"/>
  <c r="GU60" i="3"/>
  <c r="GV60" i="3" s="1"/>
  <c r="EJ216" i="2"/>
  <c r="EI203" i="2"/>
  <c r="EI218" i="2"/>
  <c r="DE162" i="3"/>
  <c r="FF168" i="3"/>
  <c r="DP49" i="2"/>
  <c r="DJ51" i="2"/>
  <c r="DJ50" i="2"/>
  <c r="DJ52" i="2"/>
  <c r="DJ54" i="2"/>
  <c r="DK55" i="2" s="1"/>
  <c r="DJ49" i="2"/>
  <c r="GB48" i="2"/>
  <c r="DN50" i="2"/>
  <c r="EB43" i="3"/>
  <c r="EB47" i="3"/>
  <c r="EB50" i="3"/>
  <c r="CD79" i="2"/>
  <c r="GN45" i="3"/>
  <c r="GN33" i="3"/>
  <c r="GN35" i="3"/>
  <c r="FN52" i="3"/>
  <c r="DI72" i="2"/>
  <c r="GK88" i="2"/>
  <c r="FU48" i="3"/>
  <c r="BE168" i="3"/>
  <c r="BE35" i="3"/>
  <c r="BE51" i="3" s="1"/>
  <c r="BE33" i="3"/>
  <c r="BE45" i="3"/>
  <c r="BE42" i="3"/>
  <c r="AF45" i="3"/>
  <c r="AF35" i="3"/>
  <c r="AF51" i="3" s="1"/>
  <c r="AF33" i="3"/>
  <c r="AF42" i="3"/>
  <c r="DV70" i="3"/>
  <c r="DR102" i="3"/>
  <c r="BV101" i="2" s="1"/>
  <c r="GT14" i="3"/>
  <c r="EH16" i="2"/>
  <c r="EI14" i="2"/>
  <c r="EH15" i="2"/>
  <c r="CR458" i="2"/>
  <c r="CR460" i="2"/>
  <c r="GB21" i="2"/>
  <c r="GB20" i="2"/>
  <c r="EM311" i="3"/>
  <c r="EM215" i="3"/>
  <c r="EM214" i="3"/>
  <c r="CV159" i="3"/>
  <c r="CW159" i="3" s="1"/>
  <c r="FG166" i="3"/>
  <c r="FG171" i="3" s="1"/>
  <c r="FG162" i="3"/>
  <c r="FD166" i="3"/>
  <c r="FG159" i="3"/>
  <c r="FG160" i="3"/>
  <c r="FG158" i="3"/>
  <c r="FC106" i="3"/>
  <c r="FC110" i="3" s="1"/>
  <c r="FC50" i="3"/>
  <c r="FC63" i="3"/>
  <c r="CZ76" i="2" s="1"/>
  <c r="FC43" i="3"/>
  <c r="FC47" i="3"/>
  <c r="FC48" i="3" s="1"/>
  <c r="CZ79" i="2"/>
  <c r="FC56" i="3"/>
  <c r="CZ66" i="2" s="1"/>
  <c r="BD81" i="2"/>
  <c r="FK17" i="2"/>
  <c r="FK16" i="2"/>
  <c r="FL16" i="2"/>
  <c r="EQ316" i="3"/>
  <c r="EQ290" i="3"/>
  <c r="ER288" i="3"/>
  <c r="DT102" i="3"/>
  <c r="BX101" i="2" s="1"/>
  <c r="CW459" i="2"/>
  <c r="EG158" i="3"/>
  <c r="ED88" i="3"/>
  <c r="BM174" i="3"/>
  <c r="BM24" i="3"/>
  <c r="BM19" i="3"/>
  <c r="AC26" i="2"/>
  <c r="BR172" i="3"/>
  <c r="BO174" i="3"/>
  <c r="BN18" i="3"/>
  <c r="GW86" i="3"/>
  <c r="GT55" i="3"/>
  <c r="W51" i="2"/>
  <c r="W50" i="2"/>
  <c r="W49" i="2"/>
  <c r="DQ400" i="2"/>
  <c r="DQ401" i="2"/>
  <c r="FP28" i="2"/>
  <c r="FP29" i="2"/>
  <c r="FP31" i="2"/>
  <c r="CZ284" i="2"/>
  <c r="CZ258" i="2"/>
  <c r="FY258" i="2" s="1"/>
  <c r="CZ279" i="2"/>
  <c r="FY279" i="2" s="1"/>
  <c r="ET385" i="3"/>
  <c r="ET284" i="3"/>
  <c r="GH160" i="3"/>
  <c r="GI160" i="3" s="1"/>
  <c r="FO28" i="2"/>
  <c r="AZ42" i="3"/>
  <c r="AZ45" i="3"/>
  <c r="AZ35" i="3"/>
  <c r="AZ51" i="3" s="1"/>
  <c r="AZ33" i="3"/>
  <c r="BD32" i="3"/>
  <c r="ER168" i="3"/>
  <c r="EV167" i="3"/>
  <c r="ER42" i="3"/>
  <c r="ER158" i="3" s="1"/>
  <c r="ER45" i="3"/>
  <c r="ER33" i="3"/>
  <c r="ER35" i="3"/>
  <c r="ES167" i="3"/>
  <c r="DV151" i="2"/>
  <c r="DV150" i="2"/>
  <c r="DV152" i="2"/>
  <c r="DV153" i="2"/>
  <c r="AV106" i="3"/>
  <c r="AV43" i="3"/>
  <c r="AV47" i="3"/>
  <c r="DD166" i="3"/>
  <c r="DD171" i="3" s="1"/>
  <c r="DA166" i="3"/>
  <c r="DD160" i="3"/>
  <c r="DD162" i="3"/>
  <c r="DD159" i="3"/>
  <c r="DD158" i="3"/>
  <c r="CZ106" i="3"/>
  <c r="CZ110" i="3" s="1"/>
  <c r="CZ47" i="3"/>
  <c r="CZ43" i="3"/>
  <c r="BH79" i="2"/>
  <c r="CZ168" i="3"/>
  <c r="FY297" i="2"/>
  <c r="ET193" i="3"/>
  <c r="ET197" i="3"/>
  <c r="EU191" i="3"/>
  <c r="EU193" i="3" s="1"/>
  <c r="AA50" i="2"/>
  <c r="EE381" i="2"/>
  <c r="EF381" i="2" s="1"/>
  <c r="EG381" i="2" s="1"/>
  <c r="EH381" i="2" s="1"/>
  <c r="FK162" i="3"/>
  <c r="AP101" i="3"/>
  <c r="J100" i="2" s="1"/>
  <c r="DC106" i="3"/>
  <c r="DC43" i="3"/>
  <c r="DC47" i="3"/>
  <c r="DG42" i="3"/>
  <c r="BJ79" i="2"/>
  <c r="EX157" i="3"/>
  <c r="ES157" i="3"/>
  <c r="BI16" i="3"/>
  <c r="BI17" i="3" s="1"/>
  <c r="BJ156" i="3"/>
  <c r="BY50" i="3"/>
  <c r="BY48" i="3"/>
  <c r="BV42" i="3"/>
  <c r="BV35" i="3"/>
  <c r="BV33" i="3"/>
  <c r="BV45" i="3"/>
  <c r="FH168" i="3"/>
  <c r="DI166" i="3"/>
  <c r="DI159" i="3"/>
  <c r="DI160" i="3"/>
  <c r="DI162" i="3"/>
  <c r="DF166" i="3"/>
  <c r="DI158" i="3"/>
  <c r="DE47" i="3"/>
  <c r="DE43" i="3"/>
  <c r="BL79" i="2"/>
  <c r="DS102" i="3"/>
  <c r="BW101" i="2" s="1"/>
  <c r="GC399" i="2"/>
  <c r="Z51" i="2"/>
  <c r="Z50" i="2"/>
  <c r="EH333" i="2"/>
  <c r="EI331" i="2"/>
  <c r="EH327" i="2"/>
  <c r="BI58" i="2"/>
  <c r="BI55" i="2"/>
  <c r="BI57" i="2"/>
  <c r="ED52" i="3"/>
  <c r="CF72" i="2"/>
  <c r="AT51" i="2"/>
  <c r="AT50" i="2"/>
  <c r="AX50" i="2"/>
  <c r="EF39" i="2"/>
  <c r="EF38" i="2"/>
  <c r="GB297" i="2"/>
  <c r="L51" i="2"/>
  <c r="L49" i="2"/>
  <c r="CJ54" i="2"/>
  <c r="FT173" i="3"/>
  <c r="FT175" i="3"/>
  <c r="FT25" i="3"/>
  <c r="FQ28" i="2"/>
  <c r="FQ31" i="2"/>
  <c r="FQ29" i="2"/>
  <c r="EG235" i="2"/>
  <c r="EG234" i="2"/>
  <c r="EG63" i="2"/>
  <c r="FM48" i="2"/>
  <c r="CQ51" i="2"/>
  <c r="CQ50" i="2"/>
  <c r="CQ52" i="2"/>
  <c r="CQ49" i="2"/>
  <c r="FV28" i="2"/>
  <c r="FV31" i="2"/>
  <c r="FV29" i="2"/>
  <c r="FU160" i="3"/>
  <c r="FS159" i="3"/>
  <c r="FT159" i="3" s="1"/>
  <c r="FQ106" i="3"/>
  <c r="FQ110" i="3" s="1"/>
  <c r="FQ50" i="3"/>
  <c r="FQ63" i="3"/>
  <c r="DK76" i="2" s="1"/>
  <c r="FQ47" i="3"/>
  <c r="FQ48" i="3" s="1"/>
  <c r="FQ43" i="3"/>
  <c r="DK79" i="2"/>
  <c r="FQ56" i="3"/>
  <c r="DK66" i="2" s="1"/>
  <c r="FM28" i="2"/>
  <c r="CT168" i="3"/>
  <c r="EH195" i="2" l="1"/>
  <c r="EG196" i="2"/>
  <c r="EG197" i="2"/>
  <c r="EG222" i="2"/>
  <c r="EG223" i="2" s="1"/>
  <c r="FA31" i="2"/>
  <c r="EH200" i="2"/>
  <c r="EH201" i="2"/>
  <c r="EF224" i="2"/>
  <c r="DQ387" i="2"/>
  <c r="DQ389" i="2" s="1"/>
  <c r="EH215" i="2"/>
  <c r="EH219" i="2"/>
  <c r="DP389" i="2"/>
  <c r="DQ397" i="2"/>
  <c r="DR394" i="2"/>
  <c r="AG12" i="2"/>
  <c r="GG222" i="2"/>
  <c r="GG224" i="2" s="1"/>
  <c r="GG215" i="2"/>
  <c r="GG211" i="2"/>
  <c r="DS372" i="2"/>
  <c r="DU365" i="2"/>
  <c r="DU383" i="2" s="1"/>
  <c r="DU409" i="2" s="1"/>
  <c r="AM57" i="2"/>
  <c r="DT383" i="2"/>
  <c r="DT368" i="2" s="1"/>
  <c r="DS409" i="2"/>
  <c r="FX457" i="2"/>
  <c r="FX460" i="2" s="1"/>
  <c r="H55" i="2"/>
  <c r="EC55" i="2"/>
  <c r="EC56" i="2"/>
  <c r="FH16" i="2"/>
  <c r="ED55" i="2"/>
  <c r="CU458" i="2"/>
  <c r="CY459" i="2"/>
  <c r="CV458" i="2"/>
  <c r="CU459" i="2"/>
  <c r="DS385" i="2"/>
  <c r="DS359" i="2"/>
  <c r="DS361" i="2" s="1"/>
  <c r="DS368" i="2"/>
  <c r="AM55" i="2"/>
  <c r="DS384" i="2"/>
  <c r="DS376" i="2"/>
  <c r="GF50" i="2"/>
  <c r="GC451" i="2"/>
  <c r="FX414" i="2"/>
  <c r="GF51" i="2"/>
  <c r="FY414" i="2"/>
  <c r="AJ49" i="2"/>
  <c r="DQ352" i="2"/>
  <c r="GC351" i="2"/>
  <c r="GC354" i="2" s="1"/>
  <c r="DQ354" i="2"/>
  <c r="EI219" i="2"/>
  <c r="AM56" i="2"/>
  <c r="AK12" i="2"/>
  <c r="AI57" i="2"/>
  <c r="AI55" i="2"/>
  <c r="AM49" i="2"/>
  <c r="AN49" i="2"/>
  <c r="AM51" i="2"/>
  <c r="FI48" i="2"/>
  <c r="FI51" i="2" s="1"/>
  <c r="CD167" i="3"/>
  <c r="BZ45" i="3"/>
  <c r="BZ35" i="3"/>
  <c r="BZ51" i="3" s="1"/>
  <c r="BZ33" i="3"/>
  <c r="BZ42" i="3"/>
  <c r="CC32" i="3"/>
  <c r="EM171" i="3"/>
  <c r="BM172" i="3"/>
  <c r="EG171" i="3"/>
  <c r="FU171" i="3"/>
  <c r="EH166" i="3"/>
  <c r="EH171" i="3" s="1"/>
  <c r="EM162" i="3"/>
  <c r="FW101" i="3"/>
  <c r="DP100" i="2" s="1"/>
  <c r="AX70" i="3"/>
  <c r="AX25" i="3"/>
  <c r="AX69" i="3" s="1"/>
  <c r="BA101" i="3" s="1"/>
  <c r="S100" i="2" s="1"/>
  <c r="AX32" i="3"/>
  <c r="BA167" i="3" s="1"/>
  <c r="AZ175" i="3"/>
  <c r="BC173" i="3"/>
  <c r="AX175" i="3"/>
  <c r="FU159" i="3"/>
  <c r="EI101" i="3"/>
  <c r="CJ100" i="2" s="1"/>
  <c r="EM160" i="3"/>
  <c r="GO166" i="3"/>
  <c r="GO171" i="3" s="1"/>
  <c r="EU45" i="3"/>
  <c r="EO162" i="3"/>
  <c r="EP162" i="3" s="1"/>
  <c r="FF101" i="3"/>
  <c r="DB100" i="2" s="1"/>
  <c r="FE69" i="3"/>
  <c r="EN166" i="3"/>
  <c r="EN171" i="3" s="1"/>
  <c r="EE166" i="3"/>
  <c r="DS56" i="2"/>
  <c r="AY24" i="3"/>
  <c r="BD173" i="3" s="1"/>
  <c r="DH171" i="3"/>
  <c r="EO160" i="3"/>
  <c r="EP160" i="3" s="1"/>
  <c r="EN162" i="3"/>
  <c r="FU158" i="3"/>
  <c r="GM101" i="3"/>
  <c r="EC100" i="2" s="1"/>
  <c r="GF100" i="2" s="1"/>
  <c r="BF162" i="3"/>
  <c r="EI158" i="3"/>
  <c r="EJ166" i="3"/>
  <c r="EK166" i="3" s="1"/>
  <c r="GM160" i="3"/>
  <c r="GN160" i="3" s="1"/>
  <c r="EU35" i="3"/>
  <c r="EO159" i="3"/>
  <c r="EP159" i="3" s="1"/>
  <c r="FG16" i="2"/>
  <c r="FY52" i="2"/>
  <c r="FZ50" i="2"/>
  <c r="GN42" i="3"/>
  <c r="GN43" i="3" s="1"/>
  <c r="EI162" i="3"/>
  <c r="GM166" i="3"/>
  <c r="GN166" i="3" s="1"/>
  <c r="EE160" i="3"/>
  <c r="EF160" i="3" s="1"/>
  <c r="ER376" i="3"/>
  <c r="ER378" i="3" s="1"/>
  <c r="AI51" i="2"/>
  <c r="AI50" i="2"/>
  <c r="AM50" i="2"/>
  <c r="DA47" i="3"/>
  <c r="DA43" i="3"/>
  <c r="BI79" i="2"/>
  <c r="DA106" i="3"/>
  <c r="DA110" i="3" s="1"/>
  <c r="FC13" i="2"/>
  <c r="FD12" i="2"/>
  <c r="Q48" i="2"/>
  <c r="U28" i="2"/>
  <c r="Q29" i="2"/>
  <c r="R27" i="2"/>
  <c r="Q27" i="2"/>
  <c r="BU33" i="3"/>
  <c r="BU45" i="3"/>
  <c r="BU42" i="3"/>
  <c r="BU35" i="3"/>
  <c r="EG160" i="3"/>
  <c r="GO159" i="3"/>
  <c r="FS158" i="3"/>
  <c r="FT158" i="3" s="1"/>
  <c r="GL101" i="3"/>
  <c r="EB100" i="2" s="1"/>
  <c r="EM159" i="3"/>
  <c r="EH160" i="3"/>
  <c r="GM159" i="3"/>
  <c r="GN159" i="3" s="1"/>
  <c r="EH162" i="3"/>
  <c r="FS160" i="3"/>
  <c r="FT160" i="3" s="1"/>
  <c r="DI171" i="3"/>
  <c r="FB101" i="3"/>
  <c r="CY100" i="2" s="1"/>
  <c r="GD42" i="3"/>
  <c r="GG166" i="3" s="1"/>
  <c r="GG171" i="3" s="1"/>
  <c r="DJ166" i="3"/>
  <c r="DJ171" i="3" s="1"/>
  <c r="AY70" i="3"/>
  <c r="DJ162" i="3"/>
  <c r="FH12" i="2"/>
  <c r="FI12" i="2"/>
  <c r="FH13" i="2"/>
  <c r="EE50" i="3"/>
  <c r="EE43" i="3"/>
  <c r="EE47" i="3"/>
  <c r="EF47" i="3" s="1"/>
  <c r="EF48" i="3" s="1"/>
  <c r="CG79" i="2"/>
  <c r="CG80" i="2" s="1"/>
  <c r="EG159" i="3"/>
  <c r="FC29" i="2"/>
  <c r="FC31" i="2"/>
  <c r="BX172" i="3"/>
  <c r="BX174" i="3"/>
  <c r="CC172" i="3"/>
  <c r="BX19" i="3"/>
  <c r="AI32" i="3"/>
  <c r="AI25" i="3"/>
  <c r="AK175" i="3"/>
  <c r="AJ24" i="3"/>
  <c r="EG162" i="3"/>
  <c r="BC43" i="3"/>
  <c r="BC106" i="3"/>
  <c r="BC110" i="3" s="1"/>
  <c r="BC47" i="3"/>
  <c r="CT106" i="3"/>
  <c r="CT110" i="3" s="1"/>
  <c r="CT47" i="3"/>
  <c r="CT43" i="3"/>
  <c r="BC79" i="2"/>
  <c r="FP171" i="3"/>
  <c r="BS174" i="3"/>
  <c r="BS19" i="3"/>
  <c r="FA16" i="2"/>
  <c r="FA17" i="2"/>
  <c r="FB16" i="2"/>
  <c r="AL27" i="2"/>
  <c r="AK48" i="2"/>
  <c r="AK29" i="2"/>
  <c r="AO28" i="2"/>
  <c r="FH26" i="2"/>
  <c r="AK27" i="2"/>
  <c r="CK45" i="3"/>
  <c r="CK35" i="3"/>
  <c r="CK51" i="3" s="1"/>
  <c r="CK33" i="3"/>
  <c r="CK42" i="3"/>
  <c r="H49" i="2"/>
  <c r="H51" i="2"/>
  <c r="FA48" i="2"/>
  <c r="H50" i="2"/>
  <c r="AN173" i="3"/>
  <c r="I49" i="2"/>
  <c r="I51" i="2"/>
  <c r="J49" i="2"/>
  <c r="BQ175" i="3"/>
  <c r="BQ70" i="3"/>
  <c r="BQ25" i="3"/>
  <c r="BQ69" i="3" s="1"/>
  <c r="BQ32" i="3"/>
  <c r="BV173" i="3"/>
  <c r="BQ173" i="3"/>
  <c r="AQ167" i="3"/>
  <c r="AM35" i="3"/>
  <c r="AM51" i="3" s="1"/>
  <c r="AM33" i="3"/>
  <c r="AM45" i="3"/>
  <c r="AM42" i="3"/>
  <c r="AV51" i="2"/>
  <c r="AZ50" i="2"/>
  <c r="P54" i="2"/>
  <c r="P56" i="2" s="1"/>
  <c r="EC57" i="2"/>
  <c r="EC58" i="2"/>
  <c r="AJ19" i="3"/>
  <c r="AO172" i="3"/>
  <c r="AN35" i="3"/>
  <c r="AN51" i="3" s="1"/>
  <c r="AN33" i="3"/>
  <c r="AQ168" i="3"/>
  <c r="AN42" i="3"/>
  <c r="AR166" i="3" s="1"/>
  <c r="AR171" i="3" s="1"/>
  <c r="AN45" i="3"/>
  <c r="AF48" i="2"/>
  <c r="AF29" i="2"/>
  <c r="AF27" i="2"/>
  <c r="AF28" i="2"/>
  <c r="AJ28" i="2"/>
  <c r="EE162" i="3"/>
  <c r="EF162" i="3" s="1"/>
  <c r="AW45" i="3"/>
  <c r="AW35" i="3"/>
  <c r="AW51" i="3" s="1"/>
  <c r="AW33" i="3"/>
  <c r="AW42" i="3"/>
  <c r="BY175" i="3"/>
  <c r="BW175" i="3"/>
  <c r="BW70" i="3"/>
  <c r="BX70" i="3" s="1"/>
  <c r="BW25" i="3"/>
  <c r="BW69" i="3" s="1"/>
  <c r="BW32" i="3"/>
  <c r="BX24" i="3"/>
  <c r="CB173" i="3"/>
  <c r="EZ13" i="2"/>
  <c r="FA12" i="2"/>
  <c r="E48" i="2"/>
  <c r="I50" i="2" s="1"/>
  <c r="F27" i="2"/>
  <c r="E29" i="2"/>
  <c r="E27" i="2"/>
  <c r="EZ26" i="2"/>
  <c r="I54" i="2"/>
  <c r="AQ101" i="3"/>
  <c r="K100" i="2" s="1"/>
  <c r="AG13" i="2"/>
  <c r="AG11" i="2"/>
  <c r="AH11" i="2"/>
  <c r="AH97" i="2"/>
  <c r="AI97" i="2"/>
  <c r="AG97" i="2"/>
  <c r="AJ97" i="2"/>
  <c r="EE158" i="3"/>
  <c r="EF158" i="3" s="1"/>
  <c r="FA171" i="3"/>
  <c r="EE159" i="3"/>
  <c r="EF159" i="3" s="1"/>
  <c r="GM47" i="3"/>
  <c r="GM48" i="3" s="1"/>
  <c r="EC79" i="2"/>
  <c r="EC81" i="2" s="1"/>
  <c r="GM106" i="3"/>
  <c r="GM110" i="3" s="1"/>
  <c r="GM132" i="3" s="1"/>
  <c r="EC90" i="2" s="1"/>
  <c r="EC93" i="2" s="1"/>
  <c r="GM56" i="3"/>
  <c r="EC66" i="2" s="1"/>
  <c r="ED67" i="2" s="1"/>
  <c r="GM50" i="3"/>
  <c r="GM63" i="3"/>
  <c r="EC76" i="2" s="1"/>
  <c r="GM43" i="3"/>
  <c r="P49" i="2"/>
  <c r="P51" i="2"/>
  <c r="P50" i="2"/>
  <c r="T50" i="2"/>
  <c r="FC48" i="2"/>
  <c r="FC51" i="2" s="1"/>
  <c r="AV57" i="2"/>
  <c r="AV58" i="2"/>
  <c r="AZ56" i="2"/>
  <c r="AG26" i="2"/>
  <c r="AK28" i="2" s="1"/>
  <c r="BR174" i="3"/>
  <c r="BR24" i="3"/>
  <c r="BR19" i="3"/>
  <c r="BT174" i="3"/>
  <c r="FY50" i="2"/>
  <c r="FX52" i="2"/>
  <c r="AI56" i="2"/>
  <c r="BY55" i="2"/>
  <c r="EI276" i="2"/>
  <c r="EI277" i="2"/>
  <c r="EE106" i="2"/>
  <c r="EE107" i="2"/>
  <c r="EK279" i="2"/>
  <c r="GH279" i="2" s="1"/>
  <c r="GH281" i="2" s="1"/>
  <c r="EJ275" i="2"/>
  <c r="EJ272" i="2" s="1"/>
  <c r="EJ288" i="2" s="1"/>
  <c r="EJ281" i="2"/>
  <c r="EJ343" i="2"/>
  <c r="EI345" i="2"/>
  <c r="EI339" i="2"/>
  <c r="EI440" i="2" s="1"/>
  <c r="EG117" i="2"/>
  <c r="GG117" i="2" s="1"/>
  <c r="GG119" i="2" s="1"/>
  <c r="EF119" i="2"/>
  <c r="EF105" i="2"/>
  <c r="EF416" i="2"/>
  <c r="EH145" i="2"/>
  <c r="EH341" i="2"/>
  <c r="EH340" i="2"/>
  <c r="EE418" i="2"/>
  <c r="EE417" i="2"/>
  <c r="EI348" i="2"/>
  <c r="EJ346" i="2"/>
  <c r="EG147" i="2"/>
  <c r="EG146" i="2"/>
  <c r="GG348" i="2"/>
  <c r="FU298" i="2"/>
  <c r="FU301" i="2"/>
  <c r="FU257" i="2"/>
  <c r="GG439" i="2"/>
  <c r="GG438" i="2"/>
  <c r="EK101" i="3"/>
  <c r="CK100" i="2"/>
  <c r="FU100" i="2" s="1"/>
  <c r="FY281" i="2"/>
  <c r="FZ281" i="2"/>
  <c r="FY261" i="2"/>
  <c r="FY304" i="2"/>
  <c r="FY306" i="2" s="1"/>
  <c r="GF132" i="3"/>
  <c r="DW90" i="2" s="1"/>
  <c r="EA92" i="2" s="1"/>
  <c r="GF126" i="3"/>
  <c r="GF130" i="3" s="1"/>
  <c r="CW50" i="3"/>
  <c r="CW43" i="3"/>
  <c r="FQ52" i="3"/>
  <c r="DK72" i="2"/>
  <c r="FQ132" i="3"/>
  <c r="DK90" i="2" s="1"/>
  <c r="FQ126" i="3"/>
  <c r="FQ130" i="3" s="1"/>
  <c r="FN65" i="3"/>
  <c r="DI69" i="2"/>
  <c r="AG56" i="3"/>
  <c r="C66" i="2" s="1"/>
  <c r="C69" i="2"/>
  <c r="DU81" i="2"/>
  <c r="BO110" i="3"/>
  <c r="GD156" i="2"/>
  <c r="GD155" i="2"/>
  <c r="DE67" i="2"/>
  <c r="FI132" i="3"/>
  <c r="DE90" i="2" s="1"/>
  <c r="DI92" i="2" s="1"/>
  <c r="FI126" i="3"/>
  <c r="FI130" i="3" s="1"/>
  <c r="DV406" i="2"/>
  <c r="DU408" i="2"/>
  <c r="AR48" i="2"/>
  <c r="AR28" i="2"/>
  <c r="AR29" i="2"/>
  <c r="AR27" i="2"/>
  <c r="AV28" i="2"/>
  <c r="GG230" i="2"/>
  <c r="EI274" i="2"/>
  <c r="EI273" i="2"/>
  <c r="EI278" i="2"/>
  <c r="EH33" i="2"/>
  <c r="EH34" i="2"/>
  <c r="EH37" i="2"/>
  <c r="BE57" i="2"/>
  <c r="BE56" i="2"/>
  <c r="BE55" i="2"/>
  <c r="BE58" i="2"/>
  <c r="EG322" i="2"/>
  <c r="EG323" i="2"/>
  <c r="GG321" i="2"/>
  <c r="FJ101" i="3"/>
  <c r="DE100" i="2"/>
  <c r="FZ100" i="2" s="1"/>
  <c r="GK52" i="3"/>
  <c r="EA72" i="2"/>
  <c r="CN145" i="3"/>
  <c r="CN132" i="3"/>
  <c r="AX90" i="2" s="1"/>
  <c r="CN126" i="3"/>
  <c r="BY158" i="3"/>
  <c r="ET228" i="3"/>
  <c r="ET229" i="3"/>
  <c r="CR35" i="3"/>
  <c r="CR33" i="3"/>
  <c r="CR45" i="3"/>
  <c r="EM334" i="2"/>
  <c r="EL336" i="2"/>
  <c r="DM68" i="2"/>
  <c r="FS132" i="3"/>
  <c r="DM90" i="2" s="1"/>
  <c r="FS126" i="3"/>
  <c r="FS130" i="3" s="1"/>
  <c r="GI101" i="3"/>
  <c r="DY100" i="2"/>
  <c r="GE100" i="2" s="1"/>
  <c r="EV110" i="3"/>
  <c r="BF57" i="2"/>
  <c r="BF56" i="2"/>
  <c r="BF55" i="2"/>
  <c r="BF58" i="2"/>
  <c r="FN54" i="2"/>
  <c r="DG67" i="2"/>
  <c r="DG68" i="2"/>
  <c r="FL132" i="3"/>
  <c r="DG90" i="2" s="1"/>
  <c r="DG93" i="2" s="1"/>
  <c r="FL126" i="3"/>
  <c r="FL130" i="3" s="1"/>
  <c r="DV80" i="2"/>
  <c r="GE79" i="2"/>
  <c r="DV81" i="2"/>
  <c r="GI106" i="3"/>
  <c r="GE109" i="3"/>
  <c r="EC56" i="3"/>
  <c r="CE66" i="2" s="1"/>
  <c r="CE69" i="2"/>
  <c r="AP110" i="3"/>
  <c r="AP126" i="3" s="1"/>
  <c r="FE102" i="3"/>
  <c r="DA101" i="2"/>
  <c r="GA102" i="3"/>
  <c r="DS101" i="2" s="1"/>
  <c r="FZ102" i="3"/>
  <c r="DR101" i="2" s="1"/>
  <c r="FJ43" i="3"/>
  <c r="FJ56" i="3"/>
  <c r="FZ66" i="2" s="1"/>
  <c r="DH69" i="2"/>
  <c r="EJ52" i="3"/>
  <c r="EO66" i="3" s="1"/>
  <c r="CK72" i="2"/>
  <c r="DF80" i="2"/>
  <c r="GA79" i="2"/>
  <c r="DF81" i="2"/>
  <c r="FO106" i="3"/>
  <c r="FK110" i="3"/>
  <c r="DI93" i="2"/>
  <c r="DI91" i="2"/>
  <c r="CN58" i="2"/>
  <c r="CN57" i="2"/>
  <c r="CN56" i="2"/>
  <c r="CN55" i="2"/>
  <c r="CO55" i="2"/>
  <c r="CR56" i="2"/>
  <c r="FB52" i="3"/>
  <c r="CY72" i="2"/>
  <c r="DC74" i="2" s="1"/>
  <c r="CO52" i="3"/>
  <c r="AY72" i="2"/>
  <c r="ED76" i="2"/>
  <c r="CY145" i="3"/>
  <c r="CY132" i="3"/>
  <c r="BG90" i="2" s="1"/>
  <c r="BG93" i="2" s="1"/>
  <c r="CY126" i="3"/>
  <c r="CY130" i="3" s="1"/>
  <c r="DD78" i="2"/>
  <c r="DD77" i="2"/>
  <c r="BI174" i="3"/>
  <c r="BI172" i="3"/>
  <c r="BI19" i="3"/>
  <c r="EK159" i="2"/>
  <c r="EL157" i="2"/>
  <c r="GH157" i="2"/>
  <c r="ER389" i="3"/>
  <c r="ER390" i="3"/>
  <c r="EQ48" i="3"/>
  <c r="GJ48" i="3"/>
  <c r="GN47" i="3"/>
  <c r="GN48" i="3" s="1"/>
  <c r="CM174" i="3"/>
  <c r="CM172" i="3"/>
  <c r="CM19" i="3"/>
  <c r="CR172" i="3"/>
  <c r="CR174" i="3"/>
  <c r="CI106" i="3"/>
  <c r="CI43" i="3"/>
  <c r="CI47" i="3"/>
  <c r="AT79" i="2"/>
  <c r="CW57" i="2"/>
  <c r="CW56" i="2"/>
  <c r="CW58" i="2"/>
  <c r="EN52" i="3"/>
  <c r="CN72" i="2"/>
  <c r="ER159" i="3"/>
  <c r="EE244" i="3"/>
  <c r="EE243" i="3"/>
  <c r="EF242" i="3"/>
  <c r="EF244" i="3" s="1"/>
  <c r="EL50" i="3"/>
  <c r="EL47" i="3"/>
  <c r="EP42" i="3"/>
  <c r="EL43" i="3"/>
  <c r="CL79" i="2"/>
  <c r="FV79" i="2" s="1"/>
  <c r="ET187" i="3"/>
  <c r="ET186" i="3"/>
  <c r="DF58" i="2"/>
  <c r="DF57" i="2"/>
  <c r="DF56" i="2"/>
  <c r="DF55" i="2"/>
  <c r="GA54" i="2"/>
  <c r="DB45" i="3"/>
  <c r="DB33" i="3"/>
  <c r="DB35" i="3"/>
  <c r="DW160" i="3"/>
  <c r="DW166" i="3"/>
  <c r="DW171" i="3" s="1"/>
  <c r="EB68" i="2"/>
  <c r="EB67" i="2"/>
  <c r="EB93" i="2"/>
  <c r="EB91" i="2"/>
  <c r="DU367" i="2"/>
  <c r="EI211" i="2"/>
  <c r="EI210" i="2"/>
  <c r="BC160" i="3"/>
  <c r="BD160" i="3" s="1"/>
  <c r="BC162" i="3"/>
  <c r="BD162" i="3" s="1"/>
  <c r="FY33" i="3"/>
  <c r="FY45" i="3"/>
  <c r="FY35" i="3"/>
  <c r="DQ68" i="2"/>
  <c r="DQ67" i="2"/>
  <c r="FX109" i="3"/>
  <c r="FX110" i="3" s="1"/>
  <c r="GE158" i="3"/>
  <c r="GF57" i="2"/>
  <c r="GF58" i="2"/>
  <c r="GF56" i="2"/>
  <c r="EZ102" i="3"/>
  <c r="CW101" i="2"/>
  <c r="EU102" i="3"/>
  <c r="CS101" i="2"/>
  <c r="BL106" i="3"/>
  <c r="BL110" i="3" s="1"/>
  <c r="BL43" i="3"/>
  <c r="BL47" i="3"/>
  <c r="BB145" i="3"/>
  <c r="BB132" i="3"/>
  <c r="T90" i="2" s="1"/>
  <c r="T93" i="2" s="1"/>
  <c r="BB126" i="3"/>
  <c r="BB130" i="3" s="1"/>
  <c r="BC166" i="3"/>
  <c r="GU55" i="3"/>
  <c r="GU109" i="3" s="1"/>
  <c r="EY158" i="3"/>
  <c r="EZ158" i="3" s="1"/>
  <c r="EY159" i="3"/>
  <c r="EZ159" i="3" s="1"/>
  <c r="EX158" i="3"/>
  <c r="DY81" i="2"/>
  <c r="DY80" i="2"/>
  <c r="GG52" i="3"/>
  <c r="DX72" i="2"/>
  <c r="BF106" i="3"/>
  <c r="BF110" i="3" s="1"/>
  <c r="BF47" i="3"/>
  <c r="BF43" i="3"/>
  <c r="ED65" i="3"/>
  <c r="ED56" i="3"/>
  <c r="CF66" i="2" s="1"/>
  <c r="CF69" i="2"/>
  <c r="BV106" i="3"/>
  <c r="BV110" i="3" s="1"/>
  <c r="BV47" i="3"/>
  <c r="BV43" i="3"/>
  <c r="EH197" i="2"/>
  <c r="EH196" i="2"/>
  <c r="EH222" i="2"/>
  <c r="GT107" i="3"/>
  <c r="EB106" i="3"/>
  <c r="EB63" i="3"/>
  <c r="EB48" i="3"/>
  <c r="Z57" i="2"/>
  <c r="Z56" i="2"/>
  <c r="AA55" i="2"/>
  <c r="DK124" i="3"/>
  <c r="DL124" i="3" s="1"/>
  <c r="DE80" i="2"/>
  <c r="FZ48" i="3"/>
  <c r="DX267" i="2"/>
  <c r="DX269" i="2"/>
  <c r="DX268" i="2"/>
  <c r="DX149" i="2"/>
  <c r="FP106" i="3"/>
  <c r="FP50" i="3"/>
  <c r="FP63" i="3"/>
  <c r="FP43" i="3"/>
  <c r="FP47" i="3"/>
  <c r="FT42" i="3"/>
  <c r="DJ79" i="2"/>
  <c r="DK80" i="2" s="1"/>
  <c r="FP56" i="3"/>
  <c r="DJ66" i="2" s="1"/>
  <c r="DK67" i="2" s="1"/>
  <c r="FR166" i="3"/>
  <c r="FR171" i="3" s="1"/>
  <c r="FQ159" i="3"/>
  <c r="FR160" i="3"/>
  <c r="FQ160" i="3"/>
  <c r="FR159" i="3"/>
  <c r="FR158" i="3"/>
  <c r="FQ158" i="3"/>
  <c r="FQ166" i="3"/>
  <c r="FQ171" i="3" s="1"/>
  <c r="ES160" i="3"/>
  <c r="GE101" i="3"/>
  <c r="DV100" i="2" s="1"/>
  <c r="GC387" i="2"/>
  <c r="DE58" i="2"/>
  <c r="DE55" i="2"/>
  <c r="DE57" i="2"/>
  <c r="DI56" i="2"/>
  <c r="DV377" i="2"/>
  <c r="DU379" i="2"/>
  <c r="DP453" i="2"/>
  <c r="DP454" i="2"/>
  <c r="DP444" i="2"/>
  <c r="BV58" i="2"/>
  <c r="FR54" i="2"/>
  <c r="FR57" i="2" s="1"/>
  <c r="BV57" i="2"/>
  <c r="BV56" i="2"/>
  <c r="BV55" i="2"/>
  <c r="GD57" i="2"/>
  <c r="GD58" i="2"/>
  <c r="DR162" i="3"/>
  <c r="DP160" i="3"/>
  <c r="DQ160" i="3" s="1"/>
  <c r="DP162" i="3"/>
  <c r="DQ162" i="3" s="1"/>
  <c r="DR159" i="3"/>
  <c r="DR166" i="3"/>
  <c r="DR171" i="3" s="1"/>
  <c r="DR160" i="3"/>
  <c r="DP159" i="3"/>
  <c r="DQ159" i="3" s="1"/>
  <c r="DP158" i="3"/>
  <c r="DQ158" i="3" s="1"/>
  <c r="DR158" i="3"/>
  <c r="DN47" i="3"/>
  <c r="DN43" i="3"/>
  <c r="BS79" i="2"/>
  <c r="DM81" i="2"/>
  <c r="DB57" i="2"/>
  <c r="DB56" i="2"/>
  <c r="DB58" i="2"/>
  <c r="FZ54" i="2"/>
  <c r="DC55" i="2"/>
  <c r="DT57" i="2"/>
  <c r="DT56" i="2"/>
  <c r="DT55" i="2"/>
  <c r="DT58" i="2"/>
  <c r="DW151" i="2"/>
  <c r="DW150" i="2"/>
  <c r="DW152" i="2"/>
  <c r="DW153" i="2"/>
  <c r="DG80" i="2"/>
  <c r="DG81" i="2"/>
  <c r="FP159" i="3"/>
  <c r="GI43" i="3"/>
  <c r="GI56" i="3"/>
  <c r="GE66" i="2" s="1"/>
  <c r="EH446" i="2"/>
  <c r="EH445" i="2"/>
  <c r="DL58" i="2"/>
  <c r="DL57" i="2"/>
  <c r="DL56" i="2"/>
  <c r="DL55" i="2"/>
  <c r="AX76" i="2"/>
  <c r="CA48" i="3"/>
  <c r="CA50" i="3"/>
  <c r="AR106" i="3"/>
  <c r="AR110" i="3" s="1"/>
  <c r="AR47" i="3"/>
  <c r="AR43" i="3"/>
  <c r="CV160" i="3"/>
  <c r="CW160" i="3" s="1"/>
  <c r="EQ210" i="3"/>
  <c r="EO212" i="3"/>
  <c r="EO213" i="3"/>
  <c r="DA54" i="2"/>
  <c r="DE56" i="2" s="1"/>
  <c r="FD101" i="3"/>
  <c r="DB68" i="2"/>
  <c r="DJ160" i="3"/>
  <c r="FK48" i="3"/>
  <c r="FO47" i="3"/>
  <c r="FO48" i="3" s="1"/>
  <c r="EH441" i="2"/>
  <c r="EH442" i="2"/>
  <c r="CY67" i="2"/>
  <c r="FB132" i="3"/>
  <c r="CY90" i="2" s="1"/>
  <c r="CY93" i="2" s="1"/>
  <c r="FB126" i="3"/>
  <c r="FB130" i="3" s="1"/>
  <c r="FA52" i="3"/>
  <c r="CX72" i="2"/>
  <c r="ED68" i="2"/>
  <c r="GO52" i="3"/>
  <c r="ED72" i="2"/>
  <c r="FH52" i="3"/>
  <c r="DD72" i="2"/>
  <c r="DH74" i="2" s="1"/>
  <c r="FI171" i="3"/>
  <c r="FJ171" i="3" s="1"/>
  <c r="FJ166" i="3"/>
  <c r="AT172" i="3"/>
  <c r="AT174" i="3"/>
  <c r="AT19" i="3"/>
  <c r="AY172" i="3"/>
  <c r="CV162" i="3"/>
  <c r="CW162" i="3" s="1"/>
  <c r="DN80" i="2"/>
  <c r="EU42" i="3"/>
  <c r="BR57" i="2"/>
  <c r="BR56" i="2"/>
  <c r="BR55" i="2"/>
  <c r="FQ54" i="2"/>
  <c r="FQ57" i="2" s="1"/>
  <c r="BR58" i="2"/>
  <c r="GN63" i="3"/>
  <c r="DZ76" i="2"/>
  <c r="EA77" i="2" s="1"/>
  <c r="EH115" i="2"/>
  <c r="EH114" i="2"/>
  <c r="GV58" i="3"/>
  <c r="EN106" i="3"/>
  <c r="EN110" i="3" s="1"/>
  <c r="EN132" i="3" s="1"/>
  <c r="CN90" i="2" s="1"/>
  <c r="CN93" i="2" s="1"/>
  <c r="EN63" i="3"/>
  <c r="CN76" i="2" s="1"/>
  <c r="EN48" i="3"/>
  <c r="ES307" i="3"/>
  <c r="ES310" i="3" s="1"/>
  <c r="ES189" i="3"/>
  <c r="ES188" i="3"/>
  <c r="DW159" i="3"/>
  <c r="Y11" i="2"/>
  <c r="Y12" i="2"/>
  <c r="Y13" i="2"/>
  <c r="Y97" i="2"/>
  <c r="Z97" i="2"/>
  <c r="AA97" i="2"/>
  <c r="Z11" i="2"/>
  <c r="AB97" i="2"/>
  <c r="EB80" i="2"/>
  <c r="EB81" i="2"/>
  <c r="CD57" i="2"/>
  <c r="CD56" i="2"/>
  <c r="CD55" i="2"/>
  <c r="CD58" i="2"/>
  <c r="FT54" i="2"/>
  <c r="FT57" i="2" s="1"/>
  <c r="CE55" i="2"/>
  <c r="DH47" i="3"/>
  <c r="DH43" i="3"/>
  <c r="BN79" i="2"/>
  <c r="CD50" i="3"/>
  <c r="CD63" i="3"/>
  <c r="CD48" i="3"/>
  <c r="CT58" i="2"/>
  <c r="CT57" i="2"/>
  <c r="CT56" i="2"/>
  <c r="CT55" i="2"/>
  <c r="EK212" i="2"/>
  <c r="EJ209" i="2"/>
  <c r="EJ215" i="2" s="1"/>
  <c r="EJ214" i="2"/>
  <c r="EJ199" i="2"/>
  <c r="ES379" i="3"/>
  <c r="FU50" i="2"/>
  <c r="FU52" i="2"/>
  <c r="FU51" i="2"/>
  <c r="BA50" i="3"/>
  <c r="BA52" i="3" s="1"/>
  <c r="BA48" i="3"/>
  <c r="BE162" i="3"/>
  <c r="CA81" i="2"/>
  <c r="FW52" i="3"/>
  <c r="DP72" i="2"/>
  <c r="DN69" i="2"/>
  <c r="DQ81" i="2"/>
  <c r="DQ80" i="2"/>
  <c r="GC158" i="3"/>
  <c r="GD158" i="3" s="1"/>
  <c r="GC159" i="3"/>
  <c r="GD159" i="3" s="1"/>
  <c r="BB81" i="2"/>
  <c r="GW40" i="3"/>
  <c r="GX40" i="3" s="1"/>
  <c r="FO101" i="3"/>
  <c r="DI100" i="2"/>
  <c r="GA100" i="2" s="1"/>
  <c r="AR162" i="3"/>
  <c r="EH235" i="2"/>
  <c r="EH234" i="2"/>
  <c r="BK48" i="3"/>
  <c r="BK50" i="3"/>
  <c r="BK52" i="3" s="1"/>
  <c r="DR400" i="2"/>
  <c r="DR401" i="2"/>
  <c r="GW54" i="3"/>
  <c r="GW60" i="3" s="1"/>
  <c r="GV55" i="3"/>
  <c r="GV109" i="3" s="1"/>
  <c r="EJ59" i="2"/>
  <c r="FA160" i="3"/>
  <c r="CS93" i="2"/>
  <c r="CS91" i="2"/>
  <c r="CS92" i="2"/>
  <c r="AU130" i="3"/>
  <c r="AU129" i="3" s="1"/>
  <c r="DX67" i="2"/>
  <c r="GG109" i="3"/>
  <c r="GG110" i="3" s="1"/>
  <c r="DM47" i="3"/>
  <c r="DM43" i="3"/>
  <c r="BR79" i="2"/>
  <c r="GV59" i="3"/>
  <c r="EI83" i="2"/>
  <c r="EI63" i="2" s="1"/>
  <c r="GU51" i="3"/>
  <c r="FU101" i="3"/>
  <c r="DN100" i="2" s="1"/>
  <c r="DK68" i="2"/>
  <c r="ET379" i="3"/>
  <c r="ET308" i="3"/>
  <c r="ET201" i="3"/>
  <c r="ET199" i="3"/>
  <c r="ET198" i="3"/>
  <c r="DA171" i="3"/>
  <c r="DB171" i="3" s="1"/>
  <c r="DB166" i="3"/>
  <c r="EV162" i="3"/>
  <c r="ET160" i="3"/>
  <c r="EU160" i="3" s="1"/>
  <c r="EV166" i="3"/>
  <c r="EV171" i="3" s="1"/>
  <c r="ET162" i="3"/>
  <c r="EU162" i="3" s="1"/>
  <c r="EV159" i="3"/>
  <c r="EV160" i="3"/>
  <c r="ET159" i="3"/>
  <c r="EU159" i="3" s="1"/>
  <c r="EV158" i="3"/>
  <c r="ET158" i="3"/>
  <c r="EU158" i="3" s="1"/>
  <c r="ER106" i="3"/>
  <c r="ER110" i="3" s="1"/>
  <c r="ER132" i="3" s="1"/>
  <c r="CQ90" i="2" s="1"/>
  <c r="CQ93" i="2" s="1"/>
  <c r="ER50" i="3"/>
  <c r="ER63" i="3"/>
  <c r="CQ76" i="2" s="1"/>
  <c r="ER47" i="3"/>
  <c r="ER48" i="3" s="1"/>
  <c r="ER43" i="3"/>
  <c r="CQ79" i="2"/>
  <c r="FW79" i="2" s="1"/>
  <c r="ES166" i="3"/>
  <c r="ES171" i="3" s="1"/>
  <c r="FM51" i="2"/>
  <c r="FM52" i="2"/>
  <c r="FM50" i="2"/>
  <c r="EH328" i="2"/>
  <c r="EH329" i="2"/>
  <c r="EH133" i="2"/>
  <c r="EH321" i="2"/>
  <c r="EH436" i="2"/>
  <c r="CZ145" i="3"/>
  <c r="CZ132" i="3"/>
  <c r="BH90" i="2" s="1"/>
  <c r="BH93" i="2" s="1"/>
  <c r="CZ126" i="3"/>
  <c r="CZ130" i="3" s="1"/>
  <c r="AZ106" i="3"/>
  <c r="BD42" i="3"/>
  <c r="AZ43" i="3"/>
  <c r="AZ47" i="3"/>
  <c r="ET388" i="3"/>
  <c r="ET309" i="3"/>
  <c r="ET285" i="3"/>
  <c r="ET286" i="3"/>
  <c r="GT109" i="3"/>
  <c r="AC48" i="2"/>
  <c r="AC29" i="2"/>
  <c r="AC27" i="2"/>
  <c r="AD27" i="2"/>
  <c r="FF26" i="2"/>
  <c r="EF89" i="3"/>
  <c r="EE88" i="3"/>
  <c r="EF88" i="3" s="1"/>
  <c r="EI205" i="2"/>
  <c r="EI204" i="2"/>
  <c r="EI113" i="2"/>
  <c r="AG132" i="3"/>
  <c r="C90" i="2" s="1"/>
  <c r="AG126" i="3"/>
  <c r="AG130" i="3" s="1"/>
  <c r="CE173" i="3"/>
  <c r="CE175" i="3"/>
  <c r="CE32" i="3"/>
  <c r="CE25" i="3"/>
  <c r="CE69" i="3" s="1"/>
  <c r="CE70" i="3"/>
  <c r="CH24" i="3"/>
  <c r="CJ173" i="3"/>
  <c r="GG160" i="3"/>
  <c r="DT158" i="3"/>
  <c r="DT159" i="3"/>
  <c r="DT166" i="3"/>
  <c r="DT171" i="3" s="1"/>
  <c r="DT160" i="3"/>
  <c r="DT162" i="3"/>
  <c r="DP43" i="3"/>
  <c r="DP47" i="3"/>
  <c r="BU79" i="2"/>
  <c r="EG64" i="2"/>
  <c r="EG65" i="2"/>
  <c r="BI56" i="2"/>
  <c r="EI333" i="2"/>
  <c r="EJ331" i="2"/>
  <c r="EI327" i="2"/>
  <c r="DF171" i="3"/>
  <c r="DG171" i="3" s="1"/>
  <c r="DG166" i="3"/>
  <c r="FO79" i="2"/>
  <c r="GG381" i="2"/>
  <c r="ET386" i="3"/>
  <c r="ET387" i="3"/>
  <c r="ER290" i="3"/>
  <c r="ES288" i="3"/>
  <c r="ER316" i="3"/>
  <c r="BE106" i="3"/>
  <c r="BE47" i="3"/>
  <c r="BE43" i="3"/>
  <c r="BP58" i="2"/>
  <c r="BP57" i="2"/>
  <c r="BP56" i="2"/>
  <c r="BP55" i="2"/>
  <c r="BS57" i="2"/>
  <c r="BS56" i="2"/>
  <c r="BS55" i="2"/>
  <c r="BS58" i="2"/>
  <c r="BT57" i="2"/>
  <c r="BT56" i="2"/>
  <c r="BT55" i="2"/>
  <c r="BT58" i="2"/>
  <c r="GC101" i="3"/>
  <c r="ET375" i="3"/>
  <c r="ET374" i="3"/>
  <c r="DR76" i="2"/>
  <c r="DS77" i="2" s="1"/>
  <c r="CF175" i="3"/>
  <c r="CF173" i="3"/>
  <c r="CF32" i="3"/>
  <c r="CF25" i="3"/>
  <c r="CF69" i="3" s="1"/>
  <c r="AR54" i="2" s="1"/>
  <c r="CF70" i="3"/>
  <c r="CK173" i="3"/>
  <c r="DY312" i="2"/>
  <c r="DZ310" i="2"/>
  <c r="DY266" i="2"/>
  <c r="GE266" i="2" s="1"/>
  <c r="FV52" i="2"/>
  <c r="FV51" i="2"/>
  <c r="BG55" i="2"/>
  <c r="BW56" i="2"/>
  <c r="GF101" i="3"/>
  <c r="DW100" i="2" s="1"/>
  <c r="AQ48" i="3"/>
  <c r="AQ50" i="3"/>
  <c r="AQ52" i="3" s="1"/>
  <c r="EA78" i="2"/>
  <c r="GD69" i="3"/>
  <c r="GG101" i="3" s="1"/>
  <c r="DX100" i="2" s="1"/>
  <c r="DQ452" i="2"/>
  <c r="GC452" i="2" s="1"/>
  <c r="DR455" i="2"/>
  <c r="CW78" i="2"/>
  <c r="EM106" i="3"/>
  <c r="EM110" i="3" s="1"/>
  <c r="EM132" i="3" s="1"/>
  <c r="CM90" i="2" s="1"/>
  <c r="CM93" i="2" s="1"/>
  <c r="EM63" i="3"/>
  <c r="CM76" i="2" s="1"/>
  <c r="EM48" i="3"/>
  <c r="EZ35" i="3"/>
  <c r="EZ33" i="3"/>
  <c r="EZ45" i="3"/>
  <c r="FY101" i="3"/>
  <c r="DQ100" i="2"/>
  <c r="GC100" i="2" s="1"/>
  <c r="FY460" i="2"/>
  <c r="FY458" i="2"/>
  <c r="ET170" i="3"/>
  <c r="EU170" i="3" s="1"/>
  <c r="EY163" i="3"/>
  <c r="EZ163" i="3" s="1"/>
  <c r="EU92" i="3"/>
  <c r="ET169" i="3"/>
  <c r="EU169" i="3" s="1"/>
  <c r="ET153" i="3"/>
  <c r="EU153" i="3" s="1"/>
  <c r="EY170" i="3"/>
  <c r="EZ170" i="3" s="1"/>
  <c r="EY169" i="3"/>
  <c r="EZ169" i="3" s="1"/>
  <c r="ET163" i="3"/>
  <c r="EU163" i="3" s="1"/>
  <c r="EY166" i="3"/>
  <c r="FB162" i="3"/>
  <c r="FB159" i="3"/>
  <c r="FB166" i="3"/>
  <c r="FB171" i="3" s="1"/>
  <c r="FB160" i="3"/>
  <c r="FB158" i="3"/>
  <c r="EX106" i="3"/>
  <c r="EX110" i="3" s="1"/>
  <c r="EX132" i="3" s="1"/>
  <c r="CV90" i="2" s="1"/>
  <c r="CW91" i="2" s="1"/>
  <c r="EX50" i="3"/>
  <c r="EX63" i="3"/>
  <c r="CV76" i="2" s="1"/>
  <c r="CZ78" i="2" s="1"/>
  <c r="EX47" i="3"/>
  <c r="EX48" i="3" s="1"/>
  <c r="EX43" i="3"/>
  <c r="CV79" i="2"/>
  <c r="CZ81" i="2" s="1"/>
  <c r="EX56" i="3"/>
  <c r="CV66" i="2" s="1"/>
  <c r="CZ68" i="2" s="1"/>
  <c r="DU55" i="2"/>
  <c r="EZ42" i="3"/>
  <c r="CZ58" i="2"/>
  <c r="CZ57" i="2"/>
  <c r="CZ55" i="2"/>
  <c r="FS101" i="3"/>
  <c r="EI431" i="2"/>
  <c r="FS79" i="2"/>
  <c r="EU284" i="3"/>
  <c r="FL52" i="3"/>
  <c r="DG72" i="2"/>
  <c r="DH73" i="2" s="1"/>
  <c r="FP158" i="3"/>
  <c r="EI444" i="2"/>
  <c r="EJ447" i="2"/>
  <c r="FF13" i="2"/>
  <c r="FG12" i="2"/>
  <c r="CN52" i="3"/>
  <c r="AX72" i="2"/>
  <c r="CA145" i="3"/>
  <c r="CA132" i="3"/>
  <c r="AN90" i="2" s="1"/>
  <c r="AN93" i="2" s="1"/>
  <c r="CA126" i="3"/>
  <c r="CA130" i="3" s="1"/>
  <c r="FV101" i="3"/>
  <c r="DO100" i="2" s="1"/>
  <c r="FY69" i="3"/>
  <c r="DZ106" i="3"/>
  <c r="DZ110" i="3" s="1"/>
  <c r="DZ63" i="3"/>
  <c r="CC76" i="2" s="1"/>
  <c r="DZ48" i="3"/>
  <c r="DB81" i="2"/>
  <c r="FZ79" i="2"/>
  <c r="FF110" i="3"/>
  <c r="FJ106" i="3"/>
  <c r="EJ291" i="2"/>
  <c r="EK289" i="2"/>
  <c r="GH289" i="2" s="1"/>
  <c r="EN159" i="3"/>
  <c r="DH67" i="2"/>
  <c r="EJ443" i="2"/>
  <c r="CY81" i="2"/>
  <c r="CY80" i="2"/>
  <c r="FA48" i="3"/>
  <c r="BJ56" i="2"/>
  <c r="ED81" i="2"/>
  <c r="GO110" i="3"/>
  <c r="DD68" i="2"/>
  <c r="DD67" i="2"/>
  <c r="FH132" i="3"/>
  <c r="DD90" i="2" s="1"/>
  <c r="DH92" i="2" s="1"/>
  <c r="FH126" i="3"/>
  <c r="FH130" i="3" s="1"/>
  <c r="X29" i="2"/>
  <c r="X48" i="2"/>
  <c r="X28" i="2"/>
  <c r="X27" i="2"/>
  <c r="AB28" i="2"/>
  <c r="CC101" i="3"/>
  <c r="AO100" i="2"/>
  <c r="FI100" i="2" s="1"/>
  <c r="DR47" i="3"/>
  <c r="DR43" i="3"/>
  <c r="BV79" i="2"/>
  <c r="CP76" i="2"/>
  <c r="AS28" i="2"/>
  <c r="AS48" i="2"/>
  <c r="AS29" i="2"/>
  <c r="AS27" i="2"/>
  <c r="AT27" i="2"/>
  <c r="DX56" i="2"/>
  <c r="EO166" i="3"/>
  <c r="EF313" i="3"/>
  <c r="EF314" i="3" s="1"/>
  <c r="EF317" i="3" s="1"/>
  <c r="EF240" i="3"/>
  <c r="EP33" i="3"/>
  <c r="EP45" i="3"/>
  <c r="EP35" i="3"/>
  <c r="EM101" i="3"/>
  <c r="CM100" i="2" s="1"/>
  <c r="EG313" i="3"/>
  <c r="EG314" i="3" s="1"/>
  <c r="EG317" i="3" s="1"/>
  <c r="EG240" i="3"/>
  <c r="EG239" i="3"/>
  <c r="EG242" i="3"/>
  <c r="DZ171" i="3"/>
  <c r="EA171" i="3" s="1"/>
  <c r="EA166" i="3"/>
  <c r="AK52" i="3"/>
  <c r="EJ162" i="3"/>
  <c r="EK162" i="3" s="1"/>
  <c r="EL158" i="3"/>
  <c r="EL159" i="3"/>
  <c r="EL160" i="3"/>
  <c r="EJ159" i="3"/>
  <c r="EK159" i="3" s="1"/>
  <c r="EL162" i="3"/>
  <c r="EJ160" i="3"/>
  <c r="EK160" i="3" s="1"/>
  <c r="EL166" i="3"/>
  <c r="EL171" i="3" s="1"/>
  <c r="EJ158" i="3"/>
  <c r="EK158" i="3" s="1"/>
  <c r="EH43" i="3"/>
  <c r="EH47" i="3"/>
  <c r="EK47" i="3" s="1"/>
  <c r="EK48" i="3" s="1"/>
  <c r="EH50" i="3"/>
  <c r="CI79" i="2"/>
  <c r="FU79" i="2" s="1"/>
  <c r="EI166" i="3"/>
  <c r="EI171" i="3" s="1"/>
  <c r="EI159" i="3"/>
  <c r="EI160" i="3"/>
  <c r="DS106" i="3"/>
  <c r="DS110" i="3" s="1"/>
  <c r="DS48" i="3"/>
  <c r="DS50" i="3"/>
  <c r="DS63" i="3"/>
  <c r="BW76" i="2" s="1"/>
  <c r="DU162" i="3"/>
  <c r="DV162" i="3" s="1"/>
  <c r="CO93" i="2"/>
  <c r="CD110" i="3"/>
  <c r="ES52" i="3"/>
  <c r="CR72" i="2"/>
  <c r="DC67" i="2"/>
  <c r="EU197" i="3"/>
  <c r="BE160" i="3"/>
  <c r="FW109" i="3"/>
  <c r="FY109" i="3" s="1"/>
  <c r="FX171" i="3"/>
  <c r="FY171" i="3" s="1"/>
  <c r="FY166" i="3"/>
  <c r="CB106" i="3"/>
  <c r="CB110" i="3" s="1"/>
  <c r="CB47" i="3"/>
  <c r="CB43" i="3"/>
  <c r="DX316" i="2"/>
  <c r="DX318" i="2"/>
  <c r="DX317" i="2"/>
  <c r="DY315" i="2"/>
  <c r="GE315" i="2" s="1"/>
  <c r="DN67" i="2"/>
  <c r="FX52" i="3"/>
  <c r="DQ72" i="2"/>
  <c r="GB160" i="3"/>
  <c r="BZ56" i="2"/>
  <c r="CN158" i="3"/>
  <c r="CJ106" i="3"/>
  <c r="CJ110" i="3" s="1"/>
  <c r="CJ43" i="3"/>
  <c r="CJ47" i="3"/>
  <c r="AU79" i="2"/>
  <c r="GE160" i="3"/>
  <c r="GE166" i="3"/>
  <c r="GE171" i="3" s="1"/>
  <c r="AB57" i="2"/>
  <c r="AB55" i="2"/>
  <c r="DP56" i="2"/>
  <c r="DK166" i="3"/>
  <c r="DN158" i="3"/>
  <c r="DN159" i="3"/>
  <c r="DN160" i="3"/>
  <c r="DN162" i="3"/>
  <c r="DN166" i="3"/>
  <c r="DN171" i="3" s="1"/>
  <c r="DJ43" i="3"/>
  <c r="DJ47" i="3"/>
  <c r="BP79" i="2"/>
  <c r="EO65" i="3"/>
  <c r="EO56" i="3"/>
  <c r="CO66" i="2" s="1"/>
  <c r="CO69" i="2"/>
  <c r="EK225" i="2"/>
  <c r="EJ227" i="2"/>
  <c r="DG57" i="2"/>
  <c r="DG56" i="2"/>
  <c r="DG55" i="2"/>
  <c r="DG58" i="2"/>
  <c r="DH55" i="2"/>
  <c r="EC126" i="3"/>
  <c r="EC130" i="3" s="1"/>
  <c r="BF160" i="3"/>
  <c r="AJ57" i="2"/>
  <c r="AJ55" i="2"/>
  <c r="AJ58" i="2"/>
  <c r="GC50" i="2"/>
  <c r="GC51" i="2"/>
  <c r="GC52" i="2"/>
  <c r="FE10" i="2"/>
  <c r="EH423" i="2"/>
  <c r="DW69" i="2"/>
  <c r="DS405" i="2"/>
  <c r="DT402" i="2"/>
  <c r="DS399" i="2"/>
  <c r="DS404" i="2"/>
  <c r="FA159" i="3"/>
  <c r="EX166" i="3"/>
  <c r="EX171" i="3" s="1"/>
  <c r="BD76" i="2"/>
  <c r="DX80" i="2"/>
  <c r="DQ33" i="3"/>
  <c r="DQ42" i="3"/>
  <c r="DQ43" i="3" s="1"/>
  <c r="DQ35" i="3"/>
  <c r="DQ45" i="3"/>
  <c r="EU385" i="3"/>
  <c r="EU387" i="3" s="1"/>
  <c r="DE63" i="3"/>
  <c r="BL76" i="2" s="1"/>
  <c r="DE48" i="3"/>
  <c r="DE50" i="3"/>
  <c r="CZ80" i="2"/>
  <c r="GG111" i="2"/>
  <c r="EH111" i="2"/>
  <c r="EH110" i="2"/>
  <c r="EI381" i="2"/>
  <c r="GY86" i="3"/>
  <c r="GX86" i="3"/>
  <c r="BM175" i="3"/>
  <c r="BM32" i="3"/>
  <c r="BM25" i="3"/>
  <c r="BM69" i="3" s="1"/>
  <c r="BM70" i="3"/>
  <c r="BN70" i="3" s="1"/>
  <c r="BR173" i="3"/>
  <c r="BO175" i="3"/>
  <c r="BN24" i="3"/>
  <c r="FE166" i="3"/>
  <c r="FD171" i="3"/>
  <c r="FE171" i="3" s="1"/>
  <c r="AF106" i="3"/>
  <c r="AF50" i="3"/>
  <c r="AF43" i="3"/>
  <c r="EJ203" i="2"/>
  <c r="EJ218" i="2"/>
  <c r="EK216" i="2"/>
  <c r="GH216" i="2" s="1"/>
  <c r="CK250" i="2"/>
  <c r="CK298" i="2"/>
  <c r="CK255" i="2"/>
  <c r="CK256" i="2"/>
  <c r="CK257" i="2"/>
  <c r="DD63" i="3"/>
  <c r="BK76" i="2" s="1"/>
  <c r="DD48" i="3"/>
  <c r="DD50" i="3"/>
  <c r="CY58" i="2"/>
  <c r="CY56" i="2"/>
  <c r="CY55" i="2"/>
  <c r="CY57" i="2"/>
  <c r="DC56" i="2"/>
  <c r="FW460" i="2"/>
  <c r="FW458" i="2"/>
  <c r="EJ171" i="3"/>
  <c r="EK171" i="3" s="1"/>
  <c r="DR67" i="2"/>
  <c r="DR68" i="2"/>
  <c r="FZ52" i="3"/>
  <c r="DR72" i="2"/>
  <c r="EK285" i="2"/>
  <c r="GH285" i="2" s="1"/>
  <c r="EJ287" i="2"/>
  <c r="AQ124" i="3"/>
  <c r="AQ126" i="3" s="1"/>
  <c r="AQ130" i="3" s="1"/>
  <c r="GU20" i="3"/>
  <c r="EI43" i="2"/>
  <c r="EI32" i="2"/>
  <c r="EJ41" i="2"/>
  <c r="GG135" i="2"/>
  <c r="EG437" i="2"/>
  <c r="EG432" i="2"/>
  <c r="GG432" i="2" s="1"/>
  <c r="EG438" i="2"/>
  <c r="FL51" i="2"/>
  <c r="FL52" i="2"/>
  <c r="AQ145" i="3"/>
  <c r="AQ132" i="3"/>
  <c r="K90" i="2" s="1"/>
  <c r="DR396" i="2"/>
  <c r="DR397" i="2"/>
  <c r="DS394" i="2"/>
  <c r="DR387" i="2"/>
  <c r="EA68" i="2"/>
  <c r="EA67" i="2"/>
  <c r="EA93" i="2"/>
  <c r="FP52" i="2"/>
  <c r="FP51" i="2"/>
  <c r="EY52" i="3"/>
  <c r="CW72" i="2"/>
  <c r="FM54" i="2"/>
  <c r="CJ300" i="2"/>
  <c r="CJ299" i="2"/>
  <c r="DV373" i="2"/>
  <c r="DU375" i="2"/>
  <c r="FS52" i="3"/>
  <c r="DM72" i="2"/>
  <c r="DN73" i="2" s="1"/>
  <c r="EA50" i="3"/>
  <c r="EA52" i="3" s="1"/>
  <c r="EA43" i="3"/>
  <c r="EV48" i="3"/>
  <c r="EZ47" i="3"/>
  <c r="EZ48" i="3" s="1"/>
  <c r="EU373" i="3"/>
  <c r="EU375" i="3" s="1"/>
  <c r="DP166" i="3"/>
  <c r="DS158" i="3"/>
  <c r="DS159" i="3"/>
  <c r="DS166" i="3"/>
  <c r="DS171" i="3" s="1"/>
  <c r="DS160" i="3"/>
  <c r="DS162" i="3"/>
  <c r="DO47" i="3"/>
  <c r="DO43" i="3"/>
  <c r="BT79" i="2"/>
  <c r="CI307" i="2"/>
  <c r="CI263" i="2"/>
  <c r="CI264" i="2"/>
  <c r="CI265" i="2"/>
  <c r="EF435" i="2"/>
  <c r="EF433" i="2"/>
  <c r="EF434" i="2"/>
  <c r="GI50" i="3"/>
  <c r="GI52" i="3" s="1"/>
  <c r="GE69" i="2" s="1"/>
  <c r="GE52" i="3"/>
  <c r="GF65" i="3" s="1"/>
  <c r="DV72" i="2"/>
  <c r="ES162" i="3"/>
  <c r="FP164" i="3"/>
  <c r="FP162" i="3" s="1"/>
  <c r="FO164" i="3"/>
  <c r="FN161" i="3"/>
  <c r="FO161" i="3" s="1"/>
  <c r="FN163" i="3"/>
  <c r="FO163" i="3" s="1"/>
  <c r="EH65" i="2"/>
  <c r="EH64" i="2"/>
  <c r="AP48" i="3"/>
  <c r="AP50" i="3"/>
  <c r="AP52" i="3" s="1"/>
  <c r="EN311" i="3"/>
  <c r="EN215" i="3"/>
  <c r="EN214" i="3"/>
  <c r="EP213" i="3"/>
  <c r="BA57" i="2"/>
  <c r="BA55" i="2"/>
  <c r="BA58" i="2"/>
  <c r="FL54" i="2"/>
  <c r="FL57" i="2" s="1"/>
  <c r="DZ52" i="3"/>
  <c r="CC72" i="2"/>
  <c r="FJ50" i="3"/>
  <c r="FJ52" i="3" s="1"/>
  <c r="FZ69" i="2" s="1"/>
  <c r="FF52" i="3"/>
  <c r="DB72" i="2"/>
  <c r="DC73" i="2" s="1"/>
  <c r="EI292" i="2"/>
  <c r="DF48" i="3"/>
  <c r="DF50" i="3"/>
  <c r="DF63" i="3"/>
  <c r="BM76" i="2" s="1"/>
  <c r="FO43" i="3"/>
  <c r="FO56" i="3"/>
  <c r="GA66" i="2" s="1"/>
  <c r="EG106" i="3"/>
  <c r="EG63" i="3"/>
  <c r="EG48" i="3"/>
  <c r="AZ77" i="2"/>
  <c r="BP106" i="3"/>
  <c r="BP110" i="3" s="1"/>
  <c r="BP47" i="3"/>
  <c r="BP43" i="3"/>
  <c r="CV54" i="2"/>
  <c r="CW55" i="2" s="1"/>
  <c r="EX101" i="3"/>
  <c r="CV100" i="2" s="1"/>
  <c r="CX67" i="2"/>
  <c r="CX76" i="2"/>
  <c r="CY77" i="2" s="1"/>
  <c r="FQ51" i="2"/>
  <c r="FQ52" i="2"/>
  <c r="EJ223" i="3"/>
  <c r="EK223" i="3" s="1"/>
  <c r="EL220" i="3"/>
  <c r="EJ222" i="3"/>
  <c r="EK220" i="3"/>
  <c r="EK222" i="3" s="1"/>
  <c r="DD81" i="2"/>
  <c r="DD80" i="2"/>
  <c r="AO57" i="2"/>
  <c r="AO55" i="2"/>
  <c r="AO58" i="2"/>
  <c r="M27" i="2"/>
  <c r="M28" i="2"/>
  <c r="M48" i="2"/>
  <c r="M29" i="2"/>
  <c r="N27" i="2"/>
  <c r="FB26" i="2"/>
  <c r="Q28" i="2"/>
  <c r="DV42" i="3"/>
  <c r="DV43" i="3" s="1"/>
  <c r="DV35" i="3"/>
  <c r="DV33" i="3"/>
  <c r="DV45" i="3"/>
  <c r="EQ52" i="3"/>
  <c r="CP72" i="2"/>
  <c r="DU106" i="3"/>
  <c r="DU110" i="3" s="1"/>
  <c r="DU50" i="3"/>
  <c r="DU63" i="3"/>
  <c r="BY76" i="2" s="1"/>
  <c r="DU48" i="3"/>
  <c r="DZ68" i="2"/>
  <c r="DZ67" i="2"/>
  <c r="AW27" i="2"/>
  <c r="AW28" i="2"/>
  <c r="AW48" i="2"/>
  <c r="AW29" i="2"/>
  <c r="AX27" i="2"/>
  <c r="FK26" i="2"/>
  <c r="BA28" i="2"/>
  <c r="FN171" i="3"/>
  <c r="FO171" i="3" s="1"/>
  <c r="FO166" i="3"/>
  <c r="CG175" i="3"/>
  <c r="CG173" i="3"/>
  <c r="CG32" i="3"/>
  <c r="CG25" i="3"/>
  <c r="CG69" i="3" s="1"/>
  <c r="AS54" i="2" s="1"/>
  <c r="AT55" i="2" s="1"/>
  <c r="CG70" i="3"/>
  <c r="CI175" i="3"/>
  <c r="CU57" i="2"/>
  <c r="CU55" i="2"/>
  <c r="CU58" i="2"/>
  <c r="ER162" i="3"/>
  <c r="CM58" i="2"/>
  <c r="CM57" i="2"/>
  <c r="BN57" i="2"/>
  <c r="BN56" i="2"/>
  <c r="BN55" i="2"/>
  <c r="BN58" i="2"/>
  <c r="FP54" i="2"/>
  <c r="FP57" i="2" s="1"/>
  <c r="CX106" i="3"/>
  <c r="CX43" i="3"/>
  <c r="DB42" i="3"/>
  <c r="CX47" i="3"/>
  <c r="BF79" i="2"/>
  <c r="CX158" i="3"/>
  <c r="AK110" i="3"/>
  <c r="DU160" i="3"/>
  <c r="DV160" i="3" s="1"/>
  <c r="BH174" i="3"/>
  <c r="BH172" i="3"/>
  <c r="BH24" i="3"/>
  <c r="BI24" i="3" s="1"/>
  <c r="BH19" i="3"/>
  <c r="Y26" i="2"/>
  <c r="BJ174" i="3"/>
  <c r="GM171" i="3"/>
  <c r="GN171" i="3" s="1"/>
  <c r="DL33" i="3"/>
  <c r="DL42" i="3"/>
  <c r="DL35" i="3"/>
  <c r="DL45" i="3"/>
  <c r="BO58" i="2"/>
  <c r="BO56" i="2"/>
  <c r="BO55" i="2"/>
  <c r="BO57" i="2"/>
  <c r="FR51" i="2"/>
  <c r="FR50" i="2"/>
  <c r="FR52" i="2"/>
  <c r="FI54" i="2"/>
  <c r="FI57" i="2" s="1"/>
  <c r="GV22" i="3"/>
  <c r="EJ47" i="2"/>
  <c r="EK45" i="2"/>
  <c r="GK126" i="3"/>
  <c r="GK130" i="3" s="1"/>
  <c r="GM124" i="3"/>
  <c r="EI239" i="2"/>
  <c r="EI238" i="2"/>
  <c r="ET166" i="3"/>
  <c r="DC68" i="2"/>
  <c r="CQ54" i="2"/>
  <c r="FW54" i="2" s="1"/>
  <c r="ER101" i="3"/>
  <c r="CQ100" i="2" s="1"/>
  <c r="ES101" i="3"/>
  <c r="CR100" i="2" s="1"/>
  <c r="BA145" i="3"/>
  <c r="BA132" i="3"/>
  <c r="S90" i="2" s="1"/>
  <c r="S93" i="2" s="1"/>
  <c r="BA126" i="3"/>
  <c r="BA130" i="3" s="1"/>
  <c r="BE159" i="3"/>
  <c r="DX106" i="3"/>
  <c r="DX110" i="3" s="1"/>
  <c r="DX48" i="3"/>
  <c r="DX63" i="3"/>
  <c r="CA76" i="2" s="1"/>
  <c r="V57" i="2"/>
  <c r="V56" i="2"/>
  <c r="V55" i="2"/>
  <c r="FH162" i="3"/>
  <c r="FH166" i="3"/>
  <c r="FH171" i="3" s="1"/>
  <c r="FH159" i="3"/>
  <c r="FH160" i="3"/>
  <c r="FH158" i="3"/>
  <c r="FD106" i="3"/>
  <c r="FD110" i="3" s="1"/>
  <c r="FD50" i="3"/>
  <c r="FE50" i="3" s="1"/>
  <c r="FE52" i="3" s="1"/>
  <c r="FY69" i="2" s="1"/>
  <c r="FD63" i="3"/>
  <c r="DA76" i="2" s="1"/>
  <c r="DE78" i="2" s="1"/>
  <c r="FD43" i="3"/>
  <c r="FD47" i="3"/>
  <c r="FD48" i="3" s="1"/>
  <c r="DA79" i="2"/>
  <c r="DE81" i="2" s="1"/>
  <c r="FD56" i="3"/>
  <c r="DA66" i="2" s="1"/>
  <c r="DE68" i="2" s="1"/>
  <c r="GB166" i="3"/>
  <c r="GB171" i="3" s="1"/>
  <c r="DH80" i="2"/>
  <c r="DR354" i="2"/>
  <c r="DR352" i="2"/>
  <c r="DR353" i="2"/>
  <c r="EH158" i="3"/>
  <c r="AR158" i="3"/>
  <c r="ED126" i="3"/>
  <c r="EE124" i="3"/>
  <c r="GV95" i="3"/>
  <c r="BF159" i="3"/>
  <c r="DO57" i="2"/>
  <c r="DO56" i="2"/>
  <c r="DO55" i="2"/>
  <c r="DO58" i="2"/>
  <c r="GC54" i="2"/>
  <c r="GD56" i="2" s="1"/>
  <c r="BK132" i="3"/>
  <c r="AA90" i="2" s="1"/>
  <c r="AA93" i="2" s="1"/>
  <c r="BK145" i="3"/>
  <c r="BK126" i="3"/>
  <c r="BK130" i="3" s="1"/>
  <c r="EW52" i="3"/>
  <c r="CU72" i="2"/>
  <c r="EY162" i="3"/>
  <c r="EZ162" i="3" s="1"/>
  <c r="ET52" i="3"/>
  <c r="CS72" i="2"/>
  <c r="EX162" i="3"/>
  <c r="CU52" i="3"/>
  <c r="BD72" i="2"/>
  <c r="DY78" i="2"/>
  <c r="DY77" i="2"/>
  <c r="N93" i="2"/>
  <c r="BY52" i="3"/>
  <c r="AL72" i="2"/>
  <c r="DD106" i="3"/>
  <c r="DD110" i="3" s="1"/>
  <c r="DC110" i="3"/>
  <c r="CZ48" i="3"/>
  <c r="CZ50" i="3"/>
  <c r="CZ63" i="3"/>
  <c r="BH76" i="2" s="1"/>
  <c r="DK81" i="2"/>
  <c r="CJ57" i="2"/>
  <c r="CJ56" i="2"/>
  <c r="CJ58" i="2"/>
  <c r="DG50" i="3"/>
  <c r="DG43" i="3"/>
  <c r="AV48" i="3"/>
  <c r="AV50" i="3"/>
  <c r="AV52" i="3" s="1"/>
  <c r="DV155" i="2"/>
  <c r="DV156" i="2"/>
  <c r="DV424" i="2"/>
  <c r="BD33" i="3"/>
  <c r="BD45" i="3"/>
  <c r="BD35" i="3"/>
  <c r="BD51" i="3" s="1"/>
  <c r="CZ280" i="2"/>
  <c r="CZ281" i="2"/>
  <c r="DD281" i="2"/>
  <c r="DA280" i="2"/>
  <c r="CZ77" i="2"/>
  <c r="GB52" i="2"/>
  <c r="GB50" i="2"/>
  <c r="GB51" i="2"/>
  <c r="DU78" i="2"/>
  <c r="DK78" i="2"/>
  <c r="ES159" i="3"/>
  <c r="DC50" i="3"/>
  <c r="DC63" i="3"/>
  <c r="DC48" i="3"/>
  <c r="DG47" i="3"/>
  <c r="DG48" i="3" s="1"/>
  <c r="CZ261" i="2"/>
  <c r="CZ260" i="2"/>
  <c r="CZ259" i="2"/>
  <c r="BN174" i="3"/>
  <c r="BN172" i="3"/>
  <c r="BN19" i="3"/>
  <c r="BS172" i="3"/>
  <c r="FC52" i="3"/>
  <c r="CZ72" i="2"/>
  <c r="GU14" i="3"/>
  <c r="EI15" i="2"/>
  <c r="EI16" i="2"/>
  <c r="EJ14" i="2"/>
  <c r="EI243" i="2"/>
  <c r="EI242" i="2"/>
  <c r="CH172" i="3"/>
  <c r="CH174" i="3"/>
  <c r="CH19" i="3"/>
  <c r="GC52" i="3"/>
  <c r="DU72" i="2"/>
  <c r="EK33" i="3"/>
  <c r="EK42" i="3"/>
  <c r="EK35" i="3"/>
  <c r="EK45" i="3"/>
  <c r="EI52" i="3"/>
  <c r="CJ72" i="2"/>
  <c r="CJ74" i="2" s="1"/>
  <c r="DE77" i="2"/>
  <c r="FZ109" i="3"/>
  <c r="FT33" i="3"/>
  <c r="FT45" i="3"/>
  <c r="FT35" i="3"/>
  <c r="DB101" i="3"/>
  <c r="BI100" i="2"/>
  <c r="FN100" i="2" s="1"/>
  <c r="EG135" i="2"/>
  <c r="EG134" i="2"/>
  <c r="FG66" i="3"/>
  <c r="FG65" i="3"/>
  <c r="DC69" i="2"/>
  <c r="EA80" i="2"/>
  <c r="EA81" i="2"/>
  <c r="BX57" i="2"/>
  <c r="BX56" i="2"/>
  <c r="BX55" i="2"/>
  <c r="BX58" i="2"/>
  <c r="L57" i="2"/>
  <c r="L56" i="2"/>
  <c r="L55" i="2"/>
  <c r="CW93" i="2"/>
  <c r="CW92" i="2"/>
  <c r="CU158" i="3"/>
  <c r="CU159" i="3"/>
  <c r="CU160" i="3"/>
  <c r="CU166" i="3"/>
  <c r="CU171" i="3" s="1"/>
  <c r="CU162" i="3"/>
  <c r="CQ106" i="3"/>
  <c r="CQ43" i="3"/>
  <c r="CQ47" i="3"/>
  <c r="BA79" i="2"/>
  <c r="CQ159" i="3"/>
  <c r="CR159" i="3" s="1"/>
  <c r="CQ158" i="3"/>
  <c r="CR158" i="3" s="1"/>
  <c r="CT159" i="3"/>
  <c r="CS162" i="3"/>
  <c r="CT160" i="3"/>
  <c r="CQ160" i="3"/>
  <c r="CR160" i="3" s="1"/>
  <c r="CT166" i="3"/>
  <c r="CT171" i="3" s="1"/>
  <c r="CQ162" i="3"/>
  <c r="CR162" i="3" s="1"/>
  <c r="CT158" i="3"/>
  <c r="CS159" i="3"/>
  <c r="CR42" i="3"/>
  <c r="CQ166" i="3"/>
  <c r="CS166" i="3"/>
  <c r="CS171" i="3" s="1"/>
  <c r="CS160" i="3"/>
  <c r="CT162" i="3"/>
  <c r="DI78" i="2"/>
  <c r="AT57" i="2"/>
  <c r="AT56" i="2"/>
  <c r="AT58" i="2"/>
  <c r="AX56" i="2"/>
  <c r="EM52" i="3"/>
  <c r="CM72" i="2"/>
  <c r="AO33" i="3"/>
  <c r="AO45" i="3"/>
  <c r="AO35" i="3"/>
  <c r="AH65" i="3"/>
  <c r="AH56" i="3"/>
  <c r="D66" i="2" s="1"/>
  <c r="D69" i="2"/>
  <c r="DQ101" i="3"/>
  <c r="BU100" i="2"/>
  <c r="FQ100" i="2" s="1"/>
  <c r="EY157" i="3"/>
  <c r="EZ157" i="3" s="1"/>
  <c r="EU146" i="3"/>
  <c r="ET157" i="3"/>
  <c r="EU157" i="3" s="1"/>
  <c r="CT76" i="2"/>
  <c r="DM166" i="3"/>
  <c r="DM171" i="3" s="1"/>
  <c r="DK162" i="3"/>
  <c r="DL162" i="3" s="1"/>
  <c r="DM158" i="3"/>
  <c r="DM159" i="3"/>
  <c r="DM160" i="3"/>
  <c r="DK159" i="3"/>
  <c r="DL159" i="3" s="1"/>
  <c r="DM162" i="3"/>
  <c r="DK160" i="3"/>
  <c r="DL160" i="3" s="1"/>
  <c r="DK158" i="3"/>
  <c r="DL158" i="3" s="1"/>
  <c r="DI47" i="3"/>
  <c r="DI43" i="3"/>
  <c r="BO79" i="2"/>
  <c r="DW52" i="3"/>
  <c r="BZ72" i="2"/>
  <c r="DR430" i="2"/>
  <c r="DR429" i="2"/>
  <c r="DG78" i="2"/>
  <c r="FE45" i="3"/>
  <c r="FE35" i="3"/>
  <c r="FE33" i="3"/>
  <c r="GE48" i="3"/>
  <c r="GI47" i="3"/>
  <c r="GI48" i="3" s="1"/>
  <c r="CX57" i="2"/>
  <c r="CX56" i="2"/>
  <c r="CX55" i="2"/>
  <c r="FY54" i="2"/>
  <c r="CX58" i="2"/>
  <c r="ES389" i="3"/>
  <c r="ES390" i="3"/>
  <c r="FH101" i="3"/>
  <c r="DD100" i="2" s="1"/>
  <c r="FF48" i="3"/>
  <c r="FJ47" i="3"/>
  <c r="FJ48" i="3" s="1"/>
  <c r="DJ158" i="3"/>
  <c r="EN160" i="3"/>
  <c r="FJ12" i="2"/>
  <c r="FJ13" i="2"/>
  <c r="BJ106" i="3"/>
  <c r="BJ47" i="3"/>
  <c r="BJ43" i="3"/>
  <c r="FO63" i="3"/>
  <c r="DF76" i="2"/>
  <c r="EG52" i="3"/>
  <c r="CH72" i="2"/>
  <c r="CP52" i="3"/>
  <c r="AZ72" i="2"/>
  <c r="EF50" i="3"/>
  <c r="EF52" i="3" s="1"/>
  <c r="EF43" i="3"/>
  <c r="DV369" i="2"/>
  <c r="DU371" i="2"/>
  <c r="FF171" i="3"/>
  <c r="CX81" i="2"/>
  <c r="CX80" i="2"/>
  <c r="FA110" i="3"/>
  <c r="GO48" i="3"/>
  <c r="GC166" i="3"/>
  <c r="GF166" i="3"/>
  <c r="GF171" i="3" s="1"/>
  <c r="GF159" i="3"/>
  <c r="GF160" i="3"/>
  <c r="GF158" i="3"/>
  <c r="GB106" i="3"/>
  <c r="GB50" i="3"/>
  <c r="GD50" i="3" s="1"/>
  <c r="GD52" i="3" s="1"/>
  <c r="GD69" i="2" s="1"/>
  <c r="GB63" i="3"/>
  <c r="DT76" i="2" s="1"/>
  <c r="DX78" i="2" s="1"/>
  <c r="GB47" i="3"/>
  <c r="GB48" i="3" s="1"/>
  <c r="GB43" i="3"/>
  <c r="DT79" i="2"/>
  <c r="DU80" i="2" s="1"/>
  <c r="GB56" i="3"/>
  <c r="DT66" i="2" s="1"/>
  <c r="DX68" i="2" s="1"/>
  <c r="DL101" i="3"/>
  <c r="BQ100" i="2"/>
  <c r="FP100" i="2" s="1"/>
  <c r="EE171" i="3"/>
  <c r="EF171" i="3" s="1"/>
  <c r="EF166" i="3"/>
  <c r="BG173" i="3"/>
  <c r="BG175" i="3"/>
  <c r="BG32" i="3"/>
  <c r="BG25" i="3"/>
  <c r="BG69" i="3" s="1"/>
  <c r="BG70" i="3"/>
  <c r="BL173" i="3"/>
  <c r="DC81" i="2"/>
  <c r="FU132" i="3"/>
  <c r="DN90" i="2" s="1"/>
  <c r="FU126" i="3"/>
  <c r="EQ110" i="3"/>
  <c r="EU106" i="3"/>
  <c r="DZ80" i="2"/>
  <c r="DZ81" i="2"/>
  <c r="GJ110" i="3"/>
  <c r="GN106" i="3"/>
  <c r="EQ378" i="3"/>
  <c r="EQ377" i="3"/>
  <c r="ER160" i="3"/>
  <c r="DY106" i="3"/>
  <c r="DY110" i="3" s="1"/>
  <c r="DY48" i="3"/>
  <c r="DY63" i="3"/>
  <c r="CB76" i="2" s="1"/>
  <c r="DW158" i="3"/>
  <c r="EB78" i="2"/>
  <c r="EB77" i="2"/>
  <c r="CK57" i="2"/>
  <c r="CK56" i="2"/>
  <c r="CK55" i="2"/>
  <c r="CK58" i="2"/>
  <c r="CO56" i="2"/>
  <c r="EU187" i="3"/>
  <c r="FT69" i="3"/>
  <c r="FP101" i="3"/>
  <c r="DJ100" i="2" s="1"/>
  <c r="BY145" i="3"/>
  <c r="BY132" i="3"/>
  <c r="AL90" i="2" s="1"/>
  <c r="BY126" i="3"/>
  <c r="BC158" i="3"/>
  <c r="BD158" i="3" s="1"/>
  <c r="BE166" i="3"/>
  <c r="BE171" i="3" s="1"/>
  <c r="DX52" i="3"/>
  <c r="EC66" i="3" s="1"/>
  <c r="CA72" i="2"/>
  <c r="AH57" i="2"/>
  <c r="AH56" i="2"/>
  <c r="AH58" i="2"/>
  <c r="AL56" i="2"/>
  <c r="FB12" i="2"/>
  <c r="FB13" i="2"/>
  <c r="FC12" i="2"/>
  <c r="FX160" i="3"/>
  <c r="FY160" i="3" s="1"/>
  <c r="FZ159" i="3"/>
  <c r="FZ166" i="3"/>
  <c r="FZ171" i="3" s="1"/>
  <c r="FZ160" i="3"/>
  <c r="FX159" i="3"/>
  <c r="FY159" i="3" s="1"/>
  <c r="FX158" i="3"/>
  <c r="FY158" i="3" s="1"/>
  <c r="FZ158" i="3"/>
  <c r="FV106" i="3"/>
  <c r="FV50" i="3"/>
  <c r="FV63" i="3"/>
  <c r="FV47" i="3"/>
  <c r="FV43" i="3"/>
  <c r="DO79" i="2"/>
  <c r="FV56" i="3"/>
  <c r="DO66" i="2" s="1"/>
  <c r="DS68" i="2" s="1"/>
  <c r="FY42" i="3"/>
  <c r="DI81" i="2"/>
  <c r="DQ78" i="2"/>
  <c r="DQ77" i="2"/>
  <c r="GB159" i="3"/>
  <c r="GA52" i="3"/>
  <c r="DS72" i="2"/>
  <c r="AD56" i="2"/>
  <c r="DH81" i="2"/>
  <c r="CS63" i="3"/>
  <c r="CS48" i="3"/>
  <c r="CS50" i="3"/>
  <c r="AN159" i="3"/>
  <c r="AO159" i="3" s="1"/>
  <c r="AP162" i="3"/>
  <c r="AL106" i="3"/>
  <c r="AL110" i="3" s="1"/>
  <c r="AL50" i="3"/>
  <c r="AL52" i="3" s="1"/>
  <c r="AL43" i="3"/>
  <c r="GG63" i="2"/>
  <c r="GG65" i="2" s="1"/>
  <c r="FK13" i="2"/>
  <c r="FK12" i="2"/>
  <c r="FL12" i="2"/>
  <c r="DH93" i="2"/>
  <c r="DR449" i="2"/>
  <c r="DR450" i="2"/>
  <c r="BB48" i="3"/>
  <c r="BB50" i="3"/>
  <c r="BB52" i="3" s="1"/>
  <c r="BF166" i="3"/>
  <c r="BF171" i="3" s="1"/>
  <c r="BO158" i="3"/>
  <c r="EY160" i="3"/>
  <c r="EZ160" i="3" s="1"/>
  <c r="EX160" i="3"/>
  <c r="GH52" i="3"/>
  <c r="DY72" i="2"/>
  <c r="GH171" i="3"/>
  <c r="GI171" i="3" s="1"/>
  <c r="GI166" i="3"/>
  <c r="CC42" i="3"/>
  <c r="AV110" i="3"/>
  <c r="CZ67" i="2"/>
  <c r="FC132" i="3"/>
  <c r="CZ90" i="2" s="1"/>
  <c r="FC126" i="3"/>
  <c r="FC130" i="3" s="1"/>
  <c r="DI73" i="2"/>
  <c r="EB52" i="3"/>
  <c r="EC65" i="3" s="1"/>
  <c r="CD72" i="2"/>
  <c r="DJ57" i="2"/>
  <c r="DJ56" i="2"/>
  <c r="DJ55" i="2"/>
  <c r="DJ58" i="2"/>
  <c r="GB54" i="2"/>
  <c r="DN56" i="2"/>
  <c r="CM301" i="2"/>
  <c r="CL303" i="2"/>
  <c r="CL254" i="2"/>
  <c r="AQ27" i="2"/>
  <c r="AQ28" i="2"/>
  <c r="AQ48" i="2"/>
  <c r="AQ29" i="2"/>
  <c r="FJ26" i="2"/>
  <c r="AU28" i="2"/>
  <c r="DU68" i="2"/>
  <c r="GC109" i="3"/>
  <c r="GC110" i="3" s="1"/>
  <c r="GC132" i="3" s="1"/>
  <c r="DU90" i="2" s="1"/>
  <c r="BO48" i="3"/>
  <c r="BO50" i="3"/>
  <c r="EP69" i="3"/>
  <c r="CL54" i="2"/>
  <c r="CP56" i="2" s="1"/>
  <c r="EL101" i="3"/>
  <c r="CL100" i="2" s="1"/>
  <c r="CH58" i="2"/>
  <c r="CH57" i="2"/>
  <c r="CH56" i="2"/>
  <c r="CH55" i="2"/>
  <c r="EI106" i="3"/>
  <c r="EI110" i="3" s="1"/>
  <c r="EI132" i="3" s="1"/>
  <c r="CJ90" i="2" s="1"/>
  <c r="CJ93" i="2" s="1"/>
  <c r="EI63" i="3"/>
  <c r="CJ76" i="2" s="1"/>
  <c r="EI48" i="3"/>
  <c r="FI52" i="3"/>
  <c r="DE72" i="2"/>
  <c r="GD406" i="2"/>
  <c r="EI288" i="2"/>
  <c r="GE57" i="2"/>
  <c r="GE58" i="2"/>
  <c r="GE56" i="2"/>
  <c r="CW101" i="3"/>
  <c r="BE100" i="2"/>
  <c r="FM100" i="2" s="1"/>
  <c r="CW81" i="2"/>
  <c r="CJ252" i="2"/>
  <c r="CJ251" i="2"/>
  <c r="CJ253" i="2"/>
  <c r="CJ262" i="2"/>
  <c r="DM78" i="2"/>
  <c r="AH132" i="3"/>
  <c r="D90" i="2" s="1"/>
  <c r="AH126" i="3"/>
  <c r="AH130" i="3" s="1"/>
  <c r="BU58" i="2"/>
  <c r="BU56" i="2"/>
  <c r="BU55" i="2"/>
  <c r="BU57" i="2"/>
  <c r="EV52" i="3"/>
  <c r="EZ50" i="3"/>
  <c r="EZ52" i="3" s="1"/>
  <c r="FX69" i="2" s="1"/>
  <c r="CT72" i="2"/>
  <c r="DW106" i="3"/>
  <c r="DW63" i="3"/>
  <c r="DW48" i="3"/>
  <c r="EA47" i="3"/>
  <c r="EA48" i="3" s="1"/>
  <c r="DT431" i="2"/>
  <c r="DS428" i="2"/>
  <c r="FP160" i="3"/>
  <c r="DV68" i="2"/>
  <c r="DV67" i="2"/>
  <c r="GI63" i="3"/>
  <c r="DV76" i="2"/>
  <c r="DO166" i="3"/>
  <c r="DO171" i="3" s="1"/>
  <c r="DO159" i="3"/>
  <c r="DO160" i="3"/>
  <c r="DO162" i="3"/>
  <c r="DO158" i="3"/>
  <c r="DK47" i="3"/>
  <c r="DK43" i="3"/>
  <c r="BQ79" i="2"/>
  <c r="BQ81" i="2" s="1"/>
  <c r="CZ162" i="3"/>
  <c r="CZ166" i="3"/>
  <c r="CZ171" i="3" s="1"/>
  <c r="CZ159" i="3"/>
  <c r="CZ160" i="3"/>
  <c r="CZ158" i="3"/>
  <c r="CV106" i="3"/>
  <c r="CV110" i="3" s="1"/>
  <c r="CV43" i="3"/>
  <c r="CV47" i="3"/>
  <c r="BE79" i="2"/>
  <c r="CY159" i="3"/>
  <c r="CY160" i="3"/>
  <c r="CX162" i="3"/>
  <c r="CY158" i="3"/>
  <c r="CY166" i="3"/>
  <c r="CY171" i="3" s="1"/>
  <c r="CX166" i="3"/>
  <c r="CX171" i="3" s="1"/>
  <c r="CY162" i="3"/>
  <c r="CX160" i="3"/>
  <c r="CX159" i="3"/>
  <c r="CV166" i="3"/>
  <c r="CV158" i="3"/>
  <c r="CW158" i="3" s="1"/>
  <c r="DU166" i="3"/>
  <c r="DX162" i="3"/>
  <c r="DX166" i="3"/>
  <c r="DX171" i="3" s="1"/>
  <c r="DX159" i="3"/>
  <c r="DX160" i="3"/>
  <c r="DX158" i="3"/>
  <c r="DT43" i="3"/>
  <c r="DT47" i="3"/>
  <c r="BX79" i="2"/>
  <c r="BX80" i="2" s="1"/>
  <c r="DD57" i="2"/>
  <c r="DD56" i="2"/>
  <c r="DD55" i="2"/>
  <c r="DD58" i="2"/>
  <c r="DH56" i="2"/>
  <c r="FJ63" i="3"/>
  <c r="DB76" i="2"/>
  <c r="DJ159" i="3"/>
  <c r="EJ106" i="3"/>
  <c r="EJ110" i="3" s="1"/>
  <c r="EJ132" i="3" s="1"/>
  <c r="CK90" i="2" s="1"/>
  <c r="CK93" i="2" s="1"/>
  <c r="EJ48" i="3"/>
  <c r="EJ63" i="3"/>
  <c r="CK76" i="2" s="1"/>
  <c r="DF67" i="2"/>
  <c r="DF68" i="2"/>
  <c r="FO50" i="3"/>
  <c r="FO52" i="3" s="1"/>
  <c r="GA69" i="2" s="1"/>
  <c r="FK52" i="3"/>
  <c r="DF72" i="2"/>
  <c r="EO101" i="3"/>
  <c r="EG39" i="2"/>
  <c r="EG38" i="2"/>
  <c r="CY78" i="2"/>
  <c r="FE43" i="3"/>
  <c r="FE56" i="3"/>
  <c r="FY66" i="2" s="1"/>
  <c r="CP57" i="2"/>
  <c r="CP55" i="2"/>
  <c r="CP58" i="2"/>
  <c r="ES158" i="3"/>
  <c r="EI312" i="3"/>
  <c r="EI225" i="3"/>
  <c r="EI234" i="3"/>
  <c r="EI224" i="3"/>
  <c r="BQ57" i="2"/>
  <c r="BQ56" i="2"/>
  <c r="BQ55" i="2"/>
  <c r="BQ58" i="2"/>
  <c r="CY63" i="3"/>
  <c r="BG76" i="2" s="1"/>
  <c r="CY48" i="3"/>
  <c r="CY50" i="3"/>
  <c r="DC80" i="2"/>
  <c r="DW80" i="2"/>
  <c r="BT106" i="3"/>
  <c r="BT43" i="3"/>
  <c r="BT47" i="3"/>
  <c r="AS173" i="3"/>
  <c r="AS175" i="3"/>
  <c r="AS25" i="3"/>
  <c r="AS69" i="3" s="1"/>
  <c r="AS32" i="3"/>
  <c r="AU175" i="3"/>
  <c r="AS70" i="3"/>
  <c r="AT70" i="3" s="1"/>
  <c r="AT24" i="3"/>
  <c r="AX173" i="3"/>
  <c r="FS166" i="3"/>
  <c r="FV158" i="3"/>
  <c r="FV159" i="3"/>
  <c r="FV160" i="3"/>
  <c r="FV166" i="3"/>
  <c r="FV171" i="3" s="1"/>
  <c r="FR106" i="3"/>
  <c r="FR110" i="3" s="1"/>
  <c r="FR43" i="3"/>
  <c r="FR63" i="3"/>
  <c r="DL76" i="2" s="1"/>
  <c r="FR47" i="3"/>
  <c r="FR48" i="3" s="1"/>
  <c r="FR50" i="3"/>
  <c r="DL79" i="2"/>
  <c r="FR56" i="3"/>
  <c r="DL66" i="2" s="1"/>
  <c r="GN50" i="3"/>
  <c r="GN52" i="3" s="1"/>
  <c r="GF69" i="2" s="1"/>
  <c r="GF71" i="2" s="1"/>
  <c r="GJ52" i="3"/>
  <c r="DZ72" i="2"/>
  <c r="CL175" i="3"/>
  <c r="CL173" i="3"/>
  <c r="CL32" i="3"/>
  <c r="CL25" i="3"/>
  <c r="CL69" i="3" s="1"/>
  <c r="CN175" i="3"/>
  <c r="CL70" i="3"/>
  <c r="CM70" i="3" s="1"/>
  <c r="CM24" i="3"/>
  <c r="CQ173" i="3"/>
  <c r="EK228" i="2"/>
  <c r="EJ230" i="2"/>
  <c r="EY101" i="3"/>
  <c r="CI54" i="2"/>
  <c r="CJ55" i="2" s="1"/>
  <c r="EH101" i="3"/>
  <c r="CI100" i="2" s="1"/>
  <c r="ER166" i="3"/>
  <c r="ER171" i="3" s="1"/>
  <c r="EG232" i="3"/>
  <c r="EG231" i="3"/>
  <c r="DY52" i="3"/>
  <c r="CB72" i="2"/>
  <c r="DU158" i="3"/>
  <c r="DV158" i="3" s="1"/>
  <c r="DU159" i="3"/>
  <c r="DV159" i="3" s="1"/>
  <c r="EL439" i="2"/>
  <c r="GL52" i="3"/>
  <c r="EB72" i="2"/>
  <c r="EF101" i="3"/>
  <c r="CG100" i="2"/>
  <c r="FT100" i="2" s="1"/>
  <c r="EH236" i="3"/>
  <c r="EH235" i="3"/>
  <c r="EH238" i="3"/>
  <c r="EH230" i="3"/>
  <c r="EM427" i="2"/>
  <c r="GJ126" i="3"/>
  <c r="GL124" i="3"/>
  <c r="GL126" i="3" s="1"/>
  <c r="GL130" i="3" s="1"/>
  <c r="EI201" i="2"/>
  <c r="EI200" i="2"/>
  <c r="EI195" i="2"/>
  <c r="EI109" i="2"/>
  <c r="ES201" i="3"/>
  <c r="R57" i="2"/>
  <c r="R56" i="2"/>
  <c r="FD54" i="2"/>
  <c r="FD57" i="2" s="1"/>
  <c r="DW67" i="2"/>
  <c r="BC159" i="3"/>
  <c r="BD159" i="3" s="1"/>
  <c r="BE158" i="3"/>
  <c r="AP55" i="2"/>
  <c r="W57" i="2"/>
  <c r="W56" i="2"/>
  <c r="W55" i="2"/>
  <c r="AA56" i="2"/>
  <c r="GB158" i="3"/>
  <c r="DS67" i="2"/>
  <c r="GA109" i="3"/>
  <c r="GA110" i="3" s="1"/>
  <c r="GC160" i="3"/>
  <c r="GD160" i="3" s="1"/>
  <c r="CS110" i="3"/>
  <c r="AE58" i="2"/>
  <c r="AE56" i="2"/>
  <c r="AE55" i="2"/>
  <c r="AE57" i="2"/>
  <c r="ET101" i="3"/>
  <c r="DI68" i="2"/>
  <c r="BF158" i="3"/>
  <c r="FN51" i="2"/>
  <c r="FN52" i="2"/>
  <c r="EI36" i="2"/>
  <c r="EI60" i="2"/>
  <c r="EI61" i="2"/>
  <c r="FA158" i="3"/>
  <c r="FA162" i="3"/>
  <c r="EX159" i="3"/>
  <c r="DY67" i="2"/>
  <c r="DY68" i="2"/>
  <c r="GH109" i="3"/>
  <c r="GH110" i="3" s="1"/>
  <c r="DN77" i="2"/>
  <c r="DX77" i="2"/>
  <c r="ER419" i="2"/>
  <c r="EH85" i="2"/>
  <c r="EH84" i="2"/>
  <c r="EG224" i="2" l="1"/>
  <c r="DQ388" i="2"/>
  <c r="DT376" i="2"/>
  <c r="DT359" i="2"/>
  <c r="DT361" i="2" s="1"/>
  <c r="CW67" i="2"/>
  <c r="DT385" i="2"/>
  <c r="DT384" i="2"/>
  <c r="DS351" i="2"/>
  <c r="DS354" i="2" s="1"/>
  <c r="DT372" i="2"/>
  <c r="DV365" i="2"/>
  <c r="DV383" i="2" s="1"/>
  <c r="DV368" i="2" s="1"/>
  <c r="GD365" i="2"/>
  <c r="GD367" i="2" s="1"/>
  <c r="FX459" i="2"/>
  <c r="DT409" i="2"/>
  <c r="FX458" i="2"/>
  <c r="FY459" i="2"/>
  <c r="DT380" i="2"/>
  <c r="D67" i="2"/>
  <c r="DS360" i="2"/>
  <c r="DS362" i="2"/>
  <c r="DS448" i="2"/>
  <c r="DS449" i="2" s="1"/>
  <c r="GF79" i="2"/>
  <c r="GF81" i="2" s="1"/>
  <c r="FM79" i="2"/>
  <c r="D70" i="2"/>
  <c r="EJ219" i="2"/>
  <c r="EC80" i="2"/>
  <c r="ED80" i="2"/>
  <c r="CC33" i="3"/>
  <c r="CC35" i="3"/>
  <c r="CC45" i="3"/>
  <c r="CB162" i="3"/>
  <c r="CC162" i="3" s="1"/>
  <c r="CD162" i="3"/>
  <c r="CD158" i="3"/>
  <c r="CB160" i="3"/>
  <c r="CC160" i="3" s="1"/>
  <c r="CB166" i="3"/>
  <c r="CD159" i="3"/>
  <c r="CB158" i="3"/>
  <c r="CC158" i="3" s="1"/>
  <c r="CD160" i="3"/>
  <c r="BZ106" i="3"/>
  <c r="BZ110" i="3" s="1"/>
  <c r="CD166" i="3"/>
  <c r="CD171" i="3" s="1"/>
  <c r="BZ43" i="3"/>
  <c r="CB159" i="3"/>
  <c r="CC159" i="3" s="1"/>
  <c r="BZ47" i="3"/>
  <c r="AY25" i="3"/>
  <c r="FX76" i="2"/>
  <c r="AG28" i="2"/>
  <c r="EZ63" i="3"/>
  <c r="GN101" i="3"/>
  <c r="EU63" i="3"/>
  <c r="FE106" i="3"/>
  <c r="FY79" i="2"/>
  <c r="FZ81" i="2" s="1"/>
  <c r="AY175" i="3"/>
  <c r="CW106" i="3"/>
  <c r="AR160" i="3"/>
  <c r="FT79" i="2"/>
  <c r="AN160" i="3"/>
  <c r="AO160" i="3" s="1"/>
  <c r="DA126" i="3"/>
  <c r="DA130" i="3" s="1"/>
  <c r="DA132" i="3"/>
  <c r="BI90" i="2" s="1"/>
  <c r="BI93" i="2" s="1"/>
  <c r="DA145" i="3"/>
  <c r="ER377" i="3"/>
  <c r="BA168" i="3"/>
  <c r="BU106" i="3"/>
  <c r="BU110" i="3" s="1"/>
  <c r="BU47" i="3"/>
  <c r="BU43" i="3"/>
  <c r="CC106" i="3"/>
  <c r="AN158" i="3"/>
  <c r="AO158" i="3" s="1"/>
  <c r="GD56" i="3"/>
  <c r="GD66" i="2" s="1"/>
  <c r="GE68" i="2" s="1"/>
  <c r="AR159" i="3"/>
  <c r="AP159" i="3"/>
  <c r="AP160" i="3"/>
  <c r="FN79" i="2"/>
  <c r="AY69" i="3"/>
  <c r="Q49" i="2"/>
  <c r="R49" i="2"/>
  <c r="Q51" i="2"/>
  <c r="U50" i="2"/>
  <c r="DA50" i="3"/>
  <c r="DA63" i="3"/>
  <c r="BI76" i="2" s="1"/>
  <c r="DA48" i="3"/>
  <c r="CW80" i="2"/>
  <c r="GD43" i="3"/>
  <c r="AN162" i="3"/>
  <c r="AO162" i="3" s="1"/>
  <c r="AP166" i="3"/>
  <c r="AP171" i="3" s="1"/>
  <c r="GA68" i="2"/>
  <c r="GN56" i="3"/>
  <c r="GF66" i="2" s="1"/>
  <c r="GF68" i="2" s="1"/>
  <c r="AO51" i="3"/>
  <c r="AX168" i="3"/>
  <c r="AY168" i="3" s="1"/>
  <c r="BB168" i="3"/>
  <c r="BB167" i="3"/>
  <c r="AX42" i="3"/>
  <c r="AX159" i="3" s="1"/>
  <c r="AY159" i="3" s="1"/>
  <c r="AX45" i="3"/>
  <c r="AZ168" i="3"/>
  <c r="AX35" i="3"/>
  <c r="AX51" i="3" s="1"/>
  <c r="AY32" i="3"/>
  <c r="AX33" i="3"/>
  <c r="AZ167" i="3"/>
  <c r="AX101" i="3"/>
  <c r="AZ101" i="3"/>
  <c r="R100" i="2" s="1"/>
  <c r="BB101" i="3"/>
  <c r="T100" i="2" s="1"/>
  <c r="Q54" i="2"/>
  <c r="AP158" i="3"/>
  <c r="GG158" i="3"/>
  <c r="GG159" i="3"/>
  <c r="AX167" i="3"/>
  <c r="AY167" i="3" s="1"/>
  <c r="BR70" i="3"/>
  <c r="BR25" i="3"/>
  <c r="BR69" i="3" s="1"/>
  <c r="BS69" i="3" s="1"/>
  <c r="BR32" i="3"/>
  <c r="BR167" i="3" s="1"/>
  <c r="BS167" i="3" s="1"/>
  <c r="BR175" i="3"/>
  <c r="BT175" i="3"/>
  <c r="EC78" i="2"/>
  <c r="EC77" i="2"/>
  <c r="CC173" i="3"/>
  <c r="BX175" i="3"/>
  <c r="BX25" i="3"/>
  <c r="AN50" i="3"/>
  <c r="AN52" i="3" s="1"/>
  <c r="AP65" i="3" s="1"/>
  <c r="AN43" i="3"/>
  <c r="AN106" i="3"/>
  <c r="AN110" i="3" s="1"/>
  <c r="AQ158" i="3"/>
  <c r="AQ166" i="3"/>
  <c r="AQ171" i="3" s="1"/>
  <c r="AM106" i="3"/>
  <c r="AM110" i="3" s="1"/>
  <c r="AO42" i="3"/>
  <c r="AO43" i="3" s="1"/>
  <c r="AN166" i="3"/>
  <c r="AM50" i="3"/>
  <c r="AM52" i="3" s="1"/>
  <c r="AQ162" i="3"/>
  <c r="AM43" i="3"/>
  <c r="AQ160" i="3"/>
  <c r="AQ159" i="3"/>
  <c r="FA51" i="2"/>
  <c r="CT48" i="3"/>
  <c r="CT50" i="3"/>
  <c r="CT63" i="3"/>
  <c r="GM52" i="3"/>
  <c r="EC69" i="2" s="1"/>
  <c r="EC72" i="2"/>
  <c r="EC73" i="2" s="1"/>
  <c r="BW173" i="3"/>
  <c r="AF51" i="2"/>
  <c r="AJ50" i="2"/>
  <c r="AF50" i="2"/>
  <c r="AF49" i="2"/>
  <c r="BQ33" i="3"/>
  <c r="BQ42" i="3"/>
  <c r="BQ45" i="3"/>
  <c r="BQ35" i="3"/>
  <c r="BS32" i="3"/>
  <c r="BU167" i="3"/>
  <c r="BT167" i="3"/>
  <c r="CT145" i="3"/>
  <c r="CT132" i="3"/>
  <c r="BC90" i="2" s="1"/>
  <c r="BC93" i="2" s="1"/>
  <c r="CT126" i="3"/>
  <c r="CT130" i="3" s="1"/>
  <c r="AG29" i="2"/>
  <c r="AG27" i="2"/>
  <c r="AG48" i="2"/>
  <c r="FG48" i="2" s="1"/>
  <c r="FG51" i="2" s="1"/>
  <c r="AH27" i="2"/>
  <c r="EC68" i="2"/>
  <c r="EC67" i="2"/>
  <c r="F49" i="2"/>
  <c r="E51" i="2"/>
  <c r="E49" i="2"/>
  <c r="EZ48" i="2"/>
  <c r="EZ51" i="2" s="1"/>
  <c r="BW42" i="3"/>
  <c r="CA167" i="3"/>
  <c r="BW168" i="3"/>
  <c r="BX168" i="3" s="1"/>
  <c r="CA168" i="3"/>
  <c r="BY167" i="3"/>
  <c r="BW35" i="3"/>
  <c r="BW51" i="3" s="1"/>
  <c r="BX51" i="3" s="1"/>
  <c r="BW33" i="3"/>
  <c r="BZ168" i="3"/>
  <c r="BW45" i="3"/>
  <c r="BZ167" i="3"/>
  <c r="BW167" i="3"/>
  <c r="BX167" i="3" s="1"/>
  <c r="BY168" i="3"/>
  <c r="BX32" i="3"/>
  <c r="AW106" i="3"/>
  <c r="AW47" i="3"/>
  <c r="AX162" i="3"/>
  <c r="AY162" i="3" s="1"/>
  <c r="AX158" i="3"/>
  <c r="AY158" i="3" s="1"/>
  <c r="AZ158" i="3"/>
  <c r="AZ159" i="3"/>
  <c r="AW43" i="3"/>
  <c r="AZ160" i="3"/>
  <c r="AX166" i="3"/>
  <c r="AX160" i="3"/>
  <c r="AY160" i="3" s="1"/>
  <c r="AY42" i="3"/>
  <c r="AF54" i="2"/>
  <c r="FI28" i="2"/>
  <c r="FH29" i="2"/>
  <c r="FH31" i="2"/>
  <c r="BC48" i="3"/>
  <c r="BC50" i="3"/>
  <c r="BC52" i="3" s="1"/>
  <c r="AJ25" i="3"/>
  <c r="AO173" i="3"/>
  <c r="EE48" i="3"/>
  <c r="EE63" i="3"/>
  <c r="CG76" i="2" s="1"/>
  <c r="CG77" i="2" s="1"/>
  <c r="EE106" i="3"/>
  <c r="EE110" i="3" s="1"/>
  <c r="EE132" i="3" s="1"/>
  <c r="CG90" i="2" s="1"/>
  <c r="CG93" i="2" s="1"/>
  <c r="GN124" i="3"/>
  <c r="I55" i="2"/>
  <c r="I57" i="2"/>
  <c r="FA54" i="2"/>
  <c r="FA57" i="2" s="1"/>
  <c r="J55" i="2"/>
  <c r="AK54" i="2"/>
  <c r="CA101" i="3"/>
  <c r="AN100" i="2" s="1"/>
  <c r="BW101" i="3"/>
  <c r="BY101" i="3"/>
  <c r="AL100" i="2" s="1"/>
  <c r="BX69" i="3"/>
  <c r="BZ101" i="3"/>
  <c r="AM100" i="2" s="1"/>
  <c r="P57" i="2"/>
  <c r="P55" i="2"/>
  <c r="T56" i="2"/>
  <c r="BS70" i="3"/>
  <c r="CK43" i="3"/>
  <c r="CK47" i="3"/>
  <c r="AV79" i="2"/>
  <c r="AZ81" i="2" s="1"/>
  <c r="CK106" i="3"/>
  <c r="CK110" i="3" s="1"/>
  <c r="BC145" i="3"/>
  <c r="BC132" i="3"/>
  <c r="U90" i="2" s="1"/>
  <c r="U93" i="2" s="1"/>
  <c r="BC126" i="3"/>
  <c r="BC130" i="3" s="1"/>
  <c r="EZ31" i="2"/>
  <c r="FA28" i="2"/>
  <c r="EZ29" i="2"/>
  <c r="BD80" i="2"/>
  <c r="BC80" i="2"/>
  <c r="BC81" i="2"/>
  <c r="EE52" i="3"/>
  <c r="EE66" i="3" s="1"/>
  <c r="CG72" i="2"/>
  <c r="CG73" i="2" s="1"/>
  <c r="FG26" i="2"/>
  <c r="FH28" i="2" s="1"/>
  <c r="BS24" i="3"/>
  <c r="AK51" i="2"/>
  <c r="AL49" i="2"/>
  <c r="AO50" i="2"/>
  <c r="AK49" i="2"/>
  <c r="FH48" i="2"/>
  <c r="EC91" i="2"/>
  <c r="AK168" i="3"/>
  <c r="AI45" i="3"/>
  <c r="AK167" i="3"/>
  <c r="AI35" i="3"/>
  <c r="AI51" i="3" s="1"/>
  <c r="AJ51" i="3" s="1"/>
  <c r="AI33" i="3"/>
  <c r="AI42" i="3"/>
  <c r="AM168" i="3"/>
  <c r="AL167" i="3"/>
  <c r="AL168" i="3"/>
  <c r="AM167" i="3"/>
  <c r="AJ32" i="3"/>
  <c r="BA158" i="3"/>
  <c r="DU67" i="2"/>
  <c r="DU380" i="2"/>
  <c r="DU372" i="2"/>
  <c r="DU368" i="2"/>
  <c r="DU376" i="2"/>
  <c r="DH91" i="2"/>
  <c r="FW76" i="2"/>
  <c r="CF70" i="2"/>
  <c r="GA71" i="2"/>
  <c r="DB55" i="2"/>
  <c r="FY71" i="2"/>
  <c r="EJ345" i="2"/>
  <c r="EJ339" i="2"/>
  <c r="EJ440" i="2" s="1"/>
  <c r="EK343" i="2"/>
  <c r="GH343" i="2" s="1"/>
  <c r="EH117" i="2"/>
  <c r="EG119" i="2"/>
  <c r="EG416" i="2"/>
  <c r="EG105" i="2"/>
  <c r="EH146" i="2"/>
  <c r="EH147" i="2"/>
  <c r="EI341" i="2"/>
  <c r="EI340" i="2"/>
  <c r="EI145" i="2"/>
  <c r="EJ277" i="2"/>
  <c r="EJ276" i="2"/>
  <c r="EF417" i="2"/>
  <c r="EF418" i="2"/>
  <c r="EK275" i="2"/>
  <c r="EK272" i="2" s="1"/>
  <c r="EK288" i="2" s="1"/>
  <c r="EK281" i="2"/>
  <c r="EL279" i="2"/>
  <c r="EJ348" i="2"/>
  <c r="EK346" i="2"/>
  <c r="EF107" i="2"/>
  <c r="EF106" i="2"/>
  <c r="GE310" i="2"/>
  <c r="GE312" i="2" s="1"/>
  <c r="GE268" i="2"/>
  <c r="GE269" i="2"/>
  <c r="GE318" i="2"/>
  <c r="GE317" i="2"/>
  <c r="EN427" i="2"/>
  <c r="DS430" i="2"/>
  <c r="DS429" i="2"/>
  <c r="DE73" i="2"/>
  <c r="CL57" i="2"/>
  <c r="CL56" i="2"/>
  <c r="CL55" i="2"/>
  <c r="CL58" i="2"/>
  <c r="FV54" i="2"/>
  <c r="FV57" i="2" s="1"/>
  <c r="DU93" i="2"/>
  <c r="CL298" i="2"/>
  <c r="CL250" i="2"/>
  <c r="CL256" i="2"/>
  <c r="CL257" i="2"/>
  <c r="CL255" i="2"/>
  <c r="DI74" i="2"/>
  <c r="AL66" i="3"/>
  <c r="AL65" i="3"/>
  <c r="AL56" i="3"/>
  <c r="G66" i="2" s="1"/>
  <c r="G69" i="2"/>
  <c r="CS52" i="3"/>
  <c r="BB72" i="2"/>
  <c r="FY43" i="3"/>
  <c r="FY56" i="3"/>
  <c r="GC66" i="2" s="1"/>
  <c r="FV52" i="3"/>
  <c r="DO72" i="2"/>
  <c r="DP73" i="2" s="1"/>
  <c r="FY50" i="3"/>
  <c r="FY52" i="3" s="1"/>
  <c r="GC69" i="2" s="1"/>
  <c r="BY130" i="3"/>
  <c r="BY129" i="3" s="1"/>
  <c r="X54" i="2"/>
  <c r="DT77" i="2"/>
  <c r="DT78" i="2"/>
  <c r="FA132" i="3"/>
  <c r="CX90" i="2" s="1"/>
  <c r="FE110" i="3"/>
  <c r="FE132" i="3" s="1"/>
  <c r="FA126" i="3"/>
  <c r="BJ48" i="3"/>
  <c r="BJ50" i="3"/>
  <c r="BJ52" i="3" s="1"/>
  <c r="GC66" i="3"/>
  <c r="DU69" i="2"/>
  <c r="DC145" i="3"/>
  <c r="DC132" i="3"/>
  <c r="BJ90" i="2" s="1"/>
  <c r="DC126" i="3"/>
  <c r="GH218" i="2"/>
  <c r="CU66" i="3"/>
  <c r="CU56" i="3"/>
  <c r="BD69" i="2"/>
  <c r="EW65" i="3"/>
  <c r="EW56" i="3"/>
  <c r="CU66" i="2" s="1"/>
  <c r="CV67" i="2" s="1"/>
  <c r="CU69" i="2"/>
  <c r="DX132" i="3"/>
  <c r="CA90" i="2" s="1"/>
  <c r="DX126" i="3"/>
  <c r="DX130" i="3" s="1"/>
  <c r="DX129" i="3" s="1"/>
  <c r="DL47" i="3"/>
  <c r="DL43" i="3"/>
  <c r="DB50" i="3"/>
  <c r="DB43" i="3"/>
  <c r="AW49" i="2"/>
  <c r="AW50" i="2"/>
  <c r="AW51" i="2"/>
  <c r="AX49" i="2"/>
  <c r="FK48" i="2"/>
  <c r="BA50" i="2"/>
  <c r="EL222" i="3"/>
  <c r="EM220" i="3"/>
  <c r="EL223" i="3"/>
  <c r="DF52" i="3"/>
  <c r="BM72" i="2"/>
  <c r="AP66" i="3"/>
  <c r="AP56" i="3"/>
  <c r="J66" i="2" s="1"/>
  <c r="J69" i="2"/>
  <c r="AU66" i="3"/>
  <c r="DV74" i="2"/>
  <c r="GE72" i="2"/>
  <c r="DV73" i="2"/>
  <c r="CI309" i="2"/>
  <c r="CI308" i="2"/>
  <c r="DM74" i="2"/>
  <c r="GV20" i="3"/>
  <c r="EJ43" i="2"/>
  <c r="EJ32" i="2"/>
  <c r="EK41" i="2"/>
  <c r="GH41" i="2" s="1"/>
  <c r="DD52" i="3"/>
  <c r="BK72" i="2"/>
  <c r="CK300" i="2"/>
  <c r="CK299" i="2"/>
  <c r="EJ243" i="2"/>
  <c r="EJ242" i="2"/>
  <c r="AC54" i="2"/>
  <c r="BM101" i="3"/>
  <c r="BO101" i="3"/>
  <c r="AD100" i="2" s="1"/>
  <c r="BP101" i="3"/>
  <c r="AE100" i="2" s="1"/>
  <c r="BN69" i="3"/>
  <c r="DX81" i="2"/>
  <c r="DS400" i="2"/>
  <c r="DS401" i="2"/>
  <c r="CJ145" i="3"/>
  <c r="CJ132" i="3"/>
  <c r="AU90" i="2" s="1"/>
  <c r="AU93" i="2" s="1"/>
  <c r="CJ126" i="3"/>
  <c r="CJ130" i="3" s="1"/>
  <c r="DQ73" i="2"/>
  <c r="DQ74" i="2"/>
  <c r="CO92" i="2"/>
  <c r="EO171" i="3"/>
  <c r="EP171" i="3" s="1"/>
  <c r="EP166" i="3"/>
  <c r="EI445" i="2"/>
  <c r="EI446" i="2"/>
  <c r="EJ431" i="2"/>
  <c r="CG167" i="3"/>
  <c r="CH167" i="3" s="1"/>
  <c r="CF168" i="3"/>
  <c r="CJ167" i="3"/>
  <c r="CF45" i="3"/>
  <c r="CF42" i="3"/>
  <c r="CF35" i="3"/>
  <c r="CF51" i="3" s="1"/>
  <c r="CF33" i="3"/>
  <c r="BE48" i="3"/>
  <c r="BE50" i="3"/>
  <c r="BE52" i="3" s="1"/>
  <c r="CH173" i="3"/>
  <c r="CH175" i="3"/>
  <c r="CH25" i="3"/>
  <c r="EI84" i="2"/>
  <c r="EI85" i="2"/>
  <c r="GG132" i="3"/>
  <c r="DX90" i="2" s="1"/>
  <c r="GG126" i="3"/>
  <c r="GG130" i="3" s="1"/>
  <c r="DW74" i="2"/>
  <c r="ES381" i="3"/>
  <c r="ES380" i="3"/>
  <c r="ES376" i="3"/>
  <c r="EU379" i="3"/>
  <c r="GO65" i="3"/>
  <c r="GO66" i="3"/>
  <c r="ED69" i="2"/>
  <c r="DB67" i="2"/>
  <c r="ER210" i="3"/>
  <c r="EQ212" i="3"/>
  <c r="EQ213" i="3"/>
  <c r="FT43" i="3"/>
  <c r="FT56" i="3"/>
  <c r="GB66" i="2" s="1"/>
  <c r="GB68" i="2" s="1"/>
  <c r="GD47" i="3"/>
  <c r="GD48" i="3" s="1"/>
  <c r="BV145" i="3"/>
  <c r="BV132" i="3"/>
  <c r="AJ90" i="2" s="1"/>
  <c r="AJ93" i="2" s="1"/>
  <c r="BV126" i="3"/>
  <c r="BV130" i="3" s="1"/>
  <c r="EL159" i="2"/>
  <c r="EM157" i="2"/>
  <c r="AY73" i="2"/>
  <c r="FZ68" i="2"/>
  <c r="GI109" i="3"/>
  <c r="AX93" i="2"/>
  <c r="GK66" i="3"/>
  <c r="GK65" i="3"/>
  <c r="EA69" i="2"/>
  <c r="DE93" i="2"/>
  <c r="DE91" i="2"/>
  <c r="DK74" i="2"/>
  <c r="FK65" i="3"/>
  <c r="FK66" i="3"/>
  <c r="DF69" i="2"/>
  <c r="EH232" i="3"/>
  <c r="EH231" i="3"/>
  <c r="EB74" i="2"/>
  <c r="EB73" i="2"/>
  <c r="AW54" i="2"/>
  <c r="CP101" i="3"/>
  <c r="AZ100" i="2" s="1"/>
  <c r="CO101" i="3"/>
  <c r="AY100" i="2" s="1"/>
  <c r="CM69" i="3"/>
  <c r="AW167" i="3"/>
  <c r="AS168" i="3"/>
  <c r="AT168" i="3" s="1"/>
  <c r="AS35" i="3"/>
  <c r="AS51" i="3" s="1"/>
  <c r="AS33" i="3"/>
  <c r="AS42" i="3"/>
  <c r="AS45" i="3"/>
  <c r="AU168" i="3"/>
  <c r="AW168" i="3"/>
  <c r="AV168" i="3"/>
  <c r="AV167" i="3"/>
  <c r="AT32" i="3"/>
  <c r="AS167" i="3"/>
  <c r="AT167" i="3" s="1"/>
  <c r="AU167" i="3"/>
  <c r="DB77" i="2"/>
  <c r="FZ76" i="2"/>
  <c r="DB78" i="2"/>
  <c r="DC77" i="2"/>
  <c r="DV166" i="3"/>
  <c r="DU171" i="3"/>
  <c r="DV171" i="3" s="1"/>
  <c r="CV50" i="3"/>
  <c r="CV63" i="3"/>
  <c r="CV48" i="3"/>
  <c r="DV78" i="2"/>
  <c r="DV77" i="2"/>
  <c r="GE76" i="2"/>
  <c r="DW77" i="2"/>
  <c r="DU431" i="2"/>
  <c r="DT428" i="2"/>
  <c r="FI65" i="3"/>
  <c r="DE69" i="2"/>
  <c r="DI71" i="2" s="1"/>
  <c r="FJ28" i="2"/>
  <c r="FJ31" i="2"/>
  <c r="FJ29" i="2"/>
  <c r="AV145" i="3"/>
  <c r="AV132" i="3"/>
  <c r="O90" i="2" s="1"/>
  <c r="AV126" i="3"/>
  <c r="DY74" i="2"/>
  <c r="DY73" i="2"/>
  <c r="AL145" i="3"/>
  <c r="AL132" i="3"/>
  <c r="G90" i="2" s="1"/>
  <c r="K92" i="2" s="1"/>
  <c r="AL126" i="3"/>
  <c r="AL130" i="3" s="1"/>
  <c r="GA66" i="3"/>
  <c r="GA65" i="3"/>
  <c r="DS69" i="2"/>
  <c r="DW71" i="2" s="1"/>
  <c r="DO67" i="2"/>
  <c r="DO68" i="2"/>
  <c r="FV110" i="3"/>
  <c r="FY106" i="3"/>
  <c r="EQ132" i="3"/>
  <c r="CP90" i="2" s="1"/>
  <c r="EU110" i="3"/>
  <c r="EU132" i="3" s="1"/>
  <c r="BG168" i="3"/>
  <c r="BG42" i="3"/>
  <c r="BG35" i="3"/>
  <c r="BG51" i="3" s="1"/>
  <c r="BG33" i="3"/>
  <c r="BG45" i="3"/>
  <c r="BG167" i="3"/>
  <c r="GB52" i="3"/>
  <c r="GG66" i="3" s="1"/>
  <c r="DT72" i="2"/>
  <c r="DX74" i="2" s="1"/>
  <c r="DV371" i="2"/>
  <c r="DW369" i="2"/>
  <c r="EG65" i="3"/>
  <c r="EG66" i="3"/>
  <c r="EG56" i="3"/>
  <c r="CH66" i="2" s="1"/>
  <c r="CH69" i="2"/>
  <c r="BJ110" i="3"/>
  <c r="FS72" i="2"/>
  <c r="CQ110" i="3"/>
  <c r="CR106" i="3"/>
  <c r="CR105" i="3" s="1"/>
  <c r="GU107" i="3"/>
  <c r="DU77" i="2"/>
  <c r="CQ57" i="2"/>
  <c r="CQ56" i="2"/>
  <c r="CQ55" i="2"/>
  <c r="CQ58" i="2"/>
  <c r="CR55" i="2"/>
  <c r="Y27" i="2"/>
  <c r="Y28" i="2"/>
  <c r="Y48" i="2"/>
  <c r="AC50" i="2" s="1"/>
  <c r="Y29" i="2"/>
  <c r="Z27" i="2"/>
  <c r="AK145" i="3"/>
  <c r="AK132" i="3"/>
  <c r="F90" i="2" s="1"/>
  <c r="AO110" i="3"/>
  <c r="AO132" i="3" s="1"/>
  <c r="AK126" i="3"/>
  <c r="AS57" i="2"/>
  <c r="AS56" i="2"/>
  <c r="AS55" i="2"/>
  <c r="AS58" i="2"/>
  <c r="DU52" i="3"/>
  <c r="BY72" i="2"/>
  <c r="M49" i="2"/>
  <c r="M50" i="2"/>
  <c r="M51" i="2"/>
  <c r="N49" i="2"/>
  <c r="FB48" i="2"/>
  <c r="Q50" i="2"/>
  <c r="EJ312" i="3"/>
  <c r="EJ225" i="3"/>
  <c r="EJ224" i="3"/>
  <c r="EJ234" i="3"/>
  <c r="CH76" i="2"/>
  <c r="DZ56" i="3"/>
  <c r="CC66" i="2" s="1"/>
  <c r="DZ65" i="3"/>
  <c r="CC69" i="2"/>
  <c r="EP311" i="3"/>
  <c r="EP215" i="3"/>
  <c r="GE65" i="3"/>
  <c r="GE66" i="3"/>
  <c r="DV69" i="2"/>
  <c r="DW70" i="2" s="1"/>
  <c r="FS66" i="3"/>
  <c r="DM69" i="2"/>
  <c r="FM57" i="2"/>
  <c r="FM56" i="2"/>
  <c r="AP130" i="3"/>
  <c r="FZ65" i="3"/>
  <c r="FZ66" i="3"/>
  <c r="DR69" i="2"/>
  <c r="CK252" i="2"/>
  <c r="CK253" i="2"/>
  <c r="CK251" i="2"/>
  <c r="CK262" i="2"/>
  <c r="BM168" i="3"/>
  <c r="BN168" i="3" s="1"/>
  <c r="BQ167" i="3"/>
  <c r="BM42" i="3"/>
  <c r="BM45" i="3"/>
  <c r="BM35" i="3"/>
  <c r="BM33" i="3"/>
  <c r="BO168" i="3"/>
  <c r="BN32" i="3"/>
  <c r="BQ168" i="3"/>
  <c r="BO167" i="3"/>
  <c r="BP167" i="3"/>
  <c r="BP168" i="3"/>
  <c r="BM167" i="3"/>
  <c r="BN167" i="3" s="1"/>
  <c r="BD78" i="2"/>
  <c r="DU402" i="2"/>
  <c r="GD402" i="2" s="1"/>
  <c r="DT399" i="2"/>
  <c r="DT404" i="2"/>
  <c r="DT405" i="2"/>
  <c r="EI423" i="2"/>
  <c r="FX66" i="3"/>
  <c r="FX65" i="3"/>
  <c r="DQ69" i="2"/>
  <c r="FW110" i="3"/>
  <c r="DS132" i="3"/>
  <c r="BW90" i="2" s="1"/>
  <c r="BW93" i="2" s="1"/>
  <c r="DS126" i="3"/>
  <c r="DS130" i="3" s="1"/>
  <c r="EG243" i="3"/>
  <c r="EG244" i="3"/>
  <c r="BV81" i="2"/>
  <c r="BV80" i="2"/>
  <c r="FR79" i="2"/>
  <c r="FE26" i="2"/>
  <c r="FF28" i="2" s="1"/>
  <c r="DD93" i="2"/>
  <c r="DD92" i="2"/>
  <c r="EZ43" i="3"/>
  <c r="EZ56" i="3"/>
  <c r="FX66" i="2" s="1"/>
  <c r="FY68" i="2" s="1"/>
  <c r="CV77" i="2"/>
  <c r="CV78" i="2"/>
  <c r="AQ56" i="3"/>
  <c r="K66" i="2" s="1"/>
  <c r="AQ65" i="3"/>
  <c r="AQ66" i="3"/>
  <c r="K69" i="2"/>
  <c r="GD101" i="3"/>
  <c r="DU100" i="2"/>
  <c r="GD100" i="2" s="1"/>
  <c r="BE110" i="3"/>
  <c r="CH70" i="3"/>
  <c r="C93" i="2"/>
  <c r="EG88" i="3"/>
  <c r="AC28" i="2"/>
  <c r="BD50" i="3"/>
  <c r="BD52" i="3" s="1"/>
  <c r="BD43" i="3"/>
  <c r="ET381" i="3"/>
  <c r="ET380" i="3"/>
  <c r="ET376" i="3"/>
  <c r="GW59" i="3"/>
  <c r="GX59" i="3" s="1"/>
  <c r="EJ83" i="2"/>
  <c r="EJ63" i="2" s="1"/>
  <c r="GV51" i="3"/>
  <c r="DW73" i="2"/>
  <c r="FU65" i="3"/>
  <c r="EJ195" i="2"/>
  <c r="EJ201" i="2"/>
  <c r="EJ200" i="2"/>
  <c r="EJ109" i="2"/>
  <c r="EJ239" i="2"/>
  <c r="EJ238" i="2"/>
  <c r="AP76" i="2"/>
  <c r="DN106" i="3"/>
  <c r="DN110" i="3" s="1"/>
  <c r="DN50" i="3"/>
  <c r="DN63" i="3"/>
  <c r="BS76" i="2" s="1"/>
  <c r="DN48" i="3"/>
  <c r="FP48" i="3"/>
  <c r="FT47" i="3"/>
  <c r="FT48" i="3" s="1"/>
  <c r="DX152" i="2"/>
  <c r="DX153" i="2"/>
  <c r="DX151" i="2"/>
  <c r="DX150" i="2"/>
  <c r="DX73" i="2"/>
  <c r="EU47" i="3"/>
  <c r="EU48" i="3" s="1"/>
  <c r="CO56" i="3"/>
  <c r="AY66" i="2" s="1"/>
  <c r="CO65" i="3"/>
  <c r="AY69" i="2"/>
  <c r="EN334" i="2"/>
  <c r="EM336" i="2"/>
  <c r="AR49" i="2"/>
  <c r="AR51" i="2"/>
  <c r="AR50" i="2"/>
  <c r="AV50" i="2"/>
  <c r="DI70" i="2"/>
  <c r="FQ66" i="3"/>
  <c r="DK69" i="2"/>
  <c r="DW93" i="2"/>
  <c r="CS145" i="3"/>
  <c r="CS132" i="3"/>
  <c r="BB90" i="2" s="1"/>
  <c r="CW110" i="3"/>
  <c r="CW132" i="3" s="1"/>
  <c r="CS126" i="3"/>
  <c r="DL77" i="2"/>
  <c r="DL78" i="2"/>
  <c r="DT106" i="3"/>
  <c r="DT110" i="3" s="1"/>
  <c r="DT50" i="3"/>
  <c r="DT63" i="3"/>
  <c r="BX76" i="2" s="1"/>
  <c r="BX77" i="2" s="1"/>
  <c r="DT48" i="3"/>
  <c r="EI65" i="2"/>
  <c r="EI64" i="2"/>
  <c r="EU101" i="3"/>
  <c r="CS100" i="2"/>
  <c r="FW100" i="2" s="1"/>
  <c r="EI111" i="2"/>
  <c r="EI110" i="2"/>
  <c r="EH313" i="3"/>
  <c r="EH314" i="3" s="1"/>
  <c r="EH317" i="3" s="1"/>
  <c r="EH240" i="3"/>
  <c r="EH242" i="3"/>
  <c r="EH239" i="3"/>
  <c r="GL65" i="3"/>
  <c r="GL66" i="3"/>
  <c r="EB69" i="2"/>
  <c r="DY65" i="3"/>
  <c r="DY56" i="3"/>
  <c r="CB66" i="2" s="1"/>
  <c r="CB69" i="2"/>
  <c r="EK230" i="2"/>
  <c r="EL228" i="2"/>
  <c r="CL168" i="3"/>
  <c r="CM168" i="3" s="1"/>
  <c r="CP167" i="3"/>
  <c r="CL45" i="3"/>
  <c r="CL42" i="3"/>
  <c r="CL35" i="3"/>
  <c r="CL51" i="3" s="1"/>
  <c r="CM51" i="3" s="1"/>
  <c r="CL33" i="3"/>
  <c r="CO168" i="3"/>
  <c r="CN168" i="3"/>
  <c r="CP168" i="3"/>
  <c r="CO167" i="3"/>
  <c r="CN167" i="3"/>
  <c r="CM32" i="3"/>
  <c r="CL167" i="3"/>
  <c r="CM167" i="3" s="1"/>
  <c r="DL67" i="2"/>
  <c r="DL68" i="2"/>
  <c r="FR132" i="3"/>
  <c r="DL90" i="2" s="1"/>
  <c r="DM91" i="2" s="1"/>
  <c r="FR126" i="3"/>
  <c r="FR130" i="3" s="1"/>
  <c r="FS171" i="3"/>
  <c r="FT171" i="3" s="1"/>
  <c r="FT166" i="3"/>
  <c r="M54" i="2"/>
  <c r="AU101" i="3"/>
  <c r="N100" i="2" s="1"/>
  <c r="AS101" i="3"/>
  <c r="AW101" i="3"/>
  <c r="P100" i="2" s="1"/>
  <c r="AV101" i="3"/>
  <c r="O100" i="2" s="1"/>
  <c r="AT69" i="3"/>
  <c r="BT110" i="3"/>
  <c r="CV171" i="3"/>
  <c r="CW171" i="3" s="1"/>
  <c r="CW166" i="3"/>
  <c r="EV65" i="3"/>
  <c r="EV66" i="3"/>
  <c r="EV56" i="3"/>
  <c r="CT66" i="2" s="1"/>
  <c r="CT69" i="2"/>
  <c r="D93" i="2"/>
  <c r="D91" i="2"/>
  <c r="CM254" i="2"/>
  <c r="CN301" i="2"/>
  <c r="CM303" i="2"/>
  <c r="CZ92" i="2"/>
  <c r="CZ93" i="2"/>
  <c r="GH287" i="2"/>
  <c r="GH66" i="3"/>
  <c r="GH65" i="3"/>
  <c r="DY69" i="2"/>
  <c r="CW63" i="3"/>
  <c r="BB76" i="2"/>
  <c r="DO81" i="2"/>
  <c r="DO80" i="2"/>
  <c r="GC79" i="2"/>
  <c r="AL93" i="2"/>
  <c r="EU307" i="3"/>
  <c r="EU184" i="3"/>
  <c r="EU186" i="3" s="1"/>
  <c r="EU189" i="3"/>
  <c r="GJ132" i="3"/>
  <c r="DZ90" i="2" s="1"/>
  <c r="GN110" i="3"/>
  <c r="DT68" i="2"/>
  <c r="DT67" i="2"/>
  <c r="GB109" i="3"/>
  <c r="GD109" i="3" s="1"/>
  <c r="GD166" i="3"/>
  <c r="GC171" i="3"/>
  <c r="GD171" i="3" s="1"/>
  <c r="GA76" i="2"/>
  <c r="DF78" i="2"/>
  <c r="DF77" i="2"/>
  <c r="DG77" i="2"/>
  <c r="DW65" i="3"/>
  <c r="DW56" i="3"/>
  <c r="BZ66" i="2" s="1"/>
  <c r="BZ69" i="2"/>
  <c r="GD106" i="3"/>
  <c r="EI66" i="3"/>
  <c r="EI56" i="3"/>
  <c r="CJ66" i="2" s="1"/>
  <c r="CJ69" i="2"/>
  <c r="CZ73" i="2"/>
  <c r="DG63" i="3"/>
  <c r="BJ76" i="2"/>
  <c r="FO76" i="2" s="1"/>
  <c r="DD145" i="3"/>
  <c r="DD132" i="3"/>
  <c r="BK90" i="2" s="1"/>
  <c r="BK93" i="2" s="1"/>
  <c r="DD126" i="3"/>
  <c r="DD130" i="3" s="1"/>
  <c r="EG124" i="3"/>
  <c r="EF124" i="3"/>
  <c r="DA78" i="2"/>
  <c r="DA77" i="2"/>
  <c r="DP80" i="2"/>
  <c r="AO106" i="3"/>
  <c r="DB106" i="3"/>
  <c r="CX110" i="3"/>
  <c r="CG168" i="3"/>
  <c r="CH168" i="3" s="1"/>
  <c r="CK167" i="3"/>
  <c r="CG45" i="3"/>
  <c r="CG35" i="3"/>
  <c r="CG51" i="3" s="1"/>
  <c r="CG33" i="3"/>
  <c r="CG42" i="3"/>
  <c r="CK168" i="3"/>
  <c r="CJ168" i="3"/>
  <c r="CI168" i="3"/>
  <c r="DU132" i="3"/>
  <c r="BY90" i="2" s="1"/>
  <c r="DU126" i="3"/>
  <c r="DU130" i="3" s="1"/>
  <c r="CV57" i="2"/>
  <c r="CV56" i="2"/>
  <c r="CV55" i="2"/>
  <c r="CV58" i="2"/>
  <c r="EG110" i="3"/>
  <c r="GE71" i="2"/>
  <c r="CW74" i="2"/>
  <c r="K93" i="2"/>
  <c r="EG434" i="2"/>
  <c r="EG435" i="2"/>
  <c r="EG433" i="2"/>
  <c r="EI33" i="2"/>
  <c r="EI34" i="2"/>
  <c r="EI37" i="2"/>
  <c r="AR124" i="3"/>
  <c r="AR126" i="3" s="1"/>
  <c r="AR130" i="3" s="1"/>
  <c r="GH241" i="2"/>
  <c r="EK203" i="2"/>
  <c r="EK218" i="2"/>
  <c r="EL216" i="2"/>
  <c r="BN175" i="3"/>
  <c r="BN173" i="3"/>
  <c r="BN25" i="3"/>
  <c r="BS173" i="3"/>
  <c r="EJ381" i="2"/>
  <c r="DP67" i="2"/>
  <c r="ES56" i="3"/>
  <c r="CR66" i="2" s="1"/>
  <c r="CV68" i="2" s="1"/>
  <c r="ES66" i="3"/>
  <c r="CR69" i="2"/>
  <c r="GH291" i="2"/>
  <c r="FF132" i="3"/>
  <c r="DB90" i="2" s="1"/>
  <c r="FJ110" i="3"/>
  <c r="FF126" i="3"/>
  <c r="DZ132" i="3"/>
  <c r="CC90" i="2" s="1"/>
  <c r="CC93" i="2" s="1"/>
  <c r="DZ126" i="3"/>
  <c r="DZ130" i="3" s="1"/>
  <c r="DG73" i="2"/>
  <c r="DG74" i="2"/>
  <c r="FT101" i="3"/>
  <c r="DM100" i="2"/>
  <c r="GB100" i="2" s="1"/>
  <c r="EX52" i="3"/>
  <c r="EY65" i="3" s="1"/>
  <c r="CV72" i="2"/>
  <c r="CZ74" i="2" s="1"/>
  <c r="DR452" i="2"/>
  <c r="DS455" i="2"/>
  <c r="DY269" i="2"/>
  <c r="DY268" i="2"/>
  <c r="DY267" i="2"/>
  <c r="DY149" i="2"/>
  <c r="EI328" i="2"/>
  <c r="EI329" i="2"/>
  <c r="EI133" i="2"/>
  <c r="EI321" i="2"/>
  <c r="EI436" i="2"/>
  <c r="BU81" i="2"/>
  <c r="BU80" i="2"/>
  <c r="AQ54" i="2"/>
  <c r="AR55" i="2" s="1"/>
  <c r="CH69" i="3"/>
  <c r="EI115" i="2"/>
  <c r="EI114" i="2"/>
  <c r="AZ110" i="3"/>
  <c r="BD106" i="3"/>
  <c r="EH432" i="2"/>
  <c r="EH438" i="2"/>
  <c r="EH437" i="2"/>
  <c r="ER52" i="3"/>
  <c r="CQ72" i="2"/>
  <c r="CQ74" i="2" s="1"/>
  <c r="FQ79" i="2"/>
  <c r="BR80" i="2"/>
  <c r="BR81" i="2"/>
  <c r="BA66" i="3"/>
  <c r="BA56" i="3"/>
  <c r="S66" i="2" s="1"/>
  <c r="S69" i="2"/>
  <c r="DT351" i="2"/>
  <c r="DT362" i="2"/>
  <c r="CD52" i="3"/>
  <c r="AP72" i="2"/>
  <c r="FE101" i="3"/>
  <c r="DA100" i="2"/>
  <c r="FY100" i="2" s="1"/>
  <c r="EF63" i="3"/>
  <c r="CD76" i="2"/>
  <c r="BF50" i="3"/>
  <c r="BF52" i="3" s="1"/>
  <c r="BF48" i="3"/>
  <c r="GG65" i="3"/>
  <c r="DX69" i="2"/>
  <c r="EI235" i="2"/>
  <c r="EI234" i="2"/>
  <c r="EP50" i="3"/>
  <c r="EP52" i="3" s="1"/>
  <c r="EP43" i="3"/>
  <c r="CI110" i="3"/>
  <c r="CY73" i="2"/>
  <c r="CY74" i="2"/>
  <c r="FK132" i="3"/>
  <c r="DF90" i="2" s="1"/>
  <c r="FO110" i="3"/>
  <c r="FK126" i="3"/>
  <c r="EJ65" i="3"/>
  <c r="EJ56" i="3"/>
  <c r="CK66" i="2" s="1"/>
  <c r="EJ66" i="3"/>
  <c r="CK69" i="2"/>
  <c r="GE110" i="3"/>
  <c r="FN66" i="3"/>
  <c r="ES203" i="3"/>
  <c r="ES202" i="3"/>
  <c r="EU201" i="3"/>
  <c r="EU203" i="3" s="1"/>
  <c r="EI222" i="2"/>
  <c r="EI197" i="2"/>
  <c r="EI196" i="2"/>
  <c r="DL80" i="2"/>
  <c r="DL81" i="2"/>
  <c r="EK312" i="3"/>
  <c r="EK225" i="3"/>
  <c r="EP101" i="3"/>
  <c r="CO100" i="2"/>
  <c r="FV100" i="2" s="1"/>
  <c r="CV145" i="3"/>
  <c r="CV132" i="3"/>
  <c r="BE90" i="2" s="1"/>
  <c r="BE93" i="2" s="1"/>
  <c r="CV126" i="3"/>
  <c r="CV130" i="3" s="1"/>
  <c r="DM77" i="2"/>
  <c r="CJ78" i="2"/>
  <c r="BO52" i="3"/>
  <c r="AD72" i="2"/>
  <c r="AQ49" i="2"/>
  <c r="AQ50" i="2"/>
  <c r="AQ51" i="2"/>
  <c r="FJ48" i="2"/>
  <c r="FJ51" i="2" s="1"/>
  <c r="AU50" i="2"/>
  <c r="CC50" i="3"/>
  <c r="CC52" i="3" s="1"/>
  <c r="CC43" i="3"/>
  <c r="BB65" i="3"/>
  <c r="BB56" i="3"/>
  <c r="T66" i="2" s="1"/>
  <c r="T69" i="2"/>
  <c r="DX65" i="3"/>
  <c r="DX56" i="3"/>
  <c r="CA66" i="2" s="1"/>
  <c r="CE68" i="2" s="1"/>
  <c r="CA69" i="2"/>
  <c r="DY132" i="3"/>
  <c r="CB90" i="2" s="1"/>
  <c r="CB93" i="2" s="1"/>
  <c r="DY126" i="3"/>
  <c r="DY130" i="3" s="1"/>
  <c r="FU130" i="3"/>
  <c r="BI175" i="3"/>
  <c r="BI173" i="3"/>
  <c r="BI25" i="3"/>
  <c r="DT80" i="2"/>
  <c r="DT81" i="2"/>
  <c r="EF56" i="3"/>
  <c r="FT66" i="2" s="1"/>
  <c r="FT69" i="2"/>
  <c r="FZ110" i="3"/>
  <c r="EK50" i="3"/>
  <c r="EK52" i="3" s="1"/>
  <c r="EK43" i="3"/>
  <c r="GV14" i="3"/>
  <c r="EJ16" i="2"/>
  <c r="EJ15" i="2"/>
  <c r="EK14" i="2"/>
  <c r="GH14" i="2" s="1"/>
  <c r="FC65" i="3"/>
  <c r="CZ69" i="2"/>
  <c r="DC52" i="3"/>
  <c r="BJ72" i="2"/>
  <c r="CZ52" i="3"/>
  <c r="BH72" i="2"/>
  <c r="DE106" i="3"/>
  <c r="ET56" i="3"/>
  <c r="CS66" i="2" s="1"/>
  <c r="ET65" i="3"/>
  <c r="ET66" i="3"/>
  <c r="CS69" i="2"/>
  <c r="ED130" i="3"/>
  <c r="ED75" i="3"/>
  <c r="ED76" i="3" s="1"/>
  <c r="FD52" i="3"/>
  <c r="FI66" i="3" s="1"/>
  <c r="DA72" i="2"/>
  <c r="DB73" i="2" s="1"/>
  <c r="DP81" i="2"/>
  <c r="ET171" i="3"/>
  <c r="EU171" i="3" s="1"/>
  <c r="EU166" i="3"/>
  <c r="GO124" i="3"/>
  <c r="GM126" i="3"/>
  <c r="GM130" i="3" s="1"/>
  <c r="BH175" i="3"/>
  <c r="BH173" i="3"/>
  <c r="BH32" i="3"/>
  <c r="BJ167" i="3" s="1"/>
  <c r="BH25" i="3"/>
  <c r="BH69" i="3" s="1"/>
  <c r="BH70" i="3"/>
  <c r="BJ175" i="3"/>
  <c r="CM55" i="2"/>
  <c r="CU56" i="2"/>
  <c r="FK28" i="2"/>
  <c r="FK31" i="2"/>
  <c r="FK29" i="2"/>
  <c r="FL28" i="2"/>
  <c r="DB74" i="2"/>
  <c r="FZ72" i="2"/>
  <c r="GG435" i="2"/>
  <c r="GG434" i="2"/>
  <c r="DO106" i="3"/>
  <c r="DO110" i="3" s="1"/>
  <c r="DO50" i="3"/>
  <c r="DO63" i="3"/>
  <c r="BT76" i="2" s="1"/>
  <c r="DO48" i="3"/>
  <c r="DP171" i="3"/>
  <c r="DQ171" i="3" s="1"/>
  <c r="DQ166" i="3"/>
  <c r="EY66" i="3"/>
  <c r="CW69" i="2"/>
  <c r="DR389" i="2"/>
  <c r="DR388" i="2"/>
  <c r="AS124" i="3"/>
  <c r="BM173" i="3"/>
  <c r="FE13" i="2"/>
  <c r="FE12" i="2"/>
  <c r="EK227" i="2"/>
  <c r="EL225" i="2"/>
  <c r="DJ106" i="3"/>
  <c r="DJ110" i="3" s="1"/>
  <c r="DJ63" i="3"/>
  <c r="BP76" i="2" s="1"/>
  <c r="DJ48" i="3"/>
  <c r="DJ50" i="3"/>
  <c r="AU80" i="2"/>
  <c r="AY81" i="2"/>
  <c r="CB48" i="3"/>
  <c r="CB50" i="3"/>
  <c r="CC47" i="3"/>
  <c r="CC48" i="3" s="1"/>
  <c r="DP68" i="2"/>
  <c r="GC455" i="2"/>
  <c r="GC454" i="2"/>
  <c r="EH52" i="3"/>
  <c r="EI65" i="3" s="1"/>
  <c r="CI72" i="2"/>
  <c r="FU72" i="2" s="1"/>
  <c r="AO52" i="3"/>
  <c r="AK56" i="3"/>
  <c r="F66" i="2" s="1"/>
  <c r="F69" i="2"/>
  <c r="DR106" i="3"/>
  <c r="DR48" i="3"/>
  <c r="DV47" i="3"/>
  <c r="DR50" i="3"/>
  <c r="DR63" i="3"/>
  <c r="GA101" i="3"/>
  <c r="DS100" i="2" s="1"/>
  <c r="FZ101" i="3"/>
  <c r="DR100" i="2" s="1"/>
  <c r="CN56" i="3"/>
  <c r="AX66" i="2" s="1"/>
  <c r="AX69" i="2"/>
  <c r="FL65" i="3"/>
  <c r="FL66" i="3"/>
  <c r="DG69" i="2"/>
  <c r="DH70" i="2" s="1"/>
  <c r="CV93" i="2"/>
  <c r="CV92" i="2"/>
  <c r="EZ166" i="3"/>
  <c r="EY171" i="3"/>
  <c r="EZ171" i="3" s="1"/>
  <c r="DQ454" i="2"/>
  <c r="DQ453" i="2"/>
  <c r="DQ444" i="2"/>
  <c r="GC444" i="2" s="1"/>
  <c r="GC447" i="2" s="1"/>
  <c r="DZ312" i="2"/>
  <c r="EA310" i="2"/>
  <c r="DZ266" i="2"/>
  <c r="GD76" i="2"/>
  <c r="DR78" i="2"/>
  <c r="DR77" i="2"/>
  <c r="ES316" i="3"/>
  <c r="ES290" i="3"/>
  <c r="ET288" i="3"/>
  <c r="EU288" i="3" s="1"/>
  <c r="EJ333" i="2"/>
  <c r="EK331" i="2"/>
  <c r="GH331" i="2" s="1"/>
  <c r="GH333" i="2" s="1"/>
  <c r="EJ327" i="2"/>
  <c r="DP63" i="3"/>
  <c r="BU76" i="2" s="1"/>
  <c r="BY78" i="2" s="1"/>
  <c r="DP48" i="3"/>
  <c r="DP50" i="3"/>
  <c r="CE168" i="3"/>
  <c r="CI167" i="3"/>
  <c r="CE42" i="3"/>
  <c r="CE45" i="3"/>
  <c r="CE35" i="3"/>
  <c r="CE51" i="3" s="1"/>
  <c r="CE33" i="3"/>
  <c r="CH32" i="3"/>
  <c r="CE167" i="3"/>
  <c r="CF167" i="3"/>
  <c r="EH322" i="2"/>
  <c r="EH323" i="2"/>
  <c r="EJ60" i="2"/>
  <c r="EJ61" i="2"/>
  <c r="EJ36" i="2"/>
  <c r="GY40" i="3"/>
  <c r="FP79" i="2"/>
  <c r="DZ77" i="2"/>
  <c r="DZ78" i="2"/>
  <c r="GF76" i="2"/>
  <c r="DD73" i="2"/>
  <c r="DD74" i="2"/>
  <c r="DA57" i="2"/>
  <c r="DA56" i="2"/>
  <c r="DA55" i="2"/>
  <c r="DA58" i="2"/>
  <c r="AR48" i="3"/>
  <c r="AR50" i="3"/>
  <c r="AR52" i="3" s="1"/>
  <c r="DP447" i="2"/>
  <c r="DP445" i="2"/>
  <c r="DV379" i="2"/>
  <c r="DW377" i="2"/>
  <c r="FT63" i="3"/>
  <c r="DJ76" i="2"/>
  <c r="EB110" i="3"/>
  <c r="ED66" i="3"/>
  <c r="BF145" i="3"/>
  <c r="BF132" i="3"/>
  <c r="W90" i="2" s="1"/>
  <c r="W93" i="2" s="1"/>
  <c r="BF126" i="3"/>
  <c r="BF130" i="3" s="1"/>
  <c r="BL50" i="3"/>
  <c r="BL52" i="3" s="1"/>
  <c r="BL48" i="3"/>
  <c r="DS81" i="2"/>
  <c r="DP78" i="2"/>
  <c r="EL106" i="3"/>
  <c r="EL63" i="3"/>
  <c r="EL48" i="3"/>
  <c r="EP47" i="3"/>
  <c r="EP48" i="3" s="1"/>
  <c r="ED77" i="2"/>
  <c r="ED78" i="2"/>
  <c r="FB65" i="3"/>
  <c r="FB66" i="3"/>
  <c r="CY69" i="2"/>
  <c r="DC71" i="2" s="1"/>
  <c r="BC65" i="3"/>
  <c r="EZ106" i="3"/>
  <c r="DM93" i="2"/>
  <c r="DM92" i="2"/>
  <c r="GM66" i="3"/>
  <c r="GG323" i="2"/>
  <c r="DW406" i="2"/>
  <c r="DV408" i="2"/>
  <c r="FU250" i="2"/>
  <c r="FU253" i="2" s="1"/>
  <c r="ES419" i="2"/>
  <c r="GA132" i="3"/>
  <c r="DS90" i="2" s="1"/>
  <c r="DW92" i="2" s="1"/>
  <c r="GA126" i="3"/>
  <c r="GA130" i="3" s="1"/>
  <c r="GJ130" i="3"/>
  <c r="EM439" i="2"/>
  <c r="CI57" i="2"/>
  <c r="CI56" i="2"/>
  <c r="CI55" i="2"/>
  <c r="CI58" i="2"/>
  <c r="CM175" i="3"/>
  <c r="CM173" i="3"/>
  <c r="CM25" i="3"/>
  <c r="CR175" i="3"/>
  <c r="CR173" i="3"/>
  <c r="FR52" i="3"/>
  <c r="DL72" i="2"/>
  <c r="DM73" i="2" s="1"/>
  <c r="AT173" i="3"/>
  <c r="AT175" i="3"/>
  <c r="AT25" i="3"/>
  <c r="AY173" i="3"/>
  <c r="FW57" i="2"/>
  <c r="CK77" i="2"/>
  <c r="EA63" i="3"/>
  <c r="BZ76" i="2"/>
  <c r="CA77" i="2" s="1"/>
  <c r="GB58" i="2"/>
  <c r="GB56" i="2"/>
  <c r="GB57" i="2"/>
  <c r="EB66" i="3"/>
  <c r="EB56" i="3"/>
  <c r="CD66" i="2" s="1"/>
  <c r="EB65" i="3"/>
  <c r="CD69" i="2"/>
  <c r="FV48" i="3"/>
  <c r="FY47" i="3"/>
  <c r="FY48" i="3" s="1"/>
  <c r="AZ73" i="2"/>
  <c r="FY57" i="2"/>
  <c r="CR166" i="3"/>
  <c r="CQ171" i="3"/>
  <c r="CR171" i="3" s="1"/>
  <c r="BA80" i="2"/>
  <c r="FL79" i="2"/>
  <c r="GD79" i="2"/>
  <c r="GE81" i="2" s="1"/>
  <c r="AV66" i="3"/>
  <c r="AV56" i="3"/>
  <c r="O66" i="2" s="1"/>
  <c r="AV65" i="3"/>
  <c r="O69" i="2"/>
  <c r="DA67" i="2"/>
  <c r="DA68" i="2"/>
  <c r="FD132" i="3"/>
  <c r="DA90" i="2" s="1"/>
  <c r="DE92" i="2" s="1"/>
  <c r="FD126" i="3"/>
  <c r="FD130" i="3" s="1"/>
  <c r="CA78" i="2"/>
  <c r="CM56" i="2"/>
  <c r="EQ56" i="3"/>
  <c r="CP66" i="2" s="1"/>
  <c r="EQ65" i="3"/>
  <c r="CP69" i="2"/>
  <c r="FB29" i="2"/>
  <c r="FB31" i="2"/>
  <c r="FB28" i="2"/>
  <c r="FC28" i="2"/>
  <c r="CX78" i="2"/>
  <c r="FY76" i="2"/>
  <c r="CX77" i="2"/>
  <c r="BP48" i="3"/>
  <c r="BP50" i="3"/>
  <c r="FF66" i="3"/>
  <c r="DB69" i="2"/>
  <c r="DC70" i="2" s="1"/>
  <c r="GC126" i="3"/>
  <c r="GC130" i="3" s="1"/>
  <c r="FQ164" i="3"/>
  <c r="FP161" i="3"/>
  <c r="FP163" i="3"/>
  <c r="DV375" i="2"/>
  <c r="DW373" i="2"/>
  <c r="DS397" i="2"/>
  <c r="DT394" i="2"/>
  <c r="DS396" i="2"/>
  <c r="DS387" i="2"/>
  <c r="EJ273" i="2"/>
  <c r="EJ274" i="2"/>
  <c r="EJ278" i="2"/>
  <c r="EL285" i="2"/>
  <c r="EK287" i="2"/>
  <c r="AM65" i="3"/>
  <c r="EJ205" i="2"/>
  <c r="EJ204" i="2"/>
  <c r="EJ113" i="2"/>
  <c r="AF52" i="3"/>
  <c r="AK66" i="3" s="1"/>
  <c r="DK171" i="3"/>
  <c r="DL171" i="3" s="1"/>
  <c r="DL166" i="3"/>
  <c r="CJ50" i="3"/>
  <c r="CJ63" i="3"/>
  <c r="AU76" i="2" s="1"/>
  <c r="CJ48" i="3"/>
  <c r="DY428" i="2"/>
  <c r="DY318" i="2"/>
  <c r="DY316" i="2"/>
  <c r="DY317" i="2"/>
  <c r="DZ315" i="2"/>
  <c r="CB145" i="3"/>
  <c r="CB132" i="3"/>
  <c r="AO90" i="2" s="1"/>
  <c r="AO93" i="2" s="1"/>
  <c r="CB126" i="3"/>
  <c r="CB130" i="3" s="1"/>
  <c r="EH106" i="3"/>
  <c r="EH110" i="3" s="1"/>
  <c r="EH132" i="3" s="1"/>
  <c r="CI90" i="2" s="1"/>
  <c r="CI93" i="2" s="1"/>
  <c r="EH63" i="3"/>
  <c r="CI76" i="2" s="1"/>
  <c r="EH48" i="3"/>
  <c r="X51" i="2"/>
  <c r="X50" i="2"/>
  <c r="X49" i="2"/>
  <c r="AB50" i="2"/>
  <c r="FE47" i="3"/>
  <c r="FE48" i="3" s="1"/>
  <c r="EI441" i="2"/>
  <c r="EI442" i="2"/>
  <c r="EL289" i="2"/>
  <c r="EK291" i="2"/>
  <c r="EU309" i="3"/>
  <c r="EU286" i="3"/>
  <c r="EU281" i="3"/>
  <c r="EU283" i="3" s="1"/>
  <c r="CZ56" i="2"/>
  <c r="CV80" i="2"/>
  <c r="CV81" i="2"/>
  <c r="CW77" i="2"/>
  <c r="GD63" i="3"/>
  <c r="GX60" i="3"/>
  <c r="FF29" i="2"/>
  <c r="FF31" i="2"/>
  <c r="AC51" i="2"/>
  <c r="AC49" i="2"/>
  <c r="AD49" i="2"/>
  <c r="FF48" i="2"/>
  <c r="FF51" i="2" s="1"/>
  <c r="ET390" i="3"/>
  <c r="ET389" i="3"/>
  <c r="EU388" i="3"/>
  <c r="EU390" i="3" s="1"/>
  <c r="EH135" i="2"/>
  <c r="EH134" i="2"/>
  <c r="DM106" i="3"/>
  <c r="DM48" i="3"/>
  <c r="DQ47" i="3"/>
  <c r="DM50" i="3"/>
  <c r="DM63" i="3"/>
  <c r="AV128" i="3"/>
  <c r="BK65" i="3"/>
  <c r="BK66" i="3"/>
  <c r="BK56" i="3"/>
  <c r="AA66" i="2" s="1"/>
  <c r="AA69" i="2"/>
  <c r="BB80" i="2"/>
  <c r="FW65" i="3"/>
  <c r="DP69" i="2"/>
  <c r="EJ211" i="2"/>
  <c r="EJ210" i="2"/>
  <c r="GW58" i="3"/>
  <c r="EU50" i="3"/>
  <c r="EU52" i="3" s="1"/>
  <c r="EU43" i="3"/>
  <c r="FH66" i="3"/>
  <c r="FH65" i="3"/>
  <c r="DD69" i="2"/>
  <c r="DH71" i="2" s="1"/>
  <c r="CX74" i="2"/>
  <c r="CX73" i="2"/>
  <c r="EO311" i="3"/>
  <c r="EO214" i="3"/>
  <c r="EO215" i="3"/>
  <c r="AR145" i="3"/>
  <c r="AR132" i="3"/>
  <c r="L90" i="2" s="1"/>
  <c r="L93" i="2" s="1"/>
  <c r="FZ57" i="2"/>
  <c r="FZ58" i="2"/>
  <c r="FZ56" i="2"/>
  <c r="DM80" i="2"/>
  <c r="DJ68" i="2"/>
  <c r="DJ67" i="2"/>
  <c r="DN68" i="2"/>
  <c r="FP52" i="3"/>
  <c r="FT50" i="3"/>
  <c r="FT52" i="3" s="1"/>
  <c r="GB69" i="2" s="1"/>
  <c r="GB71" i="2" s="1"/>
  <c r="DJ72" i="2"/>
  <c r="DK73" i="2" s="1"/>
  <c r="EL52" i="3"/>
  <c r="EM65" i="3" s="1"/>
  <c r="CL72" i="2"/>
  <c r="FV72" i="2" s="1"/>
  <c r="FM65" i="3"/>
  <c r="AP145" i="3"/>
  <c r="AP132" i="3"/>
  <c r="J90" i="2" s="1"/>
  <c r="FN57" i="2"/>
  <c r="FN56" i="2"/>
  <c r="EV132" i="3"/>
  <c r="CT90" i="2" s="1"/>
  <c r="EZ110" i="3"/>
  <c r="EZ132" i="3" s="1"/>
  <c r="CN130" i="3"/>
  <c r="GM65" i="3"/>
  <c r="GJ66" i="3"/>
  <c r="GJ65" i="3"/>
  <c r="DZ69" i="2"/>
  <c r="GH132" i="3"/>
  <c r="DY90" i="2" s="1"/>
  <c r="GH126" i="3"/>
  <c r="GH130" i="3" s="1"/>
  <c r="EZ101" i="3"/>
  <c r="CW100" i="2"/>
  <c r="FX100" i="2" s="1"/>
  <c r="DZ73" i="2"/>
  <c r="DZ74" i="2"/>
  <c r="BT48" i="3"/>
  <c r="BT50" i="3"/>
  <c r="CY52" i="3"/>
  <c r="BG72" i="2"/>
  <c r="EI236" i="3"/>
  <c r="EI235" i="3"/>
  <c r="EI238" i="3"/>
  <c r="EI230" i="3"/>
  <c r="EK234" i="3"/>
  <c r="DF73" i="2"/>
  <c r="DF74" i="2"/>
  <c r="GA72" i="2"/>
  <c r="DK106" i="3"/>
  <c r="DK110" i="3" s="1"/>
  <c r="DK132" i="3" s="1"/>
  <c r="BQ90" i="2" s="1"/>
  <c r="BQ93" i="2" s="1"/>
  <c r="DK63" i="3"/>
  <c r="BQ76" i="2" s="1"/>
  <c r="DK48" i="3"/>
  <c r="DK50" i="3"/>
  <c r="DW110" i="3"/>
  <c r="EA106" i="3"/>
  <c r="CJ307" i="2"/>
  <c r="CJ264" i="2"/>
  <c r="CJ265" i="2"/>
  <c r="CJ263" i="2"/>
  <c r="FU54" i="2"/>
  <c r="FU57" i="2" s="1"/>
  <c r="CW47" i="3"/>
  <c r="CW48" i="3" s="1"/>
  <c r="DO76" i="2"/>
  <c r="FY63" i="3"/>
  <c r="DN93" i="2"/>
  <c r="DN91" i="2"/>
  <c r="BI70" i="3"/>
  <c r="CP56" i="3"/>
  <c r="AZ66" i="2" s="1"/>
  <c r="CP65" i="3"/>
  <c r="AZ69" i="2"/>
  <c r="DI106" i="3"/>
  <c r="DI110" i="3" s="1"/>
  <c r="DI50" i="3"/>
  <c r="DI52" i="3" s="1"/>
  <c r="DI63" i="3"/>
  <c r="BO76" i="2" s="1"/>
  <c r="DI48" i="3"/>
  <c r="EM56" i="3"/>
  <c r="CM66" i="2" s="1"/>
  <c r="EM66" i="3"/>
  <c r="CM69" i="2"/>
  <c r="CR43" i="3"/>
  <c r="CR50" i="3"/>
  <c r="CQ50" i="3"/>
  <c r="CQ63" i="3"/>
  <c r="CQ48" i="3"/>
  <c r="CR47" i="3"/>
  <c r="CR48" i="3" s="1"/>
  <c r="DU74" i="2"/>
  <c r="DV426" i="2"/>
  <c r="DV425" i="2"/>
  <c r="BY56" i="3"/>
  <c r="AL66" i="2" s="1"/>
  <c r="AL69" i="2"/>
  <c r="BD74" i="2"/>
  <c r="GC56" i="2"/>
  <c r="GC57" i="2"/>
  <c r="GC58" i="2"/>
  <c r="GW95" i="3"/>
  <c r="DA80" i="2"/>
  <c r="DA81" i="2"/>
  <c r="GW22" i="3"/>
  <c r="EL45" i="2"/>
  <c r="EK47" i="2"/>
  <c r="GH45" i="2"/>
  <c r="GH47" i="2" s="1"/>
  <c r="CX63" i="3"/>
  <c r="CX48" i="3"/>
  <c r="CX50" i="3"/>
  <c r="DB47" i="3"/>
  <c r="DB48" i="3" s="1"/>
  <c r="FE63" i="3"/>
  <c r="BP145" i="3"/>
  <c r="BP132" i="3"/>
  <c r="AE90" i="2" s="1"/>
  <c r="BP126" i="3"/>
  <c r="BP130" i="3" s="1"/>
  <c r="FZ71" i="2"/>
  <c r="EA56" i="3"/>
  <c r="FS66" i="2" s="1"/>
  <c r="FS69" i="2"/>
  <c r="AF110" i="3"/>
  <c r="GZ86" i="3"/>
  <c r="DE52" i="3"/>
  <c r="BL72" i="2"/>
  <c r="GF66" i="3"/>
  <c r="EU308" i="3"/>
  <c r="EU199" i="3"/>
  <c r="EU194" i="3"/>
  <c r="EU196" i="3" s="1"/>
  <c r="CD145" i="3"/>
  <c r="CD132" i="3"/>
  <c r="AP90" i="2" s="1"/>
  <c r="CD126" i="3"/>
  <c r="DS52" i="3"/>
  <c r="DX66" i="3" s="1"/>
  <c r="BW72" i="2"/>
  <c r="CA74" i="2" s="1"/>
  <c r="AS49" i="2"/>
  <c r="AS51" i="2"/>
  <c r="AS50" i="2"/>
  <c r="AT49" i="2"/>
  <c r="GO132" i="3"/>
  <c r="ED90" i="2" s="1"/>
  <c r="EK443" i="2"/>
  <c r="EJ292" i="2"/>
  <c r="DB80" i="2"/>
  <c r="FF12" i="2"/>
  <c r="EJ444" i="2"/>
  <c r="EK447" i="2"/>
  <c r="AR58" i="2"/>
  <c r="AR57" i="2"/>
  <c r="AR56" i="2"/>
  <c r="AV56" i="2"/>
  <c r="AZ50" i="3"/>
  <c r="AZ52" i="3" s="1"/>
  <c r="AZ48" i="3"/>
  <c r="BD47" i="3"/>
  <c r="BD48" i="3" s="1"/>
  <c r="ET203" i="3"/>
  <c r="ET202" i="3"/>
  <c r="GW55" i="3"/>
  <c r="GY54" i="3"/>
  <c r="GY60" i="3" s="1"/>
  <c r="EK59" i="2"/>
  <c r="GX54" i="3"/>
  <c r="GH237" i="2"/>
  <c r="EL212" i="2"/>
  <c r="EK209" i="2"/>
  <c r="EK219" i="2" s="1"/>
  <c r="EK199" i="2"/>
  <c r="GH199" i="2" s="1"/>
  <c r="EK214" i="2"/>
  <c r="GH212" i="2"/>
  <c r="FX54" i="2"/>
  <c r="FX57" i="2" s="1"/>
  <c r="DH106" i="3"/>
  <c r="DH50" i="3"/>
  <c r="DH63" i="3"/>
  <c r="DH48" i="3"/>
  <c r="BW80" i="2"/>
  <c r="ED74" i="2"/>
  <c r="FA66" i="3"/>
  <c r="FA65" i="3"/>
  <c r="CX69" i="2"/>
  <c r="CA52" i="3"/>
  <c r="AN72" i="2"/>
  <c r="DW156" i="2"/>
  <c r="DW155" i="2"/>
  <c r="DW154" i="2"/>
  <c r="DW424" i="2"/>
  <c r="DJ81" i="2"/>
  <c r="GB79" i="2"/>
  <c r="GB81" i="2" s="1"/>
  <c r="DJ80" i="2"/>
  <c r="DN81" i="2"/>
  <c r="FP110" i="3"/>
  <c r="FT106" i="3"/>
  <c r="EH224" i="2"/>
  <c r="EH223" i="2"/>
  <c r="BV48" i="3"/>
  <c r="BV50" i="3"/>
  <c r="BC171" i="3"/>
  <c r="BD171" i="3" s="1"/>
  <c r="BD166" i="3"/>
  <c r="BL145" i="3"/>
  <c r="BL132" i="3"/>
  <c r="AB90" i="2" s="1"/>
  <c r="AB93" i="2" s="1"/>
  <c r="BL126" i="3"/>
  <c r="BL130" i="3" s="1"/>
  <c r="FX132" i="3"/>
  <c r="DQ90" i="2" s="1"/>
  <c r="DU92" i="2" s="1"/>
  <c r="FX126" i="3"/>
  <c r="FX130" i="3" s="1"/>
  <c r="DU385" i="2"/>
  <c r="DU384" i="2"/>
  <c r="DU359" i="2"/>
  <c r="GD359" i="2" s="1"/>
  <c r="GD383" i="2"/>
  <c r="GD385" i="2" s="1"/>
  <c r="GA58" i="2"/>
  <c r="GA56" i="2"/>
  <c r="GA57" i="2"/>
  <c r="ET307" i="3"/>
  <c r="ET310" i="3" s="1"/>
  <c r="ET189" i="3"/>
  <c r="ET188" i="3"/>
  <c r="EN65" i="3"/>
  <c r="EN56" i="3"/>
  <c r="CN66" i="2" s="1"/>
  <c r="EN66" i="3"/>
  <c r="CN69" i="2"/>
  <c r="CI48" i="3"/>
  <c r="CI50" i="3"/>
  <c r="CI63" i="3"/>
  <c r="GH159" i="2"/>
  <c r="GA81" i="2"/>
  <c r="FM66" i="3"/>
  <c r="FX79" i="2"/>
  <c r="DM67" i="2"/>
  <c r="EA74" i="2"/>
  <c r="EA73" i="2"/>
  <c r="EH39" i="2"/>
  <c r="EH38" i="2"/>
  <c r="BO145" i="3"/>
  <c r="BO132" i="3"/>
  <c r="AD90" i="2" s="1"/>
  <c r="BO126" i="3"/>
  <c r="DK93" i="2"/>
  <c r="DK92" i="2"/>
  <c r="DT360" i="2" l="1"/>
  <c r="DT448" i="2"/>
  <c r="DS352" i="2"/>
  <c r="DS450" i="2"/>
  <c r="DS353" i="2"/>
  <c r="DW365" i="2"/>
  <c r="DW383" i="2" s="1"/>
  <c r="DW380" i="2" s="1"/>
  <c r="GA74" i="2"/>
  <c r="DV367" i="2"/>
  <c r="CI77" i="2"/>
  <c r="FW56" i="2"/>
  <c r="FG28" i="2"/>
  <c r="FY78" i="2"/>
  <c r="FY81" i="2"/>
  <c r="GD72" i="2"/>
  <c r="GE74" i="2" s="1"/>
  <c r="DU73" i="2"/>
  <c r="EC70" i="2"/>
  <c r="EC71" i="2"/>
  <c r="GF72" i="2"/>
  <c r="GF74" i="2" s="1"/>
  <c r="GD68" i="2"/>
  <c r="BZ48" i="3"/>
  <c r="BZ50" i="3"/>
  <c r="CC166" i="3"/>
  <c r="CB171" i="3"/>
  <c r="CC171" i="3" s="1"/>
  <c r="CC145" i="3"/>
  <c r="BZ145" i="3"/>
  <c r="BZ132" i="3"/>
  <c r="AM90" i="2" s="1"/>
  <c r="AM93" i="2" s="1"/>
  <c r="BZ126" i="3"/>
  <c r="BZ130" i="3" s="1"/>
  <c r="CC110" i="3"/>
  <c r="CC132" i="3" s="1"/>
  <c r="AG50" i="2"/>
  <c r="AK50" i="2"/>
  <c r="EC74" i="2"/>
  <c r="CK78" i="2"/>
  <c r="AO50" i="3"/>
  <c r="GF78" i="2"/>
  <c r="ED73" i="2"/>
  <c r="GN126" i="3"/>
  <c r="GN130" i="3" s="1"/>
  <c r="FT76" i="2"/>
  <c r="FF65" i="3"/>
  <c r="DK126" i="3"/>
  <c r="DK130" i="3" s="1"/>
  <c r="BA162" i="3"/>
  <c r="FC66" i="3"/>
  <c r="Q55" i="2"/>
  <c r="U56" i="2"/>
  <c r="R55" i="2"/>
  <c r="FC54" i="2"/>
  <c r="FC57" i="2" s="1"/>
  <c r="Q57" i="2"/>
  <c r="AY45" i="3"/>
  <c r="AY33" i="3"/>
  <c r="AY35" i="3"/>
  <c r="AY51" i="3" s="1"/>
  <c r="BI72" i="2"/>
  <c r="DA52" i="3"/>
  <c r="AT124" i="3"/>
  <c r="CX70" i="2"/>
  <c r="FY72" i="2"/>
  <c r="FZ74" i="2" s="1"/>
  <c r="CH51" i="3"/>
  <c r="EF106" i="3"/>
  <c r="EE126" i="3"/>
  <c r="EE130" i="3" s="1"/>
  <c r="Q100" i="2"/>
  <c r="FC100" i="2" s="1"/>
  <c r="AY101" i="3"/>
  <c r="BU50" i="3"/>
  <c r="BU48" i="3"/>
  <c r="BB159" i="3"/>
  <c r="AX47" i="3"/>
  <c r="AX43" i="3"/>
  <c r="BA166" i="3"/>
  <c r="BA171" i="3" s="1"/>
  <c r="BB158" i="3"/>
  <c r="BB166" i="3"/>
  <c r="BB171" i="3" s="1"/>
  <c r="AX106" i="3"/>
  <c r="AX110" i="3" s="1"/>
  <c r="BB160" i="3"/>
  <c r="AZ166" i="3"/>
  <c r="AZ171" i="3" s="1"/>
  <c r="BB162" i="3"/>
  <c r="BU145" i="3"/>
  <c r="BU132" i="3"/>
  <c r="AI90" i="2" s="1"/>
  <c r="AI93" i="2" s="1"/>
  <c r="BU126" i="3"/>
  <c r="BU130" i="3" s="1"/>
  <c r="AZ162" i="3"/>
  <c r="BA160" i="3"/>
  <c r="BA159" i="3"/>
  <c r="AJ45" i="3"/>
  <c r="AJ35" i="3"/>
  <c r="AJ33" i="3"/>
  <c r="FH51" i="2"/>
  <c r="FH50" i="2"/>
  <c r="BS175" i="3"/>
  <c r="BS25" i="3"/>
  <c r="BX101" i="3"/>
  <c r="AK100" i="2"/>
  <c r="FH100" i="2" s="1"/>
  <c r="AW50" i="3"/>
  <c r="AW52" i="3" s="1"/>
  <c r="AW48" i="3"/>
  <c r="BC76" i="2"/>
  <c r="BC77" i="2" s="1"/>
  <c r="AM145" i="3"/>
  <c r="AM132" i="3"/>
  <c r="H90" i="2" s="1"/>
  <c r="H93" i="2" s="1"/>
  <c r="AM126" i="3"/>
  <c r="AM130" i="3" s="1"/>
  <c r="FG31" i="2"/>
  <c r="FG29" i="2"/>
  <c r="CK145" i="3"/>
  <c r="CK132" i="3"/>
  <c r="AV90" i="2" s="1"/>
  <c r="AV93" i="2" s="1"/>
  <c r="CK126" i="3"/>
  <c r="CK130" i="3" s="1"/>
  <c r="BC56" i="3"/>
  <c r="U66" i="2" s="1"/>
  <c r="U69" i="2"/>
  <c r="U70" i="2" s="1"/>
  <c r="BQ43" i="3"/>
  <c r="BQ106" i="3"/>
  <c r="BQ47" i="3"/>
  <c r="BT158" i="3"/>
  <c r="CT52" i="3"/>
  <c r="BC72" i="2"/>
  <c r="AL55" i="2"/>
  <c r="AK58" i="2"/>
  <c r="AK57" i="2"/>
  <c r="AK55" i="2"/>
  <c r="AO56" i="2"/>
  <c r="FH54" i="2"/>
  <c r="FH57" i="2" s="1"/>
  <c r="AF57" i="2"/>
  <c r="AF58" i="2"/>
  <c r="AJ56" i="2"/>
  <c r="AF56" i="2"/>
  <c r="AF55" i="2"/>
  <c r="AW110" i="3"/>
  <c r="AV80" i="2"/>
  <c r="BX173" i="3"/>
  <c r="BR33" i="3"/>
  <c r="BU168" i="3"/>
  <c r="BV167" i="3"/>
  <c r="BR42" i="3"/>
  <c r="BS42" i="3" s="1"/>
  <c r="BR45" i="3"/>
  <c r="BR35" i="3"/>
  <c r="BR168" i="3"/>
  <c r="BS168" i="3" s="1"/>
  <c r="BT168" i="3"/>
  <c r="BV168" i="3"/>
  <c r="EE56" i="3"/>
  <c r="CG66" i="2" s="1"/>
  <c r="CG67" i="2" s="1"/>
  <c r="EE65" i="3"/>
  <c r="CG69" i="2"/>
  <c r="CG70" i="2" s="1"/>
  <c r="CK50" i="3"/>
  <c r="CK63" i="3"/>
  <c r="AV76" i="2" s="1"/>
  <c r="AZ78" i="2" s="1"/>
  <c r="CK48" i="3"/>
  <c r="AY50" i="3"/>
  <c r="AY43" i="3"/>
  <c r="BX35" i="3"/>
  <c r="BX33" i="3"/>
  <c r="BX45" i="3"/>
  <c r="CA160" i="3"/>
  <c r="CA158" i="3"/>
  <c r="BW106" i="3"/>
  <c r="CA166" i="3"/>
  <c r="CA171" i="3" s="1"/>
  <c r="BW47" i="3"/>
  <c r="CA162" i="3"/>
  <c r="BW43" i="3"/>
  <c r="CA159" i="3"/>
  <c r="BW166" i="3"/>
  <c r="BY162" i="3"/>
  <c r="BW159" i="3"/>
  <c r="BX159" i="3" s="1"/>
  <c r="BY160" i="3"/>
  <c r="BZ162" i="3"/>
  <c r="BZ159" i="3"/>
  <c r="BZ158" i="3"/>
  <c r="BW162" i="3"/>
  <c r="BX162" i="3" s="1"/>
  <c r="BZ166" i="3"/>
  <c r="BZ171" i="3" s="1"/>
  <c r="BY159" i="3"/>
  <c r="BW160" i="3"/>
  <c r="BX160" i="3" s="1"/>
  <c r="BX42" i="3"/>
  <c r="BZ160" i="3"/>
  <c r="BY166" i="3"/>
  <c r="BY171" i="3" s="1"/>
  <c r="BW158" i="3"/>
  <c r="BX158" i="3" s="1"/>
  <c r="FA50" i="2"/>
  <c r="AM66" i="3"/>
  <c r="AM56" i="3"/>
  <c r="H66" i="2" s="1"/>
  <c r="H69" i="2"/>
  <c r="H71" i="2" s="1"/>
  <c r="AN126" i="3"/>
  <c r="AN130" i="3" s="1"/>
  <c r="AN145" i="3"/>
  <c r="AN132" i="3"/>
  <c r="I90" i="2" s="1"/>
  <c r="I93" i="2" s="1"/>
  <c r="AG54" i="2"/>
  <c r="AK56" i="2" s="1"/>
  <c r="BR101" i="3"/>
  <c r="BT101" i="3"/>
  <c r="AH100" i="2" s="1"/>
  <c r="BV101" i="3"/>
  <c r="AJ100" i="2" s="1"/>
  <c r="BU101" i="3"/>
  <c r="AI100" i="2" s="1"/>
  <c r="BS45" i="3"/>
  <c r="BS33" i="3"/>
  <c r="BS35" i="3"/>
  <c r="AN171" i="3"/>
  <c r="AO171" i="3" s="1"/>
  <c r="AO166" i="3"/>
  <c r="AI106" i="3"/>
  <c r="AL159" i="3"/>
  <c r="AK160" i="3"/>
  <c r="AM158" i="3"/>
  <c r="AI50" i="3"/>
  <c r="AL158" i="3"/>
  <c r="AK159" i="3"/>
  <c r="AM166" i="3"/>
  <c r="AM171" i="3" s="1"/>
  <c r="AI43" i="3"/>
  <c r="AM160" i="3"/>
  <c r="AL162" i="3"/>
  <c r="AM162" i="3"/>
  <c r="AL166" i="3"/>
  <c r="AL171" i="3" s="1"/>
  <c r="AK166" i="3"/>
  <c r="AK171" i="3" s="1"/>
  <c r="AM159" i="3"/>
  <c r="AL160" i="3"/>
  <c r="AK162" i="3"/>
  <c r="AJ42" i="3"/>
  <c r="AJ43" i="3" s="1"/>
  <c r="AX171" i="3"/>
  <c r="AY171" i="3" s="1"/>
  <c r="AY166" i="3"/>
  <c r="AG49" i="2"/>
  <c r="AG51" i="2"/>
  <c r="AH49" i="2"/>
  <c r="FT72" i="2"/>
  <c r="I69" i="2"/>
  <c r="J70" i="2" s="1"/>
  <c r="AN56" i="3"/>
  <c r="I66" i="2" s="1"/>
  <c r="AN65" i="3"/>
  <c r="FW72" i="2"/>
  <c r="EK292" i="2"/>
  <c r="GD81" i="2"/>
  <c r="CD68" i="2"/>
  <c r="GA78" i="2"/>
  <c r="FE48" i="2"/>
  <c r="FE51" i="2" s="1"/>
  <c r="DV380" i="2"/>
  <c r="DV409" i="2"/>
  <c r="DV376" i="2"/>
  <c r="GH345" i="2"/>
  <c r="EK348" i="2"/>
  <c r="EL346" i="2"/>
  <c r="EL275" i="2"/>
  <c r="EL272" i="2" s="1"/>
  <c r="EL288" i="2" s="1"/>
  <c r="EL281" i="2"/>
  <c r="EM279" i="2"/>
  <c r="EK339" i="2"/>
  <c r="EK440" i="2" s="1"/>
  <c r="GH440" i="2" s="1"/>
  <c r="EK345" i="2"/>
  <c r="EL343" i="2"/>
  <c r="EK276" i="2"/>
  <c r="EK277" i="2"/>
  <c r="GH275" i="2"/>
  <c r="GH277" i="2" s="1"/>
  <c r="GG105" i="2"/>
  <c r="GG107" i="2" s="1"/>
  <c r="EG107" i="2"/>
  <c r="EG106" i="2"/>
  <c r="EJ341" i="2"/>
  <c r="EJ340" i="2"/>
  <c r="EJ145" i="2"/>
  <c r="EI147" i="2"/>
  <c r="EI146" i="2"/>
  <c r="EG418" i="2"/>
  <c r="EG417" i="2"/>
  <c r="GG416" i="2"/>
  <c r="EK215" i="2"/>
  <c r="EI117" i="2"/>
  <c r="EH119" i="2"/>
  <c r="EH416" i="2"/>
  <c r="EH105" i="2"/>
  <c r="GD361" i="2"/>
  <c r="GD362" i="2"/>
  <c r="GH225" i="2"/>
  <c r="GH201" i="2"/>
  <c r="GH243" i="2"/>
  <c r="GH239" i="2"/>
  <c r="AT76" i="2"/>
  <c r="AU77" i="2" s="1"/>
  <c r="DL63" i="3"/>
  <c r="BN76" i="2"/>
  <c r="FP76" i="2" s="1"/>
  <c r="CD130" i="3"/>
  <c r="AF132" i="3"/>
  <c r="B90" i="2" s="1"/>
  <c r="F92" i="2" s="1"/>
  <c r="AF126" i="3"/>
  <c r="CQ52" i="3"/>
  <c r="BA72" i="2"/>
  <c r="BB73" i="2" s="1"/>
  <c r="EI231" i="3"/>
  <c r="EI232" i="3"/>
  <c r="EK273" i="2"/>
  <c r="EK274" i="2"/>
  <c r="EK278" i="2"/>
  <c r="GH272" i="2"/>
  <c r="EL287" i="2"/>
  <c r="EM285" i="2"/>
  <c r="FR65" i="3"/>
  <c r="FR66" i="3"/>
  <c r="DL69" i="2"/>
  <c r="DM70" i="2" s="1"/>
  <c r="EL110" i="3"/>
  <c r="EP106" i="3"/>
  <c r="AR65" i="3"/>
  <c r="AR66" i="3"/>
  <c r="AR56" i="3"/>
  <c r="L66" i="2" s="1"/>
  <c r="L69" i="2"/>
  <c r="DP52" i="3"/>
  <c r="BU72" i="2"/>
  <c r="DQ445" i="2"/>
  <c r="DQ447" i="2"/>
  <c r="DV48" i="3"/>
  <c r="DV50" i="3"/>
  <c r="DV52" i="3" s="1"/>
  <c r="GP124" i="3"/>
  <c r="GO126" i="3"/>
  <c r="DE110" i="3"/>
  <c r="DF106" i="3"/>
  <c r="DF110" i="3" s="1"/>
  <c r="CZ70" i="2"/>
  <c r="EK56" i="3"/>
  <c r="FU66" i="2" s="1"/>
  <c r="FU68" i="2" s="1"/>
  <c r="FU69" i="2"/>
  <c r="CK70" i="2"/>
  <c r="GA90" i="2"/>
  <c r="DF93" i="2"/>
  <c r="CD66" i="3"/>
  <c r="CD56" i="3"/>
  <c r="AP66" i="2" s="1"/>
  <c r="AP69" i="2"/>
  <c r="ER66" i="3"/>
  <c r="ER56" i="3"/>
  <c r="CQ66" i="2" s="1"/>
  <c r="ER65" i="3"/>
  <c r="CQ69" i="2"/>
  <c r="AQ58" i="2"/>
  <c r="AQ57" i="2"/>
  <c r="AQ56" i="2"/>
  <c r="AQ55" i="2"/>
  <c r="AU56" i="2"/>
  <c r="FJ54" i="2"/>
  <c r="FJ57" i="2" s="1"/>
  <c r="EX66" i="3"/>
  <c r="EX65" i="3"/>
  <c r="CV69" i="2"/>
  <c r="CZ71" i="2" s="1"/>
  <c r="CJ68" i="2"/>
  <c r="GB110" i="3"/>
  <c r="GD110" i="3" s="1"/>
  <c r="GN132" i="3"/>
  <c r="GN111" i="3"/>
  <c r="CM256" i="2"/>
  <c r="CM298" i="2"/>
  <c r="CM257" i="2"/>
  <c r="CM255" i="2"/>
  <c r="CM250" i="2"/>
  <c r="BT145" i="3"/>
  <c r="BT132" i="3"/>
  <c r="AH90" i="2" s="1"/>
  <c r="BT126" i="3"/>
  <c r="ET377" i="3"/>
  <c r="ET378" i="3"/>
  <c r="K68" i="2"/>
  <c r="K67" i="2"/>
  <c r="DQ70" i="2"/>
  <c r="DQ71" i="2"/>
  <c r="EJ423" i="2"/>
  <c r="DU404" i="2"/>
  <c r="DU405" i="2"/>
  <c r="DV402" i="2"/>
  <c r="DU399" i="2"/>
  <c r="CK264" i="2"/>
  <c r="CK307" i="2"/>
  <c r="CK265" i="2"/>
  <c r="CK263" i="2"/>
  <c r="DR70" i="2"/>
  <c r="DR71" i="2"/>
  <c r="GB66" i="3"/>
  <c r="GB65" i="3"/>
  <c r="DT69" i="2"/>
  <c r="DU70" i="2" s="1"/>
  <c r="ES210" i="3"/>
  <c r="ER212" i="3"/>
  <c r="ER213" i="3"/>
  <c r="EU381" i="3"/>
  <c r="EU376" i="3"/>
  <c r="EU378" i="3" s="1"/>
  <c r="J68" i="2"/>
  <c r="N68" i="2"/>
  <c r="EW66" i="3"/>
  <c r="GC71" i="2"/>
  <c r="CL300" i="2"/>
  <c r="CL299" i="2"/>
  <c r="GD71" i="2"/>
  <c r="CI52" i="3"/>
  <c r="AT72" i="2"/>
  <c r="DH52" i="3"/>
  <c r="BN72" i="2"/>
  <c r="EK60" i="2"/>
  <c r="EK61" i="2"/>
  <c r="EK36" i="2"/>
  <c r="GH36" i="2" s="1"/>
  <c r="AZ67" i="2"/>
  <c r="DW132" i="3"/>
  <c r="BZ90" i="2" s="1"/>
  <c r="CA91" i="2" s="1"/>
  <c r="EA110" i="3"/>
  <c r="EA132" i="3" s="1"/>
  <c r="DW126" i="3"/>
  <c r="EI313" i="3"/>
  <c r="EI314" i="3" s="1"/>
  <c r="EI317" i="3" s="1"/>
  <c r="EI242" i="3"/>
  <c r="EI239" i="3"/>
  <c r="EI240" i="3"/>
  <c r="BT52" i="3"/>
  <c r="AH72" i="2"/>
  <c r="J93" i="2"/>
  <c r="EL65" i="3"/>
  <c r="EL56" i="3"/>
  <c r="CL66" i="2" s="1"/>
  <c r="EL66" i="3"/>
  <c r="CL69" i="2"/>
  <c r="FP66" i="3"/>
  <c r="FP65" i="3"/>
  <c r="DJ69" i="2"/>
  <c r="DK70" i="2" s="1"/>
  <c r="FU66" i="3"/>
  <c r="DM110" i="3"/>
  <c r="DQ106" i="3"/>
  <c r="EM289" i="2"/>
  <c r="EL291" i="2"/>
  <c r="DS388" i="2"/>
  <c r="DS389" i="2"/>
  <c r="FY56" i="2"/>
  <c r="DP74" i="2"/>
  <c r="DJ52" i="3"/>
  <c r="BP72" i="2"/>
  <c r="Y54" i="2"/>
  <c r="FE54" i="2" s="1"/>
  <c r="FE57" i="2" s="1"/>
  <c r="BL101" i="3"/>
  <c r="AB100" i="2" s="1"/>
  <c r="FZ132" i="3"/>
  <c r="DR90" i="2" s="1"/>
  <c r="DS91" i="2" s="1"/>
  <c r="FZ126" i="3"/>
  <c r="AD74" i="2"/>
  <c r="AD73" i="2"/>
  <c r="EI224" i="2"/>
  <c r="EI223" i="2"/>
  <c r="DV385" i="2"/>
  <c r="DV384" i="2"/>
  <c r="DV359" i="2"/>
  <c r="DX70" i="2"/>
  <c r="S71" i="2"/>
  <c r="AZ145" i="3"/>
  <c r="BD145" i="3" s="1"/>
  <c r="AZ132" i="3"/>
  <c r="R90" i="2" s="1"/>
  <c r="BD110" i="3"/>
  <c r="BD132" i="3" s="1"/>
  <c r="AZ126" i="3"/>
  <c r="EK205" i="2"/>
  <c r="EK204" i="2"/>
  <c r="EK113" i="2"/>
  <c r="GH113" i="2" s="1"/>
  <c r="EI39" i="2"/>
  <c r="EI38" i="2"/>
  <c r="DZ93" i="2"/>
  <c r="DZ91" i="2"/>
  <c r="GF90" i="2"/>
  <c r="EA91" i="2"/>
  <c r="M57" i="2"/>
  <c r="M56" i="2"/>
  <c r="M55" i="2"/>
  <c r="N55" i="2"/>
  <c r="FB54" i="2"/>
  <c r="FB57" i="2" s="1"/>
  <c r="Q56" i="2"/>
  <c r="CS130" i="3"/>
  <c r="CW126" i="3"/>
  <c r="CW130" i="3" s="1"/>
  <c r="AY67" i="2"/>
  <c r="EJ222" i="2"/>
  <c r="EJ197" i="2"/>
  <c r="EJ196" i="2"/>
  <c r="EH88" i="3"/>
  <c r="FE28" i="2"/>
  <c r="FE31" i="2"/>
  <c r="FE29" i="2"/>
  <c r="DM71" i="2"/>
  <c r="CH77" i="2"/>
  <c r="FU76" i="2"/>
  <c r="AK130" i="3"/>
  <c r="AO126" i="3"/>
  <c r="AO130" i="3" s="1"/>
  <c r="Y49" i="2"/>
  <c r="Y50" i="2"/>
  <c r="Y51" i="2"/>
  <c r="Z49" i="2"/>
  <c r="BJ145" i="3"/>
  <c r="BJ132" i="3"/>
  <c r="Z90" i="2" s="1"/>
  <c r="BJ126" i="3"/>
  <c r="DW371" i="2"/>
  <c r="DX369" i="2"/>
  <c r="BG106" i="3"/>
  <c r="BG43" i="3"/>
  <c r="BG47" i="3"/>
  <c r="BJ158" i="3"/>
  <c r="BG158" i="3"/>
  <c r="BG162" i="3"/>
  <c r="BG159" i="3"/>
  <c r="BG166" i="3"/>
  <c r="BG171" i="3" s="1"/>
  <c r="BG160" i="3"/>
  <c r="DS70" i="2"/>
  <c r="DT430" i="2"/>
  <c r="DT429" i="2"/>
  <c r="AT45" i="3"/>
  <c r="AT33" i="3"/>
  <c r="AT35" i="3"/>
  <c r="AT51" i="3" s="1"/>
  <c r="AW166" i="3"/>
  <c r="AW171" i="3" s="1"/>
  <c r="AW162" i="3"/>
  <c r="AW160" i="3"/>
  <c r="AW158" i="3"/>
  <c r="AW159" i="3"/>
  <c r="AS106" i="3"/>
  <c r="AS47" i="3"/>
  <c r="AS43" i="3"/>
  <c r="AU160" i="3"/>
  <c r="AS158" i="3"/>
  <c r="AT158" i="3" s="1"/>
  <c r="AS159" i="3"/>
  <c r="AT159" i="3" s="1"/>
  <c r="AU166" i="3"/>
  <c r="AU171" i="3" s="1"/>
  <c r="AU162" i="3"/>
  <c r="AS160" i="3"/>
  <c r="AT160" i="3" s="1"/>
  <c r="AU159" i="3"/>
  <c r="AS162" i="3"/>
  <c r="AT162" i="3" s="1"/>
  <c r="AV158" i="3"/>
  <c r="AT42" i="3"/>
  <c r="AV166" i="3"/>
  <c r="AV171" i="3" s="1"/>
  <c r="AV160" i="3"/>
  <c r="AV162" i="3"/>
  <c r="AS166" i="3"/>
  <c r="AV159" i="3"/>
  <c r="ES378" i="3"/>
  <c r="ES377" i="3"/>
  <c r="EK431" i="2"/>
  <c r="DL48" i="3"/>
  <c r="DL50" i="3"/>
  <c r="DL52" i="3" s="1"/>
  <c r="DL56" i="3" s="1"/>
  <c r="DU71" i="2"/>
  <c r="DO74" i="2"/>
  <c r="DO73" i="2"/>
  <c r="GC72" i="2"/>
  <c r="CS65" i="3"/>
  <c r="CS66" i="3"/>
  <c r="CS56" i="3"/>
  <c r="BB69" i="2"/>
  <c r="AD93" i="2"/>
  <c r="AP93" i="2"/>
  <c r="FR164" i="3"/>
  <c r="FQ161" i="3"/>
  <c r="FQ163" i="3"/>
  <c r="FQ162" i="3"/>
  <c r="DA92" i="2"/>
  <c r="DA91" i="2"/>
  <c r="DA93" i="2"/>
  <c r="DX406" i="2"/>
  <c r="DW408" i="2"/>
  <c r="GZ40" i="3"/>
  <c r="EU316" i="3"/>
  <c r="EU290" i="3"/>
  <c r="DR110" i="3"/>
  <c r="DV106" i="3"/>
  <c r="BL167" i="3"/>
  <c r="BH168" i="3"/>
  <c r="BI168" i="3" s="1"/>
  <c r="BH45" i="3"/>
  <c r="BH35" i="3"/>
  <c r="BH51" i="3" s="1"/>
  <c r="BH33" i="3"/>
  <c r="BH42" i="3"/>
  <c r="BH166" i="3" s="1"/>
  <c r="BL168" i="3"/>
  <c r="BK168" i="3"/>
  <c r="BJ168" i="3"/>
  <c r="CZ65" i="3"/>
  <c r="CZ56" i="3"/>
  <c r="BH66" i="2" s="1"/>
  <c r="CZ66" i="3"/>
  <c r="BH69" i="2"/>
  <c r="GV107" i="3"/>
  <c r="T70" i="2"/>
  <c r="BO66" i="3"/>
  <c r="BO56" i="3"/>
  <c r="AD66" i="2" s="1"/>
  <c r="AD69" i="2"/>
  <c r="CK67" i="2"/>
  <c r="EP56" i="3"/>
  <c r="FV66" i="2" s="1"/>
  <c r="FV69" i="2"/>
  <c r="FF130" i="3"/>
  <c r="FJ126" i="3"/>
  <c r="FJ130" i="3" s="1"/>
  <c r="CK159" i="3"/>
  <c r="CK160" i="3"/>
  <c r="CK162" i="3"/>
  <c r="CK166" i="3"/>
  <c r="CK171" i="3" s="1"/>
  <c r="CK158" i="3"/>
  <c r="CG106" i="3"/>
  <c r="CG110" i="3" s="1"/>
  <c r="CG47" i="3"/>
  <c r="CG43" i="3"/>
  <c r="AS79" i="2"/>
  <c r="CX145" i="3"/>
  <c r="DB145" i="3" s="1"/>
  <c r="CX132" i="3"/>
  <c r="BF90" i="2" s="1"/>
  <c r="DB110" i="3"/>
  <c r="DB132" i="3" s="1"/>
  <c r="CX126" i="3"/>
  <c r="GC81" i="2"/>
  <c r="DY71" i="2"/>
  <c r="DY70" i="2"/>
  <c r="EH243" i="3"/>
  <c r="EH244" i="3"/>
  <c r="DK71" i="2"/>
  <c r="DX155" i="2"/>
  <c r="DX156" i="2"/>
  <c r="DX154" i="2"/>
  <c r="DX424" i="2"/>
  <c r="DN52" i="3"/>
  <c r="DS66" i="3" s="1"/>
  <c r="BS72" i="2"/>
  <c r="FR81" i="2"/>
  <c r="BQ166" i="3"/>
  <c r="BQ171" i="3" s="1"/>
  <c r="BQ158" i="3"/>
  <c r="BQ159" i="3"/>
  <c r="BQ160" i="3"/>
  <c r="BQ162" i="3"/>
  <c r="BM106" i="3"/>
  <c r="BM47" i="3"/>
  <c r="BM43" i="3"/>
  <c r="BM160" i="3"/>
  <c r="BN160" i="3" s="1"/>
  <c r="BP162" i="3"/>
  <c r="BN42" i="3"/>
  <c r="BO159" i="3"/>
  <c r="BP166" i="3"/>
  <c r="BP171" i="3" s="1"/>
  <c r="BM158" i="3"/>
  <c r="BN158" i="3" s="1"/>
  <c r="BM159" i="3"/>
  <c r="BN159" i="3" s="1"/>
  <c r="BM166" i="3"/>
  <c r="BO166" i="3"/>
  <c r="BO171" i="3" s="1"/>
  <c r="BO160" i="3"/>
  <c r="BM162" i="3"/>
  <c r="BN162" i="3" s="1"/>
  <c r="BP160" i="3"/>
  <c r="BP159" i="3"/>
  <c r="BP158" i="3"/>
  <c r="BO162" i="3"/>
  <c r="EK63" i="3"/>
  <c r="FB51" i="2"/>
  <c r="FB50" i="2"/>
  <c r="DU56" i="3"/>
  <c r="BY66" i="2" s="1"/>
  <c r="BZ67" i="2" s="1"/>
  <c r="DU66" i="3"/>
  <c r="BY69" i="2"/>
  <c r="BZ70" i="2" s="1"/>
  <c r="BK167" i="3"/>
  <c r="FW90" i="2"/>
  <c r="FW93" i="2" s="1"/>
  <c r="CP93" i="2"/>
  <c r="DV431" i="2"/>
  <c r="DU428" i="2"/>
  <c r="GD428" i="2" s="1"/>
  <c r="BE76" i="2"/>
  <c r="FZ78" i="2"/>
  <c r="FX72" i="2"/>
  <c r="ED70" i="2"/>
  <c r="ED71" i="2"/>
  <c r="DX91" i="2"/>
  <c r="DX93" i="2"/>
  <c r="EB92" i="2"/>
  <c r="CG166" i="3"/>
  <c r="CJ158" i="3"/>
  <c r="CJ159" i="3"/>
  <c r="CJ160" i="3"/>
  <c r="CJ162" i="3"/>
  <c r="CJ166" i="3"/>
  <c r="CJ171" i="3" s="1"/>
  <c r="CF106" i="3"/>
  <c r="CF110" i="3" s="1"/>
  <c r="CF43" i="3"/>
  <c r="CF47" i="3"/>
  <c r="AR79" i="2"/>
  <c r="DD65" i="3"/>
  <c r="DD56" i="3"/>
  <c r="BK66" i="2" s="1"/>
  <c r="DD66" i="3"/>
  <c r="BK69" i="2"/>
  <c r="BY77" i="2"/>
  <c r="DY128" i="3"/>
  <c r="DY129" i="3" s="1"/>
  <c r="BD71" i="2"/>
  <c r="BI69" i="3"/>
  <c r="FV65" i="3"/>
  <c r="FV66" i="3"/>
  <c r="DO69" i="2"/>
  <c r="DS71" i="2" s="1"/>
  <c r="G70" i="2"/>
  <c r="G71" i="2"/>
  <c r="EO427" i="2"/>
  <c r="FU262" i="2"/>
  <c r="DQ93" i="2"/>
  <c r="DQ92" i="2"/>
  <c r="BV52" i="3"/>
  <c r="AJ72" i="2"/>
  <c r="DH110" i="3"/>
  <c r="DL106" i="3"/>
  <c r="EL443" i="2"/>
  <c r="GX95" i="3"/>
  <c r="EJ235" i="2"/>
  <c r="EJ234" i="2"/>
  <c r="DU448" i="2"/>
  <c r="GD448" i="2" s="1"/>
  <c r="GD451" i="2" s="1"/>
  <c r="DU361" i="2"/>
  <c r="DU362" i="2"/>
  <c r="DU360" i="2"/>
  <c r="DU351" i="2"/>
  <c r="GD351" i="2" s="1"/>
  <c r="DW426" i="2"/>
  <c r="DW425" i="2"/>
  <c r="CA56" i="3"/>
  <c r="AN66" i="2" s="1"/>
  <c r="AN69" i="2"/>
  <c r="EK211" i="2"/>
  <c r="EK210" i="2"/>
  <c r="GH233" i="2"/>
  <c r="GH209" i="2"/>
  <c r="GH215" i="2" s="1"/>
  <c r="GY55" i="3"/>
  <c r="GZ54" i="3"/>
  <c r="GZ60" i="3" s="1"/>
  <c r="EL59" i="2"/>
  <c r="AZ66" i="3"/>
  <c r="AZ56" i="3"/>
  <c r="R66" i="2" s="1"/>
  <c r="R69" i="2"/>
  <c r="S70" i="2" s="1"/>
  <c r="EL447" i="2"/>
  <c r="EK444" i="2"/>
  <c r="EJ442" i="2"/>
  <c r="EJ441" i="2"/>
  <c r="DE66" i="3"/>
  <c r="DE65" i="3"/>
  <c r="DE56" i="3"/>
  <c r="BL66" i="2" s="1"/>
  <c r="BL69" i="2"/>
  <c r="AE93" i="2"/>
  <c r="AE91" i="2"/>
  <c r="CX52" i="3"/>
  <c r="CY65" i="3" s="1"/>
  <c r="BF72" i="2"/>
  <c r="DI56" i="3"/>
  <c r="BO66" i="2" s="1"/>
  <c r="DI65" i="3"/>
  <c r="DI66" i="3"/>
  <c r="DO78" i="2"/>
  <c r="DO77" i="2"/>
  <c r="DP77" i="2"/>
  <c r="DS78" i="2"/>
  <c r="GC76" i="2"/>
  <c r="DY93" i="2"/>
  <c r="DY92" i="2"/>
  <c r="DY91" i="2"/>
  <c r="EC92" i="2"/>
  <c r="EU56" i="3"/>
  <c r="FW66" i="2" s="1"/>
  <c r="FW69" i="2"/>
  <c r="DQ63" i="3"/>
  <c r="BR76" i="2"/>
  <c r="FQ76" i="2" s="1"/>
  <c r="DZ428" i="2"/>
  <c r="DZ318" i="2"/>
  <c r="DZ316" i="2"/>
  <c r="DZ317" i="2"/>
  <c r="EA315" i="2"/>
  <c r="AY78" i="2"/>
  <c r="AF56" i="3"/>
  <c r="B66" i="2" s="1"/>
  <c r="F68" i="2" s="1"/>
  <c r="B69" i="2"/>
  <c r="F71" i="2" s="1"/>
  <c r="AG65" i="3"/>
  <c r="DT397" i="2"/>
  <c r="DU394" i="2"/>
  <c r="GD394" i="2" s="1"/>
  <c r="GD397" i="2" s="1"/>
  <c r="DT396" i="2"/>
  <c r="DT387" i="2"/>
  <c r="BP52" i="3"/>
  <c r="AE72" i="2"/>
  <c r="EQ66" i="3"/>
  <c r="O70" i="2"/>
  <c r="O71" i="2"/>
  <c r="AW66" i="3"/>
  <c r="DS93" i="2"/>
  <c r="CY70" i="2"/>
  <c r="EB132" i="3"/>
  <c r="CD90" i="2" s="1"/>
  <c r="EF110" i="3"/>
  <c r="EF132" i="3" s="1"/>
  <c r="EB126" i="3"/>
  <c r="DW379" i="2"/>
  <c r="DX377" i="2"/>
  <c r="CI166" i="3"/>
  <c r="CI171" i="3" s="1"/>
  <c r="CG162" i="3"/>
  <c r="CH162" i="3" s="1"/>
  <c r="CI158" i="3"/>
  <c r="CI159" i="3"/>
  <c r="CI160" i="3"/>
  <c r="CG159" i="3"/>
  <c r="CH159" i="3" s="1"/>
  <c r="CI162" i="3"/>
  <c r="CG160" i="3"/>
  <c r="CH160" i="3" s="1"/>
  <c r="CG158" i="3"/>
  <c r="CH158" i="3" s="1"/>
  <c r="CE106" i="3"/>
  <c r="CE47" i="3"/>
  <c r="CE43" i="3"/>
  <c r="AQ79" i="2"/>
  <c r="CH42" i="3"/>
  <c r="CE162" i="3"/>
  <c r="CE158" i="3"/>
  <c r="CE159" i="3"/>
  <c r="CE160" i="3"/>
  <c r="CE166" i="3"/>
  <c r="CE171" i="3" s="1"/>
  <c r="CF158" i="3"/>
  <c r="CF166" i="3"/>
  <c r="CF171" i="3" s="1"/>
  <c r="CF160" i="3"/>
  <c r="CF162" i="3"/>
  <c r="CF159" i="3"/>
  <c r="ET316" i="3"/>
  <c r="ET290" i="3"/>
  <c r="DZ268" i="2"/>
  <c r="DZ267" i="2"/>
  <c r="DZ269" i="2"/>
  <c r="DZ149" i="2"/>
  <c r="DG71" i="2"/>
  <c r="DG70" i="2"/>
  <c r="CB52" i="3"/>
  <c r="CD65" i="3" s="1"/>
  <c r="AO72" i="2"/>
  <c r="DO52" i="3"/>
  <c r="BT72" i="2"/>
  <c r="GH16" i="2"/>
  <c r="GE132" i="3"/>
  <c r="DV90" i="2" s="1"/>
  <c r="DZ92" i="2" s="1"/>
  <c r="GI110" i="3"/>
  <c r="GE126" i="3"/>
  <c r="CI145" i="3"/>
  <c r="CI132" i="3"/>
  <c r="AT90" i="2" s="1"/>
  <c r="CI126" i="3"/>
  <c r="DT353" i="2"/>
  <c r="DT352" i="2"/>
  <c r="DT354" i="2"/>
  <c r="EI438" i="2"/>
  <c r="EI437" i="2"/>
  <c r="EI432" i="2"/>
  <c r="DS452" i="2"/>
  <c r="DT455" i="2"/>
  <c r="FJ132" i="3"/>
  <c r="FJ111" i="3"/>
  <c r="ES65" i="3"/>
  <c r="EK243" i="2"/>
  <c r="EK242" i="2"/>
  <c r="EG132" i="3"/>
  <c r="CH90" i="2" s="1"/>
  <c r="EK110" i="3"/>
  <c r="EK132" i="3" s="1"/>
  <c r="EH124" i="3"/>
  <c r="EG126" i="3"/>
  <c r="CM33" i="3"/>
  <c r="CM45" i="3"/>
  <c r="CM35" i="3"/>
  <c r="EL230" i="2"/>
  <c r="EM228" i="2"/>
  <c r="DT52" i="3"/>
  <c r="BX72" i="2"/>
  <c r="BX73" i="2" s="1"/>
  <c r="BB93" i="2"/>
  <c r="FM90" i="2"/>
  <c r="FM93" i="2" s="1"/>
  <c r="FQ65" i="3"/>
  <c r="EO334" i="2"/>
  <c r="EN336" i="2"/>
  <c r="DN132" i="3"/>
  <c r="BS90" i="2" s="1"/>
  <c r="BS93" i="2" s="1"/>
  <c r="DN126" i="3"/>
  <c r="EJ111" i="2"/>
  <c r="EJ110" i="2"/>
  <c r="K71" i="2"/>
  <c r="K70" i="2"/>
  <c r="BN33" i="3"/>
  <c r="BN45" i="3"/>
  <c r="BN35" i="3"/>
  <c r="FS65" i="3"/>
  <c r="EJ238" i="3"/>
  <c r="EK238" i="3" s="1"/>
  <c r="EJ230" i="3"/>
  <c r="EJ236" i="3"/>
  <c r="EJ235" i="3"/>
  <c r="F93" i="2"/>
  <c r="BI32" i="3"/>
  <c r="CV52" i="3"/>
  <c r="CW52" i="3" s="1"/>
  <c r="CW56" i="3" s="1"/>
  <c r="BE72" i="2"/>
  <c r="AW58" i="2"/>
  <c r="AW57" i="2"/>
  <c r="AW56" i="2"/>
  <c r="AW55" i="2"/>
  <c r="AX55" i="2"/>
  <c r="BA56" i="2"/>
  <c r="FK54" i="2"/>
  <c r="FK57" i="2" s="1"/>
  <c r="DF70" i="2"/>
  <c r="DF71" i="2"/>
  <c r="EA70" i="2"/>
  <c r="EA71" i="2"/>
  <c r="EQ311" i="3"/>
  <c r="EQ215" i="3"/>
  <c r="EQ214" i="3"/>
  <c r="BE66" i="3"/>
  <c r="BE56" i="3"/>
  <c r="V66" i="2" s="1"/>
  <c r="BE65" i="3"/>
  <c r="V69" i="2"/>
  <c r="GW20" i="3"/>
  <c r="EK43" i="2"/>
  <c r="EK32" i="2"/>
  <c r="EL41" i="2"/>
  <c r="DF66" i="3"/>
  <c r="DF65" i="3"/>
  <c r="DF56" i="3"/>
  <c r="BM66" i="2" s="1"/>
  <c r="BM69" i="2"/>
  <c r="CA93" i="2"/>
  <c r="CA92" i="2"/>
  <c r="CU57" i="3"/>
  <c r="BD66" i="2"/>
  <c r="DC130" i="3"/>
  <c r="DC75" i="3"/>
  <c r="DC76" i="3" s="1"/>
  <c r="GC65" i="3"/>
  <c r="FA130" i="3"/>
  <c r="FE126" i="3"/>
  <c r="FE130" i="3" s="1"/>
  <c r="X57" i="2"/>
  <c r="X56" i="2"/>
  <c r="X55" i="2"/>
  <c r="AB56" i="2"/>
  <c r="GC68" i="2"/>
  <c r="G68" i="2"/>
  <c r="G67" i="2"/>
  <c r="BO130" i="3"/>
  <c r="EK201" i="2"/>
  <c r="EK200" i="2"/>
  <c r="EK195" i="2"/>
  <c r="EK109" i="2"/>
  <c r="GH109" i="2" s="1"/>
  <c r="GY22" i="3"/>
  <c r="EM45" i="2"/>
  <c r="EL47" i="2"/>
  <c r="FX90" i="2"/>
  <c r="FX93" i="2" s="1"/>
  <c r="CT93" i="2"/>
  <c r="FP132" i="3"/>
  <c r="DJ90" i="2" s="1"/>
  <c r="FT110" i="3"/>
  <c r="FP126" i="3"/>
  <c r="GH214" i="2"/>
  <c r="EL214" i="2"/>
  <c r="EM212" i="2"/>
  <c r="EL209" i="2"/>
  <c r="EL215" i="2" s="1"/>
  <c r="EL199" i="2"/>
  <c r="GW109" i="3"/>
  <c r="GX109" i="3" s="1"/>
  <c r="GX55" i="3"/>
  <c r="EJ445" i="2"/>
  <c r="EJ446" i="2"/>
  <c r="HA86" i="3"/>
  <c r="DI132" i="3"/>
  <c r="BO90" i="2" s="1"/>
  <c r="BO93" i="2" s="1"/>
  <c r="DI126" i="3"/>
  <c r="DI130" i="3" s="1"/>
  <c r="DK52" i="3"/>
  <c r="BQ72" i="2"/>
  <c r="DZ71" i="2"/>
  <c r="DZ70" i="2"/>
  <c r="GH43" i="2"/>
  <c r="GY58" i="3"/>
  <c r="GX58" i="3"/>
  <c r="FW66" i="3"/>
  <c r="DM52" i="3"/>
  <c r="BR72" i="2"/>
  <c r="CJ52" i="3"/>
  <c r="AU72" i="2"/>
  <c r="EJ115" i="2"/>
  <c r="EJ114" i="2"/>
  <c r="FS76" i="2"/>
  <c r="BZ77" i="2"/>
  <c r="ET419" i="2"/>
  <c r="GB76" i="2"/>
  <c r="GB78" i="2" s="1"/>
  <c r="DJ78" i="2"/>
  <c r="DJ77" i="2"/>
  <c r="DK77" i="2"/>
  <c r="DN78" i="2"/>
  <c r="EJ64" i="2"/>
  <c r="EJ65" i="2"/>
  <c r="EJ329" i="2"/>
  <c r="EJ328" i="2"/>
  <c r="EJ133" i="2"/>
  <c r="EJ436" i="2"/>
  <c r="EJ321" i="2"/>
  <c r="EA312" i="2"/>
  <c r="EB310" i="2"/>
  <c r="EA266" i="2"/>
  <c r="DV63" i="3"/>
  <c r="BV76" i="2"/>
  <c r="BZ78" i="2" s="1"/>
  <c r="EH66" i="3"/>
  <c r="EH56" i="3"/>
  <c r="CI66" i="2" s="1"/>
  <c r="CI67" i="2" s="1"/>
  <c r="EH65" i="3"/>
  <c r="CI69" i="2"/>
  <c r="CI70" i="2" s="1"/>
  <c r="DJ132" i="3"/>
  <c r="BP90" i="2" s="1"/>
  <c r="BP93" i="2" s="1"/>
  <c r="DJ126" i="3"/>
  <c r="DJ130" i="3" s="1"/>
  <c r="DO132" i="3"/>
  <c r="BT90" i="2" s="1"/>
  <c r="BT93" i="2" s="1"/>
  <c r="DO126" i="3"/>
  <c r="DO130" i="3" s="1"/>
  <c r="DA73" i="2"/>
  <c r="DA74" i="2"/>
  <c r="FO72" i="2"/>
  <c r="GW14" i="3"/>
  <c r="EK15" i="2"/>
  <c r="EK16" i="2"/>
  <c r="EL14" i="2"/>
  <c r="CA70" i="2"/>
  <c r="CJ77" i="2"/>
  <c r="FK130" i="3"/>
  <c r="FO126" i="3"/>
  <c r="FO130" i="3" s="1"/>
  <c r="BA65" i="3"/>
  <c r="FQ81" i="2"/>
  <c r="EH434" i="2"/>
  <c r="EH435" i="2"/>
  <c r="EH433" i="2"/>
  <c r="EI323" i="2"/>
  <c r="EI322" i="2"/>
  <c r="DY152" i="2"/>
  <c r="DY151" i="2"/>
  <c r="DY150" i="2"/>
  <c r="DY153" i="2"/>
  <c r="DR454" i="2"/>
  <c r="DR453" i="2"/>
  <c r="DR444" i="2"/>
  <c r="DB93" i="2"/>
  <c r="FZ90" i="2"/>
  <c r="FZ93" i="2" s="1"/>
  <c r="EM216" i="2"/>
  <c r="EL203" i="2"/>
  <c r="EL218" i="2"/>
  <c r="EK106" i="3"/>
  <c r="BY93" i="2"/>
  <c r="EU310" i="3"/>
  <c r="EB70" i="2"/>
  <c r="EB71" i="2"/>
  <c r="DT132" i="3"/>
  <c r="BX90" i="2" s="1"/>
  <c r="DT126" i="3"/>
  <c r="CW145" i="3"/>
  <c r="EJ84" i="2"/>
  <c r="EJ85" i="2"/>
  <c r="DV71" i="2"/>
  <c r="DV70" i="2"/>
  <c r="DZ66" i="3"/>
  <c r="AO145" i="3"/>
  <c r="GX22" i="3"/>
  <c r="DV372" i="2"/>
  <c r="BH167" i="3"/>
  <c r="BI167" i="3" s="1"/>
  <c r="FV132" i="3"/>
  <c r="DO90" i="2" s="1"/>
  <c r="DS92" i="2" s="1"/>
  <c r="FV126" i="3"/>
  <c r="FY110" i="3"/>
  <c r="AV130" i="3"/>
  <c r="AV129" i="3" s="1"/>
  <c r="DE70" i="2"/>
  <c r="GE78" i="2"/>
  <c r="DN70" i="2"/>
  <c r="DA65" i="3"/>
  <c r="BN101" i="3"/>
  <c r="AC100" i="2"/>
  <c r="FF100" i="2" s="1"/>
  <c r="J71" i="2"/>
  <c r="N71" i="2"/>
  <c r="EL312" i="3"/>
  <c r="EL224" i="3"/>
  <c r="EL234" i="3"/>
  <c r="EL225" i="3"/>
  <c r="CC126" i="3"/>
  <c r="CC130" i="3" s="1"/>
  <c r="DE74" i="2"/>
  <c r="EK239" i="2"/>
  <c r="EK238" i="2"/>
  <c r="ED92" i="2"/>
  <c r="ED91" i="2"/>
  <c r="ED93" i="2"/>
  <c r="DS56" i="3"/>
  <c r="BW66" i="2" s="1"/>
  <c r="CA68" i="2" s="1"/>
  <c r="BW69" i="2"/>
  <c r="CA71" i="2" s="1"/>
  <c r="DB63" i="3"/>
  <c r="BF76" i="2"/>
  <c r="FN76" i="2" s="1"/>
  <c r="BA76" i="2"/>
  <c r="CR63" i="3"/>
  <c r="AZ70" i="2"/>
  <c r="CJ309" i="2"/>
  <c r="CJ308" i="2"/>
  <c r="EK236" i="3"/>
  <c r="EK230" i="3"/>
  <c r="EK232" i="3" s="1"/>
  <c r="CY66" i="3"/>
  <c r="CY56" i="3"/>
  <c r="BG66" i="2" s="1"/>
  <c r="BG69" i="2"/>
  <c r="DJ73" i="2"/>
  <c r="DJ74" i="2"/>
  <c r="GB72" i="2"/>
  <c r="GB74" i="2" s="1"/>
  <c r="DN74" i="2"/>
  <c r="DD71" i="2"/>
  <c r="DD70" i="2"/>
  <c r="DQ48" i="3"/>
  <c r="DQ50" i="3"/>
  <c r="DW375" i="2"/>
  <c r="DX373" i="2"/>
  <c r="DB71" i="2"/>
  <c r="O68" i="2"/>
  <c r="DL73" i="2"/>
  <c r="DL74" i="2"/>
  <c r="EN439" i="2"/>
  <c r="EP63" i="3"/>
  <c r="CL76" i="2"/>
  <c r="FV76" i="2" s="1"/>
  <c r="BL56" i="3"/>
  <c r="AB66" i="2" s="1"/>
  <c r="BL65" i="3"/>
  <c r="AB69" i="2"/>
  <c r="GH59" i="2"/>
  <c r="CH33" i="3"/>
  <c r="CH35" i="3"/>
  <c r="CH45" i="3"/>
  <c r="EK333" i="2"/>
  <c r="EK327" i="2"/>
  <c r="GH327" i="2" s="1"/>
  <c r="EL331" i="2"/>
  <c r="DR52" i="3"/>
  <c r="DS65" i="3" s="1"/>
  <c r="BV72" i="2"/>
  <c r="BW73" i="2" s="1"/>
  <c r="EM225" i="2"/>
  <c r="EL227" i="2"/>
  <c r="FD65" i="3"/>
  <c r="FD66" i="3"/>
  <c r="DA69" i="2"/>
  <c r="DC65" i="3"/>
  <c r="DG52" i="3"/>
  <c r="DG56" i="3" s="1"/>
  <c r="DC56" i="3"/>
  <c r="BJ66" i="2" s="1"/>
  <c r="BJ69" i="2"/>
  <c r="CA67" i="2"/>
  <c r="FO132" i="3"/>
  <c r="FO111" i="3"/>
  <c r="BF66" i="3"/>
  <c r="BF56" i="3"/>
  <c r="W66" i="2" s="1"/>
  <c r="W68" i="2" s="1"/>
  <c r="BF65" i="3"/>
  <c r="W69" i="2"/>
  <c r="AA71" i="2" s="1"/>
  <c r="DT449" i="2"/>
  <c r="DT450" i="2"/>
  <c r="EI135" i="2"/>
  <c r="EI134" i="2"/>
  <c r="CV74" i="2"/>
  <c r="CV73" i="2"/>
  <c r="EK381" i="2"/>
  <c r="CW73" i="2"/>
  <c r="CJ71" i="2"/>
  <c r="CO301" i="2"/>
  <c r="CN303" i="2"/>
  <c r="CN254" i="2"/>
  <c r="AT101" i="3"/>
  <c r="M100" i="2"/>
  <c r="FB100" i="2" s="1"/>
  <c r="DL92" i="2"/>
  <c r="DL91" i="2"/>
  <c r="DL93" i="2"/>
  <c r="CP158" i="3"/>
  <c r="CP166" i="3"/>
  <c r="CP171" i="3" s="1"/>
  <c r="CP159" i="3"/>
  <c r="CP160" i="3"/>
  <c r="CP162" i="3"/>
  <c r="CL106" i="3"/>
  <c r="CL43" i="3"/>
  <c r="CL47" i="3"/>
  <c r="AW79" i="2"/>
  <c r="CO158" i="3"/>
  <c r="CO166" i="3"/>
  <c r="CO171" i="3" s="1"/>
  <c r="CO159" i="3"/>
  <c r="CO160" i="3"/>
  <c r="CO162" i="3"/>
  <c r="CN159" i="3"/>
  <c r="CN160" i="3"/>
  <c r="CN162" i="3"/>
  <c r="CL159" i="3"/>
  <c r="CM159" i="3" s="1"/>
  <c r="CL160" i="3"/>
  <c r="CM160" i="3" s="1"/>
  <c r="CL166" i="3"/>
  <c r="CM42" i="3"/>
  <c r="CL162" i="3"/>
  <c r="CM162" i="3" s="1"/>
  <c r="CL158" i="3"/>
  <c r="CM158" i="3" s="1"/>
  <c r="CN166" i="3"/>
  <c r="CN171" i="3" s="1"/>
  <c r="GE149" i="2"/>
  <c r="GY59" i="3"/>
  <c r="EK83" i="2"/>
  <c r="GW51" i="3"/>
  <c r="GX51" i="3" s="1"/>
  <c r="BE145" i="3"/>
  <c r="BE132" i="3"/>
  <c r="V90" i="2" s="1"/>
  <c r="BE126" i="3"/>
  <c r="FW132" i="3"/>
  <c r="DP90" i="2" s="1"/>
  <c r="DQ91" i="2" s="1"/>
  <c r="FW126" i="3"/>
  <c r="FW130" i="3" s="1"/>
  <c r="DT400" i="2"/>
  <c r="DT401" i="2"/>
  <c r="CQ145" i="3"/>
  <c r="CR145" i="3" s="1"/>
  <c r="CQ132" i="3"/>
  <c r="BA90" i="2" s="1"/>
  <c r="CQ126" i="3"/>
  <c r="CR110" i="3"/>
  <c r="CR132" i="3" s="1"/>
  <c r="DT73" i="2"/>
  <c r="DT74" i="2"/>
  <c r="G93" i="2"/>
  <c r="G91" i="2"/>
  <c r="G92" i="2"/>
  <c r="O93" i="2"/>
  <c r="EM159" i="2"/>
  <c r="EN157" i="2"/>
  <c r="AC57" i="2"/>
  <c r="AC55" i="2"/>
  <c r="AD55" i="2"/>
  <c r="FF54" i="2"/>
  <c r="FF57" i="2" s="1"/>
  <c r="EJ33" i="2"/>
  <c r="EJ34" i="2"/>
  <c r="EJ37" i="2"/>
  <c r="EM222" i="3"/>
  <c r="EN220" i="3"/>
  <c r="EM223" i="3"/>
  <c r="FK51" i="2"/>
  <c r="FL50" i="2"/>
  <c r="CU67" i="2"/>
  <c r="CY68" i="2"/>
  <c r="BJ93" i="2"/>
  <c r="BJ66" i="3"/>
  <c r="BJ56" i="3"/>
  <c r="Z66" i="2" s="1"/>
  <c r="Z69" i="2"/>
  <c r="AA70" i="2" s="1"/>
  <c r="CX93" i="2"/>
  <c r="FY90" i="2"/>
  <c r="FY93" i="2" s="1"/>
  <c r="BZ128" i="3"/>
  <c r="BZ129" i="3" s="1"/>
  <c r="DS74" i="2"/>
  <c r="CL253" i="2"/>
  <c r="CL251" i="2"/>
  <c r="CL252" i="2"/>
  <c r="CL262" i="2"/>
  <c r="GH203" i="2"/>
  <c r="DX365" i="2" l="1"/>
  <c r="DW367" i="2"/>
  <c r="GD74" i="2"/>
  <c r="FN72" i="2"/>
  <c r="AG56" i="2"/>
  <c r="FI90" i="2"/>
  <c r="FI93" i="2" s="1"/>
  <c r="FA90" i="2"/>
  <c r="FA93" i="2" s="1"/>
  <c r="FU78" i="2"/>
  <c r="CK68" i="2"/>
  <c r="FM72" i="2"/>
  <c r="DX71" i="2"/>
  <c r="CK71" i="2"/>
  <c r="FM76" i="2"/>
  <c r="BZ52" i="3"/>
  <c r="AM72" i="2"/>
  <c r="FI72" i="2" s="1"/>
  <c r="FA69" i="2"/>
  <c r="DP71" i="2"/>
  <c r="FA66" i="2"/>
  <c r="AV77" i="2"/>
  <c r="BJ162" i="3"/>
  <c r="J67" i="2"/>
  <c r="AC56" i="2"/>
  <c r="AX50" i="3"/>
  <c r="AX52" i="3" s="1"/>
  <c r="AX48" i="3"/>
  <c r="AY47" i="3"/>
  <c r="AY48" i="3" s="1"/>
  <c r="DA56" i="3"/>
  <c r="BI66" i="2" s="1"/>
  <c r="BI69" i="2"/>
  <c r="AX126" i="3"/>
  <c r="AX130" i="3" s="1"/>
  <c r="AX132" i="3"/>
  <c r="Q90" i="2" s="1"/>
  <c r="Q93" i="2" s="1"/>
  <c r="AX145" i="3"/>
  <c r="CJ70" i="2"/>
  <c r="AY52" i="3"/>
  <c r="AY106" i="3"/>
  <c r="BU52" i="3"/>
  <c r="AI72" i="2"/>
  <c r="AI73" i="2" s="1"/>
  <c r="BS43" i="3"/>
  <c r="BS50" i="3"/>
  <c r="AI52" i="3"/>
  <c r="AJ50" i="3"/>
  <c r="BW48" i="3"/>
  <c r="BW50" i="3"/>
  <c r="BX47" i="3"/>
  <c r="BX48" i="3" s="1"/>
  <c r="CK52" i="3"/>
  <c r="CK65" i="3" s="1"/>
  <c r="AV72" i="2"/>
  <c r="AZ74" i="2" s="1"/>
  <c r="FG54" i="2"/>
  <c r="FG57" i="2" s="1"/>
  <c r="CH67" i="2"/>
  <c r="BT160" i="3"/>
  <c r="BR159" i="3"/>
  <c r="BS159" i="3" s="1"/>
  <c r="BU159" i="3"/>
  <c r="BR162" i="3"/>
  <c r="BS162" i="3" s="1"/>
  <c r="BU158" i="3"/>
  <c r="CH70" i="2"/>
  <c r="I67" i="2"/>
  <c r="BW171" i="3"/>
  <c r="BX171" i="3" s="1"/>
  <c r="BX166" i="3"/>
  <c r="BW110" i="3"/>
  <c r="BX106" i="3"/>
  <c r="BT166" i="3"/>
  <c r="BT171" i="3" s="1"/>
  <c r="BR158" i="3"/>
  <c r="BS158" i="3" s="1"/>
  <c r="BB66" i="3"/>
  <c r="AW56" i="3"/>
  <c r="P66" i="2" s="1"/>
  <c r="P68" i="2" s="1"/>
  <c r="AW65" i="3"/>
  <c r="P69" i="2"/>
  <c r="P71" i="2" s="1"/>
  <c r="I70" i="2"/>
  <c r="BS101" i="3"/>
  <c r="AG100" i="2"/>
  <c r="FG100" i="2" s="1"/>
  <c r="H67" i="2"/>
  <c r="H68" i="2"/>
  <c r="BX50" i="3"/>
  <c r="BX43" i="3"/>
  <c r="BR106" i="3"/>
  <c r="BR110" i="3" s="1"/>
  <c r="BR47" i="3"/>
  <c r="BR43" i="3"/>
  <c r="BV159" i="3"/>
  <c r="BV162" i="3"/>
  <c r="BV160" i="3"/>
  <c r="BV158" i="3"/>
  <c r="BV166" i="3"/>
  <c r="BV171" i="3" s="1"/>
  <c r="BD73" i="2"/>
  <c r="BC73" i="2"/>
  <c r="BC74" i="2"/>
  <c r="BR160" i="3"/>
  <c r="BS160" i="3" s="1"/>
  <c r="BQ50" i="3"/>
  <c r="BS47" i="3"/>
  <c r="BS48" i="3" s="1"/>
  <c r="BQ48" i="3"/>
  <c r="BU160" i="3"/>
  <c r="BK159" i="3"/>
  <c r="AI110" i="3"/>
  <c r="AJ106" i="3"/>
  <c r="AG57" i="2"/>
  <c r="AG55" i="2"/>
  <c r="AG58" i="2"/>
  <c r="AH55" i="2"/>
  <c r="AW145" i="3"/>
  <c r="AW132" i="3"/>
  <c r="P90" i="2" s="1"/>
  <c r="AW126" i="3"/>
  <c r="AY110" i="3"/>
  <c r="AY132" i="3" s="1"/>
  <c r="CT65" i="3"/>
  <c r="CT66" i="3"/>
  <c r="CT56" i="3"/>
  <c r="CU65" i="3"/>
  <c r="BC69" i="2"/>
  <c r="BC70" i="2" s="1"/>
  <c r="BR166" i="3"/>
  <c r="BU166" i="3"/>
  <c r="BU171" i="3" s="1"/>
  <c r="BJ160" i="3"/>
  <c r="BK158" i="3"/>
  <c r="H70" i="2"/>
  <c r="BT159" i="3"/>
  <c r="BT162" i="3"/>
  <c r="BQ110" i="3"/>
  <c r="BS106" i="3"/>
  <c r="BU162" i="3"/>
  <c r="BC78" i="2"/>
  <c r="BD77" i="2"/>
  <c r="CW70" i="2"/>
  <c r="DW376" i="2"/>
  <c r="FJ79" i="2"/>
  <c r="EL292" i="2"/>
  <c r="DP70" i="2"/>
  <c r="FO66" i="2"/>
  <c r="EL219" i="2"/>
  <c r="EJ146" i="2"/>
  <c r="EJ147" i="2"/>
  <c r="EM343" i="2"/>
  <c r="EL345" i="2"/>
  <c r="EL339" i="2"/>
  <c r="EL440" i="2" s="1"/>
  <c r="EL348" i="2"/>
  <c r="EM346" i="2"/>
  <c r="DW409" i="2"/>
  <c r="EJ117" i="2"/>
  <c r="EI119" i="2"/>
  <c r="EI105" i="2"/>
  <c r="EI416" i="2"/>
  <c r="DW368" i="2"/>
  <c r="EK341" i="2"/>
  <c r="EK145" i="2"/>
  <c r="EK340" i="2"/>
  <c r="EM281" i="2"/>
  <c r="EM275" i="2"/>
  <c r="EN279" i="2"/>
  <c r="EH106" i="2"/>
  <c r="EH107" i="2"/>
  <c r="EH418" i="2"/>
  <c r="EH417" i="2"/>
  <c r="GG419" i="2"/>
  <c r="GG418" i="2"/>
  <c r="GH339" i="2"/>
  <c r="GH443" i="2" s="1"/>
  <c r="EL276" i="2"/>
  <c r="EL277" i="2"/>
  <c r="GH235" i="2"/>
  <c r="GH111" i="2"/>
  <c r="GH115" i="2"/>
  <c r="AW128" i="3"/>
  <c r="BH171" i="3"/>
  <c r="BI171" i="3" s="1"/>
  <c r="BI166" i="3"/>
  <c r="GY14" i="3"/>
  <c r="EL16" i="2"/>
  <c r="EM14" i="2"/>
  <c r="EL15" i="2"/>
  <c r="BV65" i="3"/>
  <c r="BV56" i="3"/>
  <c r="AJ66" i="2" s="1"/>
  <c r="AJ69" i="2"/>
  <c r="DU430" i="2"/>
  <c r="DU429" i="2"/>
  <c r="DX426" i="2"/>
  <c r="DX425" i="2"/>
  <c r="DR132" i="3"/>
  <c r="BV90" i="2" s="1"/>
  <c r="DV110" i="3"/>
  <c r="DV132" i="3" s="1"/>
  <c r="DR126" i="3"/>
  <c r="DM132" i="3"/>
  <c r="BR90" i="2" s="1"/>
  <c r="DQ110" i="3"/>
  <c r="DQ132" i="3" s="1"/>
  <c r="DM126" i="3"/>
  <c r="AH74" i="2"/>
  <c r="AL74" i="2"/>
  <c r="DW130" i="3"/>
  <c r="EA126" i="3"/>
  <c r="EA130" i="3" s="1"/>
  <c r="CK309" i="2"/>
  <c r="CK308" i="2"/>
  <c r="EK423" i="2"/>
  <c r="GH329" i="2"/>
  <c r="GH334" i="2"/>
  <c r="GH336" i="2" s="1"/>
  <c r="BA81" i="2"/>
  <c r="FK79" i="2"/>
  <c r="FL81" i="2" s="1"/>
  <c r="FO69" i="2"/>
  <c r="EM218" i="2"/>
  <c r="EN216" i="2"/>
  <c r="EM203" i="2"/>
  <c r="DY154" i="2"/>
  <c r="DY155" i="2"/>
  <c r="DY156" i="2"/>
  <c r="DY424" i="2"/>
  <c r="EJ323" i="2"/>
  <c r="EJ322" i="2"/>
  <c r="HB86" i="3"/>
  <c r="EL201" i="2"/>
  <c r="EL200" i="2"/>
  <c r="EL195" i="2"/>
  <c r="EL109" i="2"/>
  <c r="FT132" i="3"/>
  <c r="FT111" i="3"/>
  <c r="EJ231" i="3"/>
  <c r="EJ232" i="3"/>
  <c r="DT66" i="3"/>
  <c r="DT65" i="3"/>
  <c r="DT56" i="3"/>
  <c r="BX66" i="2" s="1"/>
  <c r="BY67" i="2" s="1"/>
  <c r="BX69" i="2"/>
  <c r="BX70" i="2" s="1"/>
  <c r="DY66" i="3"/>
  <c r="DU455" i="2"/>
  <c r="DU452" i="2" s="1"/>
  <c r="DU444" i="2" s="1"/>
  <c r="DT452" i="2"/>
  <c r="GE130" i="3"/>
  <c r="GI126" i="3"/>
  <c r="GI130" i="3" s="1"/>
  <c r="DO66" i="3"/>
  <c r="DO56" i="3"/>
  <c r="BT66" i="2" s="1"/>
  <c r="DO65" i="3"/>
  <c r="BT69" i="2"/>
  <c r="CE110" i="3"/>
  <c r="CH106" i="3"/>
  <c r="C67" i="2"/>
  <c r="FD66" i="2"/>
  <c r="R68" i="2"/>
  <c r="EM443" i="2"/>
  <c r="CF145" i="3"/>
  <c r="CF132" i="3"/>
  <c r="AR90" i="2" s="1"/>
  <c r="AR93" i="2" s="1"/>
  <c r="CF126" i="3"/>
  <c r="CF130" i="3" s="1"/>
  <c r="CG171" i="3"/>
  <c r="CH171" i="3" s="1"/>
  <c r="CH166" i="3"/>
  <c r="DW431" i="2"/>
  <c r="DV428" i="2"/>
  <c r="DZ430" i="2" s="1"/>
  <c r="BN43" i="3"/>
  <c r="BN50" i="3"/>
  <c r="CG145" i="3"/>
  <c r="CG132" i="3"/>
  <c r="AS90" i="2" s="1"/>
  <c r="AS93" i="2" s="1"/>
  <c r="CG126" i="3"/>
  <c r="CG130" i="3" s="1"/>
  <c r="HA40" i="3"/>
  <c r="CS57" i="3"/>
  <c r="BB66" i="2"/>
  <c r="AS48" i="3"/>
  <c r="AS50" i="3"/>
  <c r="AS52" i="3" s="1"/>
  <c r="AT47" i="3"/>
  <c r="AT48" i="3" s="1"/>
  <c r="R93" i="2"/>
  <c r="FD90" i="2"/>
  <c r="FD93" i="2" s="1"/>
  <c r="DV360" i="2"/>
  <c r="DV362" i="2"/>
  <c r="DV361" i="2"/>
  <c r="DV351" i="2"/>
  <c r="FZ130" i="3"/>
  <c r="BT66" i="3"/>
  <c r="BT56" i="3"/>
  <c r="AH66" i="2" s="1"/>
  <c r="AH69" i="2"/>
  <c r="BY66" i="3"/>
  <c r="ES212" i="3"/>
  <c r="ET210" i="3"/>
  <c r="ES213" i="3"/>
  <c r="CC68" i="2"/>
  <c r="CM253" i="2"/>
  <c r="CM251" i="2"/>
  <c r="CM252" i="2"/>
  <c r="CM262" i="2"/>
  <c r="GO130" i="3"/>
  <c r="BA73" i="2"/>
  <c r="FL72" i="2"/>
  <c r="C91" i="2"/>
  <c r="BA77" i="2"/>
  <c r="FL76" i="2"/>
  <c r="GD431" i="2"/>
  <c r="GD430" i="2"/>
  <c r="DT389" i="2"/>
  <c r="DT388" i="2"/>
  <c r="BA93" i="2"/>
  <c r="BA91" i="2"/>
  <c r="FL90" i="2"/>
  <c r="FL93" i="2" s="1"/>
  <c r="BE130" i="3"/>
  <c r="GZ59" i="3"/>
  <c r="GY51" i="3"/>
  <c r="EL83" i="2"/>
  <c r="EL63" i="2" s="1"/>
  <c r="CM50" i="3"/>
  <c r="CM43" i="3"/>
  <c r="BB77" i="2"/>
  <c r="EO439" i="2"/>
  <c r="Z71" i="2"/>
  <c r="EO220" i="3"/>
  <c r="EP220" i="3" s="1"/>
  <c r="EP222" i="3" s="1"/>
  <c r="EN223" i="3"/>
  <c r="EN222" i="3"/>
  <c r="EN159" i="2"/>
  <c r="EO157" i="2"/>
  <c r="GI157" i="2" s="1"/>
  <c r="GE151" i="2"/>
  <c r="GE152" i="2"/>
  <c r="CL171" i="3"/>
  <c r="CM171" i="3" s="1"/>
  <c r="CM166" i="3"/>
  <c r="CL63" i="3"/>
  <c r="CL48" i="3"/>
  <c r="CL50" i="3"/>
  <c r="CM47" i="3"/>
  <c r="CM48" i="3" s="1"/>
  <c r="GH381" i="2"/>
  <c r="DC66" i="3"/>
  <c r="EK329" i="2"/>
  <c r="EK328" i="2"/>
  <c r="EK133" i="2"/>
  <c r="GH133" i="2" s="1"/>
  <c r="EK436" i="2"/>
  <c r="GH436" i="2" s="1"/>
  <c r="EK321" i="2"/>
  <c r="GH321" i="2" s="1"/>
  <c r="DY373" i="2"/>
  <c r="GE373" i="2" s="1"/>
  <c r="GE375" i="2" s="1"/>
  <c r="DX375" i="2"/>
  <c r="EL235" i="3"/>
  <c r="EL236" i="3"/>
  <c r="EL230" i="3"/>
  <c r="EL238" i="3"/>
  <c r="FY132" i="3"/>
  <c r="FY111" i="3"/>
  <c r="BV77" i="2"/>
  <c r="FR76" i="2"/>
  <c r="BW77" i="2"/>
  <c r="EJ438" i="2"/>
  <c r="EJ437" i="2"/>
  <c r="EJ432" i="2"/>
  <c r="AU73" i="2"/>
  <c r="AY74" i="2"/>
  <c r="GZ58" i="3"/>
  <c r="DK65" i="3"/>
  <c r="DK66" i="3"/>
  <c r="DK56" i="3"/>
  <c r="BQ66" i="2" s="1"/>
  <c r="BQ69" i="2"/>
  <c r="EL211" i="2"/>
  <c r="EL210" i="2"/>
  <c r="EL239" i="2"/>
  <c r="EL238" i="2"/>
  <c r="DJ93" i="2"/>
  <c r="DJ91" i="2"/>
  <c r="GB90" i="2"/>
  <c r="DN92" i="2"/>
  <c r="DK91" i="2"/>
  <c r="GZ22" i="3"/>
  <c r="EN45" i="2"/>
  <c r="EM47" i="2"/>
  <c r="GH442" i="2"/>
  <c r="V71" i="2"/>
  <c r="V70" i="2"/>
  <c r="EJ313" i="3"/>
  <c r="EJ314" i="3" s="1"/>
  <c r="EJ317" i="3" s="1"/>
  <c r="EJ242" i="3"/>
  <c r="EJ239" i="3"/>
  <c r="EJ240" i="3"/>
  <c r="DN130" i="3"/>
  <c r="DN75" i="3"/>
  <c r="DN76" i="3" s="1"/>
  <c r="EM230" i="2"/>
  <c r="EN228" i="2"/>
  <c r="DS454" i="2"/>
  <c r="DS453" i="2"/>
  <c r="DS444" i="2"/>
  <c r="DW384" i="2"/>
  <c r="DW359" i="2"/>
  <c r="DW385" i="2"/>
  <c r="GI132" i="3"/>
  <c r="GI111" i="3"/>
  <c r="EB130" i="3"/>
  <c r="EF126" i="3"/>
  <c r="EF130" i="3" s="1"/>
  <c r="EF129" i="3" s="1"/>
  <c r="DU397" i="2"/>
  <c r="DV394" i="2"/>
  <c r="DU396" i="2"/>
  <c r="DU387" i="2"/>
  <c r="GC78" i="2"/>
  <c r="GY109" i="3"/>
  <c r="DU352" i="2"/>
  <c r="DU354" i="2"/>
  <c r="DU353" i="2"/>
  <c r="EK442" i="2"/>
  <c r="EK441" i="2"/>
  <c r="DU65" i="3"/>
  <c r="BM171" i="3"/>
  <c r="BN171" i="3" s="1"/>
  <c r="BN166" i="3"/>
  <c r="BF93" i="2"/>
  <c r="FN90" i="2"/>
  <c r="FN93" i="2" s="1"/>
  <c r="AD71" i="2"/>
  <c r="AT50" i="3"/>
  <c r="AT52" i="3" s="1"/>
  <c r="AT43" i="3"/>
  <c r="AS110" i="3"/>
  <c r="AT106" i="3"/>
  <c r="BH159" i="3"/>
  <c r="BI159" i="3" s="1"/>
  <c r="BH162" i="3"/>
  <c r="BI162" i="3" s="1"/>
  <c r="BG110" i="3"/>
  <c r="Z93" i="2"/>
  <c r="GD132" i="3"/>
  <c r="GD111" i="3"/>
  <c r="DJ65" i="3"/>
  <c r="DJ56" i="3"/>
  <c r="BP66" i="2" s="1"/>
  <c r="DJ66" i="3"/>
  <c r="BP69" i="2"/>
  <c r="BZ93" i="2"/>
  <c r="BZ91" i="2"/>
  <c r="FS90" i="2"/>
  <c r="FS93" i="2" s="1"/>
  <c r="FP72" i="2"/>
  <c r="DU401" i="2"/>
  <c r="DU400" i="2"/>
  <c r="GD399" i="2"/>
  <c r="GQ124" i="3"/>
  <c r="BU74" i="2"/>
  <c r="BU73" i="2"/>
  <c r="CQ56" i="3"/>
  <c r="BA66" i="2" s="1"/>
  <c r="CQ65" i="3"/>
  <c r="BA69" i="2"/>
  <c r="BB70" i="2" s="1"/>
  <c r="CR52" i="3"/>
  <c r="GH227" i="2"/>
  <c r="EJ39" i="2"/>
  <c r="EJ38" i="2"/>
  <c r="EK85" i="2"/>
  <c r="EK84" i="2"/>
  <c r="GH83" i="2"/>
  <c r="GH85" i="2" s="1"/>
  <c r="EL243" i="2"/>
  <c r="EL242" i="2"/>
  <c r="BD68" i="2"/>
  <c r="CE50" i="3"/>
  <c r="CE63" i="3"/>
  <c r="CE48" i="3"/>
  <c r="CH47" i="3"/>
  <c r="CH48" i="3" s="1"/>
  <c r="CG63" i="3"/>
  <c r="AS76" i="2" s="1"/>
  <c r="AT77" i="2" s="1"/>
  <c r="CG48" i="3"/>
  <c r="CG50" i="3"/>
  <c r="EM312" i="3"/>
  <c r="EM234" i="3"/>
  <c r="EM225" i="3"/>
  <c r="EM224" i="3"/>
  <c r="EM331" i="2"/>
  <c r="EL327" i="2"/>
  <c r="EL333" i="2"/>
  <c r="GH61" i="2"/>
  <c r="GH228" i="2"/>
  <c r="GH205" i="2"/>
  <c r="V93" i="2"/>
  <c r="CN298" i="2"/>
  <c r="CN256" i="2"/>
  <c r="CN257" i="2"/>
  <c r="CN255" i="2"/>
  <c r="CN250" i="2"/>
  <c r="W71" i="2"/>
  <c r="W70" i="2"/>
  <c r="FV130" i="3"/>
  <c r="FY126" i="3"/>
  <c r="FY130" i="3" s="1"/>
  <c r="DT130" i="3"/>
  <c r="DT75" i="3"/>
  <c r="DT76" i="3" s="1"/>
  <c r="DR445" i="2"/>
  <c r="DR447" i="2"/>
  <c r="DR446" i="2"/>
  <c r="DV446" i="2"/>
  <c r="EJ135" i="2"/>
  <c r="EJ134" i="2"/>
  <c r="CJ56" i="3"/>
  <c r="AU66" i="2" s="1"/>
  <c r="CJ65" i="3"/>
  <c r="AU69" i="2"/>
  <c r="CO66" i="3"/>
  <c r="EN212" i="2"/>
  <c r="EM209" i="2"/>
  <c r="EM215" i="2" s="1"/>
  <c r="EM199" i="2"/>
  <c r="EM214" i="2"/>
  <c r="EG130" i="3"/>
  <c r="EI433" i="2"/>
  <c r="EI435" i="2"/>
  <c r="EI434" i="2"/>
  <c r="CI130" i="3"/>
  <c r="DV93" i="2"/>
  <c r="DV92" i="2"/>
  <c r="DV91" i="2"/>
  <c r="GE90" i="2"/>
  <c r="GF92" i="2" s="1"/>
  <c r="DW91" i="2"/>
  <c r="CB65" i="3"/>
  <c r="CB56" i="3"/>
  <c r="AO66" i="2" s="1"/>
  <c r="AO69" i="2"/>
  <c r="CH50" i="3"/>
  <c r="CH43" i="3"/>
  <c r="AE74" i="2"/>
  <c r="AE73" i="2"/>
  <c r="DZ429" i="2"/>
  <c r="GH211" i="2"/>
  <c r="GH219" i="2"/>
  <c r="DO71" i="2"/>
  <c r="DO70" i="2"/>
  <c r="DZ128" i="3"/>
  <c r="DZ129" i="3" s="1"/>
  <c r="S67" i="2"/>
  <c r="BL158" i="3"/>
  <c r="BL159" i="3"/>
  <c r="BL160" i="3"/>
  <c r="BL166" i="3"/>
  <c r="BL171" i="3" s="1"/>
  <c r="BL162" i="3"/>
  <c r="BH106" i="3"/>
  <c r="BH110" i="3" s="1"/>
  <c r="BH43" i="3"/>
  <c r="BH47" i="3"/>
  <c r="BI47" i="3" s="1"/>
  <c r="BI48" i="3" s="1"/>
  <c r="GX20" i="3"/>
  <c r="BI42" i="3"/>
  <c r="BK162" i="3"/>
  <c r="DY369" i="2"/>
  <c r="DX371" i="2"/>
  <c r="DR92" i="2"/>
  <c r="DR91" i="2"/>
  <c r="DR93" i="2"/>
  <c r="EM291" i="2"/>
  <c r="EN289" i="2"/>
  <c r="DJ70" i="2"/>
  <c r="DJ71" i="2"/>
  <c r="DN71" i="2"/>
  <c r="DH66" i="3"/>
  <c r="DH56" i="3"/>
  <c r="BN66" i="2" s="1"/>
  <c r="DH65" i="3"/>
  <c r="BN69" i="2"/>
  <c r="DT71" i="2"/>
  <c r="DT70" i="2"/>
  <c r="DV404" i="2"/>
  <c r="DV405" i="2"/>
  <c r="DW402" i="2"/>
  <c r="DV399" i="2"/>
  <c r="BT130" i="3"/>
  <c r="CV71" i="2"/>
  <c r="CV70" i="2"/>
  <c r="DG106" i="3"/>
  <c r="DV56" i="3"/>
  <c r="FR66" i="2" s="1"/>
  <c r="FR69" i="2"/>
  <c r="DP66" i="3"/>
  <c r="DP56" i="3"/>
  <c r="BU66" i="2" s="1"/>
  <c r="BY68" i="2" s="1"/>
  <c r="DP65" i="3"/>
  <c r="BU69" i="2"/>
  <c r="BY71" i="2" s="1"/>
  <c r="EL132" i="3"/>
  <c r="CL90" i="2" s="1"/>
  <c r="EP110" i="3"/>
  <c r="EP132" i="3" s="1"/>
  <c r="EL274" i="2"/>
  <c r="EL273" i="2"/>
  <c r="EL278" i="2"/>
  <c r="CQ130" i="3"/>
  <c r="CR126" i="3"/>
  <c r="CR130" i="3" s="1"/>
  <c r="DA71" i="2"/>
  <c r="DA70" i="2"/>
  <c r="AB70" i="2"/>
  <c r="DB70" i="2"/>
  <c r="FP130" i="3"/>
  <c r="FT126" i="3"/>
  <c r="FT130" i="3" s="1"/>
  <c r="CX66" i="3"/>
  <c r="CX56" i="3"/>
  <c r="BF66" i="2" s="1"/>
  <c r="CX65" i="3"/>
  <c r="DB52" i="3"/>
  <c r="DB56" i="3" s="1"/>
  <c r="BF69" i="2"/>
  <c r="CX130" i="3"/>
  <c r="DB126" i="3"/>
  <c r="DB130" i="3" s="1"/>
  <c r="BG50" i="3"/>
  <c r="BG52" i="3" s="1"/>
  <c r="BG48" i="3"/>
  <c r="BJ130" i="3"/>
  <c r="GF93" i="2"/>
  <c r="EK115" i="2"/>
  <c r="EK114" i="2"/>
  <c r="GA93" i="2"/>
  <c r="GA92" i="2"/>
  <c r="CL110" i="3"/>
  <c r="CM106" i="3"/>
  <c r="EL381" i="2"/>
  <c r="EM381" i="2" s="1"/>
  <c r="EN381" i="2" s="1"/>
  <c r="EO381" i="2" s="1"/>
  <c r="EP381" i="2" s="1"/>
  <c r="EQ381" i="2" s="1"/>
  <c r="ER381" i="2" s="1"/>
  <c r="ES381" i="2" s="1"/>
  <c r="ET381" i="2" s="1"/>
  <c r="EU381" i="2" s="1"/>
  <c r="EV381" i="2" s="1"/>
  <c r="EW381" i="2" s="1"/>
  <c r="FR72" i="2"/>
  <c r="BV73" i="2"/>
  <c r="BV74" i="2"/>
  <c r="DO93" i="2"/>
  <c r="DO92" i="2"/>
  <c r="DO91" i="2"/>
  <c r="GC90" i="2"/>
  <c r="BX91" i="2"/>
  <c r="BX93" i="2"/>
  <c r="BY91" i="2"/>
  <c r="EL205" i="2"/>
  <c r="EL204" i="2"/>
  <c r="EL113" i="2"/>
  <c r="GW107" i="3"/>
  <c r="GX107" i="3" s="1"/>
  <c r="GX14" i="3"/>
  <c r="EA268" i="2"/>
  <c r="EA267" i="2"/>
  <c r="EA269" i="2"/>
  <c r="EA149" i="2"/>
  <c r="BR73" i="2"/>
  <c r="FQ72" i="2"/>
  <c r="GY20" i="3"/>
  <c r="EM41" i="2"/>
  <c r="EL43" i="2"/>
  <c r="EL32" i="2"/>
  <c r="V68" i="2"/>
  <c r="CV66" i="3"/>
  <c r="CV56" i="3"/>
  <c r="CV65" i="3"/>
  <c r="BE69" i="2"/>
  <c r="DA66" i="3"/>
  <c r="BB91" i="2"/>
  <c r="EI124" i="3"/>
  <c r="EH126" i="3"/>
  <c r="EH130" i="3" s="1"/>
  <c r="FU90" i="2"/>
  <c r="FU93" i="2" s="1"/>
  <c r="CH93" i="2"/>
  <c r="EK313" i="3"/>
  <c r="EK314" i="3" s="1"/>
  <c r="EK317" i="3" s="1"/>
  <c r="EK240" i="3"/>
  <c r="DZ152" i="2"/>
  <c r="DZ151" i="2"/>
  <c r="DZ150" i="2"/>
  <c r="DZ153" i="2"/>
  <c r="CD93" i="2"/>
  <c r="FT90" i="2"/>
  <c r="FT93" i="2" s="1"/>
  <c r="BP65" i="3"/>
  <c r="BP56" i="3"/>
  <c r="AE66" i="2" s="1"/>
  <c r="BP66" i="3"/>
  <c r="AE69" i="2"/>
  <c r="EA428" i="2"/>
  <c r="EB315" i="2"/>
  <c r="EA316" i="2"/>
  <c r="EA318" i="2"/>
  <c r="EA317" i="2"/>
  <c r="EK445" i="2"/>
  <c r="EK446" i="2"/>
  <c r="GH444" i="2"/>
  <c r="EL61" i="2"/>
  <c r="EL60" i="2"/>
  <c r="EL36" i="2"/>
  <c r="EK235" i="2"/>
  <c r="EK234" i="2"/>
  <c r="GY95" i="3"/>
  <c r="DH132" i="3"/>
  <c r="BN90" i="2" s="1"/>
  <c r="DL110" i="3"/>
  <c r="DL132" i="3" s="1"/>
  <c r="DH126" i="3"/>
  <c r="FU307" i="2"/>
  <c r="FU265" i="2"/>
  <c r="FU264" i="2"/>
  <c r="DN66" i="3"/>
  <c r="DN56" i="3"/>
  <c r="BS66" i="2" s="1"/>
  <c r="DN65" i="3"/>
  <c r="BS69" i="2"/>
  <c r="AS80" i="2"/>
  <c r="AT80" i="2"/>
  <c r="GD78" i="2"/>
  <c r="FS164" i="3"/>
  <c r="FR161" i="3"/>
  <c r="FR163" i="3"/>
  <c r="FR162" i="3"/>
  <c r="AS171" i="3"/>
  <c r="AT171" i="3" s="1"/>
  <c r="AT166" i="3"/>
  <c r="BJ166" i="3"/>
  <c r="BJ171" i="3" s="1"/>
  <c r="BJ159" i="3"/>
  <c r="BK166" i="3"/>
  <c r="BK171" i="3" s="1"/>
  <c r="EI243" i="3"/>
  <c r="EI244" i="3"/>
  <c r="CM300" i="2"/>
  <c r="CM299" i="2"/>
  <c r="GB132" i="3"/>
  <c r="DT90" i="2" s="1"/>
  <c r="GB126" i="3"/>
  <c r="GB130" i="3" s="1"/>
  <c r="DF145" i="3"/>
  <c r="DF132" i="3"/>
  <c r="BM90" i="2" s="1"/>
  <c r="BM93" i="2" s="1"/>
  <c r="DF126" i="3"/>
  <c r="DF130" i="3" s="1"/>
  <c r="L71" i="2"/>
  <c r="L70" i="2"/>
  <c r="DL70" i="2"/>
  <c r="DL71" i="2"/>
  <c r="DP93" i="2"/>
  <c r="DP92" i="2"/>
  <c r="DP91" i="2"/>
  <c r="EM227" i="2"/>
  <c r="EN225" i="2"/>
  <c r="EK222" i="2"/>
  <c r="EK197" i="2"/>
  <c r="EK196" i="2"/>
  <c r="GH195" i="2"/>
  <c r="EK34" i="2"/>
  <c r="EK37" i="2"/>
  <c r="GH37" i="2" s="1"/>
  <c r="GH39" i="2" s="1"/>
  <c r="EK33" i="2"/>
  <c r="GD353" i="2"/>
  <c r="GD354" i="2"/>
  <c r="HC90" i="3"/>
  <c r="R71" i="2"/>
  <c r="FD69" i="2"/>
  <c r="DU450" i="2"/>
  <c r="DU449" i="2"/>
  <c r="EP427" i="2"/>
  <c r="BM110" i="3"/>
  <c r="BN106" i="3"/>
  <c r="EL431" i="2"/>
  <c r="EI88" i="3"/>
  <c r="CL265" i="2"/>
  <c r="CL307" i="2"/>
  <c r="CL264" i="2"/>
  <c r="CL263" i="2"/>
  <c r="CA128" i="3"/>
  <c r="CA129" i="3" s="1"/>
  <c r="CO303" i="2"/>
  <c r="CP301" i="2"/>
  <c r="CO254" i="2"/>
  <c r="FV254" i="2" s="1"/>
  <c r="DR65" i="3"/>
  <c r="DR56" i="3"/>
  <c r="BV66" i="2" s="1"/>
  <c r="BW67" i="2" s="1"/>
  <c r="DR66" i="3"/>
  <c r="BV69" i="2"/>
  <c r="DW66" i="3"/>
  <c r="DE71" i="2"/>
  <c r="EB312" i="2"/>
  <c r="EC310" i="2"/>
  <c r="EB266" i="2"/>
  <c r="EU419" i="2"/>
  <c r="DM66" i="3"/>
  <c r="DM65" i="3"/>
  <c r="DM56" i="3"/>
  <c r="BR66" i="2" s="1"/>
  <c r="BR69" i="2"/>
  <c r="EK111" i="2"/>
  <c r="EK110" i="2"/>
  <c r="BI33" i="3"/>
  <c r="BI45" i="3"/>
  <c r="BI35" i="3"/>
  <c r="BI51" i="3" s="1"/>
  <c r="EP334" i="2"/>
  <c r="EO336" i="2"/>
  <c r="DY365" i="2"/>
  <c r="DX383" i="2"/>
  <c r="DX372" i="2" s="1"/>
  <c r="DX367" i="2"/>
  <c r="AT93" i="2"/>
  <c r="DY377" i="2"/>
  <c r="GE377" i="2" s="1"/>
  <c r="GE379" i="2" s="1"/>
  <c r="DX379" i="2"/>
  <c r="C70" i="2"/>
  <c r="EM447" i="2"/>
  <c r="EL444" i="2"/>
  <c r="HA54" i="3"/>
  <c r="GZ55" i="3"/>
  <c r="EM59" i="2"/>
  <c r="CA66" i="3"/>
  <c r="CF63" i="3"/>
  <c r="AR76" i="2" s="1"/>
  <c r="CF48" i="3"/>
  <c r="CF50" i="3"/>
  <c r="BM50" i="3"/>
  <c r="BM52" i="3" s="1"/>
  <c r="BM48" i="3"/>
  <c r="BN47" i="3"/>
  <c r="BN48" i="3" s="1"/>
  <c r="GE153" i="2"/>
  <c r="DY406" i="2"/>
  <c r="DX408" i="2"/>
  <c r="GC74" i="2"/>
  <c r="BH158" i="3"/>
  <c r="BI158" i="3" s="1"/>
  <c r="BH160" i="3"/>
  <c r="BI160" i="3" s="1"/>
  <c r="BK160" i="3"/>
  <c r="DW372" i="2"/>
  <c r="EJ224" i="2"/>
  <c r="EJ223" i="2"/>
  <c r="BD126" i="3"/>
  <c r="BD130" i="3" s="1"/>
  <c r="AZ130" i="3"/>
  <c r="Y56" i="2"/>
  <c r="Y55" i="2"/>
  <c r="Y57" i="2"/>
  <c r="Z55" i="2"/>
  <c r="DY430" i="2"/>
  <c r="EK63" i="2"/>
  <c r="CI66" i="3"/>
  <c r="CI56" i="3"/>
  <c r="AT66" i="2" s="1"/>
  <c r="AT69" i="2"/>
  <c r="CN66" i="3"/>
  <c r="ER311" i="3"/>
  <c r="ER215" i="3"/>
  <c r="ER214" i="3"/>
  <c r="AH93" i="2"/>
  <c r="CJ67" i="2"/>
  <c r="DE145" i="3"/>
  <c r="DG145" i="3" s="1"/>
  <c r="DE132" i="3"/>
  <c r="BL90" i="2" s="1"/>
  <c r="DE126" i="3"/>
  <c r="DG110" i="3"/>
  <c r="DG132" i="3" s="1"/>
  <c r="L67" i="2"/>
  <c r="L68" i="2"/>
  <c r="EM287" i="2"/>
  <c r="EN285" i="2"/>
  <c r="GH274" i="2"/>
  <c r="GH278" i="2"/>
  <c r="GH292" i="2"/>
  <c r="GH288" i="2"/>
  <c r="AF130" i="3"/>
  <c r="AF129" i="3" s="1"/>
  <c r="AG128" i="3" s="1"/>
  <c r="AG129" i="3" s="1"/>
  <c r="AH128" i="3" s="1"/>
  <c r="AH129" i="3" s="1"/>
  <c r="AI128" i="3" s="1"/>
  <c r="GH32" i="2"/>
  <c r="FM78" i="2" l="1"/>
  <c r="AJ73" i="2"/>
  <c r="AI74" i="2"/>
  <c r="AV73" i="2"/>
  <c r="AY145" i="3"/>
  <c r="BZ56" i="3"/>
  <c r="AM66" i="2" s="1"/>
  <c r="FI66" i="2" s="1"/>
  <c r="AM69" i="2"/>
  <c r="FI69" i="2" s="1"/>
  <c r="CA65" i="3"/>
  <c r="BZ65" i="3"/>
  <c r="FN69" i="2"/>
  <c r="FQ74" i="2"/>
  <c r="FN66" i="2"/>
  <c r="AZ65" i="3"/>
  <c r="Q69" i="2"/>
  <c r="BC66" i="3"/>
  <c r="AX56" i="3"/>
  <c r="Q66" i="2" s="1"/>
  <c r="FC66" i="2" s="1"/>
  <c r="AX65" i="3"/>
  <c r="BU56" i="3"/>
  <c r="AI66" i="2" s="1"/>
  <c r="AI68" i="2" s="1"/>
  <c r="BU66" i="3"/>
  <c r="BU65" i="3"/>
  <c r="BZ66" i="3"/>
  <c r="AI69" i="2"/>
  <c r="AI70" i="2" s="1"/>
  <c r="BR171" i="3"/>
  <c r="BS171" i="3" s="1"/>
  <c r="BS166" i="3"/>
  <c r="BC71" i="2"/>
  <c r="BD70" i="2"/>
  <c r="AW130" i="3"/>
  <c r="AW129" i="3" s="1"/>
  <c r="AY126" i="3"/>
  <c r="AY130" i="3" s="1"/>
  <c r="AY129" i="3" s="1"/>
  <c r="AI65" i="3"/>
  <c r="AI56" i="3"/>
  <c r="E66" i="2" s="1"/>
  <c r="E69" i="2"/>
  <c r="AK65" i="3"/>
  <c r="AN66" i="3"/>
  <c r="AJ52" i="3"/>
  <c r="P93" i="2"/>
  <c r="FC90" i="2"/>
  <c r="FC93" i="2" s="1"/>
  <c r="CP66" i="3"/>
  <c r="CK56" i="3"/>
  <c r="AV66" i="2" s="1"/>
  <c r="AZ68" i="2" s="1"/>
  <c r="AV69" i="2"/>
  <c r="AZ71" i="2" s="1"/>
  <c r="CT57" i="3"/>
  <c r="BC66" i="2"/>
  <c r="BC67" i="2" s="1"/>
  <c r="AI132" i="3"/>
  <c r="E90" i="2" s="1"/>
  <c r="AI126" i="3"/>
  <c r="AJ110" i="3"/>
  <c r="AJ132" i="3" s="1"/>
  <c r="P70" i="2"/>
  <c r="T71" i="2"/>
  <c r="GZ109" i="3"/>
  <c r="BR50" i="3"/>
  <c r="BR48" i="3"/>
  <c r="BW145" i="3"/>
  <c r="BX145" i="3" s="1"/>
  <c r="BW132" i="3"/>
  <c r="AK90" i="2" s="1"/>
  <c r="BW126" i="3"/>
  <c r="BX110" i="3"/>
  <c r="BX132" i="3" s="1"/>
  <c r="BW52" i="3"/>
  <c r="AK72" i="2"/>
  <c r="AT91" i="2"/>
  <c r="FM69" i="2"/>
  <c r="BQ132" i="3"/>
  <c r="AF90" i="2" s="1"/>
  <c r="BQ126" i="3"/>
  <c r="BQ145" i="3"/>
  <c r="BS110" i="3"/>
  <c r="BS132" i="3" s="1"/>
  <c r="BQ52" i="3"/>
  <c r="AF72" i="2"/>
  <c r="BR145" i="3"/>
  <c r="BR132" i="3"/>
  <c r="AG90" i="2" s="1"/>
  <c r="AG93" i="2" s="1"/>
  <c r="BR126" i="3"/>
  <c r="BR130" i="3" s="1"/>
  <c r="BY70" i="2"/>
  <c r="GI381" i="2"/>
  <c r="EM219" i="2"/>
  <c r="EM276" i="2"/>
  <c r="EM277" i="2"/>
  <c r="EM272" i="2"/>
  <c r="EM278" i="2" s="1"/>
  <c r="EI418" i="2"/>
  <c r="EI417" i="2"/>
  <c r="EM348" i="2"/>
  <c r="EN346" i="2"/>
  <c r="EM345" i="2"/>
  <c r="EM339" i="2"/>
  <c r="EM440" i="2" s="1"/>
  <c r="EN343" i="2"/>
  <c r="EJ119" i="2"/>
  <c r="EK117" i="2"/>
  <c r="EJ105" i="2"/>
  <c r="EJ416" i="2"/>
  <c r="EI107" i="2"/>
  <c r="EI106" i="2"/>
  <c r="EK147" i="2"/>
  <c r="EK146" i="2"/>
  <c r="GH145" i="2"/>
  <c r="GH147" i="2" s="1"/>
  <c r="GH346" i="2"/>
  <c r="GH341" i="2"/>
  <c r="EO279" i="2"/>
  <c r="GI279" i="2" s="1"/>
  <c r="GI281" i="2" s="1"/>
  <c r="EN275" i="2"/>
  <c r="EN272" i="2" s="1"/>
  <c r="EN292" i="2" s="1"/>
  <c r="EN281" i="2"/>
  <c r="EL341" i="2"/>
  <c r="EL340" i="2"/>
  <c r="EL145" i="2"/>
  <c r="FV301" i="2"/>
  <c r="FV303" i="2" s="1"/>
  <c r="FV298" i="2"/>
  <c r="FV300" i="2" s="1"/>
  <c r="FV256" i="2"/>
  <c r="FV257" i="2"/>
  <c r="GH323" i="2"/>
  <c r="EL65" i="2"/>
  <c r="EL64" i="2"/>
  <c r="BL93" i="2"/>
  <c r="FO90" i="2"/>
  <c r="FO93" i="2" s="1"/>
  <c r="BM56" i="3"/>
  <c r="AC66" i="2" s="1"/>
  <c r="BM65" i="3"/>
  <c r="AC69" i="2"/>
  <c r="BO65" i="3"/>
  <c r="BN52" i="3"/>
  <c r="CB128" i="3"/>
  <c r="CB129" i="3" s="1"/>
  <c r="DL126" i="3"/>
  <c r="DL130" i="3" s="1"/>
  <c r="DH130" i="3"/>
  <c r="CL93" i="2"/>
  <c r="FV90" i="2"/>
  <c r="FV93" i="2" s="1"/>
  <c r="DQ126" i="3"/>
  <c r="DQ130" i="3" s="1"/>
  <c r="DQ129" i="3" s="1"/>
  <c r="DM130" i="3"/>
  <c r="DM129" i="3" s="1"/>
  <c r="EM239" i="2"/>
  <c r="EM238" i="2"/>
  <c r="GH135" i="2"/>
  <c r="AQ76" i="2"/>
  <c r="FJ76" i="2" s="1"/>
  <c r="CH63" i="3"/>
  <c r="BA67" i="2"/>
  <c r="FL66" i="2"/>
  <c r="EJ244" i="3"/>
  <c r="EJ243" i="3"/>
  <c r="GH438" i="2"/>
  <c r="GH439" i="2"/>
  <c r="EP439" i="2"/>
  <c r="BB68" i="2"/>
  <c r="BB67" i="2"/>
  <c r="DV430" i="2"/>
  <c r="DV429" i="2"/>
  <c r="DU453" i="2"/>
  <c r="DU454" i="2"/>
  <c r="EL111" i="2"/>
  <c r="EL110" i="2"/>
  <c r="DY426" i="2"/>
  <c r="DY425" i="2"/>
  <c r="FR90" i="2"/>
  <c r="FR93" i="2" s="1"/>
  <c r="BV93" i="2"/>
  <c r="EL235" i="2"/>
  <c r="EL234" i="2"/>
  <c r="AH68" i="2"/>
  <c r="BI50" i="3"/>
  <c r="BI52" i="3" s="1"/>
  <c r="BI43" i="3"/>
  <c r="EK65" i="2"/>
  <c r="EK64" i="2"/>
  <c r="GH63" i="2"/>
  <c r="GH65" i="2" s="1"/>
  <c r="DY408" i="2"/>
  <c r="DZ406" i="2"/>
  <c r="GE406" i="2"/>
  <c r="EL445" i="2"/>
  <c r="EL446" i="2"/>
  <c r="DX380" i="2"/>
  <c r="BV70" i="2"/>
  <c r="BZ71" i="2"/>
  <c r="EK89" i="3"/>
  <c r="EJ88" i="3"/>
  <c r="EK88" i="3" s="1"/>
  <c r="EQ427" i="2"/>
  <c r="GH197" i="2"/>
  <c r="GH222" i="2"/>
  <c r="EK224" i="2"/>
  <c r="EK223" i="2"/>
  <c r="BN93" i="2"/>
  <c r="FP90" i="2"/>
  <c r="FP93" i="2" s="1"/>
  <c r="AE70" i="2"/>
  <c r="AE71" i="2"/>
  <c r="CV57" i="3"/>
  <c r="BE66" i="2"/>
  <c r="GZ20" i="3"/>
  <c r="EN41" i="2"/>
  <c r="EM43" i="2"/>
  <c r="EM32" i="2"/>
  <c r="EA152" i="2"/>
  <c r="EA151" i="2"/>
  <c r="EA150" i="2"/>
  <c r="EA153" i="2"/>
  <c r="GK381" i="2"/>
  <c r="DV400" i="2"/>
  <c r="DV401" i="2"/>
  <c r="EM201" i="2"/>
  <c r="EM200" i="2"/>
  <c r="EM195" i="2"/>
  <c r="EM109" i="2"/>
  <c r="EN331" i="2"/>
  <c r="EM327" i="2"/>
  <c r="EM333" i="2"/>
  <c r="CG52" i="3"/>
  <c r="AS72" i="2"/>
  <c r="AT73" i="2" s="1"/>
  <c r="CE52" i="3"/>
  <c r="AQ72" i="2"/>
  <c r="DU388" i="2"/>
  <c r="DU389" i="2"/>
  <c r="EJ433" i="2"/>
  <c r="EJ435" i="2"/>
  <c r="EJ434" i="2"/>
  <c r="EL313" i="3"/>
  <c r="EL314" i="3" s="1"/>
  <c r="EL317" i="3" s="1"/>
  <c r="EL239" i="3"/>
  <c r="EL240" i="3"/>
  <c r="EL242" i="3"/>
  <c r="DY375" i="2"/>
  <c r="DZ373" i="2"/>
  <c r="AW76" i="2"/>
  <c r="CM63" i="3"/>
  <c r="GI159" i="2"/>
  <c r="EN312" i="3"/>
  <c r="EN234" i="3"/>
  <c r="EN225" i="3"/>
  <c r="EN224" i="3"/>
  <c r="HA59" i="3"/>
  <c r="EM83" i="2"/>
  <c r="EM63" i="2" s="1"/>
  <c r="GZ51" i="3"/>
  <c r="DX431" i="2"/>
  <c r="DX428" i="2" s="1"/>
  <c r="DW428" i="2"/>
  <c r="EA430" i="2" s="1"/>
  <c r="EL442" i="2"/>
  <c r="EL441" i="2"/>
  <c r="EN218" i="2"/>
  <c r="EO216" i="2"/>
  <c r="EN203" i="2"/>
  <c r="EL423" i="2"/>
  <c r="FQ90" i="2"/>
  <c r="FQ93" i="2" s="1"/>
  <c r="BR93" i="2"/>
  <c r="GE424" i="2"/>
  <c r="GZ14" i="3"/>
  <c r="EN14" i="2"/>
  <c r="EM16" i="2"/>
  <c r="EM15" i="2"/>
  <c r="GD387" i="2"/>
  <c r="AX68" i="2"/>
  <c r="EB428" i="2"/>
  <c r="EB317" i="2"/>
  <c r="EC315" i="2"/>
  <c r="GF315" i="2" s="1"/>
  <c r="EB318" i="2"/>
  <c r="EB316" i="2"/>
  <c r="EL34" i="2"/>
  <c r="EL37" i="2"/>
  <c r="EL33" i="2"/>
  <c r="DY367" i="2"/>
  <c r="DZ365" i="2"/>
  <c r="DY383" i="2"/>
  <c r="GE383" i="2" s="1"/>
  <c r="GE385" i="2" s="1"/>
  <c r="CP303" i="2"/>
  <c r="CQ301" i="2"/>
  <c r="CP254" i="2"/>
  <c r="BM145" i="3"/>
  <c r="BN145" i="3" s="1"/>
  <c r="BM132" i="3"/>
  <c r="AC90" i="2" s="1"/>
  <c r="BM126" i="3"/>
  <c r="BN110" i="3"/>
  <c r="BN132" i="3" s="1"/>
  <c r="EL115" i="2"/>
  <c r="EL114" i="2"/>
  <c r="CL145" i="3"/>
  <c r="CM145" i="3" s="1"/>
  <c r="CL132" i="3"/>
  <c r="AW90" i="2" s="1"/>
  <c r="CL126" i="3"/>
  <c r="CM110" i="3"/>
  <c r="CM132" i="3" s="1"/>
  <c r="EN287" i="2"/>
  <c r="EO285" i="2"/>
  <c r="GI285" i="2" s="1"/>
  <c r="AT71" i="2"/>
  <c r="GE156" i="2"/>
  <c r="GE155" i="2"/>
  <c r="CF52" i="3"/>
  <c r="AR72" i="2"/>
  <c r="EM444" i="2"/>
  <c r="EN447" i="2"/>
  <c r="GE365" i="2"/>
  <c r="GE367" i="2" s="1"/>
  <c r="EP336" i="2"/>
  <c r="EQ334" i="2"/>
  <c r="GZ95" i="3"/>
  <c r="DZ154" i="2"/>
  <c r="DZ155" i="2"/>
  <c r="DZ156" i="2"/>
  <c r="DZ424" i="2"/>
  <c r="EJ124" i="3"/>
  <c r="EK124" i="3" s="1"/>
  <c r="EI126" i="3"/>
  <c r="BG65" i="3"/>
  <c r="BG66" i="3"/>
  <c r="BG56" i="3"/>
  <c r="X66" i="2" s="1"/>
  <c r="X69" i="2"/>
  <c r="BL66" i="3"/>
  <c r="DW405" i="2"/>
  <c r="DX402" i="2"/>
  <c r="DW399" i="2"/>
  <c r="DW404" i="2"/>
  <c r="FP69" i="2"/>
  <c r="BH48" i="3"/>
  <c r="BH50" i="3"/>
  <c r="BH52" i="3" s="1"/>
  <c r="EB128" i="3"/>
  <c r="EB129" i="3" s="1"/>
  <c r="EM211" i="2"/>
  <c r="EM210" i="2"/>
  <c r="AU70" i="2"/>
  <c r="AY71" i="2"/>
  <c r="CN300" i="2"/>
  <c r="CN299" i="2"/>
  <c r="GH230" i="2"/>
  <c r="AS132" i="3"/>
  <c r="M90" i="2" s="1"/>
  <c r="AS145" i="3"/>
  <c r="AT145" i="3" s="1"/>
  <c r="AT110" i="3"/>
  <c r="AT132" i="3" s="1"/>
  <c r="AS126" i="3"/>
  <c r="DS447" i="2"/>
  <c r="DW446" i="2"/>
  <c r="DS445" i="2"/>
  <c r="DS446" i="2"/>
  <c r="GB92" i="2"/>
  <c r="GB93" i="2"/>
  <c r="EL232" i="3"/>
  <c r="EL231" i="3"/>
  <c r="EK322" i="2"/>
  <c r="EK323" i="2"/>
  <c r="EP157" i="2"/>
  <c r="EO159" i="2"/>
  <c r="EQ220" i="3"/>
  <c r="EO222" i="3"/>
  <c r="EO223" i="3"/>
  <c r="HB40" i="3"/>
  <c r="EN443" i="2"/>
  <c r="CE145" i="3"/>
  <c r="CH145" i="3" s="1"/>
  <c r="CE132" i="3"/>
  <c r="AQ90" i="2" s="1"/>
  <c r="CE126" i="3"/>
  <c r="CH110" i="3"/>
  <c r="CH132" i="3" s="1"/>
  <c r="EL222" i="2"/>
  <c r="EL197" i="2"/>
  <c r="EL196" i="2"/>
  <c r="HC86" i="3"/>
  <c r="HD86" i="3"/>
  <c r="EM243" i="2"/>
  <c r="EM242" i="2"/>
  <c r="EK242" i="3"/>
  <c r="EK244" i="3" s="1"/>
  <c r="DX359" i="2"/>
  <c r="DX384" i="2"/>
  <c r="DX385" i="2"/>
  <c r="EC312" i="2"/>
  <c r="ED310" i="2"/>
  <c r="EC266" i="2"/>
  <c r="EK39" i="2"/>
  <c r="EK38" i="2"/>
  <c r="DT93" i="2"/>
  <c r="DT92" i="2"/>
  <c r="DT91" i="2"/>
  <c r="DU91" i="2"/>
  <c r="DX92" i="2"/>
  <c r="EK128" i="3"/>
  <c r="DW351" i="2"/>
  <c r="DW360" i="2"/>
  <c r="DW362" i="2"/>
  <c r="DW361" i="2"/>
  <c r="EO228" i="2"/>
  <c r="EN230" i="2"/>
  <c r="CL52" i="3"/>
  <c r="AW72" i="2"/>
  <c r="FK72" i="2" s="1"/>
  <c r="FL74" i="2" s="1"/>
  <c r="EA429" i="2"/>
  <c r="EL329" i="2"/>
  <c r="EL328" i="2"/>
  <c r="EL133" i="2"/>
  <c r="EL321" i="2"/>
  <c r="EL436" i="2"/>
  <c r="GH34" i="2"/>
  <c r="EM61" i="2"/>
  <c r="EM36" i="2"/>
  <c r="EM60" i="2"/>
  <c r="DY379" i="2"/>
  <c r="DZ377" i="2"/>
  <c r="DX368" i="2"/>
  <c r="EV419" i="2"/>
  <c r="BV67" i="2"/>
  <c r="BZ68" i="2"/>
  <c r="CL309" i="2"/>
  <c r="CL308" i="2"/>
  <c r="EM431" i="2"/>
  <c r="DU446" i="2"/>
  <c r="DY446" i="2"/>
  <c r="DU447" i="2"/>
  <c r="DV445" i="2"/>
  <c r="FU164" i="3"/>
  <c r="FT164" i="3"/>
  <c r="FS162" i="3"/>
  <c r="FT162" i="3" s="1"/>
  <c r="FS161" i="3"/>
  <c r="FT161" i="3" s="1"/>
  <c r="FS163" i="3"/>
  <c r="FT163" i="3" s="1"/>
  <c r="GH446" i="2"/>
  <c r="GH447" i="2"/>
  <c r="AE68" i="2"/>
  <c r="AE67" i="2"/>
  <c r="GC92" i="2"/>
  <c r="GC93" i="2"/>
  <c r="GD90" i="2"/>
  <c r="GE92" i="2" s="1"/>
  <c r="GE93" i="2"/>
  <c r="EO212" i="2"/>
  <c r="EN209" i="2"/>
  <c r="EN219" i="2" s="1"/>
  <c r="EN199" i="2"/>
  <c r="EN214" i="2"/>
  <c r="BW70" i="2"/>
  <c r="BA70" i="2"/>
  <c r="FL69" i="2"/>
  <c r="GR124" i="3"/>
  <c r="GS124" i="3" s="1"/>
  <c r="BI106" i="3"/>
  <c r="DW394" i="2"/>
  <c r="DV396" i="2"/>
  <c r="DV397" i="2"/>
  <c r="DV387" i="2"/>
  <c r="HA58" i="3"/>
  <c r="EK432" i="2"/>
  <c r="GH432" i="2" s="1"/>
  <c r="EK438" i="2"/>
  <c r="EK437" i="2"/>
  <c r="ES311" i="3"/>
  <c r="ES215" i="3"/>
  <c r="ES214" i="3"/>
  <c r="AH71" i="2"/>
  <c r="GD126" i="3"/>
  <c r="GD130" i="3" s="1"/>
  <c r="BX67" i="2"/>
  <c r="CB68" i="2"/>
  <c r="GY107" i="3"/>
  <c r="DX409" i="2"/>
  <c r="HB54" i="3"/>
  <c r="EN59" i="2"/>
  <c r="CO257" i="2"/>
  <c r="CO255" i="2"/>
  <c r="CO298" i="2"/>
  <c r="CO256" i="2"/>
  <c r="CO250" i="2"/>
  <c r="FV250" i="2" s="1"/>
  <c r="EN227" i="2"/>
  <c r="EO225" i="2"/>
  <c r="AU67" i="2"/>
  <c r="AY68" i="2"/>
  <c r="EM230" i="3"/>
  <c r="EM238" i="3"/>
  <c r="EM236" i="3"/>
  <c r="EM235" i="3"/>
  <c r="DX376" i="2"/>
  <c r="EL85" i="2"/>
  <c r="EL84" i="2"/>
  <c r="DT454" i="2"/>
  <c r="DT453" i="2"/>
  <c r="GD452" i="2"/>
  <c r="DT444" i="2"/>
  <c r="DU445" i="2" s="1"/>
  <c r="DE130" i="3"/>
  <c r="DG126" i="3"/>
  <c r="DG130" i="3" s="1"/>
  <c r="EB269" i="2"/>
  <c r="EB268" i="2"/>
  <c r="EB267" i="2"/>
  <c r="EB149" i="2"/>
  <c r="HA60" i="3"/>
  <c r="HA55" i="3" s="1"/>
  <c r="FU309" i="2"/>
  <c r="FR74" i="2"/>
  <c r="FP66" i="2"/>
  <c r="EN291" i="2"/>
  <c r="EO289" i="2"/>
  <c r="GI289" i="2" s="1"/>
  <c r="DY371" i="2"/>
  <c r="DZ369" i="2"/>
  <c r="GE369" i="2"/>
  <c r="GE371" i="2" s="1"/>
  <c r="BH145" i="3"/>
  <c r="BH132" i="3"/>
  <c r="Y90" i="2" s="1"/>
  <c r="Y93" i="2" s="1"/>
  <c r="BH126" i="3"/>
  <c r="BH130" i="3" s="1"/>
  <c r="CN252" i="2"/>
  <c r="CN253" i="2"/>
  <c r="CN251" i="2"/>
  <c r="CN262" i="2"/>
  <c r="BG145" i="3"/>
  <c r="BG132" i="3"/>
  <c r="X90" i="2" s="1"/>
  <c r="BG126" i="3"/>
  <c r="BI110" i="3"/>
  <c r="BI132" i="3" s="1"/>
  <c r="HA22" i="3"/>
  <c r="EO45" i="2"/>
  <c r="GI45" i="2" s="1"/>
  <c r="GI47" i="2" s="1"/>
  <c r="EN47" i="2"/>
  <c r="EK135" i="2"/>
  <c r="EK134" i="2"/>
  <c r="CM307" i="2"/>
  <c r="CM263" i="2"/>
  <c r="CM265" i="2"/>
  <c r="CM264" i="2"/>
  <c r="ET212" i="3"/>
  <c r="ET213" i="3"/>
  <c r="EU210" i="3"/>
  <c r="EU212" i="3" s="1"/>
  <c r="DV352" i="2"/>
  <c r="DV354" i="2"/>
  <c r="DV353" i="2"/>
  <c r="AS66" i="3"/>
  <c r="AS56" i="3"/>
  <c r="M66" i="2" s="1"/>
  <c r="AS65" i="3"/>
  <c r="M69" i="2"/>
  <c r="AU65" i="3"/>
  <c r="AX66" i="3"/>
  <c r="EM205" i="2"/>
  <c r="EM204" i="2"/>
  <c r="EM113" i="2"/>
  <c r="DR130" i="3"/>
  <c r="DV126" i="3"/>
  <c r="DV130" i="3" s="1"/>
  <c r="GJ381" i="2"/>
  <c r="AI67" i="2" l="1"/>
  <c r="AV67" i="2"/>
  <c r="DY372" i="2"/>
  <c r="DY380" i="2"/>
  <c r="EM274" i="2"/>
  <c r="EM273" i="2"/>
  <c r="CW57" i="3"/>
  <c r="BS145" i="3"/>
  <c r="AI71" i="2"/>
  <c r="U71" i="2"/>
  <c r="Q70" i="2"/>
  <c r="R70" i="2"/>
  <c r="FC69" i="2"/>
  <c r="FM66" i="2"/>
  <c r="FM68" i="2" s="1"/>
  <c r="AX128" i="3"/>
  <c r="AX129" i="3" s="1"/>
  <c r="AL73" i="2"/>
  <c r="FH72" i="2"/>
  <c r="AK73" i="2"/>
  <c r="AI130" i="3"/>
  <c r="AI129" i="3" s="1"/>
  <c r="AK128" i="3" s="1"/>
  <c r="AK129" i="3" s="1"/>
  <c r="AJ126" i="3"/>
  <c r="AJ130" i="3" s="1"/>
  <c r="AJ129" i="3" s="1"/>
  <c r="BQ130" i="3"/>
  <c r="BS126" i="3"/>
  <c r="BS130" i="3" s="1"/>
  <c r="BY65" i="3"/>
  <c r="BW56" i="3"/>
  <c r="AK66" i="2" s="1"/>
  <c r="FH66" i="2" s="1"/>
  <c r="AK69" i="2"/>
  <c r="FH69" i="2" s="1"/>
  <c r="FI71" i="2" s="1"/>
  <c r="BW65" i="3"/>
  <c r="BX52" i="3"/>
  <c r="CB66" i="3"/>
  <c r="BR52" i="3"/>
  <c r="AG72" i="2"/>
  <c r="FG72" i="2" s="1"/>
  <c r="E93" i="2"/>
  <c r="E91" i="2"/>
  <c r="F91" i="2"/>
  <c r="EZ90" i="2"/>
  <c r="AF93" i="2"/>
  <c r="FG90" i="2"/>
  <c r="FG93" i="2" s="1"/>
  <c r="BD67" i="2"/>
  <c r="BC68" i="2"/>
  <c r="E70" i="2"/>
  <c r="F70" i="2"/>
  <c r="EZ69" i="2"/>
  <c r="FA71" i="2" s="1"/>
  <c r="I71" i="2"/>
  <c r="AF74" i="2"/>
  <c r="AJ74" i="2"/>
  <c r="AF73" i="2"/>
  <c r="BW130" i="3"/>
  <c r="BX126" i="3"/>
  <c r="BX130" i="3" s="1"/>
  <c r="E67" i="2"/>
  <c r="F67" i="2"/>
  <c r="I68" i="2"/>
  <c r="EZ66" i="2"/>
  <c r="FA68" i="2" s="1"/>
  <c r="BQ56" i="3"/>
  <c r="AF66" i="2" s="1"/>
  <c r="BQ66" i="3"/>
  <c r="AF69" i="2"/>
  <c r="BV66" i="3"/>
  <c r="BQ65" i="3"/>
  <c r="AK93" i="2"/>
  <c r="FH90" i="2"/>
  <c r="FH93" i="2" s="1"/>
  <c r="AV70" i="2"/>
  <c r="BD128" i="3"/>
  <c r="BD129" i="3" s="1"/>
  <c r="EO343" i="2"/>
  <c r="EN345" i="2"/>
  <c r="EN339" i="2"/>
  <c r="EN440" i="2" s="1"/>
  <c r="EN348" i="2"/>
  <c r="EO346" i="2"/>
  <c r="EM145" i="2"/>
  <c r="EM341" i="2"/>
  <c r="EM340" i="2"/>
  <c r="EM292" i="2"/>
  <c r="EM288" i="2"/>
  <c r="GH348" i="2"/>
  <c r="EJ417" i="2"/>
  <c r="EJ418" i="2"/>
  <c r="EJ107" i="2"/>
  <c r="EJ106" i="2"/>
  <c r="EN276" i="2"/>
  <c r="EN277" i="2"/>
  <c r="GH117" i="2"/>
  <c r="GH119" i="2" s="1"/>
  <c r="EL117" i="2"/>
  <c r="EK119" i="2"/>
  <c r="EK416" i="2"/>
  <c r="EK105" i="2"/>
  <c r="DY368" i="2"/>
  <c r="EL147" i="2"/>
  <c r="EL146" i="2"/>
  <c r="EP279" i="2"/>
  <c r="EO275" i="2"/>
  <c r="GI275" i="2" s="1"/>
  <c r="EO281" i="2"/>
  <c r="HA109" i="3"/>
  <c r="GH435" i="2"/>
  <c r="GH434" i="2"/>
  <c r="EC128" i="3"/>
  <c r="EC129" i="3" s="1"/>
  <c r="GE426" i="2"/>
  <c r="GE427" i="2"/>
  <c r="M70" i="2"/>
  <c r="M71" i="2"/>
  <c r="N70" i="2"/>
  <c r="FB69" i="2"/>
  <c r="FB71" i="2" s="1"/>
  <c r="Q71" i="2"/>
  <c r="CN307" i="2"/>
  <c r="CN263" i="2"/>
  <c r="CN265" i="2"/>
  <c r="CN264" i="2"/>
  <c r="EN201" i="2"/>
  <c r="EN200" i="2"/>
  <c r="EN195" i="2"/>
  <c r="EN109" i="2"/>
  <c r="EL437" i="2"/>
  <c r="EL432" i="2"/>
  <c r="EL438" i="2"/>
  <c r="DW354" i="2"/>
  <c r="DW353" i="2"/>
  <c r="DW352" i="2"/>
  <c r="EM442" i="2"/>
  <c r="EM441" i="2"/>
  <c r="EQ157" i="2"/>
  <c r="EP159" i="2"/>
  <c r="DX405" i="2"/>
  <c r="DY402" i="2"/>
  <c r="DX399" i="2"/>
  <c r="DX404" i="2"/>
  <c r="EJ126" i="3"/>
  <c r="EJ130" i="3" s="1"/>
  <c r="EL124" i="3"/>
  <c r="HA95" i="3"/>
  <c r="EQ336" i="2"/>
  <c r="ER334" i="2"/>
  <c r="CF65" i="3"/>
  <c r="CF66" i="3"/>
  <c r="CF56" i="3"/>
  <c r="AR66" i="2" s="1"/>
  <c r="AR69" i="2"/>
  <c r="CK66" i="3"/>
  <c r="EN273" i="2"/>
  <c r="EN274" i="2"/>
  <c r="EN278" i="2"/>
  <c r="EN205" i="2"/>
  <c r="EN204" i="2"/>
  <c r="EN113" i="2"/>
  <c r="EM85" i="2"/>
  <c r="EM84" i="2"/>
  <c r="DY376" i="2"/>
  <c r="EM329" i="2"/>
  <c r="EM328" i="2"/>
  <c r="EM133" i="2"/>
  <c r="EM321" i="2"/>
  <c r="EM436" i="2"/>
  <c r="EE155" i="2"/>
  <c r="EA156" i="2"/>
  <c r="EA155" i="2"/>
  <c r="EA424" i="2"/>
  <c r="HA20" i="3"/>
  <c r="EO41" i="2"/>
  <c r="EN32" i="2"/>
  <c r="EN43" i="2"/>
  <c r="ER427" i="2"/>
  <c r="DZ408" i="2"/>
  <c r="EA406" i="2"/>
  <c r="EQ439" i="2"/>
  <c r="CO253" i="2"/>
  <c r="CO251" i="2"/>
  <c r="CO252" i="2"/>
  <c r="CO262" i="2"/>
  <c r="FV262" i="2" s="1"/>
  <c r="EW419" i="2"/>
  <c r="EL224" i="2"/>
  <c r="EL223" i="2"/>
  <c r="AC93" i="2"/>
  <c r="AG92" i="2"/>
  <c r="AD91" i="2"/>
  <c r="FF90" i="2"/>
  <c r="FF93" i="2" s="1"/>
  <c r="EB430" i="2"/>
  <c r="EB429" i="2"/>
  <c r="CO300" i="2"/>
  <c r="CO299" i="2"/>
  <c r="DZ379" i="2"/>
  <c r="EA377" i="2"/>
  <c r="EL322" i="2"/>
  <c r="EL323" i="2"/>
  <c r="EP228" i="2"/>
  <c r="EO230" i="2"/>
  <c r="HE86" i="3"/>
  <c r="EO443" i="2"/>
  <c r="EO312" i="3"/>
  <c r="EO234" i="3"/>
  <c r="EP234" i="3" s="1"/>
  <c r="EO225" i="3"/>
  <c r="EO224" i="3"/>
  <c r="EP223" i="3"/>
  <c r="AS130" i="3"/>
  <c r="AT126" i="3"/>
  <c r="AT130" i="3" s="1"/>
  <c r="AT129" i="3" s="1"/>
  <c r="BH65" i="3"/>
  <c r="BH66" i="3"/>
  <c r="BH56" i="3"/>
  <c r="Y66" i="2" s="1"/>
  <c r="Y67" i="2" s="1"/>
  <c r="Y69" i="2"/>
  <c r="AC71" i="2" s="1"/>
  <c r="BJ65" i="3"/>
  <c r="X70" i="2"/>
  <c r="X71" i="2"/>
  <c r="AB71" i="2"/>
  <c r="DZ426" i="2"/>
  <c r="DZ425" i="2"/>
  <c r="CP298" i="2"/>
  <c r="CP257" i="2"/>
  <c r="CP255" i="2"/>
  <c r="CP250" i="2"/>
  <c r="CP256" i="2"/>
  <c r="GI241" i="2"/>
  <c r="EO218" i="2"/>
  <c r="EP216" i="2"/>
  <c r="EO203" i="2"/>
  <c r="GI203" i="2" s="1"/>
  <c r="HB59" i="3"/>
  <c r="EN83" i="2"/>
  <c r="EN63" i="2" s="1"/>
  <c r="HA51" i="3"/>
  <c r="EL243" i="3"/>
  <c r="EL244" i="3"/>
  <c r="FJ72" i="2"/>
  <c r="EN333" i="2"/>
  <c r="EO331" i="2"/>
  <c r="EN327" i="2"/>
  <c r="DY409" i="2"/>
  <c r="DN128" i="3"/>
  <c r="DN129" i="3" s="1"/>
  <c r="EN431" i="2"/>
  <c r="CL66" i="3"/>
  <c r="CL56" i="3"/>
  <c r="AW66" i="2" s="1"/>
  <c r="CL65" i="3"/>
  <c r="AW69" i="2"/>
  <c r="CN65" i="3"/>
  <c r="CQ66" i="3"/>
  <c r="CM52" i="3"/>
  <c r="DW400" i="2"/>
  <c r="DW401" i="2"/>
  <c r="FF66" i="2"/>
  <c r="AD67" i="2"/>
  <c r="HD54" i="3"/>
  <c r="EO59" i="2"/>
  <c r="GI59" i="2" s="1"/>
  <c r="BG130" i="3"/>
  <c r="BI126" i="3"/>
  <c r="BI130" i="3" s="1"/>
  <c r="DT447" i="2"/>
  <c r="DX446" i="2"/>
  <c r="DT445" i="2"/>
  <c r="DT446" i="2"/>
  <c r="GD444" i="2"/>
  <c r="EM232" i="3"/>
  <c r="EM231" i="3"/>
  <c r="EP225" i="2"/>
  <c r="EO227" i="2"/>
  <c r="DV388" i="2"/>
  <c r="DV389" i="2"/>
  <c r="EP212" i="2"/>
  <c r="EO209" i="2"/>
  <c r="EO219" i="2" s="1"/>
  <c r="EO199" i="2"/>
  <c r="EO214" i="2"/>
  <c r="FV164" i="3"/>
  <c r="FU163" i="3"/>
  <c r="FU162" i="3"/>
  <c r="FU161" i="3"/>
  <c r="EM65" i="2"/>
  <c r="EM64" i="2"/>
  <c r="EL135" i="2"/>
  <c r="EL134" i="2"/>
  <c r="EO287" i="2"/>
  <c r="EP285" i="2"/>
  <c r="CL130" i="3"/>
  <c r="CM126" i="3"/>
  <c r="CM130" i="3" s="1"/>
  <c r="CR301" i="2"/>
  <c r="CQ303" i="2"/>
  <c r="CQ254" i="2"/>
  <c r="DW430" i="2"/>
  <c r="DW429" i="2"/>
  <c r="CE66" i="3"/>
  <c r="CE65" i="3"/>
  <c r="CE56" i="3"/>
  <c r="AQ66" i="2" s="1"/>
  <c r="AQ69" i="2"/>
  <c r="CH52" i="3"/>
  <c r="CJ66" i="3"/>
  <c r="EM111" i="2"/>
  <c r="EM110" i="2"/>
  <c r="DV128" i="3"/>
  <c r="DV129" i="3" s="1"/>
  <c r="AC70" i="2"/>
  <c r="FF69" i="2"/>
  <c r="AD70" i="2"/>
  <c r="EN36" i="2"/>
  <c r="EN60" i="2"/>
  <c r="EN61" i="2"/>
  <c r="DW396" i="2"/>
  <c r="DW397" i="2"/>
  <c r="DX394" i="2"/>
  <c r="DW387" i="2"/>
  <c r="EN239" i="2"/>
  <c r="EN238" i="2"/>
  <c r="ED312" i="2"/>
  <c r="EE310" i="2"/>
  <c r="ED266" i="2"/>
  <c r="EI130" i="3"/>
  <c r="EL39" i="2"/>
  <c r="EL38" i="2"/>
  <c r="GI291" i="2"/>
  <c r="EM313" i="3"/>
  <c r="EM314" i="3" s="1"/>
  <c r="EM317" i="3" s="1"/>
  <c r="EM240" i="3"/>
  <c r="EM239" i="3"/>
  <c r="EM242" i="3"/>
  <c r="EN211" i="2"/>
  <c r="EN210" i="2"/>
  <c r="M68" i="2"/>
  <c r="M67" i="2"/>
  <c r="N67" i="2"/>
  <c r="FB66" i="2"/>
  <c r="FB68" i="2" s="1"/>
  <c r="Q68" i="2"/>
  <c r="HB60" i="3"/>
  <c r="EK435" i="2"/>
  <c r="EK434" i="2"/>
  <c r="EK433" i="2"/>
  <c r="GT124" i="3"/>
  <c r="GD92" i="2"/>
  <c r="GD93" i="2"/>
  <c r="CE130" i="3"/>
  <c r="CH126" i="3"/>
  <c r="CH130" i="3" s="1"/>
  <c r="CH129" i="3" s="1"/>
  <c r="HD40" i="3"/>
  <c r="HC40" i="3"/>
  <c r="EQ222" i="3"/>
  <c r="ER220" i="3"/>
  <c r="EQ223" i="3"/>
  <c r="EN444" i="2"/>
  <c r="EO447" i="2"/>
  <c r="AW93" i="2"/>
  <c r="FK90" i="2"/>
  <c r="FK93" i="2" s="1"/>
  <c r="EC317" i="2"/>
  <c r="ED315" i="2"/>
  <c r="EC316" i="2"/>
  <c r="EC318" i="2"/>
  <c r="EC428" i="2"/>
  <c r="GF428" i="2" s="1"/>
  <c r="HA14" i="3"/>
  <c r="EN16" i="2"/>
  <c r="EN15" i="2"/>
  <c r="EO14" i="2"/>
  <c r="EM423" i="2"/>
  <c r="DX430" i="2"/>
  <c r="DX429" i="2"/>
  <c r="DY429" i="2"/>
  <c r="AW78" i="2"/>
  <c r="AW77" i="2"/>
  <c r="BA78" i="2"/>
  <c r="FK76" i="2"/>
  <c r="FL78" i="2" s="1"/>
  <c r="BE68" i="2"/>
  <c r="BE67" i="2"/>
  <c r="CD128" i="3"/>
  <c r="CD129" i="3" s="1"/>
  <c r="FV252" i="2"/>
  <c r="FV253" i="2"/>
  <c r="GF318" i="2"/>
  <c r="GF317" i="2"/>
  <c r="DZ367" i="2"/>
  <c r="DZ383" i="2"/>
  <c r="DZ409" i="2" s="1"/>
  <c r="EA365" i="2"/>
  <c r="CM309" i="2"/>
  <c r="CM308" i="2"/>
  <c r="X93" i="2"/>
  <c r="FE90" i="2"/>
  <c r="FE93" i="2" s="1"/>
  <c r="EO291" i="2"/>
  <c r="EP289" i="2"/>
  <c r="GD455" i="2"/>
  <c r="GD454" i="2"/>
  <c r="EM115" i="2"/>
  <c r="EM114" i="2"/>
  <c r="ET311" i="3"/>
  <c r="ET215" i="3"/>
  <c r="ET214" i="3"/>
  <c r="HB22" i="3"/>
  <c r="HC22" i="3" s="1"/>
  <c r="EP45" i="2"/>
  <c r="EO47" i="2"/>
  <c r="BI145" i="3"/>
  <c r="DZ371" i="2"/>
  <c r="EA369" i="2"/>
  <c r="EB151" i="2"/>
  <c r="EB150" i="2"/>
  <c r="EB152" i="2"/>
  <c r="EB153" i="2"/>
  <c r="HC54" i="3"/>
  <c r="GI287" i="2"/>
  <c r="EU213" i="3"/>
  <c r="HB58" i="3"/>
  <c r="HC58" i="3" s="1"/>
  <c r="GI212" i="2"/>
  <c r="EN215" i="2"/>
  <c r="EC269" i="2"/>
  <c r="EC268" i="2"/>
  <c r="EC267" i="2"/>
  <c r="EC149" i="2"/>
  <c r="GF266" i="2"/>
  <c r="DX362" i="2"/>
  <c r="DX351" i="2"/>
  <c r="DX361" i="2"/>
  <c r="DX360" i="2"/>
  <c r="AQ93" i="2"/>
  <c r="FJ90" i="2"/>
  <c r="FJ93" i="2" s="1"/>
  <c r="M93" i="2"/>
  <c r="FB90" i="2"/>
  <c r="FB93" i="2" s="1"/>
  <c r="EM235" i="2"/>
  <c r="EM234" i="2"/>
  <c r="EM446" i="2"/>
  <c r="EM445" i="2"/>
  <c r="EN288" i="2"/>
  <c r="BM130" i="3"/>
  <c r="BN126" i="3"/>
  <c r="BN130" i="3" s="1"/>
  <c r="DY384" i="2"/>
  <c r="DY359" i="2"/>
  <c r="DY385" i="2"/>
  <c r="GZ107" i="3"/>
  <c r="GI216" i="2"/>
  <c r="EN243" i="2"/>
  <c r="EN242" i="2"/>
  <c r="EN238" i="3"/>
  <c r="EN236" i="3"/>
  <c r="EN235" i="3"/>
  <c r="EN230" i="3"/>
  <c r="DZ375" i="2"/>
  <c r="EA373" i="2"/>
  <c r="CG56" i="3"/>
  <c r="AS66" i="2" s="1"/>
  <c r="AT67" i="2" s="1"/>
  <c r="CG65" i="3"/>
  <c r="CG66" i="3"/>
  <c r="AS69" i="2"/>
  <c r="CI65" i="3"/>
  <c r="EM222" i="2"/>
  <c r="EM197" i="2"/>
  <c r="EM196" i="2"/>
  <c r="EM37" i="2"/>
  <c r="EM34" i="2"/>
  <c r="EM33" i="2"/>
  <c r="GH224" i="2"/>
  <c r="EL88" i="3"/>
  <c r="GE428" i="2"/>
  <c r="BM66" i="3"/>
  <c r="FM71" i="2"/>
  <c r="EO272" i="2" l="1"/>
  <c r="EO292" i="2" s="1"/>
  <c r="AZ128" i="3"/>
  <c r="AZ129" i="3" s="1"/>
  <c r="AK74" i="2"/>
  <c r="BI128" i="3"/>
  <c r="BI129" i="3" s="1"/>
  <c r="AJ68" i="2"/>
  <c r="AF67" i="2"/>
  <c r="BR65" i="3"/>
  <c r="BR56" i="3"/>
  <c r="AG66" i="2" s="1"/>
  <c r="AG69" i="2"/>
  <c r="FG69" i="2" s="1"/>
  <c r="FH71" i="2" s="1"/>
  <c r="BT65" i="3"/>
  <c r="BR66" i="3"/>
  <c r="BW66" i="3"/>
  <c r="EZ93" i="2"/>
  <c r="FA92" i="2"/>
  <c r="BS52" i="3"/>
  <c r="EK126" i="3"/>
  <c r="EK130" i="3" s="1"/>
  <c r="EK129" i="3" s="1"/>
  <c r="AF70" i="2"/>
  <c r="AF71" i="2"/>
  <c r="AO128" i="3"/>
  <c r="AO129" i="3" s="1"/>
  <c r="HD60" i="3"/>
  <c r="AG73" i="2"/>
  <c r="AG74" i="2"/>
  <c r="AH73" i="2"/>
  <c r="AL128" i="3"/>
  <c r="AL129" i="3" s="1"/>
  <c r="EO215" i="2"/>
  <c r="GI209" i="2"/>
  <c r="GI237" i="2"/>
  <c r="GI239" i="2" s="1"/>
  <c r="EO288" i="2"/>
  <c r="DZ376" i="2"/>
  <c r="FE66" i="2"/>
  <c r="GI277" i="2"/>
  <c r="EM146" i="2"/>
  <c r="EM147" i="2"/>
  <c r="EO277" i="2"/>
  <c r="EO276" i="2"/>
  <c r="EK107" i="2"/>
  <c r="EK106" i="2"/>
  <c r="GH105" i="2"/>
  <c r="GH107" i="2" s="1"/>
  <c r="EP275" i="2"/>
  <c r="EP281" i="2"/>
  <c r="EQ279" i="2"/>
  <c r="EK418" i="2"/>
  <c r="EK417" i="2"/>
  <c r="GH416" i="2"/>
  <c r="EO348" i="2"/>
  <c r="EP346" i="2"/>
  <c r="EP343" i="2"/>
  <c r="EO345" i="2"/>
  <c r="EO339" i="2"/>
  <c r="EO440" i="2" s="1"/>
  <c r="GI440" i="2" s="1"/>
  <c r="EM117" i="2"/>
  <c r="EL119" i="2"/>
  <c r="EL416" i="2"/>
  <c r="EL105" i="2"/>
  <c r="GI343" i="2"/>
  <c r="EN341" i="2"/>
  <c r="EN340" i="2"/>
  <c r="EN145" i="2"/>
  <c r="EP128" i="3"/>
  <c r="GI228" i="2"/>
  <c r="GI205" i="2"/>
  <c r="EP236" i="3"/>
  <c r="EP230" i="3"/>
  <c r="EP232" i="3" s="1"/>
  <c r="EM39" i="2"/>
  <c r="EM38" i="2"/>
  <c r="FV264" i="2"/>
  <c r="FV307" i="2"/>
  <c r="FV265" i="2"/>
  <c r="EM224" i="2"/>
  <c r="EM223" i="2"/>
  <c r="DX354" i="2"/>
  <c r="DX353" i="2"/>
  <c r="DX352" i="2"/>
  <c r="EA383" i="2"/>
  <c r="EA368" i="2" s="1"/>
  <c r="EB365" i="2"/>
  <c r="EA367" i="2"/>
  <c r="ED316" i="2"/>
  <c r="ED317" i="2"/>
  <c r="EE315" i="2"/>
  <c r="ED318" i="2"/>
  <c r="ED428" i="2"/>
  <c r="CF128" i="3"/>
  <c r="CF129" i="3" s="1"/>
  <c r="CG128" i="3"/>
  <c r="CG129" i="3" s="1"/>
  <c r="EA128" i="3"/>
  <c r="EO239" i="2"/>
  <c r="EO238" i="2"/>
  <c r="HB55" i="3"/>
  <c r="DO128" i="3"/>
  <c r="DO129" i="3" s="1"/>
  <c r="EN85" i="2"/>
  <c r="EN84" i="2"/>
  <c r="EO243" i="2"/>
  <c r="EO242" i="2"/>
  <c r="Y70" i="2"/>
  <c r="Y71" i="2"/>
  <c r="Z70" i="2"/>
  <c r="EP312" i="3"/>
  <c r="EP225" i="3"/>
  <c r="EP443" i="2"/>
  <c r="EB406" i="2"/>
  <c r="EA408" i="2"/>
  <c r="HB95" i="3"/>
  <c r="DX400" i="2"/>
  <c r="DX401" i="2"/>
  <c r="EQ159" i="2"/>
  <c r="ER157" i="2"/>
  <c r="ED128" i="3"/>
  <c r="ED129" i="3" s="1"/>
  <c r="EA426" i="2"/>
  <c r="EA425" i="2"/>
  <c r="EM135" i="2"/>
  <c r="EM134" i="2"/>
  <c r="EN111" i="2"/>
  <c r="EN110" i="2"/>
  <c r="EB373" i="2"/>
  <c r="EA375" i="2"/>
  <c r="EN423" i="2"/>
  <c r="ED267" i="2"/>
  <c r="ED269" i="2"/>
  <c r="ED268" i="2"/>
  <c r="ED149" i="2"/>
  <c r="AW67" i="2"/>
  <c r="AW68" i="2"/>
  <c r="AX67" i="2"/>
  <c r="FK66" i="2"/>
  <c r="BA68" i="2"/>
  <c r="HD59" i="3"/>
  <c r="EO83" i="2"/>
  <c r="HB51" i="3"/>
  <c r="HC51" i="3" s="1"/>
  <c r="HC59" i="3"/>
  <c r="HF86" i="3"/>
  <c r="EQ228" i="2"/>
  <c r="EP230" i="2"/>
  <c r="EB377" i="2"/>
  <c r="EA379" i="2"/>
  <c r="EN33" i="2"/>
  <c r="EN37" i="2"/>
  <c r="EN34" i="2"/>
  <c r="EN115" i="2"/>
  <c r="EN114" i="2"/>
  <c r="DY405" i="2"/>
  <c r="DZ402" i="2"/>
  <c r="DY399" i="2"/>
  <c r="DY404" i="2"/>
  <c r="GE402" i="2"/>
  <c r="EN197" i="2"/>
  <c r="EN196" i="2"/>
  <c r="EN222" i="2"/>
  <c r="HB14" i="3"/>
  <c r="HC14" i="3" s="1"/>
  <c r="EO15" i="2"/>
  <c r="EP14" i="2"/>
  <c r="EO16" i="2"/>
  <c r="ER222" i="3"/>
  <c r="ES220" i="3"/>
  <c r="ER223" i="3"/>
  <c r="AW71" i="2"/>
  <c r="AW70" i="2"/>
  <c r="FK69" i="2"/>
  <c r="FL71" i="2" s="1"/>
  <c r="BA71" i="2"/>
  <c r="EN441" i="2"/>
  <c r="EN442" i="2"/>
  <c r="HD58" i="3"/>
  <c r="EP291" i="2"/>
  <c r="EQ289" i="2"/>
  <c r="DZ384" i="2"/>
  <c r="DZ385" i="2"/>
  <c r="DZ359" i="2"/>
  <c r="AS71" i="2"/>
  <c r="AT70" i="2"/>
  <c r="EN313" i="3"/>
  <c r="EN314" i="3" s="1"/>
  <c r="EN317" i="3" s="1"/>
  <c r="EN240" i="3"/>
  <c r="EN242" i="3"/>
  <c r="EN239" i="3"/>
  <c r="EO238" i="3"/>
  <c r="GF268" i="2"/>
  <c r="GF310" i="2"/>
  <c r="GF312" i="2" s="1"/>
  <c r="GF269" i="2"/>
  <c r="BN128" i="3"/>
  <c r="BN129" i="3" s="1"/>
  <c r="EU311" i="3"/>
  <c r="EU215" i="3"/>
  <c r="EB369" i="2"/>
  <c r="EA371" i="2"/>
  <c r="HD22" i="3"/>
  <c r="EP47" i="2"/>
  <c r="EQ45" i="2"/>
  <c r="HA107" i="3"/>
  <c r="EP447" i="2"/>
  <c r="EO444" i="2"/>
  <c r="EN235" i="2"/>
  <c r="EN234" i="2"/>
  <c r="EE312" i="2"/>
  <c r="EF310" i="2"/>
  <c r="EE266" i="2"/>
  <c r="EO274" i="2"/>
  <c r="EO273" i="2"/>
  <c r="EO278" i="2"/>
  <c r="GI272" i="2"/>
  <c r="EO201" i="2"/>
  <c r="EO200" i="2"/>
  <c r="EO195" i="2"/>
  <c r="EO109" i="2"/>
  <c r="GI109" i="2" s="1"/>
  <c r="GI199" i="2"/>
  <c r="AC68" i="2"/>
  <c r="FE69" i="2"/>
  <c r="HB20" i="3"/>
  <c r="EO43" i="2"/>
  <c r="EO32" i="2"/>
  <c r="GI32" i="2" s="1"/>
  <c r="EP41" i="2"/>
  <c r="GI41" i="2"/>
  <c r="EN231" i="3"/>
  <c r="EN232" i="3"/>
  <c r="GI61" i="2"/>
  <c r="GE431" i="2"/>
  <c r="GE430" i="2"/>
  <c r="GI243" i="2"/>
  <c r="EC151" i="2"/>
  <c r="EC150" i="2"/>
  <c r="EC153" i="2"/>
  <c r="GF153" i="2" s="1"/>
  <c r="EC152" i="2"/>
  <c r="DZ368" i="2"/>
  <c r="GI14" i="2"/>
  <c r="EC430" i="2"/>
  <c r="EC429" i="2"/>
  <c r="EN446" i="2"/>
  <c r="EN445" i="2"/>
  <c r="HE40" i="3"/>
  <c r="EM243" i="3"/>
  <c r="EM244" i="3"/>
  <c r="DW389" i="2"/>
  <c r="DW388" i="2"/>
  <c r="FJ69" i="2"/>
  <c r="AU71" i="2"/>
  <c r="CQ250" i="2"/>
  <c r="CQ298" i="2"/>
  <c r="CQ257" i="2"/>
  <c r="CQ255" i="2"/>
  <c r="CQ256" i="2"/>
  <c r="GI233" i="2"/>
  <c r="EO211" i="2"/>
  <c r="EO210" i="2"/>
  <c r="GD447" i="2"/>
  <c r="GD446" i="2"/>
  <c r="GE446" i="2"/>
  <c r="EN329" i="2"/>
  <c r="EN328" i="2"/>
  <c r="EN133" i="2"/>
  <c r="EN321" i="2"/>
  <c r="EN436" i="2"/>
  <c r="EO205" i="2"/>
  <c r="EO204" i="2"/>
  <c r="EO113" i="2"/>
  <c r="CP300" i="2"/>
  <c r="CP299" i="2"/>
  <c r="EO236" i="3"/>
  <c r="EO235" i="3"/>
  <c r="EO230" i="3"/>
  <c r="BA128" i="3"/>
  <c r="BA129" i="3" s="1"/>
  <c r="DZ380" i="2"/>
  <c r="EM437" i="2"/>
  <c r="EM438" i="2"/>
  <c r="EM432" i="2"/>
  <c r="EM124" i="3"/>
  <c r="EL126" i="3"/>
  <c r="EL435" i="2"/>
  <c r="EL434" i="2"/>
  <c r="EL433" i="2"/>
  <c r="CN309" i="2"/>
  <c r="CN308" i="2"/>
  <c r="GI214" i="2"/>
  <c r="GI215" i="2"/>
  <c r="CE128" i="3"/>
  <c r="CE129" i="3" s="1"/>
  <c r="CM128" i="3"/>
  <c r="CM129" i="3" s="1"/>
  <c r="EN65" i="2"/>
  <c r="EN64" i="2"/>
  <c r="CS301" i="2"/>
  <c r="CR303" i="2"/>
  <c r="CR254" i="2"/>
  <c r="EQ285" i="2"/>
  <c r="EP287" i="2"/>
  <c r="EP272" i="2"/>
  <c r="EP288" i="2" s="1"/>
  <c r="GF431" i="2"/>
  <c r="GF430" i="2"/>
  <c r="EQ225" i="2"/>
  <c r="EP227" i="2"/>
  <c r="HD55" i="3"/>
  <c r="HE54" i="3"/>
  <c r="EP59" i="2"/>
  <c r="CP252" i="2"/>
  <c r="CP253" i="2"/>
  <c r="CP251" i="2"/>
  <c r="CP262" i="2"/>
  <c r="EM88" i="3"/>
  <c r="GI219" i="2"/>
  <c r="GI218" i="2"/>
  <c r="DY362" i="2"/>
  <c r="DY360" i="2"/>
  <c r="DY351" i="2"/>
  <c r="DY361" i="2"/>
  <c r="GF149" i="2"/>
  <c r="GE359" i="2"/>
  <c r="EF155" i="2"/>
  <c r="EB155" i="2"/>
  <c r="EB156" i="2"/>
  <c r="EB424" i="2"/>
  <c r="DZ372" i="2"/>
  <c r="GI211" i="2"/>
  <c r="EQ234" i="3"/>
  <c r="EQ312" i="3"/>
  <c r="EQ225" i="3"/>
  <c r="EQ224" i="3"/>
  <c r="GU124" i="3"/>
  <c r="HC60" i="3"/>
  <c r="DX396" i="2"/>
  <c r="DX397" i="2"/>
  <c r="DY394" i="2"/>
  <c r="GE394" i="2" s="1"/>
  <c r="GE397" i="2" s="1"/>
  <c r="DX387" i="2"/>
  <c r="FJ66" i="2"/>
  <c r="FW164" i="3"/>
  <c r="FV162" i="3"/>
  <c r="FV161" i="3"/>
  <c r="FV163" i="3"/>
  <c r="EQ212" i="2"/>
  <c r="EP209" i="2"/>
  <c r="EP215" i="2" s="1"/>
  <c r="EP214" i="2"/>
  <c r="EP199" i="2"/>
  <c r="EO36" i="2"/>
  <c r="GI36" i="2" s="1"/>
  <c r="EO60" i="2"/>
  <c r="EO61" i="2"/>
  <c r="EO431" i="2"/>
  <c r="EO333" i="2"/>
  <c r="EO327" i="2"/>
  <c r="GI327" i="2" s="1"/>
  <c r="EP331" i="2"/>
  <c r="GI331" i="2"/>
  <c r="GI333" i="2" s="1"/>
  <c r="EP218" i="2"/>
  <c r="EQ216" i="2"/>
  <c r="EP203" i="2"/>
  <c r="CO307" i="2"/>
  <c r="CO263" i="2"/>
  <c r="CO264" i="2"/>
  <c r="CO265" i="2"/>
  <c r="ER439" i="2"/>
  <c r="ES427" i="2"/>
  <c r="EM322" i="2"/>
  <c r="EM323" i="2"/>
  <c r="ES334" i="2"/>
  <c r="ER336" i="2"/>
  <c r="AG70" i="2" l="1"/>
  <c r="AH70" i="2"/>
  <c r="AG71" i="2"/>
  <c r="AM128" i="3"/>
  <c r="AM129" i="3" s="1"/>
  <c r="AG67" i="2"/>
  <c r="AH67" i="2"/>
  <c r="AG68" i="2"/>
  <c r="FG66" i="2"/>
  <c r="FH68" i="2" s="1"/>
  <c r="EA380" i="2"/>
  <c r="EA372" i="2"/>
  <c r="EA409" i="2"/>
  <c r="EA376" i="2"/>
  <c r="EM119" i="2"/>
  <c r="EN117" i="2"/>
  <c r="EM416" i="2"/>
  <c r="EM105" i="2"/>
  <c r="EN147" i="2"/>
  <c r="EN146" i="2"/>
  <c r="EP348" i="2"/>
  <c r="EQ346" i="2"/>
  <c r="EQ275" i="2"/>
  <c r="EQ272" i="2" s="1"/>
  <c r="EQ288" i="2" s="1"/>
  <c r="EQ281" i="2"/>
  <c r="ER279" i="2"/>
  <c r="EO341" i="2"/>
  <c r="EO340" i="2"/>
  <c r="EO145" i="2"/>
  <c r="GI339" i="2"/>
  <c r="GI443" i="2" s="1"/>
  <c r="EL107" i="2"/>
  <c r="EL106" i="2"/>
  <c r="GH419" i="2"/>
  <c r="GH418" i="2"/>
  <c r="EP276" i="2"/>
  <c r="EP277" i="2"/>
  <c r="EP219" i="2"/>
  <c r="EL417" i="2"/>
  <c r="EL418" i="2"/>
  <c r="GI345" i="2"/>
  <c r="EP339" i="2"/>
  <c r="EP440" i="2" s="1"/>
  <c r="EQ343" i="2"/>
  <c r="EP345" i="2"/>
  <c r="GI111" i="2"/>
  <c r="GI442" i="2"/>
  <c r="GI34" i="2"/>
  <c r="GI235" i="2"/>
  <c r="DX389" i="2"/>
  <c r="DX388" i="2"/>
  <c r="EO232" i="3"/>
  <c r="EO231" i="3"/>
  <c r="EO84" i="2"/>
  <c r="GI83" i="2"/>
  <c r="GI85" i="2" s="1"/>
  <c r="EO85" i="2"/>
  <c r="DY397" i="2"/>
  <c r="DZ394" i="2"/>
  <c r="DY396" i="2"/>
  <c r="DY387" i="2"/>
  <c r="GE387" i="2" s="1"/>
  <c r="CS254" i="2"/>
  <c r="CT301" i="2"/>
  <c r="CS303" i="2"/>
  <c r="EN437" i="2"/>
  <c r="EN432" i="2"/>
  <c r="EN438" i="2"/>
  <c r="GI16" i="2"/>
  <c r="EO445" i="2"/>
  <c r="EO446" i="2"/>
  <c r="GI444" i="2"/>
  <c r="EO313" i="3"/>
  <c r="EO314" i="3" s="1"/>
  <c r="EO317" i="3" s="1"/>
  <c r="EQ238" i="3"/>
  <c r="EO242" i="3"/>
  <c r="EO240" i="3"/>
  <c r="EP238" i="3"/>
  <c r="ER312" i="3"/>
  <c r="ER224" i="3"/>
  <c r="ER234" i="3"/>
  <c r="ER225" i="3"/>
  <c r="EN223" i="2"/>
  <c r="EN224" i="2"/>
  <c r="HE59" i="3"/>
  <c r="HD51" i="3"/>
  <c r="EP83" i="2"/>
  <c r="EP63" i="2" s="1"/>
  <c r="EC373" i="2"/>
  <c r="GF373" i="2" s="1"/>
  <c r="GF375" i="2" s="1"/>
  <c r="EB375" i="2"/>
  <c r="HC95" i="3"/>
  <c r="HE60" i="3"/>
  <c r="DY353" i="2"/>
  <c r="DY354" i="2"/>
  <c r="DY352" i="2"/>
  <c r="EN322" i="2"/>
  <c r="EN323" i="2"/>
  <c r="HD20" i="3"/>
  <c r="EP43" i="2"/>
  <c r="EP32" i="2"/>
  <c r="EQ41" i="2"/>
  <c r="EQ447" i="2"/>
  <c r="EP444" i="2"/>
  <c r="ES222" i="3"/>
  <c r="ET220" i="3"/>
  <c r="ES223" i="3"/>
  <c r="HB107" i="3"/>
  <c r="HC107" i="3" s="1"/>
  <c r="EA402" i="2"/>
  <c r="DZ399" i="2"/>
  <c r="DZ404" i="2"/>
  <c r="DZ405" i="2"/>
  <c r="HG86" i="3"/>
  <c r="ED151" i="2"/>
  <c r="ED150" i="2"/>
  <c r="ED152" i="2"/>
  <c r="ED153" i="2"/>
  <c r="ER159" i="2"/>
  <c r="ES157" i="2"/>
  <c r="ED430" i="2"/>
  <c r="ED429" i="2"/>
  <c r="GE351" i="2"/>
  <c r="ER212" i="2"/>
  <c r="EQ209" i="2"/>
  <c r="EQ215" i="2" s="1"/>
  <c r="EQ199" i="2"/>
  <c r="EQ214" i="2"/>
  <c r="GV124" i="3"/>
  <c r="CP307" i="2"/>
  <c r="CP263" i="2"/>
  <c r="CP264" i="2"/>
  <c r="CP265" i="2"/>
  <c r="GI334" i="2"/>
  <c r="GI336" i="2" s="1"/>
  <c r="GI329" i="2"/>
  <c r="HE58" i="3"/>
  <c r="EO329" i="2"/>
  <c r="EO328" i="2"/>
  <c r="EO133" i="2"/>
  <c r="EO321" i="2"/>
  <c r="EO436" i="2"/>
  <c r="CQ252" i="2"/>
  <c r="CQ251" i="2"/>
  <c r="CQ253" i="2"/>
  <c r="CQ262" i="2"/>
  <c r="GI43" i="2"/>
  <c r="EO222" i="2"/>
  <c r="EO197" i="2"/>
  <c r="EO196" i="2"/>
  <c r="DY400" i="2"/>
  <c r="DY401" i="2"/>
  <c r="GE399" i="2"/>
  <c r="EQ230" i="2"/>
  <c r="ER228" i="2"/>
  <c r="EO423" i="2"/>
  <c r="EE128" i="3"/>
  <c r="EE129" i="3" s="1"/>
  <c r="EO441" i="2"/>
  <c r="EO442" i="2"/>
  <c r="ES439" i="2"/>
  <c r="EP205" i="2"/>
  <c r="EP204" i="2"/>
  <c r="EP113" i="2"/>
  <c r="FX164" i="3"/>
  <c r="FW161" i="3"/>
  <c r="FW163" i="3"/>
  <c r="FW162" i="3"/>
  <c r="EN88" i="3"/>
  <c r="HD109" i="3"/>
  <c r="EP273" i="2"/>
  <c r="EP274" i="2"/>
  <c r="EP278" i="2"/>
  <c r="CR128" i="3"/>
  <c r="CR129" i="3" s="1"/>
  <c r="EN135" i="2"/>
  <c r="EN134" i="2"/>
  <c r="HF40" i="3"/>
  <c r="GI274" i="2"/>
  <c r="GI278" i="2"/>
  <c r="GI288" i="2"/>
  <c r="GI292" i="2"/>
  <c r="EE424" i="2"/>
  <c r="EE267" i="2"/>
  <c r="EE268" i="2"/>
  <c r="EE149" i="2"/>
  <c r="BS128" i="3"/>
  <c r="BS129" i="3" s="1"/>
  <c r="EN244" i="3"/>
  <c r="EN243" i="3"/>
  <c r="DZ361" i="2"/>
  <c r="DZ362" i="2"/>
  <c r="DZ360" i="2"/>
  <c r="DZ351" i="2"/>
  <c r="ER289" i="2"/>
  <c r="EQ291" i="2"/>
  <c r="GI195" i="2"/>
  <c r="FK68" i="2"/>
  <c r="FL68" i="2"/>
  <c r="DP128" i="3"/>
  <c r="DP129" i="3" s="1"/>
  <c r="EN124" i="3"/>
  <c r="EM126" i="3"/>
  <c r="EM130" i="3" s="1"/>
  <c r="EO115" i="2"/>
  <c r="EO114" i="2"/>
  <c r="HC20" i="3"/>
  <c r="CO309" i="2"/>
  <c r="CO308" i="2"/>
  <c r="ER216" i="2"/>
  <c r="EQ203" i="2"/>
  <c r="EQ218" i="2"/>
  <c r="EP431" i="2"/>
  <c r="EB426" i="2"/>
  <c r="EB425" i="2"/>
  <c r="GE361" i="2"/>
  <c r="GE362" i="2"/>
  <c r="ER285" i="2"/>
  <c r="EQ287" i="2"/>
  <c r="EO33" i="2"/>
  <c r="EO37" i="2"/>
  <c r="EO34" i="2"/>
  <c r="EF312" i="2"/>
  <c r="EG310" i="2"/>
  <c r="EF266" i="2"/>
  <c r="EP292" i="2"/>
  <c r="GI113" i="2"/>
  <c r="EN39" i="2"/>
  <c r="EN38" i="2"/>
  <c r="EC377" i="2"/>
  <c r="EB379" i="2"/>
  <c r="EC406" i="2"/>
  <c r="EB408" i="2"/>
  <c r="HB109" i="3"/>
  <c r="HC109" i="3" s="1"/>
  <c r="HC55" i="3"/>
  <c r="EB383" i="2"/>
  <c r="EB368" i="2" s="1"/>
  <c r="EC365" i="2"/>
  <c r="EB367" i="2"/>
  <c r="FV309" i="2"/>
  <c r="EP333" i="2"/>
  <c r="EP327" i="2"/>
  <c r="EQ331" i="2"/>
  <c r="HE55" i="3"/>
  <c r="HF54" i="3"/>
  <c r="EQ59" i="2"/>
  <c r="HH90" i="3"/>
  <c r="CQ300" i="2"/>
  <c r="CQ299" i="2"/>
  <c r="EO111" i="2"/>
  <c r="EO110" i="2"/>
  <c r="EQ443" i="2"/>
  <c r="CI128" i="3"/>
  <c r="CI129" i="3" s="1"/>
  <c r="ET427" i="2"/>
  <c r="EP195" i="2"/>
  <c r="EP201" i="2"/>
  <c r="EP200" i="2"/>
  <c r="EP109" i="2"/>
  <c r="EO235" i="2"/>
  <c r="EO234" i="2"/>
  <c r="EO63" i="2"/>
  <c r="ET334" i="2"/>
  <c r="ES336" i="2"/>
  <c r="EP211" i="2"/>
  <c r="EP210" i="2"/>
  <c r="EQ236" i="3"/>
  <c r="EQ235" i="3"/>
  <c r="EQ230" i="3"/>
  <c r="GF156" i="2"/>
  <c r="GF155" i="2"/>
  <c r="GF151" i="2"/>
  <c r="GF152" i="2"/>
  <c r="EP60" i="2"/>
  <c r="EP61" i="2"/>
  <c r="EP36" i="2"/>
  <c r="ER225" i="2"/>
  <c r="EQ227" i="2"/>
  <c r="CR298" i="2"/>
  <c r="CR250" i="2"/>
  <c r="CR255" i="2"/>
  <c r="CR256" i="2"/>
  <c r="CR257" i="2"/>
  <c r="EL130" i="3"/>
  <c r="EM434" i="2"/>
  <c r="EM433" i="2"/>
  <c r="EM435" i="2"/>
  <c r="BB128" i="3"/>
  <c r="BB129" i="3" s="1"/>
  <c r="EC156" i="2"/>
  <c r="EG155" i="2"/>
  <c r="EC155" i="2"/>
  <c r="EC424" i="2"/>
  <c r="GI225" i="2"/>
  <c r="GI201" i="2"/>
  <c r="HE22" i="3"/>
  <c r="ER45" i="2"/>
  <c r="EQ47" i="2"/>
  <c r="EC369" i="2"/>
  <c r="GF369" i="2" s="1"/>
  <c r="GF371" i="2" s="1"/>
  <c r="EB371" i="2"/>
  <c r="HD14" i="3"/>
  <c r="EP15" i="2"/>
  <c r="EP16" i="2"/>
  <c r="EQ14" i="2"/>
  <c r="EE316" i="2"/>
  <c r="EE317" i="2"/>
  <c r="EF315" i="2"/>
  <c r="EE428" i="2"/>
  <c r="EA385" i="2"/>
  <c r="EA384" i="2"/>
  <c r="EA359" i="2"/>
  <c r="GI230" i="2"/>
  <c r="HE109" i="3" l="1"/>
  <c r="AN128" i="3"/>
  <c r="AN129" i="3" s="1"/>
  <c r="EQ219" i="2"/>
  <c r="EB372" i="2"/>
  <c r="EB409" i="2"/>
  <c r="ER343" i="2"/>
  <c r="EQ345" i="2"/>
  <c r="EQ339" i="2"/>
  <c r="EP341" i="2"/>
  <c r="EP340" i="2"/>
  <c r="EP145" i="2"/>
  <c r="GI341" i="2"/>
  <c r="GI346" i="2"/>
  <c r="EQ277" i="2"/>
  <c r="EQ276" i="2"/>
  <c r="EM107" i="2"/>
  <c r="EM106" i="2"/>
  <c r="GI145" i="2"/>
  <c r="GI147" i="2" s="1"/>
  <c r="EO146" i="2"/>
  <c r="EO147" i="2"/>
  <c r="EQ348" i="2"/>
  <c r="ER346" i="2"/>
  <c r="EM418" i="2"/>
  <c r="EM417" i="2"/>
  <c r="EO117" i="2"/>
  <c r="EN119" i="2"/>
  <c r="EN105" i="2"/>
  <c r="EN416" i="2"/>
  <c r="EB380" i="2"/>
  <c r="ES279" i="2"/>
  <c r="ER275" i="2"/>
  <c r="ER272" i="2" s="1"/>
  <c r="ER292" i="2" s="1"/>
  <c r="ER281" i="2"/>
  <c r="BC128" i="3"/>
  <c r="BC129" i="3" s="1"/>
  <c r="ER331" i="2"/>
  <c r="EQ333" i="2"/>
  <c r="EQ327" i="2"/>
  <c r="ER287" i="2"/>
  <c r="ES285" i="2"/>
  <c r="GJ285" i="2" s="1"/>
  <c r="DR128" i="3"/>
  <c r="DR129" i="3" s="1"/>
  <c r="CW128" i="3"/>
  <c r="CW129" i="3" s="1"/>
  <c r="ER214" i="2"/>
  <c r="ES212" i="2"/>
  <c r="GJ212" i="2" s="1"/>
  <c r="ER209" i="2"/>
  <c r="ER215" i="2" s="1"/>
  <c r="ER199" i="2"/>
  <c r="ER447" i="2"/>
  <c r="EQ444" i="2"/>
  <c r="ER236" i="3"/>
  <c r="ER235" i="3"/>
  <c r="ER230" i="3"/>
  <c r="CS256" i="2"/>
  <c r="CS298" i="2"/>
  <c r="CS255" i="2"/>
  <c r="CS250" i="2"/>
  <c r="CS257" i="2"/>
  <c r="EC426" i="2"/>
  <c r="EC425" i="2"/>
  <c r="GF424" i="2"/>
  <c r="EE426" i="2"/>
  <c r="HG40" i="3"/>
  <c r="FZ164" i="3"/>
  <c r="FY164" i="3"/>
  <c r="FX161" i="3"/>
  <c r="FY161" i="3" s="1"/>
  <c r="FX162" i="3"/>
  <c r="FY162" i="3" s="1"/>
  <c r="FX163" i="3"/>
  <c r="FY163" i="3" s="1"/>
  <c r="EO437" i="2"/>
  <c r="EO432" i="2"/>
  <c r="GI432" i="2" s="1"/>
  <c r="EO438" i="2"/>
  <c r="DZ400" i="2"/>
  <c r="DZ401" i="2"/>
  <c r="ET222" i="3"/>
  <c r="ET223" i="3"/>
  <c r="EU223" i="3" s="1"/>
  <c r="EU220" i="3"/>
  <c r="EU222" i="3" s="1"/>
  <c r="DY388" i="2"/>
  <c r="DY389" i="2"/>
  <c r="HF22" i="3"/>
  <c r="ES45" i="2"/>
  <c r="GJ45" i="2" s="1"/>
  <c r="GJ47" i="2" s="1"/>
  <c r="ER47" i="2"/>
  <c r="EA361" i="2"/>
  <c r="EA360" i="2"/>
  <c r="EA351" i="2"/>
  <c r="EA362" i="2"/>
  <c r="HE14" i="3"/>
  <c r="EQ15" i="2"/>
  <c r="ER14" i="2"/>
  <c r="EQ16" i="2"/>
  <c r="EP328" i="2"/>
  <c r="EP329" i="2"/>
  <c r="EP133" i="2"/>
  <c r="EP436" i="2"/>
  <c r="EP321" i="2"/>
  <c r="EC383" i="2"/>
  <c r="EC409" i="2" s="1"/>
  <c r="ED365" i="2"/>
  <c r="EC367" i="2"/>
  <c r="GF365" i="2"/>
  <c r="GF367" i="2" s="1"/>
  <c r="EQ232" i="3"/>
  <c r="EQ231" i="3"/>
  <c r="EU334" i="2"/>
  <c r="ET336" i="2"/>
  <c r="EP222" i="2"/>
  <c r="EP197" i="2"/>
  <c r="EP196" i="2"/>
  <c r="CJ128" i="3"/>
  <c r="CJ129" i="3" s="1"/>
  <c r="EQ60" i="2"/>
  <c r="EQ61" i="2"/>
  <c r="EQ36" i="2"/>
  <c r="EB385" i="2"/>
  <c r="EB359" i="2"/>
  <c r="EB384" i="2"/>
  <c r="ED377" i="2"/>
  <c r="EC379" i="2"/>
  <c r="GF377" i="2"/>
  <c r="GF379" i="2" s="1"/>
  <c r="EO39" i="2"/>
  <c r="EO38" i="2"/>
  <c r="GI37" i="2"/>
  <c r="GI39" i="2" s="1"/>
  <c r="EQ431" i="2"/>
  <c r="ES289" i="2"/>
  <c r="ER291" i="2"/>
  <c r="EG128" i="3"/>
  <c r="EG129" i="3" s="1"/>
  <c r="EO323" i="2"/>
  <c r="EO322" i="2"/>
  <c r="HF58" i="3"/>
  <c r="GE354" i="2"/>
  <c r="GE353" i="2"/>
  <c r="EA404" i="2"/>
  <c r="EA405" i="2"/>
  <c r="EB402" i="2"/>
  <c r="EA399" i="2"/>
  <c r="EB376" i="2"/>
  <c r="GI447" i="2"/>
  <c r="GI446" i="2"/>
  <c r="EN434" i="2"/>
  <c r="EN433" i="2"/>
  <c r="EN435" i="2"/>
  <c r="HD107" i="3"/>
  <c r="EQ273" i="2"/>
  <c r="EQ274" i="2"/>
  <c r="EQ278" i="2"/>
  <c r="EO64" i="2"/>
  <c r="EO65" i="2"/>
  <c r="GI63" i="2"/>
  <c r="GI65" i="2" s="1"/>
  <c r="EP111" i="2"/>
  <c r="EP110" i="2"/>
  <c r="EQ440" i="2"/>
  <c r="ER443" i="2"/>
  <c r="HG54" i="3"/>
  <c r="ER59" i="2"/>
  <c r="EQ292" i="2"/>
  <c r="EE151" i="2"/>
  <c r="EE150" i="2"/>
  <c r="EE141" i="2"/>
  <c r="EP115" i="2"/>
  <c r="EP114" i="2"/>
  <c r="EP423" i="2"/>
  <c r="CQ264" i="2"/>
  <c r="CQ307" i="2"/>
  <c r="CQ263" i="2"/>
  <c r="CQ265" i="2"/>
  <c r="EO135" i="2"/>
  <c r="EO134" i="2"/>
  <c r="GI133" i="2"/>
  <c r="ED155" i="2"/>
  <c r="GG153" i="2"/>
  <c r="ED156" i="2"/>
  <c r="EH155" i="2"/>
  <c r="ED424" i="2"/>
  <c r="EE425" i="2" s="1"/>
  <c r="HI86" i="3"/>
  <c r="HH86" i="3"/>
  <c r="HE20" i="3"/>
  <c r="EQ43" i="2"/>
  <c r="EQ32" i="2"/>
  <c r="ER41" i="2"/>
  <c r="HF60" i="3"/>
  <c r="ED373" i="2"/>
  <c r="EC375" i="2"/>
  <c r="EP313" i="3"/>
  <c r="EP314" i="3" s="1"/>
  <c r="EP317" i="3" s="1"/>
  <c r="EP240" i="3"/>
  <c r="DZ397" i="2"/>
  <c r="EA394" i="2"/>
  <c r="DZ396" i="2"/>
  <c r="DZ387" i="2"/>
  <c r="GI227" i="2"/>
  <c r="ED406" i="2"/>
  <c r="EC408" i="2"/>
  <c r="GF406" i="2"/>
  <c r="ES216" i="2"/>
  <c r="GJ216" i="2" s="1"/>
  <c r="ER203" i="2"/>
  <c r="ER218" i="2"/>
  <c r="BX128" i="3"/>
  <c r="BX129" i="3" s="1"/>
  <c r="HF59" i="3"/>
  <c r="EQ83" i="2"/>
  <c r="HE51" i="3"/>
  <c r="ED369" i="2"/>
  <c r="EC371" i="2"/>
  <c r="CR300" i="2"/>
  <c r="CR299" i="2"/>
  <c r="EP442" i="2"/>
  <c r="EP441" i="2"/>
  <c r="EF268" i="2"/>
  <c r="EF267" i="2"/>
  <c r="EF149" i="2"/>
  <c r="EF424" i="2"/>
  <c r="EO124" i="3"/>
  <c r="EP124" i="3" s="1"/>
  <c r="EN126" i="3"/>
  <c r="DZ353" i="2"/>
  <c r="DZ354" i="2"/>
  <c r="DZ352" i="2"/>
  <c r="ET439" i="2"/>
  <c r="EO224" i="2"/>
  <c r="EO223" i="2"/>
  <c r="CP309" i="2"/>
  <c r="CP308" i="2"/>
  <c r="EQ201" i="2"/>
  <c r="EQ200" i="2"/>
  <c r="EQ195" i="2"/>
  <c r="EQ109" i="2"/>
  <c r="HD95" i="3"/>
  <c r="EP84" i="2"/>
  <c r="EP85" i="2"/>
  <c r="EF316" i="2"/>
  <c r="EF317" i="2"/>
  <c r="EG315" i="2"/>
  <c r="GG315" i="2" s="1"/>
  <c r="EF428" i="2"/>
  <c r="ES225" i="2"/>
  <c r="ER227" i="2"/>
  <c r="GW124" i="3"/>
  <c r="ES159" i="2"/>
  <c r="ET157" i="2"/>
  <c r="GJ157" i="2"/>
  <c r="ES312" i="3"/>
  <c r="ES224" i="3"/>
  <c r="ES234" i="3"/>
  <c r="ES225" i="3"/>
  <c r="EQ313" i="3"/>
  <c r="EQ314" i="3" s="1"/>
  <c r="EQ317" i="3" s="1"/>
  <c r="EQ242" i="3"/>
  <c r="EQ240" i="3"/>
  <c r="ER238" i="3"/>
  <c r="CR253" i="2"/>
  <c r="CR251" i="2"/>
  <c r="CR252" i="2"/>
  <c r="CR262" i="2"/>
  <c r="EE430" i="2"/>
  <c r="EE429" i="2"/>
  <c r="EP64" i="2"/>
  <c r="EP65" i="2"/>
  <c r="EU427" i="2"/>
  <c r="GI115" i="2"/>
  <c r="EG312" i="2"/>
  <c r="EH310" i="2"/>
  <c r="EG266" i="2"/>
  <c r="GG266" i="2" s="1"/>
  <c r="EQ205" i="2"/>
  <c r="EQ204" i="2"/>
  <c r="EQ113" i="2"/>
  <c r="GI436" i="2"/>
  <c r="GI222" i="2"/>
  <c r="GI197" i="2"/>
  <c r="EP89" i="3"/>
  <c r="EO88" i="3"/>
  <c r="EP88" i="3" s="1"/>
  <c r="ER230" i="2"/>
  <c r="ES228" i="2"/>
  <c r="EQ211" i="2"/>
  <c r="EQ210" i="2"/>
  <c r="EP445" i="2"/>
  <c r="EP446" i="2"/>
  <c r="EP33" i="2"/>
  <c r="EP34" i="2"/>
  <c r="EP37" i="2"/>
  <c r="GI321" i="2"/>
  <c r="EO244" i="3"/>
  <c r="EO243" i="3"/>
  <c r="EP242" i="3"/>
  <c r="EP244" i="3" s="1"/>
  <c r="CU301" i="2"/>
  <c r="CT303" i="2"/>
  <c r="CT254" i="2"/>
  <c r="FW254" i="2"/>
  <c r="ER219" i="2" l="1"/>
  <c r="EC372" i="2"/>
  <c r="AP128" i="3"/>
  <c r="AP129" i="3" s="1"/>
  <c r="GF383" i="2"/>
  <c r="GF385" i="2" s="1"/>
  <c r="EC376" i="2"/>
  <c r="EC368" i="2"/>
  <c r="ES346" i="2"/>
  <c r="ER348" i="2"/>
  <c r="GI348" i="2"/>
  <c r="EQ341" i="2"/>
  <c r="EQ340" i="2"/>
  <c r="EQ145" i="2"/>
  <c r="ER277" i="2"/>
  <c r="ER276" i="2"/>
  <c r="ES281" i="2"/>
  <c r="ET279" i="2"/>
  <c r="ES275" i="2"/>
  <c r="ES272" i="2" s="1"/>
  <c r="ES292" i="2" s="1"/>
  <c r="EN418" i="2"/>
  <c r="EN417" i="2"/>
  <c r="EP147" i="2"/>
  <c r="EP146" i="2"/>
  <c r="EN107" i="2"/>
  <c r="EN106" i="2"/>
  <c r="ER339" i="2"/>
  <c r="ER440" i="2" s="1"/>
  <c r="ES343" i="2"/>
  <c r="GJ343" i="2" s="1"/>
  <c r="GJ345" i="2" s="1"/>
  <c r="ER345" i="2"/>
  <c r="GJ279" i="2"/>
  <c r="GJ281" i="2" s="1"/>
  <c r="GI117" i="2"/>
  <c r="GI119" i="2" s="1"/>
  <c r="EO119" i="2"/>
  <c r="EP117" i="2"/>
  <c r="EO416" i="2"/>
  <c r="EO105" i="2"/>
  <c r="EQ88" i="3"/>
  <c r="EU312" i="3"/>
  <c r="EU225" i="3"/>
  <c r="ET159" i="2"/>
  <c r="EU157" i="2"/>
  <c r="HE95" i="3"/>
  <c r="EQ222" i="2"/>
  <c r="EQ197" i="2"/>
  <c r="EQ196" i="2"/>
  <c r="EO126" i="3"/>
  <c r="EO130" i="3" s="1"/>
  <c r="EQ124" i="3"/>
  <c r="EF426" i="2"/>
  <c r="EF425" i="2"/>
  <c r="GJ218" i="2"/>
  <c r="ES218" i="2"/>
  <c r="ET216" i="2"/>
  <c r="ES203" i="2"/>
  <c r="HG60" i="3"/>
  <c r="HG55" i="3" s="1"/>
  <c r="GG155" i="2"/>
  <c r="GH155" i="2"/>
  <c r="EE143" i="2"/>
  <c r="EE142" i="2"/>
  <c r="EH128" i="3"/>
  <c r="EH129" i="3" s="1"/>
  <c r="ES291" i="2"/>
  <c r="ET289" i="2"/>
  <c r="CK128" i="3"/>
  <c r="CK129" i="3" s="1"/>
  <c r="EE365" i="2"/>
  <c r="ED383" i="2"/>
  <c r="ED372" i="2" s="1"/>
  <c r="ED367" i="2"/>
  <c r="HE107" i="3"/>
  <c r="EQ446" i="2"/>
  <c r="EQ445" i="2"/>
  <c r="ER274" i="2"/>
  <c r="ER273" i="2"/>
  <c r="ER278" i="2"/>
  <c r="FW298" i="2"/>
  <c r="FW300" i="2" s="1"/>
  <c r="FW301" i="2"/>
  <c r="FW303" i="2" s="1"/>
  <c r="FW256" i="2"/>
  <c r="FW257" i="2"/>
  <c r="GI224" i="2"/>
  <c r="EQ111" i="2"/>
  <c r="EQ110" i="2"/>
  <c r="EU439" i="2"/>
  <c r="GA164" i="3"/>
  <c r="FZ161" i="3"/>
  <c r="FZ163" i="3"/>
  <c r="FZ162" i="3"/>
  <c r="CS253" i="2"/>
  <c r="CS251" i="2"/>
  <c r="CS252" i="2"/>
  <c r="CS262" i="2"/>
  <c r="FW262" i="2" s="1"/>
  <c r="FW250" i="2"/>
  <c r="ER313" i="3"/>
  <c r="ER314" i="3" s="1"/>
  <c r="ER317" i="3" s="1"/>
  <c r="ER240" i="3"/>
  <c r="ER242" i="3"/>
  <c r="ES238" i="3"/>
  <c r="ES227" i="2"/>
  <c r="ET225" i="2"/>
  <c r="EF151" i="2"/>
  <c r="EF150" i="2"/>
  <c r="EF141" i="2"/>
  <c r="EE369" i="2"/>
  <c r="ED371" i="2"/>
  <c r="DZ388" i="2"/>
  <c r="DZ389" i="2"/>
  <c r="HF20" i="3"/>
  <c r="ES41" i="2"/>
  <c r="GJ41" i="2" s="1"/>
  <c r="ER32" i="2"/>
  <c r="ER43" i="2"/>
  <c r="ES443" i="2"/>
  <c r="EA401" i="2"/>
  <c r="EA400" i="2"/>
  <c r="HG58" i="3"/>
  <c r="HH58" i="3" s="1"/>
  <c r="GJ214" i="2"/>
  <c r="EB360" i="2"/>
  <c r="EB351" i="2"/>
  <c r="EB362" i="2"/>
  <c r="EB361" i="2"/>
  <c r="EC384" i="2"/>
  <c r="EC385" i="2"/>
  <c r="EC359" i="2"/>
  <c r="GF359" i="2" s="1"/>
  <c r="HG22" i="3"/>
  <c r="ET45" i="2"/>
  <c r="ES47" i="2"/>
  <c r="GF426" i="2"/>
  <c r="GF427" i="2"/>
  <c r="CS300" i="2"/>
  <c r="CS299" i="2"/>
  <c r="ES447" i="2"/>
  <c r="ER444" i="2"/>
  <c r="DB128" i="3"/>
  <c r="DB129" i="3" s="1"/>
  <c r="EQ329" i="2"/>
  <c r="EQ328" i="2"/>
  <c r="EQ133" i="2"/>
  <c r="EQ321" i="2"/>
  <c r="EQ436" i="2"/>
  <c r="CT298" i="2"/>
  <c r="CT256" i="2"/>
  <c r="CT257" i="2"/>
  <c r="CT255" i="2"/>
  <c r="CT250" i="2"/>
  <c r="ES235" i="3"/>
  <c r="ES230" i="3"/>
  <c r="ES236" i="3"/>
  <c r="GG317" i="2"/>
  <c r="EQ85" i="2"/>
  <c r="EQ84" i="2"/>
  <c r="HJ86" i="3"/>
  <c r="EQ442" i="2"/>
  <c r="EQ441" i="2"/>
  <c r="EB404" i="2"/>
  <c r="EB405" i="2"/>
  <c r="EC402" i="2"/>
  <c r="EB399" i="2"/>
  <c r="EP224" i="2"/>
  <c r="EP223" i="2"/>
  <c r="EP323" i="2"/>
  <c r="EP322" i="2"/>
  <c r="EA352" i="2"/>
  <c r="EA354" i="2"/>
  <c r="EA353" i="2"/>
  <c r="ET312" i="3"/>
  <c r="ET234" i="3"/>
  <c r="ET225" i="3"/>
  <c r="ET224" i="3"/>
  <c r="EO433" i="2"/>
  <c r="EO435" i="2"/>
  <c r="EO434" i="2"/>
  <c r="ER201" i="2"/>
  <c r="ER200" i="2"/>
  <c r="ER195" i="2"/>
  <c r="ER109" i="2"/>
  <c r="ES287" i="2"/>
  <c r="ET285" i="2"/>
  <c r="GG310" i="2"/>
  <c r="GG312" i="2" s="1"/>
  <c r="GG268" i="2"/>
  <c r="EQ423" i="2"/>
  <c r="HI54" i="3"/>
  <c r="ES59" i="2"/>
  <c r="HH54" i="3"/>
  <c r="EV334" i="2"/>
  <c r="EU336" i="2"/>
  <c r="GJ287" i="2"/>
  <c r="ET228" i="2"/>
  <c r="ES230" i="2"/>
  <c r="GI438" i="2"/>
  <c r="GI439" i="2"/>
  <c r="EV427" i="2"/>
  <c r="EQ115" i="2"/>
  <c r="EQ114" i="2"/>
  <c r="EH312" i="2"/>
  <c r="EI310" i="2"/>
  <c r="EH266" i="2"/>
  <c r="GY124" i="3"/>
  <c r="GX124" i="3"/>
  <c r="EF430" i="2"/>
  <c r="EF429" i="2"/>
  <c r="HG59" i="3"/>
  <c r="HH59" i="3" s="1"/>
  <c r="ER83" i="2"/>
  <c r="ER63" i="2" s="1"/>
  <c r="HF51" i="3"/>
  <c r="EE406" i="2"/>
  <c r="ED408" i="2"/>
  <c r="EQ34" i="2"/>
  <c r="EQ37" i="2"/>
  <c r="EQ33" i="2"/>
  <c r="ED426" i="2"/>
  <c r="ED425" i="2"/>
  <c r="GI135" i="2"/>
  <c r="CQ309" i="2"/>
  <c r="CQ308" i="2"/>
  <c r="ER61" i="2"/>
  <c r="ER36" i="2"/>
  <c r="ER60" i="2"/>
  <c r="ER431" i="2"/>
  <c r="EC380" i="2"/>
  <c r="EP438" i="2"/>
  <c r="EP432" i="2"/>
  <c r="EP437" i="2"/>
  <c r="HF14" i="3"/>
  <c r="ER16" i="2"/>
  <c r="ES14" i="2"/>
  <c r="ER15" i="2"/>
  <c r="ER232" i="3"/>
  <c r="ER231" i="3"/>
  <c r="ER211" i="2"/>
  <c r="ER210" i="2"/>
  <c r="DS128" i="3"/>
  <c r="DS129" i="3" s="1"/>
  <c r="ES331" i="2"/>
  <c r="ER327" i="2"/>
  <c r="ER333" i="2"/>
  <c r="GJ159" i="2"/>
  <c r="EN130" i="3"/>
  <c r="EP39" i="2"/>
  <c r="EP38" i="2"/>
  <c r="EG268" i="2"/>
  <c r="EG267" i="2"/>
  <c r="EG149" i="2"/>
  <c r="EG424" i="2"/>
  <c r="CR265" i="2"/>
  <c r="CR307" i="2"/>
  <c r="CR264" i="2"/>
  <c r="CR263" i="2"/>
  <c r="CU303" i="2"/>
  <c r="CV301" i="2"/>
  <c r="CU254" i="2"/>
  <c r="GI323" i="2"/>
  <c r="EQ244" i="3"/>
  <c r="EQ243" i="3"/>
  <c r="EH315" i="2"/>
  <c r="EG316" i="2"/>
  <c r="EG317" i="2"/>
  <c r="EG428" i="2"/>
  <c r="CC128" i="3"/>
  <c r="CC129" i="3" s="1"/>
  <c r="ER205" i="2"/>
  <c r="ER204" i="2"/>
  <c r="ER113" i="2"/>
  <c r="EA397" i="2"/>
  <c r="EB394" i="2"/>
  <c r="EA396" i="2"/>
  <c r="EA387" i="2"/>
  <c r="EE373" i="2"/>
  <c r="ED375" i="2"/>
  <c r="HF55" i="3"/>
  <c r="GI435" i="2"/>
  <c r="GI434" i="2"/>
  <c r="EE377" i="2"/>
  <c r="ED379" i="2"/>
  <c r="EQ63" i="2"/>
  <c r="EP135" i="2"/>
  <c r="EP134" i="2"/>
  <c r="HI40" i="3"/>
  <c r="HH40" i="3"/>
  <c r="ET212" i="2"/>
  <c r="ES209" i="2"/>
  <c r="ES199" i="2"/>
  <c r="GJ199" i="2" s="1"/>
  <c r="ES214" i="2"/>
  <c r="ER288" i="2"/>
  <c r="BE128" i="3"/>
  <c r="BE129" i="3" s="1"/>
  <c r="GJ289" i="2"/>
  <c r="ED376" i="2" l="1"/>
  <c r="ED380" i="2"/>
  <c r="EP126" i="3"/>
  <c r="EP130" i="3" s="1"/>
  <c r="EP129" i="3" s="1"/>
  <c r="HG109" i="3"/>
  <c r="AQ128" i="3"/>
  <c r="AQ129" i="3" s="1"/>
  <c r="ED409" i="2"/>
  <c r="GJ241" i="2"/>
  <c r="EO417" i="2"/>
  <c r="EO418" i="2"/>
  <c r="ER340" i="2"/>
  <c r="ER145" i="2"/>
  <c r="ER341" i="2"/>
  <c r="ED368" i="2"/>
  <c r="EP119" i="2"/>
  <c r="EQ117" i="2"/>
  <c r="EP105" i="2"/>
  <c r="EP416" i="2"/>
  <c r="ES276" i="2"/>
  <c r="ES277" i="2"/>
  <c r="GJ275" i="2"/>
  <c r="ET275" i="2"/>
  <c r="ET272" i="2" s="1"/>
  <c r="ET292" i="2" s="1"/>
  <c r="ET281" i="2"/>
  <c r="EU279" i="2"/>
  <c r="ES288" i="2"/>
  <c r="EQ147" i="2"/>
  <c r="EQ146" i="2"/>
  <c r="EO107" i="2"/>
  <c r="EO106" i="2"/>
  <c r="GI105" i="2"/>
  <c r="GI107" i="2" s="1"/>
  <c r="GI416" i="2"/>
  <c r="ET343" i="2"/>
  <c r="ES345" i="2"/>
  <c r="ES339" i="2"/>
  <c r="ES348" i="2"/>
  <c r="ET346" i="2"/>
  <c r="GJ225" i="2"/>
  <c r="GJ201" i="2"/>
  <c r="GJ43" i="2"/>
  <c r="FW265" i="2"/>
  <c r="FW307" i="2"/>
  <c r="FW264" i="2"/>
  <c r="EG430" i="2"/>
  <c r="EG429" i="2"/>
  <c r="ER222" i="2"/>
  <c r="ER197" i="2"/>
  <c r="ER196" i="2"/>
  <c r="HF95" i="3"/>
  <c r="HF109" i="3"/>
  <c r="HH109" i="3" s="1"/>
  <c r="HH55" i="3"/>
  <c r="EG151" i="2"/>
  <c r="EG150" i="2"/>
  <c r="EG141" i="2"/>
  <c r="GG141" i="2" s="1"/>
  <c r="GG149" i="2"/>
  <c r="DT128" i="3"/>
  <c r="DT129" i="3" s="1"/>
  <c r="GJ291" i="2"/>
  <c r="ES211" i="2"/>
  <c r="ES210" i="2"/>
  <c r="ER85" i="2"/>
  <c r="ER84" i="2"/>
  <c r="GZ124" i="3"/>
  <c r="HJ54" i="3"/>
  <c r="ET59" i="2"/>
  <c r="EB400" i="2"/>
  <c r="EB401" i="2"/>
  <c r="GJ243" i="2"/>
  <c r="CT251" i="2"/>
  <c r="CT252" i="2"/>
  <c r="CT253" i="2"/>
  <c r="CT262" i="2"/>
  <c r="EQ432" i="2"/>
  <c r="EQ438" i="2"/>
  <c r="EQ437" i="2"/>
  <c r="DG128" i="3"/>
  <c r="DG129" i="3" s="1"/>
  <c r="ET443" i="2"/>
  <c r="ET227" i="2"/>
  <c r="EU225" i="2"/>
  <c r="GG428" i="2"/>
  <c r="GJ237" i="2"/>
  <c r="EE375" i="2"/>
  <c r="EF373" i="2"/>
  <c r="EG426" i="2"/>
  <c r="EG425" i="2"/>
  <c r="GG424" i="2"/>
  <c r="ES232" i="3"/>
  <c r="ES231" i="3"/>
  <c r="GF361" i="2"/>
  <c r="GF362" i="2"/>
  <c r="HG14" i="3"/>
  <c r="HH14" i="3" s="1"/>
  <c r="ET14" i="2"/>
  <c r="ES16" i="2"/>
  <c r="ES15" i="2"/>
  <c r="GJ14" i="2"/>
  <c r="EC351" i="2"/>
  <c r="GF351" i="2" s="1"/>
  <c r="EC360" i="2"/>
  <c r="EC362" i="2"/>
  <c r="EC361" i="2"/>
  <c r="ET218" i="2"/>
  <c r="ET203" i="2"/>
  <c r="EU216" i="2"/>
  <c r="EU212" i="2"/>
  <c r="ET209" i="2"/>
  <c r="ET215" i="2" s="1"/>
  <c r="ET199" i="2"/>
  <c r="ET214" i="2"/>
  <c r="CU257" i="2"/>
  <c r="CU255" i="2"/>
  <c r="CU298" i="2"/>
  <c r="CU256" i="2"/>
  <c r="CU250" i="2"/>
  <c r="HI59" i="3"/>
  <c r="ES83" i="2"/>
  <c r="ES63" i="2" s="1"/>
  <c r="HG51" i="3"/>
  <c r="HH51" i="3" s="1"/>
  <c r="EU228" i="2"/>
  <c r="ET230" i="2"/>
  <c r="EV336" i="2"/>
  <c r="EW334" i="2"/>
  <c r="EW336" i="2" s="1"/>
  <c r="ES273" i="2"/>
  <c r="ES274" i="2"/>
  <c r="ES278" i="2"/>
  <c r="GJ272" i="2"/>
  <c r="GJ292" i="2" s="1"/>
  <c r="ET230" i="3"/>
  <c r="ET236" i="3"/>
  <c r="ET235" i="3"/>
  <c r="EU234" i="3"/>
  <c r="EC405" i="2"/>
  <c r="ED402" i="2"/>
  <c r="EC399" i="2"/>
  <c r="EC404" i="2"/>
  <c r="GF402" i="2"/>
  <c r="EQ322" i="2"/>
  <c r="EQ323" i="2"/>
  <c r="EB352" i="2"/>
  <c r="EB354" i="2"/>
  <c r="EB353" i="2"/>
  <c r="EE371" i="2"/>
  <c r="EF369" i="2"/>
  <c r="FW253" i="2"/>
  <c r="FW252" i="2"/>
  <c r="FW423" i="2"/>
  <c r="ED359" i="2"/>
  <c r="ED385" i="2"/>
  <c r="ED384" i="2"/>
  <c r="HI60" i="3"/>
  <c r="HI55" i="3" s="1"/>
  <c r="HH60" i="3"/>
  <c r="ER124" i="3"/>
  <c r="EQ126" i="3"/>
  <c r="ET331" i="2"/>
  <c r="ES327" i="2"/>
  <c r="GJ327" i="2" s="1"/>
  <c r="ES333" i="2"/>
  <c r="GJ331" i="2"/>
  <c r="GJ333" i="2" s="1"/>
  <c r="ES431" i="2"/>
  <c r="EQ39" i="2"/>
  <c r="EQ38" i="2"/>
  <c r="ES201" i="2"/>
  <c r="ES200" i="2"/>
  <c r="ES195" i="2"/>
  <c r="ES109" i="2"/>
  <c r="EE379" i="2"/>
  <c r="EF377" i="2"/>
  <c r="EA388" i="2"/>
  <c r="EA389" i="2"/>
  <c r="EP433" i="2"/>
  <c r="EP435" i="2"/>
  <c r="EP434" i="2"/>
  <c r="ER65" i="2"/>
  <c r="ER64" i="2"/>
  <c r="HJ40" i="3"/>
  <c r="EQ65" i="2"/>
  <c r="EQ64" i="2"/>
  <c r="EC394" i="2"/>
  <c r="GF394" i="2" s="1"/>
  <c r="GF397" i="2" s="1"/>
  <c r="EB396" i="2"/>
  <c r="EB397" i="2"/>
  <c r="EB387" i="2"/>
  <c r="EH317" i="2"/>
  <c r="EI315" i="2"/>
  <c r="EH316" i="2"/>
  <c r="EH428" i="2"/>
  <c r="CV303" i="2"/>
  <c r="CW301" i="2"/>
  <c r="CV254" i="2"/>
  <c r="CR309" i="2"/>
  <c r="CR308" i="2"/>
  <c r="HF107" i="3"/>
  <c r="EE408" i="2"/>
  <c r="EF406" i="2"/>
  <c r="EH267" i="2"/>
  <c r="EH268" i="2"/>
  <c r="EH149" i="2"/>
  <c r="EH424" i="2"/>
  <c r="EW427" i="2"/>
  <c r="ER423" i="2"/>
  <c r="ER111" i="2"/>
  <c r="ER110" i="2"/>
  <c r="EQ135" i="2"/>
  <c r="EQ134" i="2"/>
  <c r="ER446" i="2"/>
  <c r="ER445" i="2"/>
  <c r="HI58" i="3"/>
  <c r="EF142" i="2"/>
  <c r="EF143" i="2"/>
  <c r="CS307" i="2"/>
  <c r="CS263" i="2"/>
  <c r="CS265" i="2"/>
  <c r="CS264" i="2"/>
  <c r="EE367" i="2"/>
  <c r="EF365" i="2"/>
  <c r="EE383" i="2"/>
  <c r="EE376" i="2" s="1"/>
  <c r="ES205" i="2"/>
  <c r="ES204" i="2"/>
  <c r="ES113" i="2"/>
  <c r="EV157" i="2"/>
  <c r="EU159" i="2"/>
  <c r="ER88" i="3"/>
  <c r="EU128" i="3"/>
  <c r="HG20" i="3"/>
  <c r="HH20" i="3" s="1"/>
  <c r="ET41" i="2"/>
  <c r="ES43" i="2"/>
  <c r="ES32" i="2"/>
  <c r="GJ32" i="2" s="1"/>
  <c r="ER243" i="3"/>
  <c r="ER244" i="3"/>
  <c r="CT300" i="2"/>
  <c r="CT299" i="2"/>
  <c r="ER442" i="2"/>
  <c r="ER441" i="2"/>
  <c r="GB164" i="3"/>
  <c r="GA162" i="3"/>
  <c r="GA163" i="3"/>
  <c r="GA161" i="3"/>
  <c r="ET291" i="2"/>
  <c r="EU289" i="2"/>
  <c r="BF128" i="3"/>
  <c r="BF129" i="3" s="1"/>
  <c r="ES215" i="2"/>
  <c r="ER115" i="2"/>
  <c r="ER114" i="2"/>
  <c r="ER329" i="2"/>
  <c r="ER328" i="2"/>
  <c r="ER133" i="2"/>
  <c r="ER321" i="2"/>
  <c r="ER436" i="2"/>
  <c r="GJ209" i="2"/>
  <c r="EI312" i="2"/>
  <c r="EJ310" i="2"/>
  <c r="EI266" i="2"/>
  <c r="ES61" i="2"/>
  <c r="ES36" i="2"/>
  <c r="GJ36" i="2" s="1"/>
  <c r="ES60" i="2"/>
  <c r="GJ59" i="2"/>
  <c r="ET287" i="2"/>
  <c r="EU285" i="2"/>
  <c r="HK86" i="3"/>
  <c r="ES444" i="2"/>
  <c r="ET447" i="2"/>
  <c r="HI22" i="3"/>
  <c r="EU45" i="2"/>
  <c r="ET47" i="2"/>
  <c r="GJ233" i="2"/>
  <c r="ER34" i="2"/>
  <c r="ER37" i="2"/>
  <c r="ER33" i="2"/>
  <c r="ES313" i="3"/>
  <c r="ES314" i="3" s="1"/>
  <c r="ES317" i="3" s="1"/>
  <c r="ES240" i="3"/>
  <c r="ET238" i="3"/>
  <c r="ES242" i="3"/>
  <c r="EV439" i="2"/>
  <c r="CL128" i="3"/>
  <c r="CL129" i="3" s="1"/>
  <c r="EI128" i="3"/>
  <c r="EI129" i="3" s="1"/>
  <c r="ES219" i="2"/>
  <c r="EQ223" i="2"/>
  <c r="EQ224" i="2"/>
  <c r="GJ203" i="2"/>
  <c r="HH22" i="3"/>
  <c r="AR128" i="3" l="1"/>
  <c r="AR129" i="3" s="1"/>
  <c r="EE380" i="2"/>
  <c r="GJ277" i="2"/>
  <c r="EE372" i="2"/>
  <c r="ES340" i="2"/>
  <c r="ES145" i="2"/>
  <c r="ES341" i="2"/>
  <c r="GJ339" i="2"/>
  <c r="EE409" i="2"/>
  <c r="EP417" i="2"/>
  <c r="EP418" i="2"/>
  <c r="ER146" i="2"/>
  <c r="ER147" i="2"/>
  <c r="ET348" i="2"/>
  <c r="EU346" i="2"/>
  <c r="EU343" i="2"/>
  <c r="ET345" i="2"/>
  <c r="ET339" i="2"/>
  <c r="ET440" i="2" s="1"/>
  <c r="EU281" i="2"/>
  <c r="EV279" i="2"/>
  <c r="EU275" i="2"/>
  <c r="EU272" i="2" s="1"/>
  <c r="EU292" i="2" s="1"/>
  <c r="EP107" i="2"/>
  <c r="EP106" i="2"/>
  <c r="ES440" i="2"/>
  <c r="GJ440" i="2" s="1"/>
  <c r="GJ442" i="2" s="1"/>
  <c r="EQ119" i="2"/>
  <c r="ER117" i="2"/>
  <c r="EQ416" i="2"/>
  <c r="EQ105" i="2"/>
  <c r="EE368" i="2"/>
  <c r="GI418" i="2"/>
  <c r="GI419" i="2"/>
  <c r="ET277" i="2"/>
  <c r="ET276" i="2"/>
  <c r="HI109" i="3"/>
  <c r="HI20" i="3"/>
  <c r="EU41" i="2"/>
  <c r="ET43" i="2"/>
  <c r="ET32" i="2"/>
  <c r="HJ58" i="3"/>
  <c r="EB388" i="2"/>
  <c r="EB389" i="2"/>
  <c r="ED405" i="2"/>
  <c r="EE402" i="2"/>
  <c r="ED399" i="2"/>
  <c r="ED404" i="2"/>
  <c r="EU230" i="2"/>
  <c r="EV228" i="2"/>
  <c r="CU300" i="2"/>
  <c r="CU299" i="2"/>
  <c r="ET201" i="2"/>
  <c r="ET200" i="2"/>
  <c r="ET195" i="2"/>
  <c r="ET109" i="2"/>
  <c r="HM90" i="3"/>
  <c r="EW439" i="2"/>
  <c r="ES115" i="2"/>
  <c r="ES114" i="2"/>
  <c r="GJ113" i="2"/>
  <c r="ET232" i="3"/>
  <c r="ET231" i="3"/>
  <c r="GJ34" i="2"/>
  <c r="ER437" i="2"/>
  <c r="ER432" i="2"/>
  <c r="ER438" i="2"/>
  <c r="ES243" i="3"/>
  <c r="ES244" i="3"/>
  <c r="GJ235" i="2"/>
  <c r="ES446" i="2"/>
  <c r="ES445" i="2"/>
  <c r="EU287" i="2"/>
  <c r="EV285" i="2"/>
  <c r="EI268" i="2"/>
  <c r="EI267" i="2"/>
  <c r="EI149" i="2"/>
  <c r="EI424" i="2"/>
  <c r="ER322" i="2"/>
  <c r="ER323" i="2"/>
  <c r="GC164" i="3"/>
  <c r="GB163" i="3"/>
  <c r="GB161" i="3"/>
  <c r="GB162" i="3"/>
  <c r="ES88" i="3"/>
  <c r="GJ444" i="2"/>
  <c r="ES423" i="2"/>
  <c r="CV298" i="2"/>
  <c r="CV257" i="2"/>
  <c r="CV255" i="2"/>
  <c r="CV256" i="2"/>
  <c r="CV250" i="2"/>
  <c r="EI317" i="2"/>
  <c r="EI316" i="2"/>
  <c r="EJ315" i="2"/>
  <c r="EI428" i="2"/>
  <c r="ES111" i="2"/>
  <c r="ES110" i="2"/>
  <c r="GJ109" i="2"/>
  <c r="ED362" i="2"/>
  <c r="ED351" i="2"/>
  <c r="ED360" i="2"/>
  <c r="ED361" i="2"/>
  <c r="ET211" i="2"/>
  <c r="ET210" i="2"/>
  <c r="EU218" i="2"/>
  <c r="EU203" i="2"/>
  <c r="EV216" i="2"/>
  <c r="GK241" i="2"/>
  <c r="EC354" i="2"/>
  <c r="EC352" i="2"/>
  <c r="EC353" i="2"/>
  <c r="HI14" i="3"/>
  <c r="ET16" i="2"/>
  <c r="ET15" i="2"/>
  <c r="EU14" i="2"/>
  <c r="GG426" i="2"/>
  <c r="GG427" i="2"/>
  <c r="GJ239" i="2"/>
  <c r="EQ435" i="2"/>
  <c r="EQ434" i="2"/>
  <c r="EQ433" i="2"/>
  <c r="ET36" i="2"/>
  <c r="ET60" i="2"/>
  <c r="ET61" i="2"/>
  <c r="DU128" i="3"/>
  <c r="DU129" i="3" s="1"/>
  <c r="FW309" i="2"/>
  <c r="GJ334" i="2"/>
  <c r="GJ336" i="2" s="1"/>
  <c r="GJ329" i="2"/>
  <c r="EF367" i="2"/>
  <c r="EF383" i="2"/>
  <c r="EF372" i="2" s="1"/>
  <c r="EG365" i="2"/>
  <c r="EF371" i="2"/>
  <c r="EG369" i="2"/>
  <c r="GG369" i="2" s="1"/>
  <c r="GG371" i="2" s="1"/>
  <c r="ET444" i="2"/>
  <c r="EU447" i="2"/>
  <c r="GJ228" i="2"/>
  <c r="GJ205" i="2"/>
  <c r="ET313" i="3"/>
  <c r="ET314" i="3" s="1"/>
  <c r="ET317" i="3" s="1"/>
  <c r="ET240" i="3"/>
  <c r="ET242" i="3"/>
  <c r="EU238" i="3"/>
  <c r="HL86" i="3"/>
  <c r="EJ312" i="2"/>
  <c r="EK310" i="2"/>
  <c r="EJ266" i="2"/>
  <c r="ER135" i="2"/>
  <c r="ER134" i="2"/>
  <c r="BG128" i="3"/>
  <c r="BG129" i="3" s="1"/>
  <c r="CS309" i="2"/>
  <c r="CS308" i="2"/>
  <c r="CX301" i="2"/>
  <c r="CW303" i="2"/>
  <c r="CW254" i="2"/>
  <c r="FX254" i="2" s="1"/>
  <c r="HK40" i="3"/>
  <c r="ES329" i="2"/>
  <c r="ES328" i="2"/>
  <c r="ES133" i="2"/>
  <c r="ES321" i="2"/>
  <c r="ES436" i="2"/>
  <c r="GJ436" i="2" s="1"/>
  <c r="HJ60" i="3"/>
  <c r="GF354" i="2"/>
  <c r="GF353" i="2"/>
  <c r="EU236" i="3"/>
  <c r="EU230" i="3"/>
  <c r="EU232" i="3" s="1"/>
  <c r="EV212" i="2"/>
  <c r="EU209" i="2"/>
  <c r="EU215" i="2" s="1"/>
  <c r="EU199" i="2"/>
  <c r="EU214" i="2"/>
  <c r="ET205" i="2"/>
  <c r="ET204" i="2"/>
  <c r="ET113" i="2"/>
  <c r="HG107" i="3"/>
  <c r="HH107" i="3" s="1"/>
  <c r="GK237" i="2"/>
  <c r="GG430" i="2"/>
  <c r="GG431" i="2"/>
  <c r="EU443" i="2"/>
  <c r="CT307" i="2"/>
  <c r="CT263" i="2"/>
  <c r="CT264" i="2"/>
  <c r="CT265" i="2"/>
  <c r="HK54" i="3"/>
  <c r="EU59" i="2"/>
  <c r="HA124" i="3"/>
  <c r="ER224" i="2"/>
  <c r="ER223" i="2"/>
  <c r="ES65" i="2"/>
  <c r="ES64" i="2"/>
  <c r="ES124" i="3"/>
  <c r="ER126" i="3"/>
  <c r="ER130" i="3" s="1"/>
  <c r="EC400" i="2"/>
  <c r="EC401" i="2"/>
  <c r="GF399" i="2"/>
  <c r="GJ61" i="2"/>
  <c r="CN128" i="3"/>
  <c r="CN129" i="3" s="1"/>
  <c r="EC396" i="2"/>
  <c r="EC397" i="2"/>
  <c r="ED394" i="2"/>
  <c r="EC387" i="2"/>
  <c r="ES222" i="2"/>
  <c r="ES197" i="2"/>
  <c r="ES196" i="2"/>
  <c r="ET333" i="2"/>
  <c r="EU331" i="2"/>
  <c r="ET327" i="2"/>
  <c r="GJ274" i="2"/>
  <c r="GJ278" i="2"/>
  <c r="GJ288" i="2"/>
  <c r="GJ83" i="2"/>
  <c r="GJ85" i="2" s="1"/>
  <c r="ES84" i="2"/>
  <c r="ES85" i="2"/>
  <c r="GJ16" i="2"/>
  <c r="EU227" i="2"/>
  <c r="EV225" i="2"/>
  <c r="GG151" i="2"/>
  <c r="GJ227" i="2"/>
  <c r="EU291" i="2"/>
  <c r="EV289" i="2"/>
  <c r="EH151" i="2"/>
  <c r="EH150" i="2"/>
  <c r="EH141" i="2"/>
  <c r="HG95" i="3"/>
  <c r="GG143" i="2"/>
  <c r="EJ128" i="3"/>
  <c r="EJ129" i="3" s="1"/>
  <c r="ER39" i="2"/>
  <c r="ER38" i="2"/>
  <c r="HJ22" i="3"/>
  <c r="EV45" i="2"/>
  <c r="EU47" i="2"/>
  <c r="ET273" i="2"/>
  <c r="ET274" i="2"/>
  <c r="ET278" i="2"/>
  <c r="ET288" i="2"/>
  <c r="GJ211" i="2"/>
  <c r="GJ219" i="2"/>
  <c r="GJ215" i="2"/>
  <c r="ES37" i="2"/>
  <c r="ES34" i="2"/>
  <c r="ES33" i="2"/>
  <c r="EW157" i="2"/>
  <c r="GK157" i="2" s="1"/>
  <c r="EV159" i="2"/>
  <c r="EE384" i="2"/>
  <c r="EE359" i="2"/>
  <c r="EE385" i="2"/>
  <c r="EH426" i="2"/>
  <c r="EH425" i="2"/>
  <c r="EF408" i="2"/>
  <c r="EG406" i="2"/>
  <c r="EH430" i="2"/>
  <c r="EH429" i="2"/>
  <c r="GJ63" i="2"/>
  <c r="GJ65" i="2" s="1"/>
  <c r="EF379" i="2"/>
  <c r="EG377" i="2"/>
  <c r="GG377" i="2" s="1"/>
  <c r="GG379" i="2" s="1"/>
  <c r="ET431" i="2"/>
  <c r="EQ130" i="3"/>
  <c r="HJ59" i="3"/>
  <c r="HI51" i="3"/>
  <c r="ET83" i="2"/>
  <c r="GJ195" i="2"/>
  <c r="CU252" i="2"/>
  <c r="CU253" i="2"/>
  <c r="CU251" i="2"/>
  <c r="CU262" i="2"/>
  <c r="ET219" i="2"/>
  <c r="EF375" i="2"/>
  <c r="EG373" i="2"/>
  <c r="DL128" i="3"/>
  <c r="DL129" i="3" s="1"/>
  <c r="EG142" i="2"/>
  <c r="EG143" i="2"/>
  <c r="GJ443" i="2" l="1"/>
  <c r="ES441" i="2"/>
  <c r="GK233" i="2"/>
  <c r="GK235" i="2" s="1"/>
  <c r="ES442" i="2"/>
  <c r="AS128" i="3"/>
  <c r="AS129" i="3" s="1"/>
  <c r="EF380" i="2"/>
  <c r="EF409" i="2"/>
  <c r="EF376" i="2"/>
  <c r="ES147" i="2"/>
  <c r="ES146" i="2"/>
  <c r="GJ145" i="2"/>
  <c r="GJ147" i="2" s="1"/>
  <c r="EU276" i="2"/>
  <c r="EU277" i="2"/>
  <c r="EU339" i="2"/>
  <c r="EU440" i="2" s="1"/>
  <c r="EV343" i="2"/>
  <c r="EU345" i="2"/>
  <c r="EQ106" i="2"/>
  <c r="EQ107" i="2"/>
  <c r="EV275" i="2"/>
  <c r="EV281" i="2"/>
  <c r="EW279" i="2"/>
  <c r="EV346" i="2"/>
  <c r="EU348" i="2"/>
  <c r="EQ418" i="2"/>
  <c r="EQ417" i="2"/>
  <c r="ES117" i="2"/>
  <c r="ER119" i="2"/>
  <c r="ER105" i="2"/>
  <c r="ER416" i="2"/>
  <c r="ET341" i="2"/>
  <c r="ET340" i="2"/>
  <c r="ET145" i="2"/>
  <c r="GJ341" i="2"/>
  <c r="GJ346" i="2"/>
  <c r="GJ439" i="2"/>
  <c r="GJ438" i="2"/>
  <c r="EL128" i="3"/>
  <c r="EL129" i="3" s="1"/>
  <c r="HL54" i="3"/>
  <c r="EV59" i="2"/>
  <c r="ET85" i="2"/>
  <c r="ET84" i="2"/>
  <c r="EU431" i="2"/>
  <c r="EW159" i="2"/>
  <c r="ES39" i="2"/>
  <c r="ES38" i="2"/>
  <c r="GJ37" i="2"/>
  <c r="GJ39" i="2" s="1"/>
  <c r="HK22" i="3"/>
  <c r="EV47" i="2"/>
  <c r="EW45" i="2"/>
  <c r="GK45" i="2" s="1"/>
  <c r="GK47" i="2" s="1"/>
  <c r="EV291" i="2"/>
  <c r="EW289" i="2"/>
  <c r="GK289" i="2" s="1"/>
  <c r="CT309" i="2"/>
  <c r="CT308" i="2"/>
  <c r="EU211" i="2"/>
  <c r="EU210" i="2"/>
  <c r="ES135" i="2"/>
  <c r="ES134" i="2"/>
  <c r="EK312" i="2"/>
  <c r="EL310" i="2"/>
  <c r="EK266" i="2"/>
  <c r="GH266" i="2" s="1"/>
  <c r="ET446" i="2"/>
  <c r="ET445" i="2"/>
  <c r="EU205" i="2"/>
  <c r="EU204" i="2"/>
  <c r="EU113" i="2"/>
  <c r="ED354" i="2"/>
  <c r="ED352" i="2"/>
  <c r="ED353" i="2"/>
  <c r="EI429" i="2"/>
  <c r="EI430" i="2"/>
  <c r="CV252" i="2"/>
  <c r="CV253" i="2"/>
  <c r="CV251" i="2"/>
  <c r="CV262" i="2"/>
  <c r="ET423" i="2"/>
  <c r="ED400" i="2"/>
  <c r="ED401" i="2"/>
  <c r="GJ222" i="2"/>
  <c r="GJ197" i="2"/>
  <c r="ES323" i="2"/>
  <c r="ES322" i="2"/>
  <c r="EJ268" i="2"/>
  <c r="EJ267" i="2"/>
  <c r="EJ149" i="2"/>
  <c r="EJ424" i="2"/>
  <c r="GK243" i="2"/>
  <c r="EV218" i="2"/>
  <c r="EV203" i="2"/>
  <c r="EW216" i="2"/>
  <c r="GK216" i="2" s="1"/>
  <c r="EH406" i="2"/>
  <c r="EG408" i="2"/>
  <c r="GG406" i="2"/>
  <c r="EE361" i="2"/>
  <c r="EE360" i="2"/>
  <c r="EE351" i="2"/>
  <c r="ES224" i="2"/>
  <c r="ES223" i="2"/>
  <c r="HJ55" i="3"/>
  <c r="ET441" i="2"/>
  <c r="ET442" i="2"/>
  <c r="EW212" i="2"/>
  <c r="GK212" i="2" s="1"/>
  <c r="EV209" i="2"/>
  <c r="EV219" i="2" s="1"/>
  <c r="EV214" i="2"/>
  <c r="EV199" i="2"/>
  <c r="CW250" i="2"/>
  <c r="FX250" i="2" s="1"/>
  <c r="CW298" i="2"/>
  <c r="CW256" i="2"/>
  <c r="CW257" i="2"/>
  <c r="CW255" i="2"/>
  <c r="GJ133" i="2"/>
  <c r="EU313" i="3"/>
  <c r="EU314" i="3" s="1"/>
  <c r="EU317" i="3" s="1"/>
  <c r="EU240" i="3"/>
  <c r="EG367" i="2"/>
  <c r="EH365" i="2"/>
  <c r="EG383" i="2"/>
  <c r="EG380" i="2" s="1"/>
  <c r="DW128" i="3"/>
  <c r="ET63" i="2"/>
  <c r="HI107" i="3"/>
  <c r="EJ316" i="2"/>
  <c r="EJ317" i="2"/>
  <c r="EK315" i="2"/>
  <c r="EJ428" i="2"/>
  <c r="EE405" i="2"/>
  <c r="EF402" i="2"/>
  <c r="EE399" i="2"/>
  <c r="EE404" i="2"/>
  <c r="HK58" i="3"/>
  <c r="HL58" i="3" s="1"/>
  <c r="EW285" i="2"/>
  <c r="GK285" i="2" s="1"/>
  <c r="EV287" i="2"/>
  <c r="EV272" i="2"/>
  <c r="EV288" i="2" s="1"/>
  <c r="EG375" i="2"/>
  <c r="EH373" i="2"/>
  <c r="GG373" i="2"/>
  <c r="GG375" i="2" s="1"/>
  <c r="HH95" i="3"/>
  <c r="EW225" i="2"/>
  <c r="EV227" i="2"/>
  <c r="EC389" i="2"/>
  <c r="EC388" i="2"/>
  <c r="GF387" i="2"/>
  <c r="EV443" i="2"/>
  <c r="ET243" i="3"/>
  <c r="ET244" i="3"/>
  <c r="GJ230" i="2"/>
  <c r="EF384" i="2"/>
  <c r="EF385" i="2"/>
  <c r="EF359" i="2"/>
  <c r="HJ14" i="3"/>
  <c r="EU15" i="2"/>
  <c r="EU16" i="2"/>
  <c r="EV14" i="2"/>
  <c r="GJ447" i="2"/>
  <c r="GJ446" i="2"/>
  <c r="EU274" i="2"/>
  <c r="EU273" i="2"/>
  <c r="EU278" i="2"/>
  <c r="EU288" i="2"/>
  <c r="ET197" i="2"/>
  <c r="ET196" i="2"/>
  <c r="ET222" i="2"/>
  <c r="EW228" i="2"/>
  <c r="EV230" i="2"/>
  <c r="ET33" i="2"/>
  <c r="ET34" i="2"/>
  <c r="ET37" i="2"/>
  <c r="EH142" i="2"/>
  <c r="EH143" i="2"/>
  <c r="EU201" i="2"/>
  <c r="EU200" i="2"/>
  <c r="EU109" i="2"/>
  <c r="EU195" i="2"/>
  <c r="HM86" i="3"/>
  <c r="GJ321" i="2"/>
  <c r="ET111" i="2"/>
  <c r="ET110" i="2"/>
  <c r="HJ20" i="3"/>
  <c r="EU43" i="2"/>
  <c r="EU32" i="2"/>
  <c r="EV41" i="2"/>
  <c r="CU307" i="2"/>
  <c r="CU264" i="2"/>
  <c r="CU265" i="2"/>
  <c r="CU263" i="2"/>
  <c r="ET328" i="2"/>
  <c r="ET329" i="2"/>
  <c r="ET133" i="2"/>
  <c r="ET321" i="2"/>
  <c r="ET436" i="2"/>
  <c r="HB124" i="3"/>
  <c r="ET115" i="2"/>
  <c r="ET114" i="2"/>
  <c r="GJ111" i="2"/>
  <c r="EI426" i="2"/>
  <c r="EI425" i="2"/>
  <c r="EU242" i="3"/>
  <c r="EU244" i="3" s="1"/>
  <c r="ER435" i="2"/>
  <c r="ER434" i="2"/>
  <c r="ER433" i="2"/>
  <c r="GK239" i="2"/>
  <c r="BH128" i="3"/>
  <c r="BH129" i="3" s="1"/>
  <c r="EU444" i="2"/>
  <c r="EV447" i="2"/>
  <c r="FX298" i="2"/>
  <c r="FX300" i="2" s="1"/>
  <c r="FX301" i="2"/>
  <c r="FX303" i="2" s="1"/>
  <c r="FX257" i="2"/>
  <c r="FX256" i="2"/>
  <c r="HK59" i="3"/>
  <c r="EU83" i="2"/>
  <c r="HJ51" i="3"/>
  <c r="EG379" i="2"/>
  <c r="EH377" i="2"/>
  <c r="GK159" i="2"/>
  <c r="ED396" i="2"/>
  <c r="ED397" i="2"/>
  <c r="EE394" i="2"/>
  <c r="ED387" i="2"/>
  <c r="CO128" i="3"/>
  <c r="CO129" i="3" s="1"/>
  <c r="HK60" i="3"/>
  <c r="CY301" i="2"/>
  <c r="CX303" i="2"/>
  <c r="CX254" i="2"/>
  <c r="EU333" i="2"/>
  <c r="EV331" i="2"/>
  <c r="EU327" i="2"/>
  <c r="ET124" i="3"/>
  <c r="ES126" i="3"/>
  <c r="EU36" i="2"/>
  <c r="EU60" i="2"/>
  <c r="EU61" i="2"/>
  <c r="ES437" i="2"/>
  <c r="ES438" i="2"/>
  <c r="ES432" i="2"/>
  <c r="HL40" i="3"/>
  <c r="HM40" i="3" s="1"/>
  <c r="EG371" i="2"/>
  <c r="EH369" i="2"/>
  <c r="EF368" i="2"/>
  <c r="EU219" i="2"/>
  <c r="CV300" i="2"/>
  <c r="CV299" i="2"/>
  <c r="EU89" i="3"/>
  <c r="ET88" i="3"/>
  <c r="EU88" i="3" s="1"/>
  <c r="GD164" i="3"/>
  <c r="GE164" i="3"/>
  <c r="GC161" i="3"/>
  <c r="GD161" i="3" s="1"/>
  <c r="GC163" i="3"/>
  <c r="GD163" i="3" s="1"/>
  <c r="GC162" i="3"/>
  <c r="GD162" i="3" s="1"/>
  <c r="EI151" i="2"/>
  <c r="EI150" i="2"/>
  <c r="EI141" i="2"/>
  <c r="GJ115" i="2"/>
  <c r="GG365" i="2"/>
  <c r="GG367" i="2" s="1"/>
  <c r="EV215" i="2" l="1"/>
  <c r="HL60" i="3"/>
  <c r="ER107" i="2"/>
  <c r="ER106" i="2"/>
  <c r="EW275" i="2"/>
  <c r="GK275" i="2" s="1"/>
  <c r="EW281" i="2"/>
  <c r="EV339" i="2"/>
  <c r="EV440" i="2" s="1"/>
  <c r="EW343" i="2"/>
  <c r="GK343" i="2" s="1"/>
  <c r="EV345" i="2"/>
  <c r="ET147" i="2"/>
  <c r="ET146" i="2"/>
  <c r="EU341" i="2"/>
  <c r="EU340" i="2"/>
  <c r="EU145" i="2"/>
  <c r="ET117" i="2"/>
  <c r="ES119" i="2"/>
  <c r="ES105" i="2"/>
  <c r="ES416" i="2"/>
  <c r="EV276" i="2"/>
  <c r="EV277" i="2"/>
  <c r="GG383" i="2"/>
  <c r="GG385" i="2" s="1"/>
  <c r="GJ117" i="2"/>
  <c r="GJ119" i="2" s="1"/>
  <c r="EV348" i="2"/>
  <c r="EW346" i="2"/>
  <c r="EG372" i="2"/>
  <c r="GJ348" i="2"/>
  <c r="ER418" i="2"/>
  <c r="ER417" i="2"/>
  <c r="GK279" i="2"/>
  <c r="GK281" i="2" s="1"/>
  <c r="GK214" i="2"/>
  <c r="FX253" i="2"/>
  <c r="FX252" i="2"/>
  <c r="ES434" i="2"/>
  <c r="ES435" i="2"/>
  <c r="ES433" i="2"/>
  <c r="EU328" i="2"/>
  <c r="EU329" i="2"/>
  <c r="EU133" i="2"/>
  <c r="EU436" i="2"/>
  <c r="EU321" i="2"/>
  <c r="CZ301" i="2"/>
  <c r="CY303" i="2"/>
  <c r="CY254" i="2"/>
  <c r="BJ128" i="3"/>
  <c r="BJ129" i="3" s="1"/>
  <c r="ET438" i="2"/>
  <c r="ET437" i="2"/>
  <c r="ET432" i="2"/>
  <c r="GJ323" i="2"/>
  <c r="EK316" i="2"/>
  <c r="EK317" i="2"/>
  <c r="EL315" i="2"/>
  <c r="EK428" i="2"/>
  <c r="GH428" i="2" s="1"/>
  <c r="GH315" i="2"/>
  <c r="EG385" i="2"/>
  <c r="EG384" i="2"/>
  <c r="EG359" i="2"/>
  <c r="GG359" i="2" s="1"/>
  <c r="GJ135" i="2"/>
  <c r="GK218" i="2"/>
  <c r="EW218" i="2"/>
  <c r="EW203" i="2"/>
  <c r="EU423" i="2"/>
  <c r="HL22" i="3"/>
  <c r="EW47" i="2"/>
  <c r="EV60" i="2"/>
  <c r="EV61" i="2"/>
  <c r="EV36" i="2"/>
  <c r="HM58" i="3"/>
  <c r="EH371" i="2"/>
  <c r="EI369" i="2"/>
  <c r="EF361" i="2"/>
  <c r="EF360" i="2"/>
  <c r="EF351" i="2"/>
  <c r="EJ429" i="2"/>
  <c r="EJ430" i="2"/>
  <c r="HJ109" i="3"/>
  <c r="EU115" i="2"/>
  <c r="EU114" i="2"/>
  <c r="EM128" i="3"/>
  <c r="EM129" i="3" s="1"/>
  <c r="EV333" i="2"/>
  <c r="EW331" i="2"/>
  <c r="EV327" i="2"/>
  <c r="ET323" i="2"/>
  <c r="ET322" i="2"/>
  <c r="CU309" i="2"/>
  <c r="CU308" i="2"/>
  <c r="ET39" i="2"/>
  <c r="ET38" i="2"/>
  <c r="HJ107" i="3"/>
  <c r="EU441" i="2"/>
  <c r="EU442" i="2"/>
  <c r="EW227" i="2"/>
  <c r="GK287" i="2"/>
  <c r="EW287" i="2"/>
  <c r="EH383" i="2"/>
  <c r="EH368" i="2" s="1"/>
  <c r="EH367" i="2"/>
  <c r="EI365" i="2"/>
  <c r="EV195" i="2"/>
  <c r="EV201" i="2"/>
  <c r="EV200" i="2"/>
  <c r="EV109" i="2"/>
  <c r="EV205" i="2"/>
  <c r="EV204" i="2"/>
  <c r="EV113" i="2"/>
  <c r="EK268" i="2"/>
  <c r="EK267" i="2"/>
  <c r="EK149" i="2"/>
  <c r="EK424" i="2"/>
  <c r="GH424" i="2" s="1"/>
  <c r="HL55" i="3"/>
  <c r="HL109" i="3" s="1"/>
  <c r="EW59" i="2"/>
  <c r="GK59" i="2" s="1"/>
  <c r="HM54" i="3"/>
  <c r="GF164" i="3"/>
  <c r="GE162" i="3"/>
  <c r="GE161" i="3"/>
  <c r="GE163" i="3"/>
  <c r="EH379" i="2"/>
  <c r="EI377" i="2"/>
  <c r="GK291" i="2"/>
  <c r="HD124" i="3"/>
  <c r="EW209" i="2"/>
  <c r="EW219" i="2" s="1"/>
  <c r="EW199" i="2"/>
  <c r="GK199" i="2" s="1"/>
  <c r="EW214" i="2"/>
  <c r="EJ151" i="2"/>
  <c r="EJ150" i="2"/>
  <c r="EJ141" i="2"/>
  <c r="GJ432" i="2"/>
  <c r="ET135" i="2"/>
  <c r="ET134" i="2"/>
  <c r="HK20" i="3"/>
  <c r="EV43" i="2"/>
  <c r="EV32" i="2"/>
  <c r="EW41" i="2"/>
  <c r="EW443" i="2"/>
  <c r="EH375" i="2"/>
  <c r="EI373" i="2"/>
  <c r="EV273" i="2"/>
  <c r="EV274" i="2"/>
  <c r="EV278" i="2"/>
  <c r="EE400" i="2"/>
  <c r="EE401" i="2"/>
  <c r="EE353" i="2"/>
  <c r="EE352" i="2"/>
  <c r="EI406" i="2"/>
  <c r="EH408" i="2"/>
  <c r="EL312" i="2"/>
  <c r="EM310" i="2"/>
  <c r="EL266" i="2"/>
  <c r="EW291" i="2"/>
  <c r="EV431" i="2"/>
  <c r="EV124" i="3"/>
  <c r="ET126" i="3"/>
  <c r="ET130" i="3" s="1"/>
  <c r="CW252" i="2"/>
  <c r="CW253" i="2"/>
  <c r="CW251" i="2"/>
  <c r="CW262" i="2"/>
  <c r="EV444" i="2"/>
  <c r="EW447" i="2"/>
  <c r="EW444" i="2" s="1"/>
  <c r="HC124" i="3"/>
  <c r="EU222" i="2"/>
  <c r="EU197" i="2"/>
  <c r="EU196" i="2"/>
  <c r="ET224" i="2"/>
  <c r="ET223" i="2"/>
  <c r="HK14" i="3"/>
  <c r="EV16" i="2"/>
  <c r="EW14" i="2"/>
  <c r="GK14" i="2" s="1"/>
  <c r="EV15" i="2"/>
  <c r="HI95" i="3"/>
  <c r="EG402" i="2"/>
  <c r="EF399" i="2"/>
  <c r="EF404" i="2"/>
  <c r="EF405" i="2"/>
  <c r="ET65" i="2"/>
  <c r="ET64" i="2"/>
  <c r="EG368" i="2"/>
  <c r="EG409" i="2"/>
  <c r="GJ224" i="2"/>
  <c r="CV307" i="2"/>
  <c r="CV265" i="2"/>
  <c r="CV263" i="2"/>
  <c r="CV264" i="2"/>
  <c r="EV292" i="2"/>
  <c r="HK55" i="3"/>
  <c r="HK109" i="3" s="1"/>
  <c r="EE397" i="2"/>
  <c r="EF394" i="2"/>
  <c r="EE396" i="2"/>
  <c r="EE387" i="2"/>
  <c r="EU124" i="3"/>
  <c r="EI142" i="2"/>
  <c r="EI143" i="2"/>
  <c r="GH310" i="2"/>
  <c r="GH312" i="2" s="1"/>
  <c r="GH268" i="2"/>
  <c r="EV88" i="3"/>
  <c r="CP128" i="3"/>
  <c r="CP129" i="3" s="1"/>
  <c r="EU84" i="2"/>
  <c r="EU85" i="2"/>
  <c r="EU63" i="2"/>
  <c r="ES130" i="3"/>
  <c r="CX298" i="2"/>
  <c r="CX250" i="2"/>
  <c r="CX257" i="2"/>
  <c r="CX255" i="2"/>
  <c r="CX256" i="2"/>
  <c r="ED389" i="2"/>
  <c r="ED388" i="2"/>
  <c r="HL59" i="3"/>
  <c r="EV83" i="2"/>
  <c r="HK51" i="3"/>
  <c r="EU445" i="2"/>
  <c r="EU446" i="2"/>
  <c r="EU33" i="2"/>
  <c r="EU34" i="2"/>
  <c r="EU37" i="2"/>
  <c r="EU111" i="2"/>
  <c r="EU110" i="2"/>
  <c r="EW230" i="2"/>
  <c r="EG376" i="2"/>
  <c r="CW300" i="2"/>
  <c r="CW299" i="2"/>
  <c r="EV211" i="2"/>
  <c r="EV210" i="2"/>
  <c r="EJ426" i="2"/>
  <c r="EJ425" i="2"/>
  <c r="HM60" i="3"/>
  <c r="EW272" i="2" l="1"/>
  <c r="EW292" i="2" s="1"/>
  <c r="EU126" i="3"/>
  <c r="EU130" i="3" s="1"/>
  <c r="EU129" i="3" s="1"/>
  <c r="EH380" i="2"/>
  <c r="EH376" i="2"/>
  <c r="EV341" i="2"/>
  <c r="EV340" i="2"/>
  <c r="EV145" i="2"/>
  <c r="EH372" i="2"/>
  <c r="GJ416" i="2"/>
  <c r="ES418" i="2"/>
  <c r="ES417" i="2"/>
  <c r="EW276" i="2"/>
  <c r="EW277" i="2"/>
  <c r="GK277" i="2"/>
  <c r="GK345" i="2"/>
  <c r="ES107" i="2"/>
  <c r="ES106" i="2"/>
  <c r="EU147" i="2"/>
  <c r="EU146" i="2"/>
  <c r="EH409" i="2"/>
  <c r="EW348" i="2"/>
  <c r="EU117" i="2"/>
  <c r="ET119" i="2"/>
  <c r="ET416" i="2"/>
  <c r="ET105" i="2"/>
  <c r="EW339" i="2"/>
  <c r="GK339" i="2" s="1"/>
  <c r="EW345" i="2"/>
  <c r="GJ105" i="2"/>
  <c r="GJ107" i="2" s="1"/>
  <c r="GH427" i="2"/>
  <c r="GH426" i="2"/>
  <c r="GH430" i="2"/>
  <c r="GH431" i="2"/>
  <c r="GK61" i="2"/>
  <c r="EZ128" i="3"/>
  <c r="ET434" i="2"/>
  <c r="ET435" i="2"/>
  <c r="ET433" i="2"/>
  <c r="EW83" i="2"/>
  <c r="HL51" i="3"/>
  <c r="HM51" i="3" s="1"/>
  <c r="EU65" i="2"/>
  <c r="EU64" i="2"/>
  <c r="EE388" i="2"/>
  <c r="EE389" i="2"/>
  <c r="HK107" i="3"/>
  <c r="EW431" i="2"/>
  <c r="EL268" i="2"/>
  <c r="EL267" i="2"/>
  <c r="EL149" i="2"/>
  <c r="EL424" i="2"/>
  <c r="EJ373" i="2"/>
  <c r="EI375" i="2"/>
  <c r="EV197" i="2"/>
  <c r="EV196" i="2"/>
  <c r="EV222" i="2"/>
  <c r="EH385" i="2"/>
  <c r="EH359" i="2"/>
  <c r="EH384" i="2"/>
  <c r="HM109" i="3"/>
  <c r="DA301" i="2"/>
  <c r="CZ303" i="2"/>
  <c r="CZ254" i="2"/>
  <c r="EW88" i="3"/>
  <c r="EV441" i="2"/>
  <c r="EV442" i="2"/>
  <c r="HE124" i="3"/>
  <c r="EV115" i="2"/>
  <c r="EV114" i="2"/>
  <c r="EW333" i="2"/>
  <c r="EW327" i="2"/>
  <c r="EF353" i="2"/>
  <c r="EF352" i="2"/>
  <c r="CY256" i="2"/>
  <c r="CY298" i="2"/>
  <c r="CY257" i="2"/>
  <c r="CY255" i="2"/>
  <c r="CY250" i="2"/>
  <c r="EV84" i="2"/>
  <c r="EV85" i="2"/>
  <c r="CQ128" i="3"/>
  <c r="CQ129" i="3" s="1"/>
  <c r="CV309" i="2"/>
  <c r="CV308" i="2"/>
  <c r="HJ95" i="3"/>
  <c r="EV126" i="3"/>
  <c r="EW124" i="3"/>
  <c r="EJ406" i="2"/>
  <c r="EI408" i="2"/>
  <c r="HL20" i="3"/>
  <c r="EW43" i="2"/>
  <c r="EW32" i="2"/>
  <c r="GK32" i="2" s="1"/>
  <c r="GK41" i="2"/>
  <c r="GG164" i="3"/>
  <c r="GF162" i="3"/>
  <c r="GF163" i="3"/>
  <c r="GF161" i="3"/>
  <c r="EK151" i="2"/>
  <c r="EK150" i="2"/>
  <c r="EK141" i="2"/>
  <c r="GH141" i="2" s="1"/>
  <c r="HM55" i="3"/>
  <c r="EW205" i="2"/>
  <c r="EW204" i="2"/>
  <c r="EW113" i="2"/>
  <c r="GK113" i="2" s="1"/>
  <c r="GK209" i="2"/>
  <c r="CX253" i="2"/>
  <c r="CX251" i="2"/>
  <c r="CX252" i="2"/>
  <c r="CX262" i="2"/>
  <c r="GK16" i="2"/>
  <c r="EW445" i="2"/>
  <c r="EW446" i="2"/>
  <c r="EM312" i="2"/>
  <c r="EN310" i="2"/>
  <c r="EM266" i="2"/>
  <c r="EV33" i="2"/>
  <c r="EV34" i="2"/>
  <c r="EV37" i="2"/>
  <c r="GH149" i="2"/>
  <c r="EW215" i="2"/>
  <c r="EW278" i="2"/>
  <c r="EN128" i="3"/>
  <c r="EN129" i="3" s="1"/>
  <c r="GH317" i="2"/>
  <c r="EU323" i="2"/>
  <c r="EU322" i="2"/>
  <c r="EG404" i="2"/>
  <c r="EG405" i="2"/>
  <c r="EH402" i="2"/>
  <c r="EG399" i="2"/>
  <c r="GG399" i="2" s="1"/>
  <c r="GG402" i="2"/>
  <c r="EU224" i="2"/>
  <c r="EU223" i="2"/>
  <c r="EW211" i="2"/>
  <c r="EW210" i="2"/>
  <c r="EK426" i="2"/>
  <c r="EK425" i="2"/>
  <c r="GG361" i="2"/>
  <c r="EU39" i="2"/>
  <c r="EU38" i="2"/>
  <c r="EF397" i="2"/>
  <c r="EG394" i="2"/>
  <c r="EF396" i="2"/>
  <c r="EF387" i="2"/>
  <c r="EV445" i="2"/>
  <c r="EV446" i="2"/>
  <c r="GK444" i="2"/>
  <c r="GJ435" i="2"/>
  <c r="GJ434" i="2"/>
  <c r="EJ143" i="2"/>
  <c r="EJ142" i="2"/>
  <c r="EW60" i="2"/>
  <c r="EW61" i="2"/>
  <c r="EW36" i="2"/>
  <c r="GK36" i="2" s="1"/>
  <c r="EV111" i="2"/>
  <c r="EV110" i="2"/>
  <c r="GK331" i="2"/>
  <c r="GK333" i="2" s="1"/>
  <c r="HM22" i="3"/>
  <c r="BK128" i="3"/>
  <c r="BK129" i="3" s="1"/>
  <c r="EU438" i="2"/>
  <c r="EU437" i="2"/>
  <c r="EU432" i="2"/>
  <c r="EK429" i="2"/>
  <c r="EK430" i="2"/>
  <c r="GK201" i="2"/>
  <c r="GK225" i="2"/>
  <c r="HM59" i="3"/>
  <c r="CX300" i="2"/>
  <c r="CX299" i="2"/>
  <c r="EF400" i="2"/>
  <c r="EF401" i="2"/>
  <c r="HL14" i="3"/>
  <c r="EW15" i="2"/>
  <c r="EW16" i="2"/>
  <c r="CW264" i="2"/>
  <c r="CW307" i="2"/>
  <c r="CW263" i="2"/>
  <c r="CW265" i="2"/>
  <c r="FX262" i="2"/>
  <c r="EW201" i="2"/>
  <c r="EW200" i="2"/>
  <c r="EW195" i="2"/>
  <c r="EW109" i="2"/>
  <c r="EJ377" i="2"/>
  <c r="EI379" i="2"/>
  <c r="GK203" i="2"/>
  <c r="EI383" i="2"/>
  <c r="EI372" i="2" s="1"/>
  <c r="EJ365" i="2"/>
  <c r="EI367" i="2"/>
  <c r="EV329" i="2"/>
  <c r="EV328" i="2"/>
  <c r="EV133" i="2"/>
  <c r="EV321" i="2"/>
  <c r="EV436" i="2"/>
  <c r="EJ369" i="2"/>
  <c r="EI371" i="2"/>
  <c r="EV63" i="2"/>
  <c r="EV423" i="2"/>
  <c r="EG361" i="2"/>
  <c r="EG360" i="2"/>
  <c r="EG351" i="2"/>
  <c r="GG351" i="2" s="1"/>
  <c r="EL317" i="2"/>
  <c r="EM315" i="2"/>
  <c r="EL316" i="2"/>
  <c r="EL428" i="2"/>
  <c r="EU135" i="2"/>
  <c r="EU134" i="2"/>
  <c r="EW274" i="2" l="1"/>
  <c r="EW288" i="2"/>
  <c r="EW273" i="2"/>
  <c r="GK272" i="2"/>
  <c r="GK341" i="2"/>
  <c r="GK346" i="2"/>
  <c r="ET418" i="2"/>
  <c r="ET417" i="2"/>
  <c r="GJ418" i="2"/>
  <c r="GJ419" i="2"/>
  <c r="EU119" i="2"/>
  <c r="EV117" i="2"/>
  <c r="EU416" i="2"/>
  <c r="EU105" i="2"/>
  <c r="EW340" i="2"/>
  <c r="EW341" i="2"/>
  <c r="EW145" i="2"/>
  <c r="GK145" i="2" s="1"/>
  <c r="GK147" i="2" s="1"/>
  <c r="EV147" i="2"/>
  <c r="EV146" i="2"/>
  <c r="ET107" i="2"/>
  <c r="ET106" i="2"/>
  <c r="EW440" i="2"/>
  <c r="EN315" i="2"/>
  <c r="EM317" i="2"/>
  <c r="EM316" i="2"/>
  <c r="EM428" i="2"/>
  <c r="EK377" i="2"/>
  <c r="GH377" i="2" s="1"/>
  <c r="GH379" i="2" s="1"/>
  <c r="EJ379" i="2"/>
  <c r="FX307" i="2"/>
  <c r="FX309" i="2" s="1"/>
  <c r="FX265" i="2"/>
  <c r="FX264" i="2"/>
  <c r="FX245" i="2"/>
  <c r="FX423" i="2"/>
  <c r="GG353" i="2"/>
  <c r="EL426" i="2"/>
  <c r="EL425" i="2"/>
  <c r="EW85" i="2"/>
  <c r="GK83" i="2"/>
  <c r="GK85" i="2" s="1"/>
  <c r="EW84" i="2"/>
  <c r="EW423" i="2"/>
  <c r="EI359" i="2"/>
  <c r="EI384" i="2"/>
  <c r="EI385" i="2"/>
  <c r="EU433" i="2"/>
  <c r="EU434" i="2"/>
  <c r="EU435" i="2"/>
  <c r="CX265" i="2"/>
  <c r="CX307" i="2"/>
  <c r="CX264" i="2"/>
  <c r="CX263" i="2"/>
  <c r="HM20" i="3"/>
  <c r="EK406" i="2"/>
  <c r="GH406" i="2" s="1"/>
  <c r="EJ408" i="2"/>
  <c r="GK115" i="2"/>
  <c r="CZ298" i="2"/>
  <c r="CZ256" i="2"/>
  <c r="CZ255" i="2"/>
  <c r="CZ250" i="2"/>
  <c r="CZ257" i="2"/>
  <c r="EL151" i="2"/>
  <c r="EL150" i="2"/>
  <c r="EL141" i="2"/>
  <c r="EW222" i="2"/>
  <c r="EW197" i="2"/>
  <c r="EW196" i="2"/>
  <c r="GK195" i="2"/>
  <c r="HL107" i="3"/>
  <c r="HM107" i="3" s="1"/>
  <c r="GH164" i="3"/>
  <c r="GG161" i="3"/>
  <c r="GG163" i="3"/>
  <c r="GG162" i="3"/>
  <c r="EI409" i="2"/>
  <c r="HM14" i="3"/>
  <c r="GK446" i="2"/>
  <c r="GK447" i="2"/>
  <c r="GH151" i="2"/>
  <c r="GK43" i="2"/>
  <c r="EX124" i="3"/>
  <c r="EW126" i="3"/>
  <c r="EW130" i="3" s="1"/>
  <c r="CY253" i="2"/>
  <c r="CY251" i="2"/>
  <c r="CY252" i="2"/>
  <c r="CY262" i="2"/>
  <c r="DA303" i="2"/>
  <c r="DB301" i="2"/>
  <c r="DA254" i="2"/>
  <c r="FY254" i="2" s="1"/>
  <c r="EH360" i="2"/>
  <c r="EH361" i="2"/>
  <c r="EH351" i="2"/>
  <c r="EH404" i="2"/>
  <c r="EH405" i="2"/>
  <c r="EI402" i="2"/>
  <c r="EH399" i="2"/>
  <c r="EV64" i="2"/>
  <c r="EV65" i="2"/>
  <c r="EV323" i="2"/>
  <c r="EV322" i="2"/>
  <c r="CW309" i="2"/>
  <c r="CW308" i="2"/>
  <c r="EV224" i="2"/>
  <c r="EV223" i="2"/>
  <c r="GH143" i="2"/>
  <c r="EK365" i="2"/>
  <c r="EJ383" i="2"/>
  <c r="EJ376" i="2" s="1"/>
  <c r="EJ367" i="2"/>
  <c r="EF389" i="2"/>
  <c r="EF388" i="2"/>
  <c r="EN312" i="2"/>
  <c r="EO310" i="2"/>
  <c r="EN266" i="2"/>
  <c r="HK95" i="3"/>
  <c r="CY300" i="2"/>
  <c r="CY299" i="2"/>
  <c r="EX88" i="3"/>
  <c r="EK369" i="2"/>
  <c r="EJ371" i="2"/>
  <c r="EW111" i="2"/>
  <c r="EW110" i="2"/>
  <c r="EG401" i="2"/>
  <c r="EG400" i="2"/>
  <c r="EV39" i="2"/>
  <c r="EV38" i="2"/>
  <c r="EV438" i="2"/>
  <c r="EV437" i="2"/>
  <c r="EV432" i="2"/>
  <c r="GK228" i="2"/>
  <c r="GK205" i="2"/>
  <c r="EG397" i="2"/>
  <c r="EH394" i="2"/>
  <c r="EG396" i="2"/>
  <c r="GG394" i="2"/>
  <c r="GG397" i="2" s="1"/>
  <c r="EG387" i="2"/>
  <c r="GK227" i="2"/>
  <c r="GK109" i="2"/>
  <c r="EL429" i="2"/>
  <c r="EL430" i="2"/>
  <c r="EG352" i="2"/>
  <c r="EG353" i="2"/>
  <c r="EV135" i="2"/>
  <c r="EV134" i="2"/>
  <c r="EW63" i="2"/>
  <c r="EO128" i="3"/>
  <c r="EO129" i="3" s="1"/>
  <c r="GK34" i="2"/>
  <c r="GK211" i="2"/>
  <c r="GK215" i="2"/>
  <c r="GK219" i="2"/>
  <c r="EI376" i="2"/>
  <c r="EI368" i="2"/>
  <c r="EI380" i="2"/>
  <c r="BL128" i="3"/>
  <c r="BL129" i="3" s="1"/>
  <c r="EM268" i="2"/>
  <c r="EM267" i="2"/>
  <c r="EM149" i="2"/>
  <c r="EM424" i="2"/>
  <c r="EW115" i="2"/>
  <c r="EW114" i="2"/>
  <c r="EK143" i="2"/>
  <c r="EK142" i="2"/>
  <c r="EW34" i="2"/>
  <c r="EW37" i="2"/>
  <c r="GK37" i="2" s="1"/>
  <c r="GK39" i="2" s="1"/>
  <c r="EW33" i="2"/>
  <c r="EV130" i="3"/>
  <c r="CS128" i="3"/>
  <c r="CS129" i="3" s="1"/>
  <c r="EW329" i="2"/>
  <c r="EW328" i="2"/>
  <c r="EW133" i="2"/>
  <c r="GK133" i="2" s="1"/>
  <c r="EW321" i="2"/>
  <c r="EW436" i="2"/>
  <c r="GK327" i="2"/>
  <c r="HF124" i="3"/>
  <c r="EK373" i="2"/>
  <c r="EJ375" i="2"/>
  <c r="EJ372" i="2" l="1"/>
  <c r="GK288" i="2"/>
  <c r="GK278" i="2"/>
  <c r="GK292" i="2"/>
  <c r="GK274" i="2"/>
  <c r="EJ368" i="2"/>
  <c r="EU106" i="2"/>
  <c r="EU107" i="2"/>
  <c r="EU418" i="2"/>
  <c r="EU417" i="2"/>
  <c r="GK440" i="2"/>
  <c r="EW442" i="2"/>
  <c r="EW441" i="2"/>
  <c r="EV119" i="2"/>
  <c r="EW117" i="2"/>
  <c r="GK117" i="2" s="1"/>
  <c r="GK119" i="2" s="1"/>
  <c r="EV105" i="2"/>
  <c r="EV416" i="2"/>
  <c r="GK348" i="2"/>
  <c r="EW147" i="2"/>
  <c r="EW146" i="2"/>
  <c r="GK334" i="2"/>
  <c r="GK336" i="2" s="1"/>
  <c r="GK329" i="2"/>
  <c r="EM151" i="2"/>
  <c r="EM150" i="2"/>
  <c r="EM141" i="2"/>
  <c r="FY256" i="2"/>
  <c r="FY298" i="2"/>
  <c r="FY300" i="2" s="1"/>
  <c r="FY301" i="2"/>
  <c r="FY303" i="2" s="1"/>
  <c r="FY257" i="2"/>
  <c r="CY307" i="2"/>
  <c r="CY263" i="2"/>
  <c r="CY265" i="2"/>
  <c r="CY264" i="2"/>
  <c r="GK197" i="2"/>
  <c r="GK222" i="2"/>
  <c r="EW432" i="2"/>
  <c r="EW438" i="2"/>
  <c r="EW437" i="2"/>
  <c r="EJ359" i="2"/>
  <c r="EJ384" i="2"/>
  <c r="EJ385" i="2"/>
  <c r="EW224" i="2"/>
  <c r="EW223" i="2"/>
  <c r="CZ253" i="2"/>
  <c r="CZ251" i="2"/>
  <c r="CZ252" i="2"/>
  <c r="CZ262" i="2"/>
  <c r="EI351" i="2"/>
  <c r="EI360" i="2"/>
  <c r="EI361" i="2"/>
  <c r="EK375" i="2"/>
  <c r="EL373" i="2"/>
  <c r="GI373" i="2" s="1"/>
  <c r="GH373" i="2"/>
  <c r="GH375" i="2" s="1"/>
  <c r="EW322" i="2"/>
  <c r="EW323" i="2"/>
  <c r="BM128" i="3"/>
  <c r="BM129" i="3" s="1"/>
  <c r="GK436" i="2"/>
  <c r="EW135" i="2"/>
  <c r="EW134" i="2"/>
  <c r="GH369" i="2"/>
  <c r="GH371" i="2" s="1"/>
  <c r="EQ128" i="3"/>
  <c r="EQ129" i="3" s="1"/>
  <c r="EO312" i="2"/>
  <c r="EP310" i="2"/>
  <c r="EO266" i="2"/>
  <c r="EH352" i="2"/>
  <c r="EH353" i="2"/>
  <c r="DB303" i="2"/>
  <c r="DC301" i="2"/>
  <c r="DB254" i="2"/>
  <c r="EL142" i="2"/>
  <c r="EL143" i="2"/>
  <c r="CZ300" i="2"/>
  <c r="CZ299" i="2"/>
  <c r="EK408" i="2"/>
  <c r="EL406" i="2"/>
  <c r="CX309" i="2"/>
  <c r="CX308" i="2"/>
  <c r="EK379" i="2"/>
  <c r="EL377" i="2"/>
  <c r="HL95" i="3"/>
  <c r="EI405" i="2"/>
  <c r="EJ402" i="2"/>
  <c r="EI399" i="2"/>
  <c r="EI404" i="2"/>
  <c r="EW65" i="2"/>
  <c r="EW64" i="2"/>
  <c r="GK63" i="2"/>
  <c r="GK65" i="2" s="1"/>
  <c r="GK111" i="2"/>
  <c r="EK371" i="2"/>
  <c r="EL369" i="2"/>
  <c r="EJ409" i="2"/>
  <c r="CT128" i="3"/>
  <c r="CT129" i="3" s="1"/>
  <c r="GK135" i="2"/>
  <c r="EI394" i="2"/>
  <c r="EH396" i="2"/>
  <c r="EH397" i="2"/>
  <c r="EH387" i="2"/>
  <c r="EZ89" i="3"/>
  <c r="EY88" i="3"/>
  <c r="EZ88" i="3" s="1"/>
  <c r="EK367" i="2"/>
  <c r="EL365" i="2"/>
  <c r="GI365" i="2" s="1"/>
  <c r="EK383" i="2"/>
  <c r="EK380" i="2" s="1"/>
  <c r="GI164" i="3"/>
  <c r="GJ164" i="3"/>
  <c r="GH161" i="3"/>
  <c r="GI161" i="3" s="1"/>
  <c r="GH163" i="3"/>
  <c r="GI163" i="3" s="1"/>
  <c r="GH162" i="3"/>
  <c r="GI162" i="3" s="1"/>
  <c r="EW39" i="2"/>
  <c r="EW38" i="2"/>
  <c r="EV433" i="2"/>
  <c r="EV434" i="2"/>
  <c r="EV435" i="2"/>
  <c r="EN267" i="2"/>
  <c r="EN268" i="2"/>
  <c r="EN149" i="2"/>
  <c r="EN424" i="2"/>
  <c r="GH365" i="2"/>
  <c r="GH367" i="2" s="1"/>
  <c r="DA257" i="2"/>
  <c r="DA255" i="2"/>
  <c r="DA298" i="2"/>
  <c r="DA250" i="2"/>
  <c r="DA256" i="2"/>
  <c r="EJ380" i="2"/>
  <c r="EN317" i="2"/>
  <c r="EO315" i="2"/>
  <c r="EN316" i="2"/>
  <c r="EN428" i="2"/>
  <c r="HG124" i="3"/>
  <c r="EM426" i="2"/>
  <c r="EM425" i="2"/>
  <c r="EG388" i="2"/>
  <c r="EG389" i="2"/>
  <c r="GK230" i="2"/>
  <c r="GG387" i="2"/>
  <c r="GK321" i="2"/>
  <c r="EH400" i="2"/>
  <c r="EH401" i="2"/>
  <c r="EY124" i="3"/>
  <c r="EX126" i="3"/>
  <c r="EM429" i="2"/>
  <c r="EM430" i="2"/>
  <c r="GH383" i="2" l="1"/>
  <c r="GH385" i="2" s="1"/>
  <c r="EK368" i="2"/>
  <c r="EK409" i="2"/>
  <c r="EV107" i="2"/>
  <c r="EV106" i="2"/>
  <c r="GK443" i="2"/>
  <c r="GK442" i="2"/>
  <c r="EW119" i="2"/>
  <c r="EW105" i="2"/>
  <c r="GK105" i="2" s="1"/>
  <c r="GK107" i="2" s="1"/>
  <c r="EW416" i="2"/>
  <c r="GI375" i="2"/>
  <c r="EV417" i="2"/>
  <c r="EV418" i="2"/>
  <c r="EO317" i="2"/>
  <c r="EP315" i="2"/>
  <c r="EO316" i="2"/>
  <c r="EO428" i="2"/>
  <c r="GI428" i="2" s="1"/>
  <c r="GI315" i="2"/>
  <c r="EI400" i="2"/>
  <c r="EI401" i="2"/>
  <c r="EO267" i="2"/>
  <c r="EO268" i="2"/>
  <c r="EO149" i="2"/>
  <c r="GI149" i="2" s="1"/>
  <c r="EO424" i="2"/>
  <c r="GI424" i="2" s="1"/>
  <c r="EY126" i="3"/>
  <c r="EY130" i="3" s="1"/>
  <c r="EZ124" i="3"/>
  <c r="HI124" i="3"/>
  <c r="CU128" i="3"/>
  <c r="CU129" i="3" s="1"/>
  <c r="EJ405" i="2"/>
  <c r="EK402" i="2"/>
  <c r="EJ399" i="2"/>
  <c r="EJ404" i="2"/>
  <c r="EL408" i="2"/>
  <c r="EM406" i="2"/>
  <c r="GI406" i="2"/>
  <c r="EP312" i="2"/>
  <c r="EQ310" i="2"/>
  <c r="EP266" i="2"/>
  <c r="EL371" i="2"/>
  <c r="EM369" i="2"/>
  <c r="GJ369" i="2" s="1"/>
  <c r="GI369" i="2"/>
  <c r="GI371" i="2" s="1"/>
  <c r="EL379" i="2"/>
  <c r="EM377" i="2"/>
  <c r="GJ377" i="2" s="1"/>
  <c r="GI377" i="2"/>
  <c r="GI379" i="2" s="1"/>
  <c r="EN430" i="2"/>
  <c r="EN429" i="2"/>
  <c r="GI367" i="2"/>
  <c r="EK376" i="2"/>
  <c r="EM143" i="2"/>
  <c r="EM142" i="2"/>
  <c r="DA251" i="2"/>
  <c r="DA252" i="2"/>
  <c r="DA253" i="2"/>
  <c r="DA262" i="2"/>
  <c r="EN426" i="2"/>
  <c r="EN425" i="2"/>
  <c r="FA88" i="3"/>
  <c r="EK372" i="2"/>
  <c r="HM95" i="3"/>
  <c r="ER128" i="3"/>
  <c r="ER129" i="3" s="1"/>
  <c r="GK439" i="2"/>
  <c r="GK438" i="2"/>
  <c r="FY250" i="2"/>
  <c r="EJ351" i="2"/>
  <c r="EJ360" i="2"/>
  <c r="EJ361" i="2"/>
  <c r="CY309" i="2"/>
  <c r="CY308" i="2"/>
  <c r="EX130" i="3"/>
  <c r="GK164" i="3"/>
  <c r="GJ162" i="3"/>
  <c r="GJ163" i="3"/>
  <c r="GJ161" i="3"/>
  <c r="DD301" i="2"/>
  <c r="DC303" i="2"/>
  <c r="DC254" i="2"/>
  <c r="EL375" i="2"/>
  <c r="EM373" i="2"/>
  <c r="GJ373" i="2" s="1"/>
  <c r="GJ375" i="2" s="1"/>
  <c r="EW435" i="2"/>
  <c r="EW433" i="2"/>
  <c r="EW434" i="2"/>
  <c r="GK432" i="2"/>
  <c r="EI352" i="2"/>
  <c r="EI353" i="2"/>
  <c r="GK224" i="2"/>
  <c r="GI266" i="2"/>
  <c r="EK384" i="2"/>
  <c r="EK359" i="2"/>
  <c r="EK385" i="2"/>
  <c r="EI396" i="2"/>
  <c r="EI397" i="2"/>
  <c r="EJ394" i="2"/>
  <c r="EI387" i="2"/>
  <c r="GK323" i="2"/>
  <c r="HH124" i="3"/>
  <c r="DA300" i="2"/>
  <c r="DA299" i="2"/>
  <c r="EN151" i="2"/>
  <c r="EN150" i="2"/>
  <c r="EN141" i="2"/>
  <c r="EL367" i="2"/>
  <c r="EM365" i="2"/>
  <c r="EL383" i="2"/>
  <c r="EL380" i="2" s="1"/>
  <c r="EH388" i="2"/>
  <c r="EH389" i="2"/>
  <c r="DB298" i="2"/>
  <c r="DB257" i="2"/>
  <c r="DB255" i="2"/>
  <c r="DB256" i="2"/>
  <c r="DB250" i="2"/>
  <c r="BO128" i="3"/>
  <c r="BO129" i="3" s="1"/>
  <c r="CZ307" i="2"/>
  <c r="CZ263" i="2"/>
  <c r="CZ264" i="2"/>
  <c r="CZ265" i="2"/>
  <c r="GJ371" i="2" l="1"/>
  <c r="GJ379" i="2"/>
  <c r="EL409" i="2"/>
  <c r="EW418" i="2"/>
  <c r="EW417" i="2"/>
  <c r="GI383" i="2"/>
  <c r="GI385" i="2" s="1"/>
  <c r="EW106" i="2"/>
  <c r="EW107" i="2"/>
  <c r="GK416" i="2"/>
  <c r="EK360" i="2"/>
  <c r="EK351" i="2"/>
  <c r="GH351" i="2" s="1"/>
  <c r="EK361" i="2"/>
  <c r="GI430" i="2"/>
  <c r="GI431" i="2"/>
  <c r="EK405" i="2"/>
  <c r="EL402" i="2"/>
  <c r="GI402" i="2" s="1"/>
  <c r="EK399" i="2"/>
  <c r="EK404" i="2"/>
  <c r="GL164" i="3"/>
  <c r="GK162" i="3"/>
  <c r="GK161" i="3"/>
  <c r="GK163" i="3"/>
  <c r="FY253" i="2"/>
  <c r="FY252" i="2"/>
  <c r="GI426" i="2"/>
  <c r="GI427" i="2"/>
  <c r="EP267" i="2"/>
  <c r="EP268" i="2"/>
  <c r="EP149" i="2"/>
  <c r="EP424" i="2"/>
  <c r="EL384" i="2"/>
  <c r="EL385" i="2"/>
  <c r="EL359" i="2"/>
  <c r="EQ312" i="2"/>
  <c r="ER310" i="2"/>
  <c r="EQ266" i="2"/>
  <c r="EO426" i="2"/>
  <c r="EO425" i="2"/>
  <c r="EP316" i="2"/>
  <c r="EP317" i="2"/>
  <c r="EQ315" i="2"/>
  <c r="EP428" i="2"/>
  <c r="BP128" i="3"/>
  <c r="BP129" i="3" s="1"/>
  <c r="EN365" i="2"/>
  <c r="EM383" i="2"/>
  <c r="EM368" i="2" s="1"/>
  <c r="EM367" i="2"/>
  <c r="GH402" i="2"/>
  <c r="EZ126" i="3"/>
  <c r="EZ130" i="3" s="1"/>
  <c r="EZ129" i="3" s="1"/>
  <c r="EN369" i="2"/>
  <c r="GK369" i="2" s="1"/>
  <c r="GK371" i="2" s="1"/>
  <c r="EM371" i="2"/>
  <c r="CV128" i="3"/>
  <c r="CV129" i="3" s="1"/>
  <c r="EO151" i="2"/>
  <c r="EO150" i="2"/>
  <c r="EO141" i="2"/>
  <c r="GI141" i="2" s="1"/>
  <c r="EN406" i="2"/>
  <c r="EM408" i="2"/>
  <c r="DE301" i="2"/>
  <c r="DD303" i="2"/>
  <c r="DD254" i="2"/>
  <c r="CZ309" i="2"/>
  <c r="CZ308" i="2"/>
  <c r="GI310" i="2"/>
  <c r="GI312" i="2" s="1"/>
  <c r="GI268" i="2"/>
  <c r="EN373" i="2"/>
  <c r="GK373" i="2" s="1"/>
  <c r="GK375" i="2" s="1"/>
  <c r="EM375" i="2"/>
  <c r="EI389" i="2"/>
  <c r="EI388" i="2"/>
  <c r="GK434" i="2"/>
  <c r="GK435" i="2"/>
  <c r="EL376" i="2"/>
  <c r="DA307" i="2"/>
  <c r="DA263" i="2"/>
  <c r="DA264" i="2"/>
  <c r="DA265" i="2"/>
  <c r="FY262" i="2"/>
  <c r="FY423" i="2" s="1"/>
  <c r="GJ406" i="2"/>
  <c r="HJ124" i="3"/>
  <c r="GI317" i="2"/>
  <c r="GI151" i="2"/>
  <c r="EN142" i="2"/>
  <c r="EN143" i="2"/>
  <c r="GH359" i="2"/>
  <c r="DB300" i="2"/>
  <c r="DB299" i="2"/>
  <c r="DB252" i="2"/>
  <c r="DB251" i="2"/>
  <c r="DB253" i="2"/>
  <c r="DB262" i="2"/>
  <c r="EL368" i="2"/>
  <c r="EJ396" i="2"/>
  <c r="EJ397" i="2"/>
  <c r="EK394" i="2"/>
  <c r="GH394" i="2" s="1"/>
  <c r="GH397" i="2" s="1"/>
  <c r="EJ387" i="2"/>
  <c r="DC250" i="2"/>
  <c r="DC298" i="2"/>
  <c r="DC255" i="2"/>
  <c r="DC256" i="2"/>
  <c r="DC257" i="2"/>
  <c r="EJ352" i="2"/>
  <c r="EJ353" i="2"/>
  <c r="ES128" i="3"/>
  <c r="ES129" i="3" s="1"/>
  <c r="FB88" i="3"/>
  <c r="EN377" i="2"/>
  <c r="EM379" i="2"/>
  <c r="EL372" i="2"/>
  <c r="EJ400" i="2"/>
  <c r="EJ401" i="2"/>
  <c r="EO430" i="2"/>
  <c r="EO429" i="2"/>
  <c r="GJ365" i="2"/>
  <c r="GJ367" i="2" s="1"/>
  <c r="EM380" i="2" l="1"/>
  <c r="EM409" i="2"/>
  <c r="GJ383" i="2"/>
  <c r="GJ385" i="2" s="1"/>
  <c r="GK418" i="2"/>
  <c r="GK419" i="2"/>
  <c r="EM372" i="2"/>
  <c r="GH361" i="2"/>
  <c r="EP429" i="2"/>
  <c r="EP430" i="2"/>
  <c r="EP151" i="2"/>
  <c r="EP150" i="2"/>
  <c r="EP141" i="2"/>
  <c r="FC88" i="3"/>
  <c r="DC252" i="2"/>
  <c r="DC253" i="2"/>
  <c r="DC251" i="2"/>
  <c r="DC262" i="2"/>
  <c r="EM376" i="2"/>
  <c r="EO406" i="2"/>
  <c r="EN408" i="2"/>
  <c r="EN371" i="2"/>
  <c r="EO369" i="2"/>
  <c r="EQ316" i="2"/>
  <c r="EQ317" i="2"/>
  <c r="ER315" i="2"/>
  <c r="EQ428" i="2"/>
  <c r="EK353" i="2"/>
  <c r="EK352" i="2"/>
  <c r="EN375" i="2"/>
  <c r="EO373" i="2"/>
  <c r="CX128" i="3"/>
  <c r="CX129" i="3" s="1"/>
  <c r="EM385" i="2"/>
  <c r="EM384" i="2"/>
  <c r="EM359" i="2"/>
  <c r="EQ268" i="2"/>
  <c r="EQ267" i="2"/>
  <c r="EQ149" i="2"/>
  <c r="EQ424" i="2"/>
  <c r="EL361" i="2"/>
  <c r="EL360" i="2"/>
  <c r="EL351" i="2"/>
  <c r="GM164" i="3"/>
  <c r="GL162" i="3"/>
  <c r="GL163" i="3"/>
  <c r="GL161" i="3"/>
  <c r="DF301" i="2"/>
  <c r="DE303" i="2"/>
  <c r="DE254" i="2"/>
  <c r="FZ254" i="2" s="1"/>
  <c r="EP426" i="2"/>
  <c r="EP425" i="2"/>
  <c r="GI143" i="2"/>
  <c r="EM402" i="2"/>
  <c r="EL399" i="2"/>
  <c r="GI399" i="2" s="1"/>
  <c r="EL404" i="2"/>
  <c r="EL405" i="2"/>
  <c r="HK124" i="3"/>
  <c r="ET128" i="3"/>
  <c r="ET129" i="3" s="1"/>
  <c r="EJ389" i="2"/>
  <c r="EJ388" i="2"/>
  <c r="DD298" i="2"/>
  <c r="DD250" i="2"/>
  <c r="DD256" i="2"/>
  <c r="DD257" i="2"/>
  <c r="DD255" i="2"/>
  <c r="EO142" i="2"/>
  <c r="EO143" i="2"/>
  <c r="FE128" i="3"/>
  <c r="FE129" i="3" s="1"/>
  <c r="EN383" i="2"/>
  <c r="EN372" i="2" s="1"/>
  <c r="EN367" i="2"/>
  <c r="EO365" i="2"/>
  <c r="GK365" i="2"/>
  <c r="GK367" i="2" s="1"/>
  <c r="ER312" i="2"/>
  <c r="ES310" i="2"/>
  <c r="ER266" i="2"/>
  <c r="EN379" i="2"/>
  <c r="EO377" i="2"/>
  <c r="BQ128" i="3"/>
  <c r="BQ129" i="3" s="1"/>
  <c r="EK400" i="2"/>
  <c r="EK401" i="2"/>
  <c r="GH399" i="2"/>
  <c r="DC300" i="2"/>
  <c r="DC299" i="2"/>
  <c r="FY307" i="2"/>
  <c r="FY265" i="2"/>
  <c r="FY264" i="2"/>
  <c r="GK377" i="2"/>
  <c r="GK379" i="2" s="1"/>
  <c r="GH353" i="2"/>
  <c r="EK397" i="2"/>
  <c r="EL394" i="2"/>
  <c r="GI394" i="2" s="1"/>
  <c r="GI397" i="2" s="1"/>
  <c r="EK396" i="2"/>
  <c r="EK387" i="2"/>
  <c r="GH387" i="2" s="1"/>
  <c r="DB307" i="2"/>
  <c r="DB264" i="2"/>
  <c r="DB265" i="2"/>
  <c r="DB263" i="2"/>
  <c r="DA309" i="2"/>
  <c r="DA308" i="2"/>
  <c r="FY245" i="2"/>
  <c r="GI359" i="2"/>
  <c r="GK406" i="2"/>
  <c r="EN380" i="2" l="1"/>
  <c r="EN368" i="2"/>
  <c r="EN376" i="2"/>
  <c r="EN409" i="2"/>
  <c r="EO371" i="2"/>
  <c r="EP369" i="2"/>
  <c r="EQ426" i="2"/>
  <c r="EQ425" i="2"/>
  <c r="EM404" i="2"/>
  <c r="EM405" i="2"/>
  <c r="EN402" i="2"/>
  <c r="EM399" i="2"/>
  <c r="GJ399" i="2" s="1"/>
  <c r="GO164" i="3"/>
  <c r="GN164" i="3"/>
  <c r="GM161" i="3"/>
  <c r="GN161" i="3" s="1"/>
  <c r="GM163" i="3"/>
  <c r="GN163" i="3" s="1"/>
  <c r="GM162" i="3"/>
  <c r="GN162" i="3" s="1"/>
  <c r="EO383" i="2"/>
  <c r="EO372" i="2" s="1"/>
  <c r="EO367" i="2"/>
  <c r="EP365" i="2"/>
  <c r="GJ402" i="2"/>
  <c r="HL124" i="3"/>
  <c r="GI351" i="2"/>
  <c r="ER316" i="2"/>
  <c r="ER317" i="2"/>
  <c r="ES315" i="2"/>
  <c r="ER428" i="2"/>
  <c r="DC264" i="2"/>
  <c r="DC307" i="2"/>
  <c r="DC265" i="2"/>
  <c r="DC263" i="2"/>
  <c r="EP143" i="2"/>
  <c r="EP142" i="2"/>
  <c r="EV128" i="3"/>
  <c r="EV129" i="3" s="1"/>
  <c r="BR128" i="3"/>
  <c r="BR129" i="3" s="1"/>
  <c r="CY128" i="3"/>
  <c r="CY129" i="3" s="1"/>
  <c r="FZ257" i="2"/>
  <c r="FZ298" i="2"/>
  <c r="FZ300" i="2" s="1"/>
  <c r="FZ301" i="2"/>
  <c r="FZ303" i="2" s="1"/>
  <c r="FZ256" i="2"/>
  <c r="EK388" i="2"/>
  <c r="EK389" i="2"/>
  <c r="FD88" i="3"/>
  <c r="FE88" i="3" s="1"/>
  <c r="FE89" i="3"/>
  <c r="EL397" i="2"/>
  <c r="EM394" i="2"/>
  <c r="GJ394" i="2" s="1"/>
  <c r="GJ397" i="2" s="1"/>
  <c r="EL396" i="2"/>
  <c r="EL387" i="2"/>
  <c r="DG301" i="2"/>
  <c r="DF303" i="2"/>
  <c r="DF254" i="2"/>
  <c r="EO379" i="2"/>
  <c r="EP377" i="2"/>
  <c r="ES312" i="2"/>
  <c r="ET310" i="2"/>
  <c r="ES266" i="2"/>
  <c r="DD253" i="2"/>
  <c r="DD251" i="2"/>
  <c r="DD252" i="2"/>
  <c r="DD262" i="2"/>
  <c r="DD420" i="2" s="1"/>
  <c r="FY309" i="2"/>
  <c r="FS307" i="2"/>
  <c r="FJ128" i="3"/>
  <c r="FJ129" i="3" s="1"/>
  <c r="EL400" i="2"/>
  <c r="EL401" i="2"/>
  <c r="DE256" i="2"/>
  <c r="DE298" i="2"/>
  <c r="DE257" i="2"/>
  <c r="DE255" i="2"/>
  <c r="DE250" i="2"/>
  <c r="EQ151" i="2"/>
  <c r="EQ150" i="2"/>
  <c r="EQ141" i="2"/>
  <c r="EQ429" i="2"/>
  <c r="EQ430" i="2"/>
  <c r="GI361" i="2"/>
  <c r="ER268" i="2"/>
  <c r="ER267" i="2"/>
  <c r="ER149" i="2"/>
  <c r="ER424" i="2"/>
  <c r="EL353" i="2"/>
  <c r="EL352" i="2"/>
  <c r="DB309" i="2"/>
  <c r="DB308" i="2"/>
  <c r="EN385" i="2"/>
  <c r="EN384" i="2"/>
  <c r="EN359" i="2"/>
  <c r="GK359" i="2" s="1"/>
  <c r="GK383" i="2"/>
  <c r="GK385" i="2" s="1"/>
  <c r="DD300" i="2"/>
  <c r="DD299" i="2"/>
  <c r="EM361" i="2"/>
  <c r="EM360" i="2"/>
  <c r="EM351" i="2"/>
  <c r="GJ359" i="2"/>
  <c r="EO375" i="2"/>
  <c r="EP373" i="2"/>
  <c r="EP406" i="2"/>
  <c r="EO408" i="2"/>
  <c r="EO409" i="2" l="1"/>
  <c r="EO368" i="2"/>
  <c r="EO376" i="2"/>
  <c r="EO380" i="2"/>
  <c r="DD422" i="2"/>
  <c r="DD421" i="2"/>
  <c r="DD412" i="2"/>
  <c r="EM352" i="2"/>
  <c r="EM353" i="2"/>
  <c r="EW128" i="3"/>
  <c r="EW129" i="3" s="1"/>
  <c r="EN404" i="2"/>
  <c r="EN405" i="2"/>
  <c r="EO402" i="2"/>
  <c r="EN399" i="2"/>
  <c r="GK402" i="2"/>
  <c r="DE300" i="2"/>
  <c r="DE299" i="2"/>
  <c r="EL388" i="2"/>
  <c r="EL389" i="2"/>
  <c r="GI387" i="2"/>
  <c r="ET315" i="2"/>
  <c r="GK315" i="2" s="1"/>
  <c r="ES316" i="2"/>
  <c r="ES317" i="2"/>
  <c r="ES428" i="2"/>
  <c r="GJ315" i="2"/>
  <c r="EQ369" i="2"/>
  <c r="EP371" i="2"/>
  <c r="EN360" i="2"/>
  <c r="EN361" i="2"/>
  <c r="EN351" i="2"/>
  <c r="GK351" i="2" s="1"/>
  <c r="ER426" i="2"/>
  <c r="ER425" i="2"/>
  <c r="EQ365" i="2"/>
  <c r="EP383" i="2"/>
  <c r="EP368" i="2" s="1"/>
  <c r="EP367" i="2"/>
  <c r="FF88" i="3"/>
  <c r="EQ377" i="2"/>
  <c r="EP379" i="2"/>
  <c r="HM124" i="3"/>
  <c r="EM401" i="2"/>
  <c r="EM400" i="2"/>
  <c r="EQ373" i="2"/>
  <c r="EP375" i="2"/>
  <c r="ER151" i="2"/>
  <c r="ER150" i="2"/>
  <c r="ER141" i="2"/>
  <c r="ES268" i="2"/>
  <c r="ES267" i="2"/>
  <c r="ES149" i="2"/>
  <c r="ES424" i="2"/>
  <c r="GJ424" i="2" s="1"/>
  <c r="DF298" i="2"/>
  <c r="DF256" i="2"/>
  <c r="DF257" i="2"/>
  <c r="DF255" i="2"/>
  <c r="DF250" i="2"/>
  <c r="GJ351" i="2"/>
  <c r="DD265" i="2"/>
  <c r="DD307" i="2"/>
  <c r="DD264" i="2"/>
  <c r="DD263" i="2"/>
  <c r="ET312" i="2"/>
  <c r="EU310" i="2"/>
  <c r="ET266" i="2"/>
  <c r="GJ266" i="2"/>
  <c r="DE253" i="2"/>
  <c r="DE251" i="2"/>
  <c r="DE252" i="2"/>
  <c r="DE262" i="2"/>
  <c r="FZ250" i="2"/>
  <c r="EM397" i="2"/>
  <c r="EN394" i="2"/>
  <c r="EM396" i="2"/>
  <c r="EM387" i="2"/>
  <c r="CZ128" i="3"/>
  <c r="CZ129" i="3" s="1"/>
  <c r="DC309" i="2"/>
  <c r="DC308" i="2"/>
  <c r="GK361" i="2"/>
  <c r="GI353" i="2"/>
  <c r="EQ406" i="2"/>
  <c r="EP408" i="2"/>
  <c r="GJ361" i="2"/>
  <c r="EQ143" i="2"/>
  <c r="EQ142" i="2"/>
  <c r="FO128" i="3"/>
  <c r="FO129" i="3" s="1"/>
  <c r="DG303" i="2"/>
  <c r="DH301" i="2"/>
  <c r="DG254" i="2"/>
  <c r="BT128" i="3"/>
  <c r="BT129" i="3" s="1"/>
  <c r="ER429" i="2"/>
  <c r="ER430" i="2"/>
  <c r="EO384" i="2"/>
  <c r="EO385" i="2"/>
  <c r="EO359" i="2"/>
  <c r="GP164" i="3"/>
  <c r="GQ164" i="3" s="1"/>
  <c r="GR164" i="3" s="1"/>
  <c r="GO162" i="3"/>
  <c r="GO161" i="3"/>
  <c r="GO163" i="3"/>
  <c r="EP376" i="2" l="1"/>
  <c r="EP380" i="2"/>
  <c r="EP409" i="2"/>
  <c r="EP372" i="2"/>
  <c r="DF252" i="2"/>
  <c r="DF253" i="2"/>
  <c r="DF251" i="2"/>
  <c r="DF262" i="2"/>
  <c r="GT164" i="3"/>
  <c r="GU164" i="3" s="1"/>
  <c r="GV164" i="3" s="1"/>
  <c r="GW164" i="3" s="1"/>
  <c r="GS164" i="3"/>
  <c r="FT128" i="3"/>
  <c r="FT129" i="3" s="1"/>
  <c r="EM388" i="2"/>
  <c r="EM389" i="2"/>
  <c r="ET268" i="2"/>
  <c r="ET267" i="2"/>
  <c r="ET149" i="2"/>
  <c r="ET424" i="2"/>
  <c r="DD309" i="2"/>
  <c r="DD308" i="2"/>
  <c r="FG88" i="3"/>
  <c r="GJ426" i="2"/>
  <c r="GJ427" i="2"/>
  <c r="EO351" i="2"/>
  <c r="EO360" i="2"/>
  <c r="EO361" i="2"/>
  <c r="EU312" i="2"/>
  <c r="EV310" i="2"/>
  <c r="EU266" i="2"/>
  <c r="ES430" i="2"/>
  <c r="ES429" i="2"/>
  <c r="GJ428" i="2"/>
  <c r="EO394" i="2"/>
  <c r="EN396" i="2"/>
  <c r="EN397" i="2"/>
  <c r="EN387" i="2"/>
  <c r="GK394" i="2"/>
  <c r="GK397" i="2" s="1"/>
  <c r="EX128" i="3"/>
  <c r="EX129" i="3" s="1"/>
  <c r="DD457" i="2"/>
  <c r="DD415" i="2"/>
  <c r="DD414" i="2"/>
  <c r="DD413" i="2"/>
  <c r="DE307" i="2"/>
  <c r="DE263" i="2"/>
  <c r="DE265" i="2"/>
  <c r="DE264" i="2"/>
  <c r="ES151" i="2"/>
  <c r="ES150" i="2"/>
  <c r="ES141" i="2"/>
  <c r="GJ141" i="2" s="1"/>
  <c r="GJ149" i="2"/>
  <c r="EO405" i="2"/>
  <c r="EP402" i="2"/>
  <c r="EO399" i="2"/>
  <c r="EO404" i="2"/>
  <c r="BU128" i="3"/>
  <c r="BU129" i="3" s="1"/>
  <c r="GJ353" i="2"/>
  <c r="DE420" i="2"/>
  <c r="FZ262" i="2"/>
  <c r="GJ387" i="2"/>
  <c r="DF300" i="2"/>
  <c r="DF299" i="2"/>
  <c r="ER142" i="2"/>
  <c r="ER143" i="2"/>
  <c r="EQ375" i="2"/>
  <c r="ER373" i="2"/>
  <c r="EP359" i="2"/>
  <c r="EP385" i="2"/>
  <c r="EP384" i="2"/>
  <c r="EN352" i="2"/>
  <c r="EN353" i="2"/>
  <c r="EQ371" i="2"/>
  <c r="ER369" i="2"/>
  <c r="ET317" i="2"/>
  <c r="EU315" i="2"/>
  <c r="ET316" i="2"/>
  <c r="ET428" i="2"/>
  <c r="DA128" i="3"/>
  <c r="DA129" i="3" s="1"/>
  <c r="GK317" i="2"/>
  <c r="GK353" i="2"/>
  <c r="DG257" i="2"/>
  <c r="DG255" i="2"/>
  <c r="DG298" i="2"/>
  <c r="DG256" i="2"/>
  <c r="DG250" i="2"/>
  <c r="EQ408" i="2"/>
  <c r="ER406" i="2"/>
  <c r="DH303" i="2"/>
  <c r="DI301" i="2"/>
  <c r="DH254" i="2"/>
  <c r="FZ252" i="2"/>
  <c r="FZ253" i="2"/>
  <c r="GJ310" i="2"/>
  <c r="GJ312" i="2" s="1"/>
  <c r="GJ268" i="2"/>
  <c r="ES426" i="2"/>
  <c r="ES425" i="2"/>
  <c r="EQ379" i="2"/>
  <c r="ER377" i="2"/>
  <c r="EQ367" i="2"/>
  <c r="ER365" i="2"/>
  <c r="EQ383" i="2"/>
  <c r="EQ372" i="2" s="1"/>
  <c r="GJ317" i="2"/>
  <c r="EN400" i="2"/>
  <c r="EN401" i="2"/>
  <c r="GK399" i="2"/>
  <c r="EQ368" i="2" l="1"/>
  <c r="ET430" i="2"/>
  <c r="ET429" i="2"/>
  <c r="DF307" i="2"/>
  <c r="DF263" i="2"/>
  <c r="DF265" i="2"/>
  <c r="DF264" i="2"/>
  <c r="DH298" i="2"/>
  <c r="DH257" i="2"/>
  <c r="DH255" i="2"/>
  <c r="DH250" i="2"/>
  <c r="DH256" i="2"/>
  <c r="DG253" i="2"/>
  <c r="DG251" i="2"/>
  <c r="DG252" i="2"/>
  <c r="DG262" i="2"/>
  <c r="FZ307" i="2"/>
  <c r="FZ309" i="2" s="1"/>
  <c r="FZ264" i="2"/>
  <c r="FZ265" i="2"/>
  <c r="DE309" i="2"/>
  <c r="DE308" i="2"/>
  <c r="EO396" i="2"/>
  <c r="EO397" i="2"/>
  <c r="EP394" i="2"/>
  <c r="EO387" i="2"/>
  <c r="ET151" i="2"/>
  <c r="ET150" i="2"/>
  <c r="ET141" i="2"/>
  <c r="DE422" i="2"/>
  <c r="DE421" i="2"/>
  <c r="DE412" i="2"/>
  <c r="FZ420" i="2"/>
  <c r="EY128" i="3"/>
  <c r="EY129" i="3" s="1"/>
  <c r="GJ431" i="2"/>
  <c r="GJ430" i="2"/>
  <c r="FY128" i="3"/>
  <c r="FY129" i="3" s="1"/>
  <c r="EP405" i="2"/>
  <c r="EQ402" i="2"/>
  <c r="EP399" i="2"/>
  <c r="EP404" i="2"/>
  <c r="FH88" i="3"/>
  <c r="GJ143" i="2"/>
  <c r="ES142" i="2"/>
  <c r="ES143" i="2"/>
  <c r="EV312" i="2"/>
  <c r="EW310" i="2"/>
  <c r="EV266" i="2"/>
  <c r="ET426" i="2"/>
  <c r="ET425" i="2"/>
  <c r="ER379" i="2"/>
  <c r="ES377" i="2"/>
  <c r="DJ301" i="2"/>
  <c r="DI303" i="2"/>
  <c r="DI254" i="2"/>
  <c r="EP351" i="2"/>
  <c r="EP361" i="2"/>
  <c r="EP360" i="2"/>
  <c r="EO400" i="2"/>
  <c r="EO401" i="2"/>
  <c r="ER375" i="2"/>
  <c r="ES373" i="2"/>
  <c r="EN388" i="2"/>
  <c r="EN389" i="2"/>
  <c r="GK387" i="2"/>
  <c r="DD460" i="2"/>
  <c r="DD458" i="2"/>
  <c r="DD459" i="2"/>
  <c r="DG300" i="2"/>
  <c r="DG299" i="2"/>
  <c r="EU317" i="2"/>
  <c r="EV315" i="2"/>
  <c r="EU316" i="2"/>
  <c r="EU428" i="2"/>
  <c r="EQ384" i="2"/>
  <c r="EQ359" i="2"/>
  <c r="EQ385" i="2"/>
  <c r="EQ380" i="2"/>
  <c r="ER408" i="2"/>
  <c r="ES406" i="2"/>
  <c r="ER367" i="2"/>
  <c r="ER383" i="2"/>
  <c r="ER376" i="2" s="1"/>
  <c r="ES365" i="2"/>
  <c r="EQ409" i="2"/>
  <c r="DC128" i="3"/>
  <c r="DC129" i="3" s="1"/>
  <c r="ER371" i="2"/>
  <c r="ES369" i="2"/>
  <c r="EQ376" i="2"/>
  <c r="BV128" i="3"/>
  <c r="BV129" i="3" s="1"/>
  <c r="GJ151" i="2"/>
  <c r="EU268" i="2"/>
  <c r="EU267" i="2"/>
  <c r="EU149" i="2"/>
  <c r="EU424" i="2"/>
  <c r="EO353" i="2"/>
  <c r="EO352" i="2"/>
  <c r="GY164" i="3"/>
  <c r="GZ164" i="3" s="1"/>
  <c r="HA164" i="3" s="1"/>
  <c r="HB164" i="3" s="1"/>
  <c r="GX164" i="3"/>
  <c r="DF420" i="2"/>
  <c r="ER409" i="2" l="1"/>
  <c r="ER380" i="2"/>
  <c r="FZ423" i="2"/>
  <c r="FZ422" i="2"/>
  <c r="ET369" i="2"/>
  <c r="ES371" i="2"/>
  <c r="EU430" i="2"/>
  <c r="EU429" i="2"/>
  <c r="DI250" i="2"/>
  <c r="DI298" i="2"/>
  <c r="DI257" i="2"/>
  <c r="DI255" i="2"/>
  <c r="DI256" i="2"/>
  <c r="GA254" i="2"/>
  <c r="FJ89" i="3"/>
  <c r="FI88" i="3"/>
  <c r="FJ88" i="3" s="1"/>
  <c r="DE415" i="2"/>
  <c r="DE414" i="2"/>
  <c r="DE413" i="2"/>
  <c r="DE457" i="2"/>
  <c r="FZ412" i="2"/>
  <c r="DG307" i="2"/>
  <c r="DG263" i="2"/>
  <c r="DG264" i="2"/>
  <c r="DG265" i="2"/>
  <c r="DF309" i="2"/>
  <c r="DF308" i="2"/>
  <c r="DH252" i="2"/>
  <c r="DH253" i="2"/>
  <c r="DH251" i="2"/>
  <c r="DH262" i="2"/>
  <c r="DH420" i="2" s="1"/>
  <c r="DK301" i="2"/>
  <c r="DJ303" i="2"/>
  <c r="DJ254" i="2"/>
  <c r="EP400" i="2"/>
  <c r="EP401" i="2"/>
  <c r="EO389" i="2"/>
  <c r="EO388" i="2"/>
  <c r="DH300" i="2"/>
  <c r="DH299" i="2"/>
  <c r="GD128" i="3"/>
  <c r="GD129" i="3" s="1"/>
  <c r="ER384" i="2"/>
  <c r="ER385" i="2"/>
  <c r="ER359" i="2"/>
  <c r="EU426" i="2"/>
  <c r="EU425" i="2"/>
  <c r="ER372" i="2"/>
  <c r="EU151" i="2"/>
  <c r="EU150" i="2"/>
  <c r="EU141" i="2"/>
  <c r="BW128" i="3"/>
  <c r="BW129" i="3" s="1"/>
  <c r="DD128" i="3"/>
  <c r="DD129" i="3" s="1"/>
  <c r="ER368" i="2"/>
  <c r="EV316" i="2"/>
  <c r="EV317" i="2"/>
  <c r="EW315" i="2"/>
  <c r="EV428" i="2"/>
  <c r="ET373" i="2"/>
  <c r="ES375" i="2"/>
  <c r="ET377" i="2"/>
  <c r="ES379" i="2"/>
  <c r="EV267" i="2"/>
  <c r="EV268" i="2"/>
  <c r="EV149" i="2"/>
  <c r="EV424" i="2"/>
  <c r="GK266" i="2"/>
  <c r="EQ405" i="2"/>
  <c r="ER402" i="2"/>
  <c r="EQ399" i="2"/>
  <c r="EQ404" i="2"/>
  <c r="ET142" i="2"/>
  <c r="ET143" i="2"/>
  <c r="EP396" i="2"/>
  <c r="EP397" i="2"/>
  <c r="EQ394" i="2"/>
  <c r="EP387" i="2"/>
  <c r="DG420" i="2"/>
  <c r="ET365" i="2"/>
  <c r="ES383" i="2"/>
  <c r="ES376" i="2" s="1"/>
  <c r="ES367" i="2"/>
  <c r="DF422" i="2"/>
  <c r="DF421" i="2"/>
  <c r="DF412" i="2"/>
  <c r="HD164" i="3"/>
  <c r="HE164" i="3" s="1"/>
  <c r="HF164" i="3" s="1"/>
  <c r="HG164" i="3" s="1"/>
  <c r="HC164" i="3"/>
  <c r="ET406" i="2"/>
  <c r="ES408" i="2"/>
  <c r="EQ360" i="2"/>
  <c r="EQ351" i="2"/>
  <c r="EQ361" i="2"/>
  <c r="EP353" i="2"/>
  <c r="EP352" i="2"/>
  <c r="EW312" i="2"/>
  <c r="EW266" i="2"/>
  <c r="FA128" i="3"/>
  <c r="FA129" i="3" s="1"/>
  <c r="ES409" i="2" l="1"/>
  <c r="DH421" i="2"/>
  <c r="DH422" i="2"/>
  <c r="DH412" i="2"/>
  <c r="EV430" i="2"/>
  <c r="EV429" i="2"/>
  <c r="ER361" i="2"/>
  <c r="ER360" i="2"/>
  <c r="ER351" i="2"/>
  <c r="DJ298" i="2"/>
  <c r="DJ250" i="2"/>
  <c r="DJ255" i="2"/>
  <c r="DJ256" i="2"/>
  <c r="DJ257" i="2"/>
  <c r="EQ353" i="2"/>
  <c r="EQ352" i="2"/>
  <c r="EQ397" i="2"/>
  <c r="ER394" i="2"/>
  <c r="EQ396" i="2"/>
  <c r="EQ387" i="2"/>
  <c r="EV426" i="2"/>
  <c r="EV425" i="2"/>
  <c r="ES380" i="2"/>
  <c r="DG309" i="2"/>
  <c r="DG308" i="2"/>
  <c r="FK88" i="3"/>
  <c r="ES372" i="2"/>
  <c r="GK310" i="2"/>
  <c r="GK312" i="2" s="1"/>
  <c r="GK268" i="2"/>
  <c r="DL301" i="2"/>
  <c r="DK303" i="2"/>
  <c r="DK254" i="2"/>
  <c r="FZ415" i="2"/>
  <c r="FZ414" i="2"/>
  <c r="DI300" i="2"/>
  <c r="DI299" i="2"/>
  <c r="EU369" i="2"/>
  <c r="ET371" i="2"/>
  <c r="DE460" i="2"/>
  <c r="DE458" i="2"/>
  <c r="DE459" i="2"/>
  <c r="FZ457" i="2"/>
  <c r="DI252" i="2"/>
  <c r="DI251" i="2"/>
  <c r="DI253" i="2"/>
  <c r="DI262" i="2"/>
  <c r="GA262" i="2" s="1"/>
  <c r="GA250" i="2"/>
  <c r="EP389" i="2"/>
  <c r="EP388" i="2"/>
  <c r="DE128" i="3"/>
  <c r="DE129" i="3" s="1"/>
  <c r="HH164" i="3"/>
  <c r="HI164" i="3"/>
  <c r="HJ164" i="3" s="1"/>
  <c r="HK164" i="3" s="1"/>
  <c r="HL164" i="3" s="1"/>
  <c r="HM164" i="3" s="1"/>
  <c r="EU377" i="2"/>
  <c r="ET379" i="2"/>
  <c r="ES368" i="2"/>
  <c r="DH307" i="2"/>
  <c r="DH263" i="2"/>
  <c r="DH264" i="2"/>
  <c r="DH265" i="2"/>
  <c r="ET383" i="2"/>
  <c r="ET368" i="2" s="1"/>
  <c r="EU365" i="2"/>
  <c r="ET367" i="2"/>
  <c r="EU143" i="2"/>
  <c r="EU142" i="2"/>
  <c r="GA298" i="2"/>
  <c r="GA300" i="2" s="1"/>
  <c r="GA301" i="2"/>
  <c r="GA303" i="2" s="1"/>
  <c r="GA257" i="2"/>
  <c r="GA256" i="2"/>
  <c r="EW267" i="2"/>
  <c r="EW268" i="2"/>
  <c r="EW149" i="2"/>
  <c r="EW424" i="2"/>
  <c r="GK424" i="2" s="1"/>
  <c r="ES385" i="2"/>
  <c r="ES384" i="2"/>
  <c r="ES359" i="2"/>
  <c r="EV151" i="2"/>
  <c r="EV150" i="2"/>
  <c r="EV141" i="2"/>
  <c r="EW316" i="2"/>
  <c r="EW317" i="2"/>
  <c r="EW428" i="2"/>
  <c r="GK428" i="2" s="1"/>
  <c r="DF414" i="2"/>
  <c r="DF413" i="2"/>
  <c r="DF457" i="2"/>
  <c r="DF415" i="2"/>
  <c r="EQ400" i="2"/>
  <c r="EQ401" i="2"/>
  <c r="GI128" i="3"/>
  <c r="GI129" i="3" s="1"/>
  <c r="GE128" i="3"/>
  <c r="GE129" i="3" s="1"/>
  <c r="ES402" i="2"/>
  <c r="ER399" i="2"/>
  <c r="ER404" i="2"/>
  <c r="ER405" i="2"/>
  <c r="FB128" i="3"/>
  <c r="FB129" i="3" s="1"/>
  <c r="EU406" i="2"/>
  <c r="ET408" i="2"/>
  <c r="DG422" i="2"/>
  <c r="DG421" i="2"/>
  <c r="DG412" i="2"/>
  <c r="EU373" i="2"/>
  <c r="ET375" i="2"/>
  <c r="ET376" i="2" l="1"/>
  <c r="GA307" i="2"/>
  <c r="GA309" i="2" s="1"/>
  <c r="GA264" i="2"/>
  <c r="GA265" i="2"/>
  <c r="FZ460" i="2"/>
  <c r="FZ459" i="2"/>
  <c r="FZ458" i="2"/>
  <c r="EW151" i="2"/>
  <c r="EW150" i="2"/>
  <c r="EW141" i="2"/>
  <c r="GK141" i="2" s="1"/>
  <c r="DH309" i="2"/>
  <c r="DH308" i="2"/>
  <c r="DI264" i="2"/>
  <c r="DI307" i="2"/>
  <c r="DI263" i="2"/>
  <c r="DI265" i="2"/>
  <c r="DM301" i="2"/>
  <c r="DL303" i="2"/>
  <c r="DL254" i="2"/>
  <c r="FL88" i="3"/>
  <c r="EQ388" i="2"/>
  <c r="EQ389" i="2"/>
  <c r="DJ300" i="2"/>
  <c r="DJ299" i="2"/>
  <c r="GK426" i="2"/>
  <c r="GK427" i="2"/>
  <c r="ER353" i="2"/>
  <c r="ER352" i="2"/>
  <c r="DG414" i="2"/>
  <c r="DG413" i="2"/>
  <c r="DG457" i="2"/>
  <c r="DG415" i="2"/>
  <c r="GF128" i="3"/>
  <c r="GF129" i="3" s="1"/>
  <c r="ER397" i="2"/>
  <c r="ES394" i="2"/>
  <c r="ER396" i="2"/>
  <c r="ER387" i="2"/>
  <c r="DH457" i="2"/>
  <c r="DH413" i="2"/>
  <c r="DH415" i="2"/>
  <c r="DH414" i="2"/>
  <c r="EW426" i="2"/>
  <c r="EW425" i="2"/>
  <c r="GA252" i="2"/>
  <c r="GA253" i="2"/>
  <c r="EV369" i="2"/>
  <c r="EU371" i="2"/>
  <c r="DJ253" i="2"/>
  <c r="DJ251" i="2"/>
  <c r="DJ252" i="2"/>
  <c r="DJ125" i="2"/>
  <c r="DJ262" i="2"/>
  <c r="DF458" i="2"/>
  <c r="DF460" i="2"/>
  <c r="DF459" i="2"/>
  <c r="EU383" i="2"/>
  <c r="EU368" i="2" s="1"/>
  <c r="EV365" i="2"/>
  <c r="EU367" i="2"/>
  <c r="ET385" i="2"/>
  <c r="ET359" i="2"/>
  <c r="ET384" i="2"/>
  <c r="EV373" i="2"/>
  <c r="EU375" i="2"/>
  <c r="ER400" i="2"/>
  <c r="ER401" i="2"/>
  <c r="ET380" i="2"/>
  <c r="FC128" i="3"/>
  <c r="FC129" i="3" s="1"/>
  <c r="GK431" i="2"/>
  <c r="GK430" i="2"/>
  <c r="GN128" i="3"/>
  <c r="GN129" i="3" s="1"/>
  <c r="ES361" i="2"/>
  <c r="ES360" i="2"/>
  <c r="ES351" i="2"/>
  <c r="DF128" i="3"/>
  <c r="DF129" i="3" s="1"/>
  <c r="GK149" i="2"/>
  <c r="EV406" i="2"/>
  <c r="EU408" i="2"/>
  <c r="EV143" i="2"/>
  <c r="EV142" i="2"/>
  <c r="ET409" i="2"/>
  <c r="ES404" i="2"/>
  <c r="ES405" i="2"/>
  <c r="ET402" i="2"/>
  <c r="ES399" i="2"/>
  <c r="EW430" i="2"/>
  <c r="EW429" i="2"/>
  <c r="EV377" i="2"/>
  <c r="EU379" i="2"/>
  <c r="DI420" i="2"/>
  <c r="ET372" i="2"/>
  <c r="DK256" i="2"/>
  <c r="DK298" i="2"/>
  <c r="DK255" i="2"/>
  <c r="DK250" i="2"/>
  <c r="DK257" i="2"/>
  <c r="EU380" i="2" l="1"/>
  <c r="DK253" i="2"/>
  <c r="DK251" i="2"/>
  <c r="DK252" i="2"/>
  <c r="DK125" i="2"/>
  <c r="DK262" i="2"/>
  <c r="ET404" i="2"/>
  <c r="ET405" i="2"/>
  <c r="EU402" i="2"/>
  <c r="ET399" i="2"/>
  <c r="DH128" i="3"/>
  <c r="DH129" i="3" s="1"/>
  <c r="EW365" i="2"/>
  <c r="EV383" i="2"/>
  <c r="EV368" i="2" s="1"/>
  <c r="EV367" i="2"/>
  <c r="DJ265" i="2"/>
  <c r="DJ307" i="2"/>
  <c r="DJ264" i="2"/>
  <c r="DJ263" i="2"/>
  <c r="DJ129" i="2"/>
  <c r="DJ137" i="2" s="1"/>
  <c r="DJ420" i="2"/>
  <c r="ER389" i="2"/>
  <c r="ER388" i="2"/>
  <c r="EW143" i="2"/>
  <c r="EW142" i="2"/>
  <c r="EU384" i="2"/>
  <c r="EU385" i="2"/>
  <c r="EU359" i="2"/>
  <c r="DG459" i="2"/>
  <c r="DG458" i="2"/>
  <c r="DG460" i="2"/>
  <c r="ES401" i="2"/>
  <c r="ES400" i="2"/>
  <c r="GK151" i="2"/>
  <c r="ES397" i="2"/>
  <c r="ET394" i="2"/>
  <c r="ES396" i="2"/>
  <c r="ES387" i="2"/>
  <c r="FM88" i="3"/>
  <c r="DI309" i="2"/>
  <c r="DI308" i="2"/>
  <c r="DI421" i="2"/>
  <c r="DI422" i="2"/>
  <c r="DI412" i="2"/>
  <c r="GA420" i="2"/>
  <c r="DH459" i="2"/>
  <c r="DH460" i="2"/>
  <c r="DH458" i="2"/>
  <c r="DM303" i="2"/>
  <c r="DN301" i="2"/>
  <c r="DM254" i="2"/>
  <c r="GS128" i="3"/>
  <c r="DJ128" i="2"/>
  <c r="EW406" i="2"/>
  <c r="EV408" i="2"/>
  <c r="ES352" i="2"/>
  <c r="ES353" i="2"/>
  <c r="EW369" i="2"/>
  <c r="EV372" i="2"/>
  <c r="EV371" i="2"/>
  <c r="DL298" i="2"/>
  <c r="DL256" i="2"/>
  <c r="DL257" i="2"/>
  <c r="DL255" i="2"/>
  <c r="DL250" i="2"/>
  <c r="EW373" i="2"/>
  <c r="EV375" i="2"/>
  <c r="ET360" i="2"/>
  <c r="ET351" i="2"/>
  <c r="ET361" i="2"/>
  <c r="DK300" i="2"/>
  <c r="DK299" i="2"/>
  <c r="EW377" i="2"/>
  <c r="EV380" i="2"/>
  <c r="EV379" i="2"/>
  <c r="EU372" i="2"/>
  <c r="GK143" i="2"/>
  <c r="EU409" i="2"/>
  <c r="FD128" i="3"/>
  <c r="FD129" i="3" s="1"/>
  <c r="EU376" i="2"/>
  <c r="GG128" i="3"/>
  <c r="GG129" i="3" s="1"/>
  <c r="EV376" i="2" l="1"/>
  <c r="EV409" i="2"/>
  <c r="ET352" i="2"/>
  <c r="ET353" i="2"/>
  <c r="DK307" i="2"/>
  <c r="DK263" i="2"/>
  <c r="DK265" i="2"/>
  <c r="DK264" i="2"/>
  <c r="DK129" i="2"/>
  <c r="DK137" i="2" s="1"/>
  <c r="DK140" i="2" s="1"/>
  <c r="EW379" i="2"/>
  <c r="EW371" i="2"/>
  <c r="EU394" i="2"/>
  <c r="ET396" i="2"/>
  <c r="ET397" i="2"/>
  <c r="ET387" i="2"/>
  <c r="DJ422" i="2"/>
  <c r="DJ421" i="2"/>
  <c r="DJ412" i="2"/>
  <c r="DI128" i="3"/>
  <c r="DI129" i="3" s="1"/>
  <c r="DK126" i="2"/>
  <c r="DK128" i="2"/>
  <c r="DM257" i="2"/>
  <c r="DM255" i="2"/>
  <c r="DM298" i="2"/>
  <c r="DM256" i="2"/>
  <c r="DM250" i="2"/>
  <c r="EU405" i="2"/>
  <c r="EV402" i="2"/>
  <c r="EU399" i="2"/>
  <c r="EU404" i="2"/>
  <c r="DL251" i="2"/>
  <c r="DL252" i="2"/>
  <c r="DL253" i="2"/>
  <c r="DL125" i="2"/>
  <c r="DL262" i="2"/>
  <c r="DL420" i="2" s="1"/>
  <c r="GH128" i="3"/>
  <c r="GH129" i="3" s="1"/>
  <c r="ET400" i="2"/>
  <c r="ET401" i="2"/>
  <c r="EW375" i="2"/>
  <c r="DN303" i="2"/>
  <c r="DO301" i="2"/>
  <c r="DN254" i="2"/>
  <c r="DI457" i="2"/>
  <c r="DI413" i="2"/>
  <c r="DI415" i="2"/>
  <c r="DI414" i="2"/>
  <c r="GA412" i="2"/>
  <c r="FO89" i="3"/>
  <c r="FN88" i="3"/>
  <c r="FO88" i="3" s="1"/>
  <c r="EU351" i="2"/>
  <c r="EU360" i="2"/>
  <c r="EU361" i="2"/>
  <c r="EV359" i="2"/>
  <c r="EV384" i="2"/>
  <c r="EV385" i="2"/>
  <c r="DJ140" i="2"/>
  <c r="GB250" i="2"/>
  <c r="DJ132" i="2"/>
  <c r="EW408" i="2"/>
  <c r="GA423" i="2"/>
  <c r="GA422" i="2"/>
  <c r="DL300" i="2"/>
  <c r="DL299" i="2"/>
  <c r="FF128" i="3"/>
  <c r="FF129" i="3" s="1"/>
  <c r="GB254" i="2"/>
  <c r="ES388" i="2"/>
  <c r="ES389" i="2"/>
  <c r="DJ309" i="2"/>
  <c r="DJ308" i="2"/>
  <c r="EW367" i="2"/>
  <c r="EW383" i="2"/>
  <c r="EW380" i="2" s="1"/>
  <c r="DK420" i="2"/>
  <c r="EU352" i="2" l="1"/>
  <c r="EU353" i="2"/>
  <c r="DL307" i="2"/>
  <c r="DL263" i="2"/>
  <c r="DL264" i="2"/>
  <c r="DL265" i="2"/>
  <c r="DL129" i="2"/>
  <c r="DM300" i="2"/>
  <c r="DM299" i="2"/>
  <c r="EW372" i="2"/>
  <c r="DL422" i="2"/>
  <c r="DL421" i="2"/>
  <c r="DL412" i="2"/>
  <c r="DK422" i="2"/>
  <c r="DK421" i="2"/>
  <c r="DK412" i="2"/>
  <c r="EW376" i="2"/>
  <c r="DL137" i="2"/>
  <c r="DL140" i="2" s="1"/>
  <c r="DL128" i="2"/>
  <c r="DL126" i="2"/>
  <c r="EU400" i="2"/>
  <c r="EU401" i="2"/>
  <c r="DJ128" i="3"/>
  <c r="DJ129" i="3" s="1"/>
  <c r="ET388" i="2"/>
  <c r="ET389" i="2"/>
  <c r="DK309" i="2"/>
  <c r="DK308" i="2"/>
  <c r="GB252" i="2"/>
  <c r="GB253" i="2"/>
  <c r="DI460" i="2"/>
  <c r="DI458" i="2"/>
  <c r="DI459" i="2"/>
  <c r="GA457" i="2"/>
  <c r="EV405" i="2"/>
  <c r="EW402" i="2"/>
  <c r="EV399" i="2"/>
  <c r="EV404" i="2"/>
  <c r="GJ128" i="3"/>
  <c r="GJ129" i="3" s="1"/>
  <c r="EV351" i="2"/>
  <c r="EV360" i="2"/>
  <c r="EV361" i="2"/>
  <c r="FP88" i="3"/>
  <c r="DN298" i="2"/>
  <c r="DN257" i="2"/>
  <c r="DN255" i="2"/>
  <c r="DN256" i="2"/>
  <c r="DN250" i="2"/>
  <c r="DJ415" i="2"/>
  <c r="DJ457" i="2"/>
  <c r="DJ414" i="2"/>
  <c r="DJ413" i="2"/>
  <c r="DK130" i="2"/>
  <c r="DK132" i="2"/>
  <c r="EW384" i="2"/>
  <c r="EW359" i="2"/>
  <c r="EW385" i="2"/>
  <c r="GB301" i="2"/>
  <c r="GB303" i="2" s="1"/>
  <c r="GB298" i="2"/>
  <c r="GB300" i="2" s="1"/>
  <c r="GB256" i="2"/>
  <c r="GB257" i="2"/>
  <c r="EW368" i="2"/>
  <c r="FG128" i="3"/>
  <c r="FG129" i="3" s="1"/>
  <c r="EW409" i="2"/>
  <c r="GA414" i="2"/>
  <c r="GA415" i="2"/>
  <c r="DP301" i="2"/>
  <c r="DO303" i="2"/>
  <c r="DO254" i="2"/>
  <c r="DM252" i="2"/>
  <c r="DM253" i="2"/>
  <c r="DM251" i="2"/>
  <c r="DM125" i="2"/>
  <c r="GB125" i="2" s="1"/>
  <c r="GB128" i="2" s="1"/>
  <c r="DM262" i="2"/>
  <c r="GB262" i="2" s="1"/>
  <c r="EU396" i="2"/>
  <c r="EU397" i="2"/>
  <c r="EV394" i="2"/>
  <c r="EU387" i="2"/>
  <c r="DM420" i="2" l="1"/>
  <c r="GB420" i="2" s="1"/>
  <c r="GB264" i="2"/>
  <c r="GB307" i="2"/>
  <c r="GB309" i="2" s="1"/>
  <c r="GB265" i="2"/>
  <c r="GB423" i="2"/>
  <c r="GB422" i="2"/>
  <c r="DL309" i="2"/>
  <c r="DL308" i="2"/>
  <c r="DK128" i="3"/>
  <c r="DK129" i="3" s="1"/>
  <c r="DL457" i="2"/>
  <c r="DL414" i="2"/>
  <c r="DL413" i="2"/>
  <c r="DL415" i="2"/>
  <c r="DM307" i="2"/>
  <c r="DM264" i="2"/>
  <c r="DM265" i="2"/>
  <c r="DM263" i="2"/>
  <c r="DM129" i="2"/>
  <c r="DM137" i="2" s="1"/>
  <c r="FH128" i="3"/>
  <c r="FH129" i="3" s="1"/>
  <c r="DN300" i="2"/>
  <c r="DN299" i="2"/>
  <c r="EW405" i="2"/>
  <c r="EW399" i="2"/>
  <c r="EW404" i="2"/>
  <c r="DM128" i="2"/>
  <c r="DM126" i="2"/>
  <c r="DN252" i="2"/>
  <c r="DN253" i="2"/>
  <c r="DN251" i="2"/>
  <c r="DN125" i="2"/>
  <c r="DN262" i="2"/>
  <c r="DL130" i="2"/>
  <c r="DL132" i="2"/>
  <c r="EV396" i="2"/>
  <c r="EV397" i="2"/>
  <c r="EW394" i="2"/>
  <c r="EV387" i="2"/>
  <c r="EW361" i="2"/>
  <c r="EW360" i="2"/>
  <c r="EW351" i="2"/>
  <c r="DK415" i="2"/>
  <c r="DK457" i="2"/>
  <c r="DK414" i="2"/>
  <c r="DK413" i="2"/>
  <c r="DM421" i="2"/>
  <c r="DM412" i="2"/>
  <c r="DJ458" i="2"/>
  <c r="DJ459" i="2"/>
  <c r="DJ460" i="2"/>
  <c r="EV400" i="2"/>
  <c r="EV401" i="2"/>
  <c r="DO250" i="2"/>
  <c r="DO298" i="2"/>
  <c r="DO256" i="2"/>
  <c r="DO257" i="2"/>
  <c r="DO255" i="2"/>
  <c r="EV352" i="2"/>
  <c r="EV353" i="2"/>
  <c r="FQ88" i="3"/>
  <c r="EU389" i="2"/>
  <c r="EU388" i="2"/>
  <c r="DQ301" i="2"/>
  <c r="DP303" i="2"/>
  <c r="DP254" i="2"/>
  <c r="GK128" i="3"/>
  <c r="GK129" i="3" s="1"/>
  <c r="GA460" i="2"/>
  <c r="GA459" i="2"/>
  <c r="GA458" i="2"/>
  <c r="DM422" i="2" l="1"/>
  <c r="DM140" i="2"/>
  <c r="DM138" i="2"/>
  <c r="GB137" i="2"/>
  <c r="GL128" i="3"/>
  <c r="GL129" i="3" s="1"/>
  <c r="DM414" i="2"/>
  <c r="DM413" i="2"/>
  <c r="DM415" i="2"/>
  <c r="DM457" i="2"/>
  <c r="GB457" i="2" s="1"/>
  <c r="GB412" i="2"/>
  <c r="EW397" i="2"/>
  <c r="EW396" i="2"/>
  <c r="EW387" i="2"/>
  <c r="DN307" i="2"/>
  <c r="DN265" i="2"/>
  <c r="DN263" i="2"/>
  <c r="DN264" i="2"/>
  <c r="DN129" i="2"/>
  <c r="DN137" i="2" s="1"/>
  <c r="DN420" i="2"/>
  <c r="DK460" i="2"/>
  <c r="DK459" i="2"/>
  <c r="DK458" i="2"/>
  <c r="EW353" i="2"/>
  <c r="EW352" i="2"/>
  <c r="DN128" i="2"/>
  <c r="DN127" i="2"/>
  <c r="DN126" i="2"/>
  <c r="DL458" i="2"/>
  <c r="DL460" i="2"/>
  <c r="DL459" i="2"/>
  <c r="DO252" i="2"/>
  <c r="DO253" i="2"/>
  <c r="DO251" i="2"/>
  <c r="DO125" i="2"/>
  <c r="DO262" i="2"/>
  <c r="DO420" i="2" s="1"/>
  <c r="EW400" i="2"/>
  <c r="EW401" i="2"/>
  <c r="DQ254" i="2"/>
  <c r="DR301" i="2"/>
  <c r="DQ303" i="2"/>
  <c r="EV389" i="2"/>
  <c r="EV388" i="2"/>
  <c r="FR88" i="3"/>
  <c r="GB129" i="2"/>
  <c r="GB132" i="2" s="1"/>
  <c r="FI128" i="3"/>
  <c r="FI129" i="3" s="1"/>
  <c r="DM309" i="2"/>
  <c r="DM308" i="2"/>
  <c r="DM132" i="2"/>
  <c r="DM130" i="2"/>
  <c r="DP298" i="2"/>
  <c r="DP250" i="2"/>
  <c r="DP257" i="2"/>
  <c r="DP255" i="2"/>
  <c r="DP256" i="2"/>
  <c r="DO300" i="2"/>
  <c r="DO299" i="2"/>
  <c r="DO421" i="2" l="1"/>
  <c r="DO422" i="2"/>
  <c r="DO412" i="2"/>
  <c r="FK128" i="3"/>
  <c r="FK129" i="3" s="1"/>
  <c r="GM128" i="3"/>
  <c r="GM129" i="3" s="1"/>
  <c r="GB460" i="2"/>
  <c r="GB459" i="2"/>
  <c r="GB458" i="2"/>
  <c r="DN139" i="2"/>
  <c r="DN138" i="2"/>
  <c r="DN140" i="2"/>
  <c r="DM459" i="2"/>
  <c r="DM458" i="2"/>
  <c r="DM460" i="2"/>
  <c r="DP253" i="2"/>
  <c r="DP251" i="2"/>
  <c r="DP252" i="2"/>
  <c r="DP125" i="2"/>
  <c r="DP262" i="2"/>
  <c r="DP420" i="2" s="1"/>
  <c r="DP300" i="2"/>
  <c r="DP299" i="2"/>
  <c r="GB414" i="2"/>
  <c r="GB415" i="2"/>
  <c r="DO128" i="2"/>
  <c r="DO127" i="2"/>
  <c r="DO126" i="2"/>
  <c r="DQ256" i="2"/>
  <c r="DQ298" i="2"/>
  <c r="DQ300" i="2" s="1"/>
  <c r="DQ257" i="2"/>
  <c r="DQ255" i="2"/>
  <c r="DQ250" i="2"/>
  <c r="GC250" i="2" s="1"/>
  <c r="GC254" i="2"/>
  <c r="DN421" i="2"/>
  <c r="DN422" i="2"/>
  <c r="DN412" i="2"/>
  <c r="DN309" i="2"/>
  <c r="DN308" i="2"/>
  <c r="DO264" i="2"/>
  <c r="DO307" i="2"/>
  <c r="DO263" i="2"/>
  <c r="DO265" i="2"/>
  <c r="DO129" i="2"/>
  <c r="DO137" i="2" s="1"/>
  <c r="DS301" i="2"/>
  <c r="DR303" i="2"/>
  <c r="DR254" i="2"/>
  <c r="FT89" i="3"/>
  <c r="FS88" i="3"/>
  <c r="FT88" i="3" s="1"/>
  <c r="DN132" i="2"/>
  <c r="DN131" i="2"/>
  <c r="DN130" i="2"/>
  <c r="EW388" i="2"/>
  <c r="EW389" i="2"/>
  <c r="DP422" i="2" l="1"/>
  <c r="DP421" i="2"/>
  <c r="DP412" i="2"/>
  <c r="DO140" i="2"/>
  <c r="DO138" i="2"/>
  <c r="DP128" i="2"/>
  <c r="DP127" i="2"/>
  <c r="DP126" i="2"/>
  <c r="DO309" i="2"/>
  <c r="DO308" i="2"/>
  <c r="FL128" i="3"/>
  <c r="FL129" i="3" s="1"/>
  <c r="FU88" i="3"/>
  <c r="DP265" i="2"/>
  <c r="DP307" i="2"/>
  <c r="DP264" i="2"/>
  <c r="DP263" i="2"/>
  <c r="DP129" i="2"/>
  <c r="DO457" i="2"/>
  <c r="DO413" i="2"/>
  <c r="DO415" i="2"/>
  <c r="DO414" i="2"/>
  <c r="GC298" i="2"/>
  <c r="GC300" i="2" s="1"/>
  <c r="GC301" i="2"/>
  <c r="GC303" i="2" s="1"/>
  <c r="GC256" i="2"/>
  <c r="GC257" i="2"/>
  <c r="DN457" i="2"/>
  <c r="DN413" i="2"/>
  <c r="DN415" i="2"/>
  <c r="DN414" i="2"/>
  <c r="DR298" i="2"/>
  <c r="DR300" i="2" s="1"/>
  <c r="DR256" i="2"/>
  <c r="DR255" i="2"/>
  <c r="DR250" i="2"/>
  <c r="DR257" i="2"/>
  <c r="GC253" i="2"/>
  <c r="GC252" i="2"/>
  <c r="DS303" i="2"/>
  <c r="DT301" i="2"/>
  <c r="DS254" i="2"/>
  <c r="DO132" i="2"/>
  <c r="DO131" i="2"/>
  <c r="DO130" i="2"/>
  <c r="DQ253" i="2"/>
  <c r="DQ251" i="2"/>
  <c r="DQ252" i="2"/>
  <c r="DQ125" i="2"/>
  <c r="DQ262" i="2"/>
  <c r="GO128" i="3"/>
  <c r="GO129" i="3" s="1"/>
  <c r="DT303" i="2" l="1"/>
  <c r="DU301" i="2"/>
  <c r="DT254" i="2"/>
  <c r="DR253" i="2"/>
  <c r="DR251" i="2"/>
  <c r="DR252" i="2"/>
  <c r="DR125" i="2"/>
  <c r="DR262" i="2"/>
  <c r="DR420" i="2" s="1"/>
  <c r="GC262" i="2"/>
  <c r="FV88" i="3"/>
  <c r="DP415" i="2"/>
  <c r="DP414" i="2"/>
  <c r="DP457" i="2"/>
  <c r="DP413" i="2"/>
  <c r="DS257" i="2"/>
  <c r="DS255" i="2"/>
  <c r="DS298" i="2"/>
  <c r="DS250" i="2"/>
  <c r="DS256" i="2"/>
  <c r="DO460" i="2"/>
  <c r="DO458" i="2"/>
  <c r="DO459" i="2"/>
  <c r="DQ420" i="2"/>
  <c r="DP131" i="2"/>
  <c r="DP130" i="2"/>
  <c r="DP132" i="2"/>
  <c r="FM128" i="3"/>
  <c r="FM129" i="3" s="1"/>
  <c r="DN459" i="2"/>
  <c r="DN460" i="2"/>
  <c r="DN458" i="2"/>
  <c r="GP128" i="3"/>
  <c r="DQ307" i="2"/>
  <c r="DQ263" i="2"/>
  <c r="DQ265" i="2"/>
  <c r="DQ264" i="2"/>
  <c r="DQ129" i="2"/>
  <c r="DQ137" i="2" s="1"/>
  <c r="DQ127" i="2"/>
  <c r="DQ126" i="2"/>
  <c r="DQ128" i="2"/>
  <c r="GC125" i="2"/>
  <c r="DP309" i="2"/>
  <c r="DP308" i="2"/>
  <c r="DR307" i="2"/>
  <c r="DP137" i="2"/>
  <c r="GC265" i="2" l="1"/>
  <c r="GC307" i="2"/>
  <c r="GC309" i="2" s="1"/>
  <c r="GC264" i="2"/>
  <c r="DR309" i="2"/>
  <c r="DS307" i="2"/>
  <c r="DP460" i="2"/>
  <c r="DP458" i="2"/>
  <c r="DP459" i="2"/>
  <c r="DR263" i="2"/>
  <c r="DR264" i="2"/>
  <c r="DR265" i="2"/>
  <c r="DR129" i="2"/>
  <c r="DR137" i="2" s="1"/>
  <c r="DR422" i="2"/>
  <c r="DR421" i="2"/>
  <c r="DR412" i="2"/>
  <c r="DP140" i="2"/>
  <c r="GC137" i="2"/>
  <c r="FN128" i="3"/>
  <c r="FN129" i="3" s="1"/>
  <c r="DT298" i="2"/>
  <c r="DT257" i="2"/>
  <c r="DT255" i="2"/>
  <c r="DT256" i="2"/>
  <c r="DT250" i="2"/>
  <c r="DQ309" i="2"/>
  <c r="DQ308" i="2"/>
  <c r="DS251" i="2"/>
  <c r="DS252" i="2"/>
  <c r="DS253" i="2"/>
  <c r="DS125" i="2"/>
  <c r="DR128" i="2"/>
  <c r="DR127" i="2"/>
  <c r="DR126" i="2"/>
  <c r="DQ140" i="2"/>
  <c r="DQ139" i="2"/>
  <c r="DQ422" i="2"/>
  <c r="DQ421" i="2"/>
  <c r="DQ412" i="2"/>
  <c r="GC420" i="2"/>
  <c r="FW88" i="3"/>
  <c r="DV301" i="2"/>
  <c r="DU303" i="2"/>
  <c r="DU254" i="2"/>
  <c r="DS300" i="2"/>
  <c r="DS299" i="2"/>
  <c r="DQ131" i="2"/>
  <c r="DQ130" i="2"/>
  <c r="DQ132" i="2"/>
  <c r="GC128" i="2"/>
  <c r="GC127" i="2"/>
  <c r="GC129" i="2"/>
  <c r="DR414" i="2" l="1"/>
  <c r="DR457" i="2"/>
  <c r="DR413" i="2"/>
  <c r="DR415" i="2"/>
  <c r="DS309" i="2"/>
  <c r="DS262" i="2"/>
  <c r="DT307" i="2"/>
  <c r="DW301" i="2"/>
  <c r="DV303" i="2"/>
  <c r="DV254" i="2"/>
  <c r="FY89" i="3"/>
  <c r="FX88" i="3"/>
  <c r="FY88" i="3" s="1"/>
  <c r="DS128" i="2"/>
  <c r="DS127" i="2"/>
  <c r="DS126" i="2"/>
  <c r="DT252" i="2"/>
  <c r="DT251" i="2"/>
  <c r="DT253" i="2"/>
  <c r="DT125" i="2"/>
  <c r="FP128" i="3"/>
  <c r="FP129" i="3" s="1"/>
  <c r="DT300" i="2"/>
  <c r="DT299" i="2"/>
  <c r="GC423" i="2"/>
  <c r="GC422" i="2"/>
  <c r="DU250" i="2"/>
  <c r="DU298" i="2"/>
  <c r="DU255" i="2"/>
  <c r="DU256" i="2"/>
  <c r="DU257" i="2"/>
  <c r="DQ415" i="2"/>
  <c r="DQ414" i="2"/>
  <c r="DQ457" i="2"/>
  <c r="DQ413" i="2"/>
  <c r="GC412" i="2"/>
  <c r="GC132" i="2"/>
  <c r="GC131" i="2"/>
  <c r="GD254" i="2"/>
  <c r="DR138" i="2"/>
  <c r="DR140" i="2"/>
  <c r="DR139" i="2"/>
  <c r="GC139" i="2"/>
  <c r="GC140" i="2"/>
  <c r="DR131" i="2"/>
  <c r="DR130" i="2"/>
  <c r="DR132" i="2"/>
  <c r="GC414" i="2" l="1"/>
  <c r="GC415" i="2"/>
  <c r="DR458" i="2"/>
  <c r="DR460" i="2"/>
  <c r="DR459" i="2"/>
  <c r="DV298" i="2"/>
  <c r="DV250" i="2"/>
  <c r="DV256" i="2"/>
  <c r="DV257" i="2"/>
  <c r="DV255" i="2"/>
  <c r="DW254" i="2"/>
  <c r="DX301" i="2"/>
  <c r="DW303" i="2"/>
  <c r="DU300" i="2"/>
  <c r="DU299" i="2"/>
  <c r="GD298" i="2"/>
  <c r="GD300" i="2" s="1"/>
  <c r="GD301" i="2"/>
  <c r="GD303" i="2" s="1"/>
  <c r="GD256" i="2"/>
  <c r="GD257" i="2"/>
  <c r="DU252" i="2"/>
  <c r="DU253" i="2"/>
  <c r="DU251" i="2"/>
  <c r="DU125" i="2"/>
  <c r="GD125" i="2" s="1"/>
  <c r="GD250" i="2"/>
  <c r="FQ128" i="3"/>
  <c r="FQ129" i="3" s="1"/>
  <c r="DS263" i="2"/>
  <c r="DS264" i="2"/>
  <c r="DS265" i="2"/>
  <c r="DS129" i="2"/>
  <c r="DS420" i="2"/>
  <c r="DQ460" i="2"/>
  <c r="DQ458" i="2"/>
  <c r="DQ459" i="2"/>
  <c r="GC457" i="2"/>
  <c r="DU307" i="2"/>
  <c r="DT309" i="2"/>
  <c r="DT262" i="2"/>
  <c r="DT128" i="2"/>
  <c r="DT127" i="2"/>
  <c r="DT126" i="2"/>
  <c r="FZ88" i="3"/>
  <c r="FR128" i="3" l="1"/>
  <c r="FR129" i="3" s="1"/>
  <c r="DS131" i="2"/>
  <c r="DS130" i="2"/>
  <c r="DS132" i="2"/>
  <c r="DS137" i="2"/>
  <c r="GD253" i="2"/>
  <c r="GD252" i="2"/>
  <c r="GC459" i="2"/>
  <c r="GC460" i="2"/>
  <c r="GC458" i="2"/>
  <c r="GA88" i="3"/>
  <c r="DS422" i="2"/>
  <c r="DS421" i="2"/>
  <c r="DS412" i="2"/>
  <c r="DY301" i="2"/>
  <c r="DX303" i="2"/>
  <c r="DX254" i="2"/>
  <c r="GD128" i="2"/>
  <c r="GD127" i="2"/>
  <c r="DU128" i="2"/>
  <c r="DU127" i="2"/>
  <c r="DU126" i="2"/>
  <c r="DT264" i="2"/>
  <c r="DT265" i="2"/>
  <c r="DT263" i="2"/>
  <c r="DT129" i="2"/>
  <c r="DT420" i="2"/>
  <c r="DT246" i="2"/>
  <c r="DV253" i="2"/>
  <c r="DV251" i="2"/>
  <c r="DV252" i="2"/>
  <c r="DV125" i="2"/>
  <c r="DV307" i="2"/>
  <c r="DU309" i="2"/>
  <c r="DU262" i="2"/>
  <c r="GD262" i="2" s="1"/>
  <c r="DW256" i="2"/>
  <c r="DW298" i="2"/>
  <c r="DW257" i="2"/>
  <c r="DW255" i="2"/>
  <c r="DW250" i="2"/>
  <c r="DV300" i="2"/>
  <c r="DV299" i="2"/>
  <c r="DS414" i="2" l="1"/>
  <c r="DS457" i="2"/>
  <c r="DS413" i="2"/>
  <c r="DS415" i="2"/>
  <c r="DW299" i="2"/>
  <c r="DW300" i="2"/>
  <c r="DV128" i="2"/>
  <c r="DV127" i="2"/>
  <c r="DV126" i="2"/>
  <c r="DW253" i="2"/>
  <c r="DW251" i="2"/>
  <c r="DW252" i="2"/>
  <c r="DW125" i="2"/>
  <c r="DT421" i="2"/>
  <c r="DT422" i="2"/>
  <c r="DT412" i="2"/>
  <c r="FS128" i="3"/>
  <c r="FS129" i="3" s="1"/>
  <c r="DW307" i="2"/>
  <c r="DV309" i="2"/>
  <c r="DV262" i="2"/>
  <c r="DS140" i="2"/>
  <c r="GD307" i="2"/>
  <c r="GD309" i="2" s="1"/>
  <c r="GD265" i="2"/>
  <c r="GD264" i="2"/>
  <c r="DT248" i="2"/>
  <c r="DT295" i="2"/>
  <c r="DT247" i="2"/>
  <c r="DT249" i="2"/>
  <c r="DX298" i="2"/>
  <c r="DX256" i="2"/>
  <c r="DX257" i="2"/>
  <c r="DX255" i="2"/>
  <c r="DX250" i="2"/>
  <c r="DU264" i="2"/>
  <c r="DU265" i="2"/>
  <c r="DU263" i="2"/>
  <c r="DU129" i="2"/>
  <c r="GD129" i="2" s="1"/>
  <c r="DU246" i="2"/>
  <c r="GD246" i="2" s="1"/>
  <c r="DU420" i="2"/>
  <c r="DT131" i="2"/>
  <c r="DT130" i="2"/>
  <c r="DT132" i="2"/>
  <c r="DT137" i="2"/>
  <c r="DT140" i="2" s="1"/>
  <c r="DY303" i="2"/>
  <c r="DZ301" i="2"/>
  <c r="DY254" i="2"/>
  <c r="GB88" i="3"/>
  <c r="GD295" i="2" l="1"/>
  <c r="GD297" i="2" s="1"/>
  <c r="GD249" i="2"/>
  <c r="GD248" i="2"/>
  <c r="GD132" i="2"/>
  <c r="GD131" i="2"/>
  <c r="DX252" i="2"/>
  <c r="DX253" i="2"/>
  <c r="DX251" i="2"/>
  <c r="DX125" i="2"/>
  <c r="FU128" i="3"/>
  <c r="FU129" i="3" s="1"/>
  <c r="DW128" i="2"/>
  <c r="DW127" i="2"/>
  <c r="DW126" i="2"/>
  <c r="DW309" i="2"/>
  <c r="DX307" i="2"/>
  <c r="DW262" i="2"/>
  <c r="DU132" i="2"/>
  <c r="DU131" i="2"/>
  <c r="DU130" i="2"/>
  <c r="DU137" i="2"/>
  <c r="DU140" i="2" s="1"/>
  <c r="DT297" i="2"/>
  <c r="DT296" i="2"/>
  <c r="DT457" i="2"/>
  <c r="DT413" i="2"/>
  <c r="DT415" i="2"/>
  <c r="DT414" i="2"/>
  <c r="DZ303" i="2"/>
  <c r="EA301" i="2"/>
  <c r="DZ254" i="2"/>
  <c r="DU421" i="2"/>
  <c r="DU422" i="2"/>
  <c r="DU412" i="2"/>
  <c r="GD412" i="2" s="1"/>
  <c r="GD420" i="2"/>
  <c r="DX299" i="2"/>
  <c r="DX300" i="2"/>
  <c r="DV265" i="2"/>
  <c r="DV264" i="2"/>
  <c r="DV263" i="2"/>
  <c r="DV129" i="2"/>
  <c r="DV246" i="2"/>
  <c r="DS459" i="2"/>
  <c r="DS458" i="2"/>
  <c r="DS460" i="2"/>
  <c r="DU249" i="2"/>
  <c r="DU295" i="2"/>
  <c r="DU248" i="2"/>
  <c r="DU247" i="2"/>
  <c r="DU188" i="2"/>
  <c r="GD89" i="3"/>
  <c r="GC88" i="3"/>
  <c r="GD88" i="3" s="1"/>
  <c r="DY257" i="2"/>
  <c r="DY255" i="2"/>
  <c r="DY298" i="2"/>
  <c r="DY256" i="2"/>
  <c r="DY250" i="2"/>
  <c r="GE254" i="2"/>
  <c r="GE88" i="3" l="1"/>
  <c r="DV131" i="2"/>
  <c r="DV130" i="2"/>
  <c r="DV132" i="2"/>
  <c r="DV137" i="2"/>
  <c r="EB301" i="2"/>
  <c r="EA303" i="2"/>
  <c r="EA254" i="2"/>
  <c r="GD137" i="2"/>
  <c r="DX128" i="2"/>
  <c r="DX127" i="2"/>
  <c r="DX126" i="2"/>
  <c r="DT459" i="2"/>
  <c r="DT458" i="2"/>
  <c r="DT460" i="2"/>
  <c r="DW263" i="2"/>
  <c r="DW265" i="2"/>
  <c r="DW264" i="2"/>
  <c r="DW129" i="2"/>
  <c r="DW246" i="2"/>
  <c r="GD414" i="2"/>
  <c r="GD423" i="2"/>
  <c r="GD422" i="2"/>
  <c r="DU457" i="2"/>
  <c r="DU413" i="2"/>
  <c r="DU415" i="2"/>
  <c r="DU414" i="2"/>
  <c r="DX309" i="2"/>
  <c r="DY307" i="2"/>
  <c r="DX262" i="2"/>
  <c r="FV128" i="3"/>
  <c r="FV129" i="3" s="1"/>
  <c r="GE256" i="2"/>
  <c r="GE298" i="2"/>
  <c r="GE300" i="2" s="1"/>
  <c r="GE301" i="2"/>
  <c r="GE303" i="2" s="1"/>
  <c r="GE257" i="2"/>
  <c r="DZ298" i="2"/>
  <c r="DZ257" i="2"/>
  <c r="DZ255" i="2"/>
  <c r="DZ250" i="2"/>
  <c r="DZ256" i="2"/>
  <c r="DY253" i="2"/>
  <c r="DY251" i="2"/>
  <c r="DY252" i="2"/>
  <c r="DY125" i="2"/>
  <c r="GE125" i="2" s="1"/>
  <c r="DU190" i="2"/>
  <c r="DU189" i="2"/>
  <c r="DU191" i="2"/>
  <c r="GD188" i="2"/>
  <c r="DY300" i="2"/>
  <c r="DY299" i="2"/>
  <c r="DU297" i="2"/>
  <c r="DU296" i="2"/>
  <c r="DV247" i="2"/>
  <c r="DV295" i="2"/>
  <c r="DV249" i="2"/>
  <c r="DV248" i="2"/>
  <c r="DV188" i="2"/>
  <c r="GE250" i="2"/>
  <c r="DY309" i="2" l="1"/>
  <c r="DY262" i="2"/>
  <c r="DZ307" i="2"/>
  <c r="DV190" i="2"/>
  <c r="DV189" i="2"/>
  <c r="DV191" i="2"/>
  <c r="GE127" i="2"/>
  <c r="GE128" i="2"/>
  <c r="GD191" i="2"/>
  <c r="GD190" i="2"/>
  <c r="EC301" i="2"/>
  <c r="EB303" i="2"/>
  <c r="EB254" i="2"/>
  <c r="GE252" i="2"/>
  <c r="GE253" i="2"/>
  <c r="GD140" i="2"/>
  <c r="GD139" i="2"/>
  <c r="DZ252" i="2"/>
  <c r="DZ253" i="2"/>
  <c r="DZ251" i="2"/>
  <c r="DZ125" i="2"/>
  <c r="GD415" i="2"/>
  <c r="FW128" i="3"/>
  <c r="FW129" i="3" s="1"/>
  <c r="DW295" i="2"/>
  <c r="DW247" i="2"/>
  <c r="DW248" i="2"/>
  <c r="DW249" i="2"/>
  <c r="DW188" i="2"/>
  <c r="DV140" i="2"/>
  <c r="DV420" i="2"/>
  <c r="GF88" i="3"/>
  <c r="DW131" i="2"/>
  <c r="DW130" i="2"/>
  <c r="DW132" i="2"/>
  <c r="DW137" i="2"/>
  <c r="EA250" i="2"/>
  <c r="EA298" i="2"/>
  <c r="EA257" i="2"/>
  <c r="EA255" i="2"/>
  <c r="EA256" i="2"/>
  <c r="DZ300" i="2"/>
  <c r="DZ299" i="2"/>
  <c r="DV297" i="2"/>
  <c r="DV296" i="2"/>
  <c r="DY128" i="2"/>
  <c r="DY127" i="2"/>
  <c r="DY126" i="2"/>
  <c r="DX263" i="2"/>
  <c r="DX265" i="2"/>
  <c r="DX264" i="2"/>
  <c r="DX129" i="2"/>
  <c r="DX246" i="2"/>
  <c r="DU459" i="2"/>
  <c r="DU460" i="2"/>
  <c r="DU458" i="2"/>
  <c r="GD457" i="2"/>
  <c r="EA300" i="2" l="1"/>
  <c r="EA299" i="2"/>
  <c r="DW191" i="2"/>
  <c r="DW189" i="2"/>
  <c r="DW190" i="2"/>
  <c r="FX128" i="3"/>
  <c r="FX129" i="3" s="1"/>
  <c r="EB298" i="2"/>
  <c r="EB250" i="2"/>
  <c r="EB255" i="2"/>
  <c r="EB256" i="2"/>
  <c r="EB257" i="2"/>
  <c r="EA252" i="2"/>
  <c r="EA251" i="2"/>
  <c r="EA253" i="2"/>
  <c r="EA125" i="2"/>
  <c r="DZ128" i="2"/>
  <c r="DZ127" i="2"/>
  <c r="DZ126" i="2"/>
  <c r="EA307" i="2"/>
  <c r="DZ309" i="2"/>
  <c r="DZ262" i="2"/>
  <c r="DX295" i="2"/>
  <c r="DX247" i="2"/>
  <c r="DX248" i="2"/>
  <c r="DX249" i="2"/>
  <c r="DX188" i="2"/>
  <c r="GG88" i="3"/>
  <c r="DX132" i="2"/>
  <c r="DX131" i="2"/>
  <c r="DX130" i="2"/>
  <c r="DX137" i="2"/>
  <c r="DW140" i="2"/>
  <c r="DW420" i="2"/>
  <c r="DV422" i="2"/>
  <c r="DV421" i="2"/>
  <c r="DV412" i="2"/>
  <c r="EC254" i="2"/>
  <c r="ED301" i="2"/>
  <c r="EC303" i="2"/>
  <c r="DY263" i="2"/>
  <c r="DY264" i="2"/>
  <c r="DY265" i="2"/>
  <c r="DY129" i="2"/>
  <c r="DY246" i="2"/>
  <c r="GE246" i="2" s="1"/>
  <c r="GE262" i="2"/>
  <c r="GD459" i="2"/>
  <c r="GD460" i="2"/>
  <c r="GD458" i="2"/>
  <c r="DW297" i="2"/>
  <c r="DW296" i="2"/>
  <c r="EC256" i="2" l="1"/>
  <c r="EC298" i="2"/>
  <c r="EC255" i="2"/>
  <c r="EC250" i="2"/>
  <c r="EC257" i="2"/>
  <c r="EE301" i="2"/>
  <c r="ED303" i="2"/>
  <c r="ED254" i="2"/>
  <c r="DW422" i="2"/>
  <c r="DW421" i="2"/>
  <c r="DW412" i="2"/>
  <c r="GH88" i="3"/>
  <c r="GI88" i="3" s="1"/>
  <c r="GI89" i="3"/>
  <c r="GE295" i="2"/>
  <c r="GE297" i="2" s="1"/>
  <c r="GE249" i="2"/>
  <c r="GE248" i="2"/>
  <c r="DZ263" i="2"/>
  <c r="DZ264" i="2"/>
  <c r="DZ265" i="2"/>
  <c r="DZ129" i="2"/>
  <c r="DZ246" i="2"/>
  <c r="EB253" i="2"/>
  <c r="EB251" i="2"/>
  <c r="EB252" i="2"/>
  <c r="EB125" i="2"/>
  <c r="EB300" i="2"/>
  <c r="EB299" i="2"/>
  <c r="DX296" i="2"/>
  <c r="DX297" i="2"/>
  <c r="DX140" i="2"/>
  <c r="DX420" i="2"/>
  <c r="EB307" i="2"/>
  <c r="EA309" i="2"/>
  <c r="EA262" i="2"/>
  <c r="EA127" i="2"/>
  <c r="EA126" i="2"/>
  <c r="EA128" i="2"/>
  <c r="GF254" i="2"/>
  <c r="FZ128" i="3"/>
  <c r="FZ129" i="3" s="1"/>
  <c r="DY132" i="2"/>
  <c r="DY131" i="2"/>
  <c r="DY130" i="2"/>
  <c r="DY137" i="2"/>
  <c r="GE129" i="2"/>
  <c r="DV457" i="2"/>
  <c r="DV415" i="2"/>
  <c r="DV414" i="2"/>
  <c r="DV413" i="2"/>
  <c r="DX191" i="2"/>
  <c r="DX190" i="2"/>
  <c r="DX189" i="2"/>
  <c r="GE307" i="2"/>
  <c r="GE309" i="2" s="1"/>
  <c r="GE265" i="2"/>
  <c r="GE264" i="2"/>
  <c r="DY295" i="2"/>
  <c r="DY248" i="2"/>
  <c r="DY249" i="2"/>
  <c r="DY247" i="2"/>
  <c r="DY188" i="2"/>
  <c r="GE188" i="2" s="1"/>
  <c r="GE191" i="2" l="1"/>
  <c r="GE190" i="2"/>
  <c r="GE131" i="2"/>
  <c r="GE132" i="2"/>
  <c r="EC307" i="2"/>
  <c r="EB309" i="2"/>
  <c r="EB262" i="2"/>
  <c r="EE303" i="2"/>
  <c r="EF301" i="2"/>
  <c r="EE254" i="2"/>
  <c r="DX422" i="2"/>
  <c r="DX421" i="2"/>
  <c r="DX412" i="2"/>
  <c r="DZ248" i="2"/>
  <c r="DZ295" i="2"/>
  <c r="DZ249" i="2"/>
  <c r="DZ247" i="2"/>
  <c r="DZ188" i="2"/>
  <c r="DW415" i="2"/>
  <c r="DW414" i="2"/>
  <c r="DW413" i="2"/>
  <c r="DW457" i="2"/>
  <c r="DY296" i="2"/>
  <c r="DY297" i="2"/>
  <c r="EB127" i="2"/>
  <c r="EB126" i="2"/>
  <c r="EB128" i="2"/>
  <c r="EC253" i="2"/>
  <c r="EC251" i="2"/>
  <c r="EC252" i="2"/>
  <c r="EC125" i="2"/>
  <c r="GF125" i="2" s="1"/>
  <c r="GF250" i="2"/>
  <c r="DY191" i="2"/>
  <c r="DY190" i="2"/>
  <c r="DY189" i="2"/>
  <c r="DV460" i="2"/>
  <c r="DV458" i="2"/>
  <c r="DV459" i="2"/>
  <c r="GA128" i="3"/>
  <c r="GA129" i="3" s="1"/>
  <c r="DZ131" i="2"/>
  <c r="DZ130" i="2"/>
  <c r="DZ132" i="2"/>
  <c r="DZ137" i="2"/>
  <c r="EA264" i="2"/>
  <c r="EA263" i="2"/>
  <c r="EA265" i="2"/>
  <c r="EA129" i="2"/>
  <c r="EA246" i="2"/>
  <c r="ED298" i="2"/>
  <c r="ED256" i="2"/>
  <c r="ED257" i="2"/>
  <c r="ED255" i="2"/>
  <c r="ED250" i="2"/>
  <c r="EC299" i="2"/>
  <c r="EC300" i="2"/>
  <c r="DY140" i="2"/>
  <c r="DY420" i="2"/>
  <c r="GE420" i="2" s="1"/>
  <c r="GE137" i="2"/>
  <c r="GF257" i="2"/>
  <c r="GF298" i="2"/>
  <c r="GF300" i="2" s="1"/>
  <c r="GF301" i="2"/>
  <c r="GF303" i="2" s="1"/>
  <c r="GF256" i="2"/>
  <c r="GJ88" i="3"/>
  <c r="GE423" i="2" l="1"/>
  <c r="GE422" i="2"/>
  <c r="GE139" i="2"/>
  <c r="GE140" i="2"/>
  <c r="EE255" i="2"/>
  <c r="EE298" i="2"/>
  <c r="EE256" i="2"/>
  <c r="EE250" i="2"/>
  <c r="DZ297" i="2"/>
  <c r="DZ296" i="2"/>
  <c r="EF303" i="2"/>
  <c r="EG301" i="2"/>
  <c r="EF254" i="2"/>
  <c r="GK88" i="3"/>
  <c r="GF252" i="2"/>
  <c r="GF253" i="2"/>
  <c r="DZ191" i="2"/>
  <c r="DZ190" i="2"/>
  <c r="DZ189" i="2"/>
  <c r="DX414" i="2"/>
  <c r="DX413" i="2"/>
  <c r="DX457" i="2"/>
  <c r="DX415" i="2"/>
  <c r="EB265" i="2"/>
  <c r="EB264" i="2"/>
  <c r="EB263" i="2"/>
  <c r="EB129" i="2"/>
  <c r="EB246" i="2"/>
  <c r="EA132" i="2"/>
  <c r="EA131" i="2"/>
  <c r="EA130" i="2"/>
  <c r="EA137" i="2"/>
  <c r="GF127" i="2"/>
  <c r="GF128" i="2"/>
  <c r="DY422" i="2"/>
  <c r="DY421" i="2"/>
  <c r="DY412" i="2"/>
  <c r="GE412" i="2" s="1"/>
  <c r="ED299" i="2"/>
  <c r="ED300" i="2"/>
  <c r="ED251" i="2"/>
  <c r="ED252" i="2"/>
  <c r="ED253" i="2"/>
  <c r="ED125" i="2"/>
  <c r="EA249" i="2"/>
  <c r="EA295" i="2"/>
  <c r="EA248" i="2"/>
  <c r="EA247" i="2"/>
  <c r="EA188" i="2"/>
  <c r="DZ140" i="2"/>
  <c r="DZ420" i="2"/>
  <c r="GB128" i="3"/>
  <c r="GB129" i="3" s="1"/>
  <c r="EC127" i="2"/>
  <c r="EC126" i="2"/>
  <c r="EC128" i="2"/>
  <c r="DW460" i="2"/>
  <c r="DW458" i="2"/>
  <c r="DW459" i="2"/>
  <c r="EC309" i="2"/>
  <c r="ED307" i="2"/>
  <c r="EC262" i="2"/>
  <c r="GF262" i="2" s="1"/>
  <c r="GL88" i="3" l="1"/>
  <c r="EE252" i="2"/>
  <c r="EE251" i="2"/>
  <c r="EE125" i="2"/>
  <c r="EA140" i="2"/>
  <c r="EA420" i="2"/>
  <c r="EB131" i="2"/>
  <c r="EB130" i="2"/>
  <c r="EB132" i="2"/>
  <c r="EB137" i="2"/>
  <c r="DX458" i="2"/>
  <c r="DX460" i="2"/>
  <c r="DX459" i="2"/>
  <c r="EF298" i="2"/>
  <c r="EF255" i="2"/>
  <c r="EF256" i="2"/>
  <c r="EF250" i="2"/>
  <c r="EA190" i="2"/>
  <c r="EA189" i="2"/>
  <c r="EA191" i="2"/>
  <c r="ED128" i="2"/>
  <c r="ED127" i="2"/>
  <c r="ED126" i="2"/>
  <c r="EB247" i="2"/>
  <c r="EB295" i="2"/>
  <c r="EB249" i="2"/>
  <c r="EB248" i="2"/>
  <c r="EB188" i="2"/>
  <c r="EC263" i="2"/>
  <c r="EC265" i="2"/>
  <c r="EC264" i="2"/>
  <c r="EC129" i="2"/>
  <c r="EC246" i="2"/>
  <c r="DY414" i="2"/>
  <c r="DY413" i="2"/>
  <c r="DY457" i="2"/>
  <c r="GE457" i="2" s="1"/>
  <c r="DY415" i="2"/>
  <c r="EH301" i="2"/>
  <c r="EG303" i="2"/>
  <c r="EG254" i="2"/>
  <c r="GG254" i="2" s="1"/>
  <c r="EE300" i="2"/>
  <c r="EE299" i="2"/>
  <c r="GE415" i="2"/>
  <c r="GE414" i="2"/>
  <c r="GF307" i="2"/>
  <c r="GF309" i="2" s="1"/>
  <c r="GF265" i="2"/>
  <c r="GF264" i="2"/>
  <c r="GC128" i="3"/>
  <c r="GC129" i="3" s="1"/>
  <c r="ED309" i="2"/>
  <c r="EE307" i="2"/>
  <c r="ED262" i="2"/>
  <c r="DZ421" i="2"/>
  <c r="DZ422" i="2"/>
  <c r="DZ412" i="2"/>
  <c r="EA297" i="2"/>
  <c r="EA296" i="2"/>
  <c r="GF129" i="2"/>
  <c r="GG298" i="2" l="1"/>
  <c r="GG300" i="2" s="1"/>
  <c r="GG301" i="2"/>
  <c r="GG303" i="2" s="1"/>
  <c r="GG256" i="2"/>
  <c r="GE459" i="2"/>
  <c r="GE460" i="2"/>
  <c r="GE458" i="2"/>
  <c r="EC131" i="2"/>
  <c r="EC130" i="2"/>
  <c r="EC132" i="2"/>
  <c r="EC137" i="2"/>
  <c r="GF137" i="2" s="1"/>
  <c r="EB297" i="2"/>
  <c r="EB296" i="2"/>
  <c r="EA421" i="2"/>
  <c r="EA422" i="2"/>
  <c r="EA412" i="2"/>
  <c r="DY459" i="2"/>
  <c r="DY458" i="2"/>
  <c r="DY460" i="2"/>
  <c r="ED263" i="2"/>
  <c r="ED264" i="2"/>
  <c r="ED265" i="2"/>
  <c r="ED129" i="2"/>
  <c r="ED246" i="2"/>
  <c r="EG250" i="2"/>
  <c r="GG250" i="2" s="1"/>
  <c r="EG298" i="2"/>
  <c r="EG256" i="2"/>
  <c r="EG255" i="2"/>
  <c r="EF252" i="2"/>
  <c r="EF251" i="2"/>
  <c r="EF125" i="2"/>
  <c r="GF131" i="2"/>
  <c r="GF132" i="2"/>
  <c r="EE309" i="2"/>
  <c r="EF307" i="2"/>
  <c r="EE262" i="2"/>
  <c r="EC295" i="2"/>
  <c r="EC247" i="2"/>
  <c r="EC249" i="2"/>
  <c r="EC248" i="2"/>
  <c r="EC188" i="2"/>
  <c r="GF188" i="2" s="1"/>
  <c r="GF246" i="2"/>
  <c r="EB190" i="2"/>
  <c r="EB189" i="2"/>
  <c r="EB191" i="2"/>
  <c r="EB140" i="2"/>
  <c r="EB420" i="2"/>
  <c r="DZ457" i="2"/>
  <c r="DZ413" i="2"/>
  <c r="DZ415" i="2"/>
  <c r="DZ414" i="2"/>
  <c r="EI301" i="2"/>
  <c r="EH303" i="2"/>
  <c r="EH254" i="2"/>
  <c r="EF300" i="2"/>
  <c r="EF299" i="2"/>
  <c r="EE127" i="2"/>
  <c r="EE126" i="2"/>
  <c r="GN89" i="3"/>
  <c r="GM88" i="3"/>
  <c r="GN88" i="3" s="1"/>
  <c r="GF139" i="2" l="1"/>
  <c r="GF140" i="2"/>
  <c r="GO88" i="3"/>
  <c r="GF191" i="2"/>
  <c r="GF190" i="2"/>
  <c r="EC191" i="2"/>
  <c r="EC190" i="2"/>
  <c r="EC189" i="2"/>
  <c r="EG307" i="2"/>
  <c r="EF309" i="2"/>
  <c r="EF262" i="2"/>
  <c r="EF127" i="2"/>
  <c r="EF126" i="2"/>
  <c r="ED131" i="2"/>
  <c r="ED130" i="2"/>
  <c r="ED132" i="2"/>
  <c r="ED137" i="2"/>
  <c r="EH298" i="2"/>
  <c r="EH250" i="2"/>
  <c r="EH255" i="2"/>
  <c r="EH256" i="2"/>
  <c r="EG300" i="2"/>
  <c r="EG299" i="2"/>
  <c r="EA457" i="2"/>
  <c r="EA413" i="2"/>
  <c r="EA415" i="2"/>
  <c r="EA414" i="2"/>
  <c r="DZ459" i="2"/>
  <c r="DZ460" i="2"/>
  <c r="DZ458" i="2"/>
  <c r="EJ301" i="2"/>
  <c r="EI303" i="2"/>
  <c r="EI254" i="2"/>
  <c r="EG252" i="2"/>
  <c r="EG251" i="2"/>
  <c r="EG125" i="2"/>
  <c r="EC140" i="2"/>
  <c r="EC420" i="2"/>
  <c r="EB422" i="2"/>
  <c r="EB421" i="2"/>
  <c r="EB412" i="2"/>
  <c r="EC297" i="2"/>
  <c r="EC296" i="2"/>
  <c r="GG252" i="2"/>
  <c r="GF295" i="2"/>
  <c r="GF297" i="2" s="1"/>
  <c r="GF249" i="2"/>
  <c r="GF248" i="2"/>
  <c r="EE264" i="2"/>
  <c r="EE263" i="2"/>
  <c r="EE129" i="2"/>
  <c r="EE246" i="2"/>
  <c r="ED295" i="2"/>
  <c r="ED247" i="2"/>
  <c r="ED248" i="2"/>
  <c r="ED249" i="2"/>
  <c r="ED188" i="2"/>
  <c r="EG127" i="2" l="1"/>
  <c r="EG126" i="2"/>
  <c r="ED140" i="2"/>
  <c r="EE137" i="2"/>
  <c r="ED420" i="2"/>
  <c r="EK301" i="2"/>
  <c r="EJ303" i="2"/>
  <c r="EJ254" i="2"/>
  <c r="GP88" i="3"/>
  <c r="EB415" i="2"/>
  <c r="EB457" i="2"/>
  <c r="EB414" i="2"/>
  <c r="EB413" i="2"/>
  <c r="EH307" i="2"/>
  <c r="EG309" i="2"/>
  <c r="EG262" i="2"/>
  <c r="GG262" i="2" s="1"/>
  <c r="ED296" i="2"/>
  <c r="ED297" i="2"/>
  <c r="EC422" i="2"/>
  <c r="EC421" i="2"/>
  <c r="EC412" i="2"/>
  <c r="GF412" i="2" s="1"/>
  <c r="EA460" i="2"/>
  <c r="EA458" i="2"/>
  <c r="EA459" i="2"/>
  <c r="EE295" i="2"/>
  <c r="EE247" i="2"/>
  <c r="EE248" i="2"/>
  <c r="EE188" i="2"/>
  <c r="EH251" i="2"/>
  <c r="EH252" i="2"/>
  <c r="EH125" i="2"/>
  <c r="EF263" i="2"/>
  <c r="EF264" i="2"/>
  <c r="EF129" i="2"/>
  <c r="EF246" i="2"/>
  <c r="EE131" i="2"/>
  <c r="EE130" i="2"/>
  <c r="ED191" i="2"/>
  <c r="ED190" i="2"/>
  <c r="ED189" i="2"/>
  <c r="GF420" i="2"/>
  <c r="EI256" i="2"/>
  <c r="EI298" i="2"/>
  <c r="EI255" i="2"/>
  <c r="EI250" i="2"/>
  <c r="EH300" i="2"/>
  <c r="EH299" i="2"/>
  <c r="GG125" i="2"/>
  <c r="GG307" i="2" l="1"/>
  <c r="GG309" i="2" s="1"/>
  <c r="GG264" i="2"/>
  <c r="GF415" i="2"/>
  <c r="GF414" i="2"/>
  <c r="EF248" i="2"/>
  <c r="EF295" i="2"/>
  <c r="EF247" i="2"/>
  <c r="EF188" i="2"/>
  <c r="EJ298" i="2"/>
  <c r="EJ256" i="2"/>
  <c r="EJ255" i="2"/>
  <c r="EJ250" i="2"/>
  <c r="EE296" i="2"/>
  <c r="EE297" i="2"/>
  <c r="EK303" i="2"/>
  <c r="EL301" i="2"/>
  <c r="EK254" i="2"/>
  <c r="GH254" i="2" s="1"/>
  <c r="EF137" i="2"/>
  <c r="EE420" i="2"/>
  <c r="EI251" i="2"/>
  <c r="EI252" i="2"/>
  <c r="EI125" i="2"/>
  <c r="EE121" i="2"/>
  <c r="EH127" i="2"/>
  <c r="EH126" i="2"/>
  <c r="EB458" i="2"/>
  <c r="EB459" i="2"/>
  <c r="EB460" i="2"/>
  <c r="GF457" i="2"/>
  <c r="EC415" i="2"/>
  <c r="EC457" i="2"/>
  <c r="EC414" i="2"/>
  <c r="EC413" i="2"/>
  <c r="ED422" i="2"/>
  <c r="ED421" i="2"/>
  <c r="ED412" i="2"/>
  <c r="GQ88" i="3"/>
  <c r="GF423" i="2"/>
  <c r="GF422" i="2"/>
  <c r="EE189" i="2"/>
  <c r="EE190" i="2"/>
  <c r="EF131" i="2"/>
  <c r="EF130" i="2"/>
  <c r="EG264" i="2"/>
  <c r="EG263" i="2"/>
  <c r="EG129" i="2"/>
  <c r="EG246" i="2"/>
  <c r="GG246" i="2" s="1"/>
  <c r="GG127" i="2"/>
  <c r="EI299" i="2"/>
  <c r="EI300" i="2"/>
  <c r="EI307" i="2"/>
  <c r="EH309" i="2"/>
  <c r="EH262" i="2"/>
  <c r="GH301" i="2" l="1"/>
  <c r="GH303" i="2" s="1"/>
  <c r="GH298" i="2"/>
  <c r="GH300" i="2" s="1"/>
  <c r="GH256" i="2"/>
  <c r="EI127" i="2"/>
  <c r="EI126" i="2"/>
  <c r="EJ299" i="2"/>
  <c r="EJ300" i="2"/>
  <c r="EG131" i="2"/>
  <c r="EG130" i="2"/>
  <c r="GG129" i="2"/>
  <c r="GF460" i="2"/>
  <c r="GF459" i="2"/>
  <c r="GF458" i="2"/>
  <c r="GG248" i="2"/>
  <c r="GG295" i="2"/>
  <c r="GG297" i="2" s="1"/>
  <c r="EF190" i="2"/>
  <c r="EF189" i="2"/>
  <c r="EH264" i="2"/>
  <c r="EH263" i="2"/>
  <c r="EH129" i="2"/>
  <c r="EH246" i="2"/>
  <c r="EL303" i="2"/>
  <c r="EM301" i="2"/>
  <c r="EL254" i="2"/>
  <c r="GS89" i="3"/>
  <c r="GR88" i="3"/>
  <c r="GS88" i="3" s="1"/>
  <c r="EE123" i="2"/>
  <c r="EE122" i="2"/>
  <c r="EE161" i="2"/>
  <c r="EE124" i="2" s="1"/>
  <c r="EG137" i="2"/>
  <c r="EG121" i="2" s="1"/>
  <c r="EF420" i="2"/>
  <c r="EK255" i="2"/>
  <c r="EK298" i="2"/>
  <c r="EK250" i="2"/>
  <c r="EK256" i="2"/>
  <c r="EJ251" i="2"/>
  <c r="EJ252" i="2"/>
  <c r="EJ125" i="2"/>
  <c r="EI309" i="2"/>
  <c r="EJ307" i="2"/>
  <c r="EI262" i="2"/>
  <c r="EG295" i="2"/>
  <c r="EG248" i="2"/>
  <c r="EG247" i="2"/>
  <c r="EG188" i="2"/>
  <c r="GG188" i="2" s="1"/>
  <c r="EF121" i="2"/>
  <c r="ED457" i="2"/>
  <c r="ED414" i="2"/>
  <c r="ED413" i="2"/>
  <c r="ED415" i="2"/>
  <c r="EC460" i="2"/>
  <c r="EC459" i="2"/>
  <c r="EC458" i="2"/>
  <c r="EE422" i="2"/>
  <c r="EE421" i="2"/>
  <c r="EE412" i="2"/>
  <c r="EF297" i="2"/>
  <c r="EF296" i="2"/>
  <c r="EG123" i="2" l="1"/>
  <c r="EG122" i="2"/>
  <c r="EG161" i="2"/>
  <c r="EN301" i="2"/>
  <c r="EM303" i="2"/>
  <c r="EM254" i="2"/>
  <c r="GG137" i="2"/>
  <c r="GG131" i="2"/>
  <c r="EF421" i="2"/>
  <c r="EF422" i="2"/>
  <c r="EF412" i="2"/>
  <c r="EK300" i="2"/>
  <c r="EK299" i="2"/>
  <c r="EH247" i="2"/>
  <c r="EH295" i="2"/>
  <c r="EH248" i="2"/>
  <c r="EH188" i="2"/>
  <c r="GG190" i="2"/>
  <c r="EJ127" i="2"/>
  <c r="EJ126" i="2"/>
  <c r="EK251" i="2"/>
  <c r="EK252" i="2"/>
  <c r="EK125" i="2"/>
  <c r="GH125" i="2" s="1"/>
  <c r="GH250" i="2"/>
  <c r="ED458" i="2"/>
  <c r="ED460" i="2"/>
  <c r="ED459" i="2"/>
  <c r="EE163" i="2"/>
  <c r="EE162" i="2"/>
  <c r="EE160" i="2"/>
  <c r="EE156" i="2"/>
  <c r="EE4" i="2"/>
  <c r="EE112" i="2"/>
  <c r="EE116" i="2"/>
  <c r="EE148" i="2"/>
  <c r="EE120" i="2"/>
  <c r="EE108" i="2"/>
  <c r="EE136" i="2"/>
  <c r="EE152" i="2"/>
  <c r="EE144" i="2"/>
  <c r="EE128" i="2"/>
  <c r="EE132" i="2"/>
  <c r="EE140" i="2"/>
  <c r="EF123" i="2"/>
  <c r="EF122" i="2"/>
  <c r="EF161" i="2"/>
  <c r="GT88" i="3"/>
  <c r="EH131" i="2"/>
  <c r="EH130" i="2"/>
  <c r="EG297" i="2"/>
  <c r="EG296" i="2"/>
  <c r="EH137" i="2"/>
  <c r="EH121" i="2" s="1"/>
  <c r="EG420" i="2"/>
  <c r="GG420" i="2" s="1"/>
  <c r="EI263" i="2"/>
  <c r="EI264" i="2"/>
  <c r="EI129" i="2"/>
  <c r="EI246" i="2"/>
  <c r="GG121" i="2"/>
  <c r="EE414" i="2"/>
  <c r="EE413" i="2"/>
  <c r="EE415" i="2"/>
  <c r="EE457" i="2"/>
  <c r="EG190" i="2"/>
  <c r="EG189" i="2"/>
  <c r="EJ309" i="2"/>
  <c r="EK307" i="2"/>
  <c r="EJ262" i="2"/>
  <c r="EL298" i="2"/>
  <c r="EL255" i="2"/>
  <c r="EL256" i="2"/>
  <c r="EL250" i="2"/>
  <c r="GG161" i="2" l="1"/>
  <c r="GG116" i="2" s="1"/>
  <c r="EF124" i="2"/>
  <c r="GG423" i="2"/>
  <c r="GG422" i="2"/>
  <c r="GG163" i="2"/>
  <c r="GG160" i="2"/>
  <c r="GG148" i="2"/>
  <c r="GG156" i="2"/>
  <c r="GG128" i="2"/>
  <c r="GG132" i="2"/>
  <c r="GH127" i="2"/>
  <c r="EH297" i="2"/>
  <c r="EH296" i="2"/>
  <c r="GP9" i="3"/>
  <c r="EE358" i="2"/>
  <c r="EE62" i="2"/>
  <c r="EE6" i="2"/>
  <c r="EE5" i="2"/>
  <c r="EE342" i="2"/>
  <c r="EE89" i="2"/>
  <c r="EE202" i="2"/>
  <c r="EE261" i="2"/>
  <c r="EE206" i="2"/>
  <c r="EE198" i="2"/>
  <c r="EE17" i="2"/>
  <c r="EE44" i="2"/>
  <c r="EE40" i="2"/>
  <c r="EE35" i="2"/>
  <c r="EE330" i="2"/>
  <c r="EE324" i="2"/>
  <c r="EE269" i="2"/>
  <c r="EE318" i="2"/>
  <c r="EE362" i="2"/>
  <c r="EE354" i="2"/>
  <c r="EE257" i="2"/>
  <c r="EE253" i="2"/>
  <c r="EE265" i="2"/>
  <c r="EE249" i="2"/>
  <c r="EE191" i="2"/>
  <c r="EK127" i="2"/>
  <c r="EK126" i="2"/>
  <c r="EO301" i="2"/>
  <c r="EN303" i="2"/>
  <c r="EN254" i="2"/>
  <c r="GU88" i="3"/>
  <c r="EH190" i="2"/>
  <c r="EH189" i="2"/>
  <c r="EG156" i="2"/>
  <c r="EG163" i="2"/>
  <c r="EG162" i="2"/>
  <c r="EG148" i="2"/>
  <c r="EG4" i="2"/>
  <c r="EG160" i="2"/>
  <c r="EG120" i="2"/>
  <c r="EG112" i="2"/>
  <c r="EG116" i="2"/>
  <c r="EG108" i="2"/>
  <c r="EG136" i="2"/>
  <c r="EG152" i="2"/>
  <c r="EG144" i="2"/>
  <c r="EG128" i="2"/>
  <c r="EG132" i="2"/>
  <c r="EK309" i="2"/>
  <c r="EL307" i="2"/>
  <c r="EK262" i="2"/>
  <c r="EG124" i="2"/>
  <c r="EL252" i="2"/>
  <c r="EL251" i="2"/>
  <c r="EL125" i="2"/>
  <c r="EH123" i="2"/>
  <c r="EH122" i="2"/>
  <c r="EH161" i="2"/>
  <c r="EH140" i="2" s="1"/>
  <c r="EI295" i="2"/>
  <c r="EI247" i="2"/>
  <c r="EI248" i="2"/>
  <c r="EI188" i="2"/>
  <c r="EI137" i="2"/>
  <c r="EH420" i="2"/>
  <c r="GG139" i="2"/>
  <c r="GG140" i="2"/>
  <c r="EL300" i="2"/>
  <c r="EL299" i="2"/>
  <c r="EJ263" i="2"/>
  <c r="EJ264" i="2"/>
  <c r="EJ129" i="2"/>
  <c r="EJ246" i="2"/>
  <c r="GG124" i="2"/>
  <c r="GG123" i="2"/>
  <c r="EG421" i="2"/>
  <c r="EG422" i="2"/>
  <c r="EG412" i="2"/>
  <c r="EF160" i="2"/>
  <c r="EF156" i="2"/>
  <c r="EF163" i="2"/>
  <c r="EF162" i="2"/>
  <c r="EF4" i="2"/>
  <c r="EF148" i="2"/>
  <c r="EF120" i="2"/>
  <c r="EF116" i="2"/>
  <c r="EF112" i="2"/>
  <c r="EF108" i="2"/>
  <c r="EF136" i="2"/>
  <c r="EF152" i="2"/>
  <c r="EF144" i="2"/>
  <c r="EF128" i="2"/>
  <c r="EF132" i="2"/>
  <c r="EF140" i="2"/>
  <c r="EE459" i="2"/>
  <c r="EE458" i="2"/>
  <c r="EE460" i="2"/>
  <c r="EI131" i="2"/>
  <c r="EI130" i="2"/>
  <c r="EG140" i="2"/>
  <c r="GH252" i="2"/>
  <c r="EF457" i="2"/>
  <c r="EF413" i="2"/>
  <c r="EF415" i="2"/>
  <c r="EF414" i="2"/>
  <c r="EM250" i="2"/>
  <c r="EM298" i="2"/>
  <c r="EM255" i="2"/>
  <c r="EM256" i="2"/>
  <c r="GG152" i="2" l="1"/>
  <c r="GG112" i="2"/>
  <c r="GG136" i="2"/>
  <c r="GG108" i="2"/>
  <c r="GG144" i="2"/>
  <c r="GG120" i="2"/>
  <c r="EJ131" i="2"/>
  <c r="EJ130" i="2"/>
  <c r="EM300" i="2"/>
  <c r="EM299" i="2"/>
  <c r="EH156" i="2"/>
  <c r="EH163" i="2"/>
  <c r="EH162" i="2"/>
  <c r="EH4" i="2"/>
  <c r="EH160" i="2"/>
  <c r="EH148" i="2"/>
  <c r="EH120" i="2"/>
  <c r="EH112" i="2"/>
  <c r="EH116" i="2"/>
  <c r="EH136" i="2"/>
  <c r="EH108" i="2"/>
  <c r="EH152" i="2"/>
  <c r="EH144" i="2"/>
  <c r="EH128" i="2"/>
  <c r="EH132" i="2"/>
  <c r="EL127" i="2"/>
  <c r="EL126" i="2"/>
  <c r="EF459" i="2"/>
  <c r="EF460" i="2"/>
  <c r="EF458" i="2"/>
  <c r="EK263" i="2"/>
  <c r="EK264" i="2"/>
  <c r="EK129" i="2"/>
  <c r="GH129" i="2" s="1"/>
  <c r="EK246" i="2"/>
  <c r="EP301" i="2"/>
  <c r="EO303" i="2"/>
  <c r="EO254" i="2"/>
  <c r="GP161" i="3"/>
  <c r="GP137" i="3"/>
  <c r="GP94" i="3" s="1"/>
  <c r="GP78" i="3"/>
  <c r="GP29" i="3"/>
  <c r="GP27" i="3"/>
  <c r="GP39" i="3"/>
  <c r="GP37" i="3"/>
  <c r="GP31" i="3"/>
  <c r="GP11" i="3"/>
  <c r="GP10" i="3"/>
  <c r="GP41" i="3"/>
  <c r="GP23" i="3"/>
  <c r="GP21" i="3"/>
  <c r="GP15" i="3"/>
  <c r="EJ137" i="2"/>
  <c r="EJ121" i="2" s="1"/>
  <c r="EI420" i="2"/>
  <c r="GV88" i="3"/>
  <c r="GQ9" i="3"/>
  <c r="EF358" i="2"/>
  <c r="EF6" i="2"/>
  <c r="EF5" i="2"/>
  <c r="EF89" i="2"/>
  <c r="EF261" i="2"/>
  <c r="EF342" i="2"/>
  <c r="EF206" i="2"/>
  <c r="EF202" i="2"/>
  <c r="EF44" i="2"/>
  <c r="EF62" i="2"/>
  <c r="EF17" i="2"/>
  <c r="EF330" i="2"/>
  <c r="EF198" i="2"/>
  <c r="EF40" i="2"/>
  <c r="EF35" i="2"/>
  <c r="EF324" i="2"/>
  <c r="EF269" i="2"/>
  <c r="EF318" i="2"/>
  <c r="EF362" i="2"/>
  <c r="EF354" i="2"/>
  <c r="EF257" i="2"/>
  <c r="EF253" i="2"/>
  <c r="EF265" i="2"/>
  <c r="EF249" i="2"/>
  <c r="EF191" i="2"/>
  <c r="GH262" i="2"/>
  <c r="EH422" i="2"/>
  <c r="EH421" i="2"/>
  <c r="EH412" i="2"/>
  <c r="EH124" i="2"/>
  <c r="EN298" i="2"/>
  <c r="EN250" i="2"/>
  <c r="EN256" i="2"/>
  <c r="EN255" i="2"/>
  <c r="EI297" i="2"/>
  <c r="EI296" i="2"/>
  <c r="EM252" i="2"/>
  <c r="EM251" i="2"/>
  <c r="EM125" i="2"/>
  <c r="EE29" i="2"/>
  <c r="EI190" i="2"/>
  <c r="EI189" i="2"/>
  <c r="EM307" i="2"/>
  <c r="EL309" i="2"/>
  <c r="EL262" i="2"/>
  <c r="GR9" i="3"/>
  <c r="EG358" i="2"/>
  <c r="EG261" i="2"/>
  <c r="EG89" i="2"/>
  <c r="EG5" i="2"/>
  <c r="EG6" i="2"/>
  <c r="EG342" i="2"/>
  <c r="EG44" i="2"/>
  <c r="EG206" i="2"/>
  <c r="EG202" i="2"/>
  <c r="EG17" i="2"/>
  <c r="EG62" i="2"/>
  <c r="EG330" i="2"/>
  <c r="EG198" i="2"/>
  <c r="EG40" i="2"/>
  <c r="EG35" i="2"/>
  <c r="EG324" i="2"/>
  <c r="EG269" i="2"/>
  <c r="EG318" i="2"/>
  <c r="EG362" i="2"/>
  <c r="EG354" i="2"/>
  <c r="EG257" i="2"/>
  <c r="EG253" i="2"/>
  <c r="EG265" i="2"/>
  <c r="EG249" i="2"/>
  <c r="EG191" i="2"/>
  <c r="EI121" i="2"/>
  <c r="EG457" i="2"/>
  <c r="GG457" i="2" s="1"/>
  <c r="EG413" i="2"/>
  <c r="EG415" i="2"/>
  <c r="EG414" i="2"/>
  <c r="GG412" i="2"/>
  <c r="EJ295" i="2"/>
  <c r="EJ248" i="2"/>
  <c r="EJ247" i="2"/>
  <c r="EJ188" i="2"/>
  <c r="GG4" i="2"/>
  <c r="EJ123" i="2" l="1"/>
  <c r="EJ122" i="2"/>
  <c r="EJ161" i="2"/>
  <c r="EJ140" i="2" s="1"/>
  <c r="GG460" i="2"/>
  <c r="GG459" i="2"/>
  <c r="GG458" i="2"/>
  <c r="GQ137" i="3"/>
  <c r="GQ94" i="3" s="1"/>
  <c r="GQ78" i="3"/>
  <c r="GQ39" i="3"/>
  <c r="GQ37" i="3"/>
  <c r="GQ31" i="3"/>
  <c r="GQ11" i="3"/>
  <c r="GQ10" i="3"/>
  <c r="GQ27" i="3"/>
  <c r="GQ29" i="3"/>
  <c r="GQ41" i="3"/>
  <c r="GQ23" i="3"/>
  <c r="GQ21" i="3"/>
  <c r="GQ15" i="3"/>
  <c r="EO256" i="2"/>
  <c r="EO298" i="2"/>
  <c r="EO255" i="2"/>
  <c r="EO250" i="2"/>
  <c r="EN251" i="2"/>
  <c r="EN252" i="2"/>
  <c r="EN125" i="2"/>
  <c r="GP154" i="3"/>
  <c r="GH131" i="2"/>
  <c r="EN300" i="2"/>
  <c r="EN299" i="2"/>
  <c r="GX89" i="3"/>
  <c r="GW88" i="3"/>
  <c r="GX88" i="3" s="1"/>
  <c r="GQ161" i="3"/>
  <c r="EQ301" i="2"/>
  <c r="EP303" i="2"/>
  <c r="EP254" i="2"/>
  <c r="EJ190" i="2"/>
  <c r="EJ189" i="2"/>
  <c r="GR137" i="3"/>
  <c r="GR78" i="3"/>
  <c r="GR39" i="3"/>
  <c r="GR37" i="3"/>
  <c r="GR31" i="3"/>
  <c r="GR11" i="3"/>
  <c r="GR10" i="3"/>
  <c r="GR27" i="3"/>
  <c r="GR29" i="3"/>
  <c r="GR41" i="3"/>
  <c r="GR23" i="3"/>
  <c r="GR15" i="3"/>
  <c r="GR21" i="3"/>
  <c r="GH264" i="2"/>
  <c r="GH307" i="2"/>
  <c r="GH309" i="2" s="1"/>
  <c r="EG460" i="2"/>
  <c r="EG458" i="2"/>
  <c r="EG459" i="2"/>
  <c r="GI254" i="2"/>
  <c r="EI422" i="2"/>
  <c r="EI421" i="2"/>
  <c r="EI412" i="2"/>
  <c r="EH415" i="2"/>
  <c r="EH414" i="2"/>
  <c r="EH457" i="2"/>
  <c r="EH413" i="2"/>
  <c r="EK137" i="2"/>
  <c r="EK121" i="2" s="1"/>
  <c r="EJ420" i="2"/>
  <c r="GS9" i="3"/>
  <c r="GR161" i="3"/>
  <c r="GS161" i="3" s="1"/>
  <c r="EK295" i="2"/>
  <c r="EK247" i="2"/>
  <c r="EK248" i="2"/>
  <c r="EK188" i="2"/>
  <c r="GH188" i="2" s="1"/>
  <c r="GH246" i="2"/>
  <c r="EM127" i="2"/>
  <c r="EM126" i="2"/>
  <c r="GG6" i="2"/>
  <c r="GG358" i="2"/>
  <c r="GG89" i="2"/>
  <c r="GG261" i="2"/>
  <c r="GG342" i="2"/>
  <c r="GG202" i="2"/>
  <c r="GG17" i="2"/>
  <c r="GG62" i="2"/>
  <c r="GG35" i="2"/>
  <c r="GG206" i="2"/>
  <c r="GG40" i="2"/>
  <c r="GG44" i="2"/>
  <c r="GG330" i="2"/>
  <c r="GG198" i="2"/>
  <c r="GG324" i="2"/>
  <c r="GG318" i="2"/>
  <c r="GG269" i="2"/>
  <c r="GG362" i="2"/>
  <c r="GG354" i="2"/>
  <c r="GG257" i="2"/>
  <c r="GG253" i="2"/>
  <c r="GG265" i="2"/>
  <c r="GG249" i="2"/>
  <c r="GG191" i="2"/>
  <c r="EL264" i="2"/>
  <c r="EL263" i="2"/>
  <c r="EL129" i="2"/>
  <c r="EL246" i="2"/>
  <c r="EJ296" i="2"/>
  <c r="EJ297" i="2"/>
  <c r="EI123" i="2"/>
  <c r="EI122" i="2"/>
  <c r="EI161" i="2"/>
  <c r="EI124" i="2" s="1"/>
  <c r="GG414" i="2"/>
  <c r="GG415" i="2"/>
  <c r="EN307" i="2"/>
  <c r="EM309" i="2"/>
  <c r="EM262" i="2"/>
  <c r="EE26" i="2"/>
  <c r="EK131" i="2"/>
  <c r="EK130" i="2"/>
  <c r="EF29" i="2"/>
  <c r="GT9" i="3"/>
  <c r="EH358" i="2"/>
  <c r="EH261" i="2"/>
  <c r="EH89" i="2"/>
  <c r="EH5" i="2"/>
  <c r="EH6" i="2"/>
  <c r="EH342" i="2"/>
  <c r="EH202" i="2"/>
  <c r="EH44" i="2"/>
  <c r="EH206" i="2"/>
  <c r="EH17" i="2"/>
  <c r="EH62" i="2"/>
  <c r="EH40" i="2"/>
  <c r="EH35" i="2"/>
  <c r="EH198" i="2"/>
  <c r="EH330" i="2"/>
  <c r="EH324" i="2"/>
  <c r="EH269" i="2"/>
  <c r="EH318" i="2"/>
  <c r="EH362" i="2"/>
  <c r="EH354" i="2"/>
  <c r="EH257" i="2"/>
  <c r="EH253" i="2"/>
  <c r="EH265" i="2"/>
  <c r="EH249" i="2"/>
  <c r="EH191" i="2"/>
  <c r="GS11" i="3" l="1"/>
  <c r="GS29" i="3"/>
  <c r="GS39" i="3"/>
  <c r="GS27" i="3"/>
  <c r="GS37" i="3"/>
  <c r="GS31" i="3"/>
  <c r="GS41" i="3"/>
  <c r="GS23" i="3"/>
  <c r="GS21" i="3"/>
  <c r="GS15" i="3"/>
  <c r="EO299" i="2"/>
  <c r="EO300" i="2"/>
  <c r="GP18" i="3"/>
  <c r="EE28" i="2"/>
  <c r="EE48" i="2"/>
  <c r="EE27" i="2"/>
  <c r="EE31" i="2"/>
  <c r="EE10" i="2"/>
  <c r="EJ422" i="2"/>
  <c r="EJ421" i="2"/>
  <c r="EJ412" i="2"/>
  <c r="GI298" i="2"/>
  <c r="GI300" i="2" s="1"/>
  <c r="GI301" i="2"/>
  <c r="GI303" i="2" s="1"/>
  <c r="GI256" i="2"/>
  <c r="GR94" i="3"/>
  <c r="GY88" i="3"/>
  <c r="EK296" i="2"/>
  <c r="EK297" i="2"/>
  <c r="EL137" i="2"/>
  <c r="EL121" i="2" s="1"/>
  <c r="GH137" i="2"/>
  <c r="EK420" i="2"/>
  <c r="GH420" i="2" s="1"/>
  <c r="GR154" i="3"/>
  <c r="GS154" i="3" s="1"/>
  <c r="GS78" i="3"/>
  <c r="EP298" i="2"/>
  <c r="EP256" i="2"/>
  <c r="EP255" i="2"/>
  <c r="EP250" i="2"/>
  <c r="EJ163" i="2"/>
  <c r="EJ162" i="2"/>
  <c r="EJ156" i="2"/>
  <c r="EJ4" i="2"/>
  <c r="EJ160" i="2"/>
  <c r="EJ148" i="2"/>
  <c r="EJ120" i="2"/>
  <c r="EJ112" i="2"/>
  <c r="EJ116" i="2"/>
  <c r="EJ136" i="2"/>
  <c r="EJ108" i="2"/>
  <c r="EJ152" i="2"/>
  <c r="EJ144" i="2"/>
  <c r="EJ128" i="2"/>
  <c r="EJ132" i="2"/>
  <c r="EH460" i="2"/>
  <c r="EH458" i="2"/>
  <c r="EH459" i="2"/>
  <c r="GH190" i="2"/>
  <c r="EO251" i="2"/>
  <c r="EO252" i="2"/>
  <c r="EO125" i="2"/>
  <c r="GI125" i="2" s="1"/>
  <c r="GI250" i="2"/>
  <c r="GQ154" i="3"/>
  <c r="EK123" i="2"/>
  <c r="EK122" i="2"/>
  <c r="EK161" i="2"/>
  <c r="EK124" i="2" s="1"/>
  <c r="GH121" i="2"/>
  <c r="EM264" i="2"/>
  <c r="EM263" i="2"/>
  <c r="EM129" i="2"/>
  <c r="EM246" i="2"/>
  <c r="EF26" i="2"/>
  <c r="EL248" i="2"/>
  <c r="EL295" i="2"/>
  <c r="EL247" i="2"/>
  <c r="EL188" i="2"/>
  <c r="EK190" i="2"/>
  <c r="EK189" i="2"/>
  <c r="EI415" i="2"/>
  <c r="EI414" i="2"/>
  <c r="EI457" i="2"/>
  <c r="EI413" i="2"/>
  <c r="EG29" i="2"/>
  <c r="EQ303" i="2"/>
  <c r="ER301" i="2"/>
  <c r="EQ254" i="2"/>
  <c r="EN127" i="2"/>
  <c r="EN126" i="2"/>
  <c r="GT137" i="3"/>
  <c r="GT78" i="3"/>
  <c r="GT39" i="3"/>
  <c r="GT37" i="3"/>
  <c r="GT31" i="3"/>
  <c r="GT29" i="3"/>
  <c r="GT27" i="3"/>
  <c r="GT11" i="3"/>
  <c r="GT10" i="3"/>
  <c r="GT41" i="3"/>
  <c r="GT23" i="3"/>
  <c r="GT21" i="3"/>
  <c r="GT15" i="3"/>
  <c r="EI163" i="2"/>
  <c r="EI162" i="2"/>
  <c r="EI4" i="2"/>
  <c r="EI156" i="2"/>
  <c r="EI160" i="2"/>
  <c r="EI148" i="2"/>
  <c r="EI120" i="2"/>
  <c r="EI116" i="2"/>
  <c r="EI112" i="2"/>
  <c r="EI108" i="2"/>
  <c r="EI136" i="2"/>
  <c r="EI152" i="2"/>
  <c r="EI144" i="2"/>
  <c r="EI128" i="2"/>
  <c r="EI132" i="2"/>
  <c r="EI140" i="2"/>
  <c r="GH295" i="2"/>
  <c r="GH297" i="2" s="1"/>
  <c r="GH248" i="2"/>
  <c r="GT161" i="3"/>
  <c r="EO307" i="2"/>
  <c r="EN309" i="2"/>
  <c r="EN262" i="2"/>
  <c r="EL131" i="2"/>
  <c r="EL130" i="2"/>
  <c r="EJ124" i="2"/>
  <c r="GH161" i="2" l="1"/>
  <c r="GH148" i="2" s="1"/>
  <c r="EO309" i="2"/>
  <c r="EP307" i="2"/>
  <c r="EO262" i="2"/>
  <c r="GI262" i="2" s="1"/>
  <c r="GH163" i="2"/>
  <c r="GH156" i="2"/>
  <c r="GH160" i="2"/>
  <c r="GH112" i="2"/>
  <c r="GH136" i="2"/>
  <c r="GH108" i="2"/>
  <c r="GH152" i="2"/>
  <c r="EM295" i="2"/>
  <c r="EM248" i="2"/>
  <c r="EM247" i="2"/>
  <c r="EM188" i="2"/>
  <c r="EK163" i="2"/>
  <c r="EK162" i="2"/>
  <c r="EK4" i="2"/>
  <c r="GH4" i="2" s="1"/>
  <c r="EK156" i="2"/>
  <c r="EK160" i="2"/>
  <c r="EK148" i="2"/>
  <c r="EK120" i="2"/>
  <c r="EK116" i="2"/>
  <c r="EK112" i="2"/>
  <c r="EK108" i="2"/>
  <c r="EK136" i="2"/>
  <c r="EK152" i="2"/>
  <c r="EK144" i="2"/>
  <c r="EK128" i="2"/>
  <c r="EK132" i="2"/>
  <c r="GH140" i="2"/>
  <c r="GH139" i="2"/>
  <c r="GH423" i="2"/>
  <c r="GH422" i="2"/>
  <c r="GT154" i="3"/>
  <c r="EL297" i="2"/>
  <c r="EL296" i="2"/>
  <c r="EM131" i="2"/>
  <c r="EM130" i="2"/>
  <c r="GI252" i="2"/>
  <c r="EP299" i="2"/>
  <c r="EP300" i="2"/>
  <c r="EM137" i="2"/>
  <c r="EL420" i="2"/>
  <c r="EJ414" i="2"/>
  <c r="EJ457" i="2"/>
  <c r="EJ413" i="2"/>
  <c r="EJ415" i="2"/>
  <c r="GU9" i="3"/>
  <c r="EI358" i="2"/>
  <c r="EI261" i="2"/>
  <c r="EI89" i="2"/>
  <c r="EI5" i="2"/>
  <c r="EI6" i="2"/>
  <c r="EI342" i="2"/>
  <c r="EI202" i="2"/>
  <c r="EI206" i="2"/>
  <c r="EI44" i="2"/>
  <c r="EI62" i="2"/>
  <c r="EI17" i="2"/>
  <c r="EI40" i="2"/>
  <c r="EI35" i="2"/>
  <c r="EI198" i="2"/>
  <c r="EI330" i="2"/>
  <c r="EI324" i="2"/>
  <c r="EI318" i="2"/>
  <c r="EI269" i="2"/>
  <c r="EI362" i="2"/>
  <c r="EI354" i="2"/>
  <c r="EI257" i="2"/>
  <c r="EI253" i="2"/>
  <c r="EI265" i="2"/>
  <c r="EI249" i="2"/>
  <c r="EI191" i="2"/>
  <c r="EQ255" i="2"/>
  <c r="EQ298" i="2"/>
  <c r="EQ256" i="2"/>
  <c r="EQ250" i="2"/>
  <c r="EI460" i="2"/>
  <c r="EI458" i="2"/>
  <c r="EI459" i="2"/>
  <c r="EP252" i="2"/>
  <c r="EP251" i="2"/>
  <c r="EP125" i="2"/>
  <c r="EK140" i="2"/>
  <c r="GZ88" i="3"/>
  <c r="EE54" i="2"/>
  <c r="EE49" i="2"/>
  <c r="EE51" i="2"/>
  <c r="EE50" i="2"/>
  <c r="EE52" i="2"/>
  <c r="GI127" i="2"/>
  <c r="EL190" i="2"/>
  <c r="EL189" i="2"/>
  <c r="GQ18" i="3"/>
  <c r="EF48" i="2"/>
  <c r="EF27" i="2"/>
  <c r="EF31" i="2"/>
  <c r="EF28" i="2"/>
  <c r="EF10" i="2"/>
  <c r="EO127" i="2"/>
  <c r="EO126" i="2"/>
  <c r="EH29" i="2"/>
  <c r="GV9" i="3"/>
  <c r="EJ358" i="2"/>
  <c r="EJ5" i="2"/>
  <c r="EJ6" i="2"/>
  <c r="EJ261" i="2"/>
  <c r="EJ89" i="2"/>
  <c r="EJ342" i="2"/>
  <c r="EJ206" i="2"/>
  <c r="EJ44" i="2"/>
  <c r="EJ62" i="2"/>
  <c r="EJ202" i="2"/>
  <c r="EJ17" i="2"/>
  <c r="EJ35" i="2"/>
  <c r="EJ40" i="2"/>
  <c r="EJ198" i="2"/>
  <c r="EJ330" i="2"/>
  <c r="EJ324" i="2"/>
  <c r="EJ269" i="2"/>
  <c r="EJ318" i="2"/>
  <c r="EJ362" i="2"/>
  <c r="EJ354" i="2"/>
  <c r="EJ257" i="2"/>
  <c r="EJ253" i="2"/>
  <c r="EJ265" i="2"/>
  <c r="EJ249" i="2"/>
  <c r="EJ191" i="2"/>
  <c r="EN264" i="2"/>
  <c r="EN263" i="2"/>
  <c r="EN129" i="2"/>
  <c r="EN246" i="2"/>
  <c r="EE18" i="2"/>
  <c r="EE11" i="2"/>
  <c r="EE13" i="2"/>
  <c r="EE12" i="2"/>
  <c r="GP174" i="3"/>
  <c r="GP172" i="3"/>
  <c r="GP24" i="3"/>
  <c r="GP19" i="3"/>
  <c r="GP12" i="3"/>
  <c r="ER303" i="2"/>
  <c r="ES301" i="2"/>
  <c r="ER254" i="2"/>
  <c r="EL123" i="2"/>
  <c r="EL122" i="2"/>
  <c r="EL161" i="2"/>
  <c r="EL140" i="2" s="1"/>
  <c r="EG26" i="2"/>
  <c r="GG26" i="2" s="1"/>
  <c r="GH124" i="2"/>
  <c r="GH123" i="2"/>
  <c r="EK422" i="2"/>
  <c r="EK421" i="2"/>
  <c r="EK412" i="2"/>
  <c r="GT94" i="3"/>
  <c r="GS94" i="3"/>
  <c r="GH132" i="2" l="1"/>
  <c r="GH116" i="2"/>
  <c r="GH128" i="2"/>
  <c r="GH120" i="2"/>
  <c r="GH144" i="2"/>
  <c r="EL124" i="2"/>
  <c r="EN131" i="2"/>
  <c r="EN130" i="2"/>
  <c r="EF54" i="2"/>
  <c r="EF49" i="2"/>
  <c r="EF51" i="2"/>
  <c r="EF50" i="2"/>
  <c r="EF52" i="2"/>
  <c r="EQ300" i="2"/>
  <c r="EQ299" i="2"/>
  <c r="EL421" i="2"/>
  <c r="EL422" i="2"/>
  <c r="EL412" i="2"/>
  <c r="EM190" i="2"/>
  <c r="EM189" i="2"/>
  <c r="GV137" i="3"/>
  <c r="GV78" i="3"/>
  <c r="GV39" i="3"/>
  <c r="GV37" i="3"/>
  <c r="GV31" i="3"/>
  <c r="GV11" i="3"/>
  <c r="GV10" i="3"/>
  <c r="GV29" i="3"/>
  <c r="GV27" i="3"/>
  <c r="GV41" i="3"/>
  <c r="GV23" i="3"/>
  <c r="GV15" i="3"/>
  <c r="GV21" i="3"/>
  <c r="GQ172" i="3"/>
  <c r="GQ174" i="3"/>
  <c r="GQ19" i="3"/>
  <c r="GQ24" i="3"/>
  <c r="GQ12" i="3"/>
  <c r="EP127" i="2"/>
  <c r="EP126" i="2"/>
  <c r="GU137" i="3"/>
  <c r="GU94" i="3" s="1"/>
  <c r="GU78" i="3"/>
  <c r="GU39" i="3"/>
  <c r="GU37" i="3"/>
  <c r="GU31" i="3"/>
  <c r="GU11" i="3"/>
  <c r="GU10" i="3"/>
  <c r="GU29" i="3"/>
  <c r="GU27" i="3"/>
  <c r="GU41" i="3"/>
  <c r="GU23" i="3"/>
  <c r="GU15" i="3"/>
  <c r="GU21" i="3"/>
  <c r="GV161" i="3"/>
  <c r="GU161" i="3"/>
  <c r="EO263" i="2"/>
  <c r="EO264" i="2"/>
  <c r="EO129" i="2"/>
  <c r="EO246" i="2"/>
  <c r="GI307" i="2"/>
  <c r="GI309" i="2" s="1"/>
  <c r="GI264" i="2"/>
  <c r="EH26" i="2"/>
  <c r="EF13" i="2"/>
  <c r="EF12" i="2"/>
  <c r="EF18" i="2"/>
  <c r="EF11" i="2"/>
  <c r="EE57" i="2"/>
  <c r="EE56" i="2"/>
  <c r="EE55" i="2"/>
  <c r="EE58" i="2"/>
  <c r="EN137" i="2"/>
  <c r="EM420" i="2"/>
  <c r="EM121" i="2"/>
  <c r="GW9" i="3"/>
  <c r="EK358" i="2"/>
  <c r="EK6" i="2"/>
  <c r="EK5" i="2"/>
  <c r="EK89" i="2"/>
  <c r="EK261" i="2"/>
  <c r="EK342" i="2"/>
  <c r="EK44" i="2"/>
  <c r="EK202" i="2"/>
  <c r="EK62" i="2"/>
  <c r="EK206" i="2"/>
  <c r="EK17" i="2"/>
  <c r="EK35" i="2"/>
  <c r="EK198" i="2"/>
  <c r="EK40" i="2"/>
  <c r="EK330" i="2"/>
  <c r="EK324" i="2"/>
  <c r="EK269" i="2"/>
  <c r="EK318" i="2"/>
  <c r="EK362" i="2"/>
  <c r="EK354" i="2"/>
  <c r="EK257" i="2"/>
  <c r="EK253" i="2"/>
  <c r="EK265" i="2"/>
  <c r="EK249" i="2"/>
  <c r="EK191" i="2"/>
  <c r="EP309" i="2"/>
  <c r="EQ307" i="2"/>
  <c r="EP262" i="2"/>
  <c r="EI29" i="2"/>
  <c r="GH6" i="2"/>
  <c r="GH261" i="2"/>
  <c r="GH358" i="2"/>
  <c r="GH89" i="2"/>
  <c r="GH342" i="2"/>
  <c r="GH202" i="2"/>
  <c r="GH17" i="2"/>
  <c r="GH44" i="2"/>
  <c r="GH62" i="2"/>
  <c r="GH206" i="2"/>
  <c r="GH330" i="2"/>
  <c r="GH40" i="2"/>
  <c r="GH324" i="2"/>
  <c r="GH198" i="2"/>
  <c r="GH35" i="2"/>
  <c r="GH269" i="2"/>
  <c r="GH318" i="2"/>
  <c r="GH362" i="2"/>
  <c r="GH354" i="2"/>
  <c r="GH257" i="2"/>
  <c r="GH253" i="2"/>
  <c r="GH265" i="2"/>
  <c r="GH191" i="2"/>
  <c r="GH249" i="2"/>
  <c r="EM297" i="2"/>
  <c r="EM296" i="2"/>
  <c r="GP175" i="3"/>
  <c r="GP173" i="3"/>
  <c r="GP70" i="3"/>
  <c r="GP32" i="3"/>
  <c r="GP25" i="3"/>
  <c r="ET301" i="2"/>
  <c r="ES303" i="2"/>
  <c r="ES254" i="2"/>
  <c r="HA88" i="3"/>
  <c r="EQ251" i="2"/>
  <c r="EQ252" i="2"/>
  <c r="EQ125" i="2"/>
  <c r="EJ458" i="2"/>
  <c r="EJ460" i="2"/>
  <c r="EJ459" i="2"/>
  <c r="ER298" i="2"/>
  <c r="ER255" i="2"/>
  <c r="ER250" i="2"/>
  <c r="ER256" i="2"/>
  <c r="GG31" i="2"/>
  <c r="GG28" i="2"/>
  <c r="GG29" i="2"/>
  <c r="EL163" i="2"/>
  <c r="EL162" i="2"/>
  <c r="EL4" i="2"/>
  <c r="EL156" i="2"/>
  <c r="EL160" i="2"/>
  <c r="EL148" i="2"/>
  <c r="EL120" i="2"/>
  <c r="EL116" i="2"/>
  <c r="EL112" i="2"/>
  <c r="EL108" i="2"/>
  <c r="EL136" i="2"/>
  <c r="EL152" i="2"/>
  <c r="EL144" i="2"/>
  <c r="EL128" i="2"/>
  <c r="EL132" i="2"/>
  <c r="EE20" i="2"/>
  <c r="EE19" i="2"/>
  <c r="EE21" i="2"/>
  <c r="EK414" i="2"/>
  <c r="EK457" i="2"/>
  <c r="GH457" i="2" s="1"/>
  <c r="EK413" i="2"/>
  <c r="EK415" i="2"/>
  <c r="GH412" i="2"/>
  <c r="GR18" i="3"/>
  <c r="EG48" i="2"/>
  <c r="EG31" i="2"/>
  <c r="EG27" i="2"/>
  <c r="EG28" i="2"/>
  <c r="EG10" i="2"/>
  <c r="GP13" i="3"/>
  <c r="GP16" i="3"/>
  <c r="EN247" i="2"/>
  <c r="EN295" i="2"/>
  <c r="EN248" i="2"/>
  <c r="EN188" i="2"/>
  <c r="GV94" i="3" l="1"/>
  <c r="EN190" i="2"/>
  <c r="EN189" i="2"/>
  <c r="GP84" i="3"/>
  <c r="GP155" i="3" s="1"/>
  <c r="GP17" i="3"/>
  <c r="EK459" i="2"/>
  <c r="EK458" i="2"/>
  <c r="EK460" i="2"/>
  <c r="GY9" i="3"/>
  <c r="GY161" i="3" s="1"/>
  <c r="EL358" i="2"/>
  <c r="EL6" i="2"/>
  <c r="EL5" i="2"/>
  <c r="EL261" i="2"/>
  <c r="EL89" i="2"/>
  <c r="EL342" i="2"/>
  <c r="EL44" i="2"/>
  <c r="EL62" i="2"/>
  <c r="EL202" i="2"/>
  <c r="EL17" i="2"/>
  <c r="EL206" i="2"/>
  <c r="EL35" i="2"/>
  <c r="EL330" i="2"/>
  <c r="EL40" i="2"/>
  <c r="EL198" i="2"/>
  <c r="EL324" i="2"/>
  <c r="EL318" i="2"/>
  <c r="EL269" i="2"/>
  <c r="EL362" i="2"/>
  <c r="EL354" i="2"/>
  <c r="EL257" i="2"/>
  <c r="EL253" i="2"/>
  <c r="EL265" i="2"/>
  <c r="EL249" i="2"/>
  <c r="EL191" i="2"/>
  <c r="ER300" i="2"/>
  <c r="ER299" i="2"/>
  <c r="EQ127" i="2"/>
  <c r="EQ126" i="2"/>
  <c r="HC89" i="3"/>
  <c r="HB88" i="3"/>
  <c r="HC88" i="3" s="1"/>
  <c r="GP168" i="3"/>
  <c r="GP45" i="3"/>
  <c r="GP34" i="3"/>
  <c r="GP42" i="3" s="1"/>
  <c r="GP33" i="3"/>
  <c r="GP167" i="3"/>
  <c r="EM421" i="2"/>
  <c r="EM422" i="2"/>
  <c r="EM412" i="2"/>
  <c r="GT18" i="3"/>
  <c r="EH31" i="2"/>
  <c r="EH48" i="2"/>
  <c r="EH27" i="2"/>
  <c r="EH28" i="2"/>
  <c r="EH10" i="2"/>
  <c r="EO295" i="2"/>
  <c r="EO247" i="2"/>
  <c r="EO248" i="2"/>
  <c r="EO188" i="2"/>
  <c r="GI246" i="2"/>
  <c r="EF57" i="2"/>
  <c r="EF56" i="2"/>
  <c r="EF55" i="2"/>
  <c r="EF58" i="2"/>
  <c r="GH460" i="2"/>
  <c r="GH459" i="2"/>
  <c r="GH458" i="2"/>
  <c r="ES250" i="2"/>
  <c r="GJ250" i="2" s="1"/>
  <c r="ES298" i="2"/>
  <c r="ES255" i="2"/>
  <c r="ES256" i="2"/>
  <c r="GP69" i="3"/>
  <c r="EO137" i="2"/>
  <c r="EO121" i="2" s="1"/>
  <c r="EN420" i="2"/>
  <c r="EO131" i="2"/>
  <c r="EO130" i="2"/>
  <c r="GI129" i="2"/>
  <c r="GR172" i="3"/>
  <c r="GR174" i="3"/>
  <c r="GR24" i="3"/>
  <c r="GR19" i="3"/>
  <c r="GR12" i="3"/>
  <c r="EI26" i="2"/>
  <c r="GX9" i="3"/>
  <c r="GU154" i="3"/>
  <c r="EL457" i="2"/>
  <c r="EL413" i="2"/>
  <c r="EL415" i="2"/>
  <c r="EL414" i="2"/>
  <c r="EN121" i="2"/>
  <c r="EN297" i="2"/>
  <c r="EN296" i="2"/>
  <c r="EG18" i="2"/>
  <c r="EG13" i="2"/>
  <c r="EG12" i="2"/>
  <c r="EG11" i="2"/>
  <c r="GH414" i="2"/>
  <c r="GH415" i="2"/>
  <c r="ER252" i="2"/>
  <c r="ER251" i="2"/>
  <c r="ER125" i="2"/>
  <c r="EJ29" i="2"/>
  <c r="EU301" i="2"/>
  <c r="ET303" i="2"/>
  <c r="ET254" i="2"/>
  <c r="EF20" i="2"/>
  <c r="EF19" i="2"/>
  <c r="EF21" i="2"/>
  <c r="GW161" i="3"/>
  <c r="GX161" i="3" s="1"/>
  <c r="GV154" i="3"/>
  <c r="EG51" i="2"/>
  <c r="EG50" i="2"/>
  <c r="EG52" i="2"/>
  <c r="EG54" i="2"/>
  <c r="EG49" i="2"/>
  <c r="GG48" i="2"/>
  <c r="GJ254" i="2"/>
  <c r="GW137" i="3"/>
  <c r="GW78" i="3"/>
  <c r="GW39" i="3"/>
  <c r="GW37" i="3"/>
  <c r="GW31" i="3"/>
  <c r="GW10" i="3"/>
  <c r="GW11" i="3"/>
  <c r="GW29" i="3"/>
  <c r="GW27" i="3"/>
  <c r="GW41" i="3"/>
  <c r="GW23" i="3"/>
  <c r="GW15" i="3"/>
  <c r="GW21" i="3"/>
  <c r="GQ13" i="3"/>
  <c r="GQ16" i="3"/>
  <c r="EP263" i="2"/>
  <c r="EP264" i="2"/>
  <c r="EP129" i="2"/>
  <c r="EP246" i="2"/>
  <c r="GG10" i="2"/>
  <c r="EQ309" i="2"/>
  <c r="ER307" i="2"/>
  <c r="EQ262" i="2"/>
  <c r="EM123" i="2"/>
  <c r="EM122" i="2"/>
  <c r="EM161" i="2"/>
  <c r="GQ175" i="3"/>
  <c r="GQ173" i="3"/>
  <c r="GQ70" i="3"/>
  <c r="GQ69" i="3" s="1"/>
  <c r="GQ32" i="3"/>
  <c r="GQ167" i="3" s="1"/>
  <c r="GQ25" i="3"/>
  <c r="GS18" i="3"/>
  <c r="GI121" i="2" l="1"/>
  <c r="EQ263" i="2"/>
  <c r="EQ264" i="2"/>
  <c r="EQ129" i="2"/>
  <c r="EQ246" i="2"/>
  <c r="GX78" i="3"/>
  <c r="GW154" i="3"/>
  <c r="GX154" i="3" s="1"/>
  <c r="GJ298" i="2"/>
  <c r="GJ300" i="2" s="1"/>
  <c r="GJ301" i="2"/>
  <c r="GJ303" i="2" s="1"/>
  <c r="GJ256" i="2"/>
  <c r="GJ252" i="2"/>
  <c r="EG21" i="2"/>
  <c r="EG19" i="2"/>
  <c r="EG20" i="2"/>
  <c r="EP137" i="2"/>
  <c r="EP121" i="2" s="1"/>
  <c r="EO420" i="2"/>
  <c r="GI137" i="2"/>
  <c r="GI295" i="2"/>
  <c r="GI297" i="2" s="1"/>
  <c r="GI248" i="2"/>
  <c r="EH13" i="2"/>
  <c r="EH12" i="2"/>
  <c r="EH18" i="2"/>
  <c r="EH11" i="2"/>
  <c r="GT172" i="3"/>
  <c r="GT174" i="3"/>
  <c r="GT24" i="3"/>
  <c r="GT19" i="3"/>
  <c r="GT12" i="3"/>
  <c r="GG52" i="2"/>
  <c r="GG50" i="2"/>
  <c r="GG51" i="2"/>
  <c r="ET298" i="2"/>
  <c r="ET250" i="2"/>
  <c r="ET255" i="2"/>
  <c r="ET256" i="2"/>
  <c r="GR173" i="3"/>
  <c r="GR175" i="3"/>
  <c r="GR70" i="3"/>
  <c r="GR25" i="3"/>
  <c r="GR32" i="3"/>
  <c r="GR167" i="3" s="1"/>
  <c r="GS167" i="3" s="1"/>
  <c r="GS24" i="3"/>
  <c r="EO123" i="2"/>
  <c r="EO122" i="2"/>
  <c r="EO161" i="2"/>
  <c r="EO124" i="2" s="1"/>
  <c r="ES300" i="2"/>
  <c r="ES299" i="2"/>
  <c r="EO189" i="2"/>
  <c r="EO190" i="2"/>
  <c r="EM457" i="2"/>
  <c r="EM413" i="2"/>
  <c r="EM415" i="2"/>
  <c r="EM414" i="2"/>
  <c r="GI188" i="2"/>
  <c r="GW94" i="3"/>
  <c r="ER127" i="2"/>
  <c r="ER126" i="2"/>
  <c r="EL459" i="2"/>
  <c r="EL458" i="2"/>
  <c r="EL460" i="2"/>
  <c r="GX39" i="3"/>
  <c r="GX37" i="3"/>
  <c r="GX31" i="3"/>
  <c r="GX11" i="3"/>
  <c r="GX29" i="3"/>
  <c r="GX27" i="3"/>
  <c r="GX41" i="3"/>
  <c r="GX23" i="3"/>
  <c r="GX15" i="3"/>
  <c r="GX21" i="3"/>
  <c r="ES252" i="2"/>
  <c r="ES251" i="2"/>
  <c r="ES125" i="2"/>
  <c r="GJ125" i="2" s="1"/>
  <c r="GP106" i="3"/>
  <c r="GP43" i="3"/>
  <c r="GP63" i="3"/>
  <c r="GP47" i="3"/>
  <c r="GP50" i="3"/>
  <c r="EE79" i="2"/>
  <c r="GP56" i="3"/>
  <c r="EE66" i="2" s="1"/>
  <c r="GP162" i="3"/>
  <c r="GP158" i="3"/>
  <c r="GP166" i="3"/>
  <c r="GY137" i="3"/>
  <c r="GY78" i="3"/>
  <c r="GY39" i="3"/>
  <c r="GY37" i="3"/>
  <c r="GY31" i="3"/>
  <c r="GY29" i="3"/>
  <c r="GY27" i="3"/>
  <c r="GY11" i="3"/>
  <c r="GY10" i="3"/>
  <c r="GY41" i="3"/>
  <c r="GY23" i="3"/>
  <c r="GY21" i="3"/>
  <c r="GY15" i="3"/>
  <c r="EP295" i="2"/>
  <c r="EP247" i="2"/>
  <c r="EP248" i="2"/>
  <c r="EP188" i="2"/>
  <c r="GQ84" i="3"/>
  <c r="GQ17" i="3"/>
  <c r="GI123" i="2"/>
  <c r="EV301" i="2"/>
  <c r="EU303" i="2"/>
  <c r="EU254" i="2"/>
  <c r="EN123" i="2"/>
  <c r="EN122" i="2"/>
  <c r="EN161" i="2"/>
  <c r="EN124" i="2" s="1"/>
  <c r="GU18" i="3"/>
  <c r="EI31" i="2"/>
  <c r="EI27" i="2"/>
  <c r="EI28" i="2"/>
  <c r="EI48" i="2"/>
  <c r="EI10" i="2"/>
  <c r="EH51" i="2"/>
  <c r="EH50" i="2"/>
  <c r="EH52" i="2"/>
  <c r="EH54" i="2"/>
  <c r="EH49" i="2"/>
  <c r="HD88" i="3"/>
  <c r="EK29" i="2"/>
  <c r="GS172" i="3"/>
  <c r="GS174" i="3"/>
  <c r="GS19" i="3"/>
  <c r="EM163" i="2"/>
  <c r="EM162" i="2"/>
  <c r="EM4" i="2"/>
  <c r="EM156" i="2"/>
  <c r="EM160" i="2"/>
  <c r="EM148" i="2"/>
  <c r="EM120" i="2"/>
  <c r="EM116" i="2"/>
  <c r="EM112" i="2"/>
  <c r="EM108" i="2"/>
  <c r="EM136" i="2"/>
  <c r="EM152" i="2"/>
  <c r="EM144" i="2"/>
  <c r="EM128" i="2"/>
  <c r="EM132" i="2"/>
  <c r="EM140" i="2"/>
  <c r="GP156" i="3"/>
  <c r="EE94" i="2"/>
  <c r="GP108" i="3"/>
  <c r="EP131" i="2"/>
  <c r="EP130" i="2"/>
  <c r="ES307" i="2"/>
  <c r="ER309" i="2"/>
  <c r="ER262" i="2"/>
  <c r="EG57" i="2"/>
  <c r="EG56" i="2"/>
  <c r="EG55" i="2"/>
  <c r="EG58" i="2"/>
  <c r="GG54" i="2"/>
  <c r="GQ168" i="3"/>
  <c r="GQ45" i="3"/>
  <c r="GQ34" i="3"/>
  <c r="GQ42" i="3" s="1"/>
  <c r="GQ33" i="3"/>
  <c r="EJ26" i="2"/>
  <c r="GI131" i="2"/>
  <c r="EM124" i="2"/>
  <c r="GG13" i="2"/>
  <c r="GG12" i="2"/>
  <c r="GR13" i="3"/>
  <c r="GR16" i="3"/>
  <c r="GS12" i="3"/>
  <c r="GS13" i="3" s="1"/>
  <c r="EN422" i="2"/>
  <c r="EN421" i="2"/>
  <c r="EN412" i="2"/>
  <c r="EO297" i="2"/>
  <c r="EO296" i="2"/>
  <c r="GI161" i="2" l="1"/>
  <c r="GS32" i="3"/>
  <c r="GV18" i="3"/>
  <c r="EJ48" i="2"/>
  <c r="EJ31" i="2"/>
  <c r="EJ28" i="2"/>
  <c r="EJ27" i="2"/>
  <c r="EJ10" i="2"/>
  <c r="EP123" i="2"/>
  <c r="EP122" i="2"/>
  <c r="EP161" i="2"/>
  <c r="EP124" i="2" s="1"/>
  <c r="GJ127" i="2"/>
  <c r="EE67" i="2"/>
  <c r="EE68" i="2"/>
  <c r="GP110" i="3"/>
  <c r="GP97" i="3"/>
  <c r="ET300" i="2"/>
  <c r="ET299" i="2"/>
  <c r="HE88" i="3"/>
  <c r="GQ158" i="3"/>
  <c r="EE80" i="2"/>
  <c r="EE81" i="2"/>
  <c r="GS173" i="3"/>
  <c r="GS175" i="3"/>
  <c r="GS25" i="3"/>
  <c r="EH19" i="2"/>
  <c r="EH21" i="2"/>
  <c r="EH20" i="2"/>
  <c r="GI140" i="2"/>
  <c r="GI139" i="2"/>
  <c r="EQ131" i="2"/>
  <c r="EQ130" i="2"/>
  <c r="GS33" i="3"/>
  <c r="GS45" i="3"/>
  <c r="EU256" i="2"/>
  <c r="EU298" i="2"/>
  <c r="EU255" i="2"/>
  <c r="EU250" i="2"/>
  <c r="GQ156" i="3"/>
  <c r="EF94" i="2"/>
  <c r="GP52" i="3"/>
  <c r="EE72" i="2"/>
  <c r="EL29" i="2"/>
  <c r="EM459" i="2"/>
  <c r="EM460" i="2"/>
  <c r="EM458" i="2"/>
  <c r="GR168" i="3"/>
  <c r="GS168" i="3" s="1"/>
  <c r="GR33" i="3"/>
  <c r="GR45" i="3"/>
  <c r="GR34" i="3"/>
  <c r="GS34" i="3" s="1"/>
  <c r="GS35" i="3" s="1"/>
  <c r="GT173" i="3"/>
  <c r="GT175" i="3"/>
  <c r="GT70" i="3"/>
  <c r="GT25" i="3"/>
  <c r="GT32" i="3"/>
  <c r="EO422" i="2"/>
  <c r="EO421" i="2"/>
  <c r="EO412" i="2"/>
  <c r="GI420" i="2"/>
  <c r="GI163" i="2"/>
  <c r="GI156" i="2"/>
  <c r="GI160" i="2"/>
  <c r="GI148" i="2"/>
  <c r="GI120" i="2"/>
  <c r="GI112" i="2"/>
  <c r="GI116" i="2"/>
  <c r="GI136" i="2"/>
  <c r="GI108" i="2"/>
  <c r="GI152" i="2"/>
  <c r="GI144" i="2"/>
  <c r="GI128" i="2"/>
  <c r="ER263" i="2"/>
  <c r="ER264" i="2"/>
  <c r="ER129" i="2"/>
  <c r="ER246" i="2"/>
  <c r="GZ9" i="3"/>
  <c r="EM358" i="2"/>
  <c r="EM89" i="2"/>
  <c r="EM5" i="2"/>
  <c r="EM6" i="2"/>
  <c r="EM261" i="2"/>
  <c r="EM342" i="2"/>
  <c r="EM202" i="2"/>
  <c r="EM17" i="2"/>
  <c r="EM44" i="2"/>
  <c r="EM206" i="2"/>
  <c r="EM62" i="2"/>
  <c r="EM198" i="2"/>
  <c r="EM40" i="2"/>
  <c r="EM35" i="2"/>
  <c r="EM330" i="2"/>
  <c r="EM324" i="2"/>
  <c r="EM269" i="2"/>
  <c r="EM318" i="2"/>
  <c r="EM362" i="2"/>
  <c r="EM354" i="2"/>
  <c r="EM257" i="2"/>
  <c r="EM253" i="2"/>
  <c r="EM265" i="2"/>
  <c r="EM249" i="2"/>
  <c r="EM191" i="2"/>
  <c r="GU174" i="3"/>
  <c r="GU172" i="3"/>
  <c r="GU24" i="3"/>
  <c r="GU19" i="3"/>
  <c r="GU12" i="3"/>
  <c r="EP296" i="2"/>
  <c r="EP297" i="2"/>
  <c r="GP48" i="3"/>
  <c r="GI190" i="2"/>
  <c r="EO163" i="2"/>
  <c r="EO162" i="2"/>
  <c r="EO4" i="2"/>
  <c r="EO156" i="2"/>
  <c r="EO160" i="2"/>
  <c r="EO148" i="2"/>
  <c r="EO120" i="2"/>
  <c r="EO116" i="2"/>
  <c r="EO112" i="2"/>
  <c r="EO108" i="2"/>
  <c r="EO136" i="2"/>
  <c r="EO152" i="2"/>
  <c r="EO144" i="2"/>
  <c r="EO128" i="2"/>
  <c r="EO132" i="2"/>
  <c r="EQ137" i="2"/>
  <c r="EP420" i="2"/>
  <c r="EE96" i="2"/>
  <c r="EE97" i="2"/>
  <c r="EE95" i="2"/>
  <c r="EW301" i="2"/>
  <c r="EV303" i="2"/>
  <c r="EV254" i="2"/>
  <c r="EE76" i="2"/>
  <c r="GX94" i="3"/>
  <c r="GY94" i="3"/>
  <c r="GS16" i="3"/>
  <c r="GS17" i="3" s="1"/>
  <c r="GR69" i="3"/>
  <c r="GS69" i="3" s="1"/>
  <c r="GS70" i="3"/>
  <c r="ET251" i="2"/>
  <c r="ET252" i="2"/>
  <c r="ET125" i="2"/>
  <c r="EO140" i="2"/>
  <c r="GR84" i="3"/>
  <c r="GR17" i="3"/>
  <c r="GQ106" i="3"/>
  <c r="GQ63" i="3"/>
  <c r="EF76" i="2" s="1"/>
  <c r="GQ47" i="3"/>
  <c r="GQ48" i="3" s="1"/>
  <c r="GQ50" i="3"/>
  <c r="GQ43" i="3"/>
  <c r="EF79" i="2"/>
  <c r="GQ56" i="3"/>
  <c r="EF66" i="2" s="1"/>
  <c r="GG58" i="2"/>
  <c r="GG56" i="2"/>
  <c r="GG57" i="2"/>
  <c r="EK26" i="2"/>
  <c r="GH26" i="2" s="1"/>
  <c r="EI12" i="2"/>
  <c r="EI13" i="2"/>
  <c r="EI18" i="2"/>
  <c r="EI11" i="2"/>
  <c r="EN156" i="2"/>
  <c r="EN163" i="2"/>
  <c r="EN162" i="2"/>
  <c r="EN4" i="2"/>
  <c r="EN160" i="2"/>
  <c r="EN148" i="2"/>
  <c r="EN120" i="2"/>
  <c r="EN112" i="2"/>
  <c r="EN116" i="2"/>
  <c r="EN108" i="2"/>
  <c r="EN136" i="2"/>
  <c r="EN152" i="2"/>
  <c r="EN144" i="2"/>
  <c r="EN128" i="2"/>
  <c r="EN132" i="2"/>
  <c r="EN140" i="2"/>
  <c r="EP190" i="2"/>
  <c r="EP189" i="2"/>
  <c r="GQ162" i="3"/>
  <c r="EN457" i="2"/>
  <c r="EN415" i="2"/>
  <c r="EN414" i="2"/>
  <c r="EN413" i="2"/>
  <c r="GI132" i="2"/>
  <c r="ET307" i="2"/>
  <c r="ES309" i="2"/>
  <c r="ES262" i="2"/>
  <c r="GQ108" i="3"/>
  <c r="EH57" i="2"/>
  <c r="EH56" i="2"/>
  <c r="EH55" i="2"/>
  <c r="EH58" i="2"/>
  <c r="EI52" i="2"/>
  <c r="EI54" i="2"/>
  <c r="EI49" i="2"/>
  <c r="EI50" i="2"/>
  <c r="EI51" i="2"/>
  <c r="GI124" i="2"/>
  <c r="GY154" i="3"/>
  <c r="GQ166" i="3"/>
  <c r="ES127" i="2"/>
  <c r="ES126" i="2"/>
  <c r="GT13" i="3"/>
  <c r="GT16" i="3"/>
  <c r="EQ295" i="2"/>
  <c r="EQ248" i="2"/>
  <c r="EQ247" i="2"/>
  <c r="EQ188" i="2"/>
  <c r="GQ155" i="3"/>
  <c r="EP140" i="2" l="1"/>
  <c r="GR42" i="3"/>
  <c r="GR63" i="3" s="1"/>
  <c r="EG76" i="2" s="1"/>
  <c r="GG76" i="2" s="1"/>
  <c r="GG78" i="2" s="1"/>
  <c r="GH28" i="2"/>
  <c r="GH31" i="2"/>
  <c r="GH29" i="2"/>
  <c r="ES264" i="2"/>
  <c r="ES263" i="2"/>
  <c r="ES129" i="2"/>
  <c r="GJ129" i="2" s="1"/>
  <c r="GJ262" i="2"/>
  <c r="ES246" i="2"/>
  <c r="GJ246" i="2" s="1"/>
  <c r="EF80" i="2"/>
  <c r="EF81" i="2"/>
  <c r="GU13" i="3"/>
  <c r="GU16" i="3"/>
  <c r="ER131" i="2"/>
  <c r="ER130" i="2"/>
  <c r="EO415" i="2"/>
  <c r="EO414" i="2"/>
  <c r="EO413" i="2"/>
  <c r="EO457" i="2"/>
  <c r="GI412" i="2"/>
  <c r="GT69" i="3"/>
  <c r="GR50" i="3"/>
  <c r="GS50" i="3" s="1"/>
  <c r="GS52" i="3" s="1"/>
  <c r="GG69" i="2" s="1"/>
  <c r="GG71" i="2" s="1"/>
  <c r="EL26" i="2"/>
  <c r="GP65" i="3"/>
  <c r="GP66" i="3"/>
  <c r="EE69" i="2"/>
  <c r="EN460" i="2"/>
  <c r="EN458" i="2"/>
  <c r="EN459" i="2"/>
  <c r="GR156" i="3"/>
  <c r="GS156" i="3" s="1"/>
  <c r="GS84" i="3"/>
  <c r="EG94" i="2"/>
  <c r="EW303" i="2"/>
  <c r="EW254" i="2"/>
  <c r="ER137" i="2"/>
  <c r="ER121" i="2" s="1"/>
  <c r="EQ420" i="2"/>
  <c r="EJ52" i="2"/>
  <c r="EJ54" i="2"/>
  <c r="EJ49" i="2"/>
  <c r="EJ51" i="2"/>
  <c r="EJ50" i="2"/>
  <c r="EQ296" i="2"/>
  <c r="EQ297" i="2"/>
  <c r="EU307" i="2"/>
  <c r="ET309" i="2"/>
  <c r="ET262" i="2"/>
  <c r="GQ52" i="3"/>
  <c r="EF72" i="2"/>
  <c r="GU173" i="3"/>
  <c r="GU175" i="3"/>
  <c r="GU70" i="3"/>
  <c r="GU69" i="3" s="1"/>
  <c r="GU32" i="3"/>
  <c r="GU167" i="3" s="1"/>
  <c r="GU25" i="3"/>
  <c r="GR108" i="3"/>
  <c r="GS108" i="3" s="1"/>
  <c r="EU251" i="2"/>
  <c r="EU252" i="2"/>
  <c r="EU125" i="2"/>
  <c r="EQ121" i="2"/>
  <c r="GV174" i="3"/>
  <c r="GV172" i="3"/>
  <c r="GV24" i="3"/>
  <c r="GV19" i="3"/>
  <c r="GV12" i="3"/>
  <c r="EI58" i="2"/>
  <c r="EI56" i="2"/>
  <c r="EI55" i="2"/>
  <c r="EI57" i="2"/>
  <c r="HA9" i="3"/>
  <c r="HA161" i="3" s="1"/>
  <c r="EN358" i="2"/>
  <c r="EN261" i="2"/>
  <c r="EN5" i="2"/>
  <c r="EN6" i="2"/>
  <c r="EN89" i="2"/>
  <c r="EN342" i="2"/>
  <c r="EN17" i="2"/>
  <c r="EN44" i="2"/>
  <c r="EN62" i="2"/>
  <c r="EN206" i="2"/>
  <c r="EN202" i="2"/>
  <c r="EN330" i="2"/>
  <c r="EN35" i="2"/>
  <c r="EN198" i="2"/>
  <c r="EN40" i="2"/>
  <c r="EN324" i="2"/>
  <c r="EN318" i="2"/>
  <c r="EN269" i="2"/>
  <c r="EN362" i="2"/>
  <c r="EN354" i="2"/>
  <c r="EN257" i="2"/>
  <c r="EN253" i="2"/>
  <c r="EN265" i="2"/>
  <c r="EN249" i="2"/>
  <c r="EN191" i="2"/>
  <c r="EE78" i="2"/>
  <c r="EE77" i="2"/>
  <c r="HB9" i="3"/>
  <c r="EO358" i="2"/>
  <c r="EO261" i="2"/>
  <c r="EO5" i="2"/>
  <c r="EO6" i="2"/>
  <c r="EO89" i="2"/>
  <c r="EO342" i="2"/>
  <c r="EO62" i="2"/>
  <c r="EO44" i="2"/>
  <c r="EO17" i="2"/>
  <c r="EO202" i="2"/>
  <c r="EO206" i="2"/>
  <c r="EO40" i="2"/>
  <c r="EO35" i="2"/>
  <c r="EO198" i="2"/>
  <c r="EO330" i="2"/>
  <c r="EO324" i="2"/>
  <c r="EO269" i="2"/>
  <c r="EO318" i="2"/>
  <c r="EO362" i="2"/>
  <c r="EO354" i="2"/>
  <c r="EO257" i="2"/>
  <c r="EO253" i="2"/>
  <c r="EO265" i="2"/>
  <c r="EO249" i="2"/>
  <c r="EO191" i="2"/>
  <c r="GZ137" i="3"/>
  <c r="GZ94" i="3" s="1"/>
  <c r="GZ78" i="3"/>
  <c r="GZ39" i="3"/>
  <c r="GZ37" i="3"/>
  <c r="GZ31" i="3"/>
  <c r="GZ29" i="3"/>
  <c r="GZ27" i="3"/>
  <c r="GZ11" i="3"/>
  <c r="GZ10" i="3"/>
  <c r="GZ41" i="3"/>
  <c r="GZ23" i="3"/>
  <c r="GZ15" i="3"/>
  <c r="GZ21" i="3"/>
  <c r="GZ161" i="3"/>
  <c r="GT168" i="3"/>
  <c r="GT45" i="3"/>
  <c r="GT34" i="3"/>
  <c r="GT33" i="3"/>
  <c r="GT167" i="3"/>
  <c r="GR158" i="3"/>
  <c r="GS158" i="3" s="1"/>
  <c r="GP143" i="3"/>
  <c r="GQ97" i="3"/>
  <c r="GP152" i="3"/>
  <c r="GP151" i="3"/>
  <c r="GP150" i="3"/>
  <c r="GP98" i="3"/>
  <c r="GP160" i="3"/>
  <c r="EJ18" i="2"/>
  <c r="EJ12" i="2"/>
  <c r="EJ11" i="2"/>
  <c r="EJ13" i="2"/>
  <c r="GT84" i="3"/>
  <c r="GT17" i="3"/>
  <c r="EF77" i="2"/>
  <c r="EF78" i="2"/>
  <c r="GR162" i="3"/>
  <c r="GS162" i="3" s="1"/>
  <c r="EM29" i="2"/>
  <c r="EF96" i="2"/>
  <c r="EF97" i="2"/>
  <c r="EF95" i="2"/>
  <c r="EU299" i="2"/>
  <c r="EU300" i="2"/>
  <c r="HF88" i="3"/>
  <c r="GP132" i="3"/>
  <c r="EE90" i="2" s="1"/>
  <c r="GP126" i="3"/>
  <c r="EP163" i="2"/>
  <c r="EP162" i="2"/>
  <c r="EP4" i="2"/>
  <c r="EP156" i="2"/>
  <c r="EP160" i="2"/>
  <c r="EP148" i="2"/>
  <c r="EP120" i="2"/>
  <c r="EP116" i="2"/>
  <c r="EP112" i="2"/>
  <c r="EP108" i="2"/>
  <c r="EP136" i="2"/>
  <c r="EP152" i="2"/>
  <c r="EP144" i="2"/>
  <c r="EP128" i="2"/>
  <c r="EP132" i="2"/>
  <c r="GW18" i="3"/>
  <c r="EK28" i="2"/>
  <c r="EK48" i="2"/>
  <c r="EK31" i="2"/>
  <c r="EK27" i="2"/>
  <c r="EK10" i="2"/>
  <c r="EI21" i="2"/>
  <c r="EI19" i="2"/>
  <c r="EI20" i="2"/>
  <c r="EQ190" i="2"/>
  <c r="EQ189" i="2"/>
  <c r="EF68" i="2"/>
  <c r="EF67" i="2"/>
  <c r="GQ110" i="3"/>
  <c r="ET127" i="2"/>
  <c r="ET126" i="2"/>
  <c r="EV298" i="2"/>
  <c r="EV256" i="2"/>
  <c r="EV255" i="2"/>
  <c r="EV250" i="2"/>
  <c r="EP422" i="2"/>
  <c r="EP421" i="2"/>
  <c r="EP412" i="2"/>
  <c r="GI4" i="2"/>
  <c r="ER248" i="2"/>
  <c r="ER295" i="2"/>
  <c r="ER247" i="2"/>
  <c r="ER188" i="2"/>
  <c r="GI423" i="2"/>
  <c r="GI422" i="2"/>
  <c r="EE73" i="2"/>
  <c r="EE74" i="2"/>
  <c r="GR155" i="3"/>
  <c r="GS155" i="3" s="1"/>
  <c r="GR106" i="3" l="1"/>
  <c r="GS106" i="3" s="1"/>
  <c r="GR56" i="3"/>
  <c r="EG66" i="2" s="1"/>
  <c r="EG68" i="2" s="1"/>
  <c r="EG79" i="2"/>
  <c r="GG79" i="2" s="1"/>
  <c r="GG81" i="2" s="1"/>
  <c r="GR43" i="3"/>
  <c r="GR47" i="3"/>
  <c r="GR48" i="3" s="1"/>
  <c r="GS42" i="3"/>
  <c r="GR166" i="3"/>
  <c r="GS166" i="3" s="1"/>
  <c r="GJ295" i="2"/>
  <c r="GJ297" i="2" s="1"/>
  <c r="GJ248" i="2"/>
  <c r="ER297" i="2"/>
  <c r="ER296" i="2"/>
  <c r="EK54" i="2"/>
  <c r="EK49" i="2"/>
  <c r="EK51" i="2"/>
  <c r="EK50" i="2"/>
  <c r="EK52" i="2"/>
  <c r="EJ19" i="2"/>
  <c r="EJ20" i="2"/>
  <c r="EJ21" i="2"/>
  <c r="GQ143" i="3"/>
  <c r="GR97" i="3"/>
  <c r="GQ152" i="3"/>
  <c r="GQ98" i="3"/>
  <c r="GQ151" i="3"/>
  <c r="GQ150" i="3"/>
  <c r="GQ160" i="3"/>
  <c r="HC9" i="3"/>
  <c r="GV175" i="3"/>
  <c r="GV173" i="3"/>
  <c r="GV70" i="3"/>
  <c r="GV69" i="3" s="1"/>
  <c r="GV32" i="3"/>
  <c r="GV167" i="3" s="1"/>
  <c r="GV25" i="3"/>
  <c r="EU127" i="2"/>
  <c r="EU126" i="2"/>
  <c r="EF73" i="2"/>
  <c r="EF74" i="2"/>
  <c r="EE71" i="2"/>
  <c r="EE70" i="2"/>
  <c r="EG80" i="2"/>
  <c r="ER123" i="2"/>
  <c r="ER122" i="2"/>
  <c r="ER161" i="2"/>
  <c r="ER124" i="2" s="1"/>
  <c r="HH89" i="3"/>
  <c r="HG88" i="3"/>
  <c r="HH88" i="3" s="1"/>
  <c r="GT156" i="3"/>
  <c r="EH94" i="2"/>
  <c r="GU168" i="3"/>
  <c r="GU34" i="3"/>
  <c r="GU42" i="3" s="1"/>
  <c r="GU33" i="3"/>
  <c r="GU45" i="3"/>
  <c r="GQ66" i="3"/>
  <c r="GQ65" i="3"/>
  <c r="EF69" i="2"/>
  <c r="EJ58" i="2"/>
  <c r="EJ57" i="2"/>
  <c r="EJ56" i="2"/>
  <c r="EJ55" i="2"/>
  <c r="EW255" i="2"/>
  <c r="EW298" i="2"/>
  <c r="EW256" i="2"/>
  <c r="EW250" i="2"/>
  <c r="GK250" i="2" s="1"/>
  <c r="GK254" i="2"/>
  <c r="GI414" i="2"/>
  <c r="GI415" i="2"/>
  <c r="GJ131" i="2"/>
  <c r="ES131" i="2"/>
  <c r="ES130" i="2"/>
  <c r="GT155" i="3"/>
  <c r="EO460" i="2"/>
  <c r="EO458" i="2"/>
  <c r="EO459" i="2"/>
  <c r="GI457" i="2"/>
  <c r="EV299" i="2"/>
  <c r="EV300" i="2"/>
  <c r="ER190" i="2"/>
  <c r="ER189" i="2"/>
  <c r="GZ154" i="3"/>
  <c r="HB137" i="3"/>
  <c r="HB78" i="3"/>
  <c r="HB39" i="3"/>
  <c r="HB37" i="3"/>
  <c r="HB31" i="3"/>
  <c r="HB11" i="3"/>
  <c r="HB10" i="3"/>
  <c r="HB27" i="3"/>
  <c r="HB29" i="3"/>
  <c r="HB41" i="3"/>
  <c r="HB23" i="3"/>
  <c r="HB15" i="3"/>
  <c r="HB21" i="3"/>
  <c r="ET264" i="2"/>
  <c r="ET263" i="2"/>
  <c r="ET129" i="2"/>
  <c r="ET246" i="2"/>
  <c r="GH48" i="2"/>
  <c r="GT108" i="3"/>
  <c r="GY18" i="3"/>
  <c r="EL48" i="2"/>
  <c r="EL28" i="2"/>
  <c r="EL27" i="2"/>
  <c r="EL31" i="2"/>
  <c r="EL10" i="2"/>
  <c r="EG78" i="2"/>
  <c r="EG77" i="2"/>
  <c r="GI6" i="2"/>
  <c r="GI358" i="2"/>
  <c r="GI261" i="2"/>
  <c r="GI89" i="2"/>
  <c r="GI342" i="2"/>
  <c r="GI62" i="2"/>
  <c r="GI206" i="2"/>
  <c r="GI330" i="2"/>
  <c r="GI202" i="2"/>
  <c r="GI40" i="2"/>
  <c r="GI35" i="2"/>
  <c r="GI44" i="2"/>
  <c r="GI17" i="2"/>
  <c r="GI198" i="2"/>
  <c r="GI324" i="2"/>
  <c r="GI269" i="2"/>
  <c r="GI318" i="2"/>
  <c r="GI362" i="2"/>
  <c r="GI354" i="2"/>
  <c r="GI257" i="2"/>
  <c r="GI253" i="2"/>
  <c r="GI265" i="2"/>
  <c r="GI249" i="2"/>
  <c r="GI191" i="2"/>
  <c r="GW172" i="3"/>
  <c r="GW174" i="3"/>
  <c r="GW19" i="3"/>
  <c r="GW24" i="3"/>
  <c r="GW12" i="3"/>
  <c r="GX18" i="3"/>
  <c r="EM26" i="2"/>
  <c r="HD9" i="3"/>
  <c r="EP358" i="2"/>
  <c r="EP5" i="2"/>
  <c r="EP6" i="2"/>
  <c r="EP89" i="2"/>
  <c r="EP261" i="2"/>
  <c r="EP342" i="2"/>
  <c r="EP206" i="2"/>
  <c r="EP202" i="2"/>
  <c r="EP44" i="2"/>
  <c r="EP17" i="2"/>
  <c r="EP62" i="2"/>
  <c r="EP35" i="2"/>
  <c r="EP40" i="2"/>
  <c r="EP198" i="2"/>
  <c r="EP330" i="2"/>
  <c r="EP324" i="2"/>
  <c r="EP318" i="2"/>
  <c r="EP269" i="2"/>
  <c r="EP362" i="2"/>
  <c r="EP354" i="2"/>
  <c r="EP257" i="2"/>
  <c r="EP253" i="2"/>
  <c r="EP265" i="2"/>
  <c r="EP249" i="2"/>
  <c r="EP191" i="2"/>
  <c r="GT42" i="3"/>
  <c r="HB161" i="3"/>
  <c r="HC161" i="3" s="1"/>
  <c r="GV13" i="3"/>
  <c r="GV16" i="3"/>
  <c r="EQ123" i="2"/>
  <c r="EQ122" i="2"/>
  <c r="EQ161" i="2"/>
  <c r="EQ124" i="2" s="1"/>
  <c r="EQ422" i="2"/>
  <c r="EQ421" i="2"/>
  <c r="EQ412" i="2"/>
  <c r="GR52" i="3"/>
  <c r="EG72" i="2"/>
  <c r="ES295" i="2"/>
  <c r="ES248" i="2"/>
  <c r="ES247" i="2"/>
  <c r="ES188" i="2"/>
  <c r="GJ188" i="2" s="1"/>
  <c r="EV251" i="2"/>
  <c r="EV252" i="2"/>
  <c r="EV125" i="2"/>
  <c r="GQ132" i="3"/>
  <c r="EF90" i="2" s="1"/>
  <c r="GQ126" i="3"/>
  <c r="GQ130" i="3" s="1"/>
  <c r="EK18" i="2"/>
  <c r="EK12" i="2"/>
  <c r="EK11" i="2"/>
  <c r="EK13" i="2"/>
  <c r="GH10" i="2"/>
  <c r="GP130" i="3"/>
  <c r="GP129" i="3" s="1"/>
  <c r="GP75" i="3"/>
  <c r="EP414" i="2"/>
  <c r="EP413" i="2"/>
  <c r="EP457" i="2"/>
  <c r="EP415" i="2"/>
  <c r="EE93" i="2"/>
  <c r="HA137" i="3"/>
  <c r="HA94" i="3" s="1"/>
  <c r="HA78" i="3"/>
  <c r="HA39" i="3"/>
  <c r="HA37" i="3"/>
  <c r="HA31" i="3"/>
  <c r="HA11" i="3"/>
  <c r="HA10" i="3"/>
  <c r="HA27" i="3"/>
  <c r="HA29" i="3"/>
  <c r="HA41" i="3"/>
  <c r="HA23" i="3"/>
  <c r="HA21" i="3"/>
  <c r="HA15" i="3"/>
  <c r="GS63" i="3"/>
  <c r="EU309" i="2"/>
  <c r="EV307" i="2"/>
  <c r="EU262" i="2"/>
  <c r="ES137" i="2"/>
  <c r="ER420" i="2"/>
  <c r="EG97" i="2"/>
  <c r="EG95" i="2"/>
  <c r="EG96" i="2"/>
  <c r="EN29" i="2"/>
  <c r="GR110" i="3"/>
  <c r="GU84" i="3"/>
  <c r="GU108" i="3" s="1"/>
  <c r="GU17" i="3"/>
  <c r="GJ307" i="2"/>
  <c r="GJ309" i="2" s="1"/>
  <c r="GJ264" i="2"/>
  <c r="EG81" i="2" l="1"/>
  <c r="GS47" i="3"/>
  <c r="GS48" i="3" s="1"/>
  <c r="EG67" i="2"/>
  <c r="ER140" i="2"/>
  <c r="GS43" i="3"/>
  <c r="GS56" i="3"/>
  <c r="GG66" i="2" s="1"/>
  <c r="GG68" i="2" s="1"/>
  <c r="HB94" i="3"/>
  <c r="EN26" i="2"/>
  <c r="ES190" i="2"/>
  <c r="ES189" i="2"/>
  <c r="GR66" i="3"/>
  <c r="GR65" i="3"/>
  <c r="EG69" i="2"/>
  <c r="GT106" i="3"/>
  <c r="GT50" i="3"/>
  <c r="GT63" i="3"/>
  <c r="GT47" i="3"/>
  <c r="GT43" i="3"/>
  <c r="EH79" i="2"/>
  <c r="GT56" i="3"/>
  <c r="EH66" i="2" s="1"/>
  <c r="GT158" i="3"/>
  <c r="GU158" i="3"/>
  <c r="GU162" i="3"/>
  <c r="GT166" i="3"/>
  <c r="GT162" i="3"/>
  <c r="GU166" i="3"/>
  <c r="GZ18" i="3"/>
  <c r="EM48" i="2"/>
  <c r="EM31" i="2"/>
  <c r="EM27" i="2"/>
  <c r="EM28" i="2"/>
  <c r="EM10" i="2"/>
  <c r="GU106" i="3"/>
  <c r="GU110" i="3" s="1"/>
  <c r="GU50" i="3"/>
  <c r="GU63" i="3"/>
  <c r="EI76" i="2" s="1"/>
  <c r="GU43" i="3"/>
  <c r="GU47" i="3"/>
  <c r="GU48" i="3" s="1"/>
  <c r="EI79" i="2"/>
  <c r="GU56" i="3"/>
  <c r="EI66" i="2" s="1"/>
  <c r="GJ190" i="2"/>
  <c r="EV127" i="2"/>
  <c r="EV126" i="2"/>
  <c r="EQ414" i="2"/>
  <c r="EQ413" i="2"/>
  <c r="EQ457" i="2"/>
  <c r="EQ415" i="2"/>
  <c r="GH52" i="2"/>
  <c r="GH50" i="2"/>
  <c r="GH51" i="2"/>
  <c r="GK256" i="2"/>
  <c r="GK298" i="2"/>
  <c r="GK300" i="2" s="1"/>
  <c r="GK301" i="2"/>
  <c r="GK303" i="2" s="1"/>
  <c r="HC39" i="3"/>
  <c r="HC37" i="3"/>
  <c r="HC31" i="3"/>
  <c r="HC11" i="3"/>
  <c r="HC27" i="3"/>
  <c r="HC29" i="3"/>
  <c r="HC41" i="3"/>
  <c r="HC23" i="3"/>
  <c r="HC15" i="3"/>
  <c r="HC21" i="3"/>
  <c r="GR143" i="3"/>
  <c r="GS143" i="3" s="1"/>
  <c r="GS97" i="3"/>
  <c r="GR152" i="3"/>
  <c r="GS152" i="3" s="1"/>
  <c r="GR98" i="3"/>
  <c r="GR151" i="3"/>
  <c r="GS151" i="3" s="1"/>
  <c r="GR150" i="3"/>
  <c r="GS150" i="3" s="1"/>
  <c r="GR160" i="3"/>
  <c r="GS160" i="3" s="1"/>
  <c r="GP77" i="3"/>
  <c r="GQ75" i="3"/>
  <c r="EK21" i="2"/>
  <c r="EK20" i="2"/>
  <c r="EK19" i="2"/>
  <c r="GX172" i="3"/>
  <c r="GX174" i="3"/>
  <c r="GX19" i="3"/>
  <c r="ET247" i="2"/>
  <c r="ET295" i="2"/>
  <c r="ET248" i="2"/>
  <c r="ET188" i="2"/>
  <c r="EO29" i="2"/>
  <c r="EW252" i="2"/>
  <c r="EW251" i="2"/>
  <c r="EW125" i="2"/>
  <c r="HA154" i="3"/>
  <c r="GR132" i="3"/>
  <c r="EG90" i="2" s="1"/>
  <c r="GR126" i="3"/>
  <c r="EP458" i="2"/>
  <c r="EP460" i="2"/>
  <c r="EP459" i="2"/>
  <c r="GW13" i="3"/>
  <c r="GW16" i="3"/>
  <c r="GX16" i="3" s="1"/>
  <c r="GX17" i="3" s="1"/>
  <c r="GX12" i="3"/>
  <c r="GX13" i="3" s="1"/>
  <c r="HC78" i="3"/>
  <c r="HB154" i="3"/>
  <c r="HC154" i="3" s="1"/>
  <c r="GV168" i="3"/>
  <c r="GV45" i="3"/>
  <c r="GV34" i="3"/>
  <c r="GV42" i="3" s="1"/>
  <c r="GV33" i="3"/>
  <c r="ET137" i="2"/>
  <c r="ET121" i="2" s="1"/>
  <c r="ES420" i="2"/>
  <c r="GJ420" i="2" s="1"/>
  <c r="EU263" i="2"/>
  <c r="EU264" i="2"/>
  <c r="EU129" i="2"/>
  <c r="EU246" i="2"/>
  <c r="GV84" i="3"/>
  <c r="GV108" i="3" s="1"/>
  <c r="GV17" i="3"/>
  <c r="GH12" i="2"/>
  <c r="GH13" i="2"/>
  <c r="EF93" i="2"/>
  <c r="EF92" i="2"/>
  <c r="GW175" i="3"/>
  <c r="GW173" i="3"/>
  <c r="GW70" i="3"/>
  <c r="GW32" i="3"/>
  <c r="GX32" i="3" s="1"/>
  <c r="GW25" i="3"/>
  <c r="GX24" i="3"/>
  <c r="EL54" i="2"/>
  <c r="EL49" i="2"/>
  <c r="EL51" i="2"/>
  <c r="EL50" i="2"/>
  <c r="EL52" i="2"/>
  <c r="ET131" i="2"/>
  <c r="ET130" i="2"/>
  <c r="ES121" i="2"/>
  <c r="EW300" i="2"/>
  <c r="EW299" i="2"/>
  <c r="HI88" i="3"/>
  <c r="EK57" i="2"/>
  <c r="EK56" i="2"/>
  <c r="EK55" i="2"/>
  <c r="EK58" i="2"/>
  <c r="GH54" i="2"/>
  <c r="ER421" i="2"/>
  <c r="ER422" i="2"/>
  <c r="ER412" i="2"/>
  <c r="GQ128" i="3"/>
  <c r="GQ129" i="3" s="1"/>
  <c r="ES297" i="2"/>
  <c r="ES296" i="2"/>
  <c r="EV309" i="2"/>
  <c r="EW307" i="2"/>
  <c r="EV262" i="2"/>
  <c r="EI94" i="2"/>
  <c r="GU156" i="3"/>
  <c r="GU155" i="3"/>
  <c r="GJ137" i="2"/>
  <c r="GK252" i="2"/>
  <c r="EG74" i="2"/>
  <c r="EG73" i="2"/>
  <c r="GG72" i="2"/>
  <c r="GG74" i="2" s="1"/>
  <c r="EQ163" i="2"/>
  <c r="EQ162" i="2"/>
  <c r="EQ4" i="2"/>
  <c r="EQ156" i="2"/>
  <c r="EQ160" i="2"/>
  <c r="EQ148" i="2"/>
  <c r="EQ120" i="2"/>
  <c r="EQ116" i="2"/>
  <c r="EQ112" i="2"/>
  <c r="EQ136" i="2"/>
  <c r="EQ108" i="2"/>
  <c r="EQ152" i="2"/>
  <c r="EQ144" i="2"/>
  <c r="EQ128" i="2"/>
  <c r="EQ132" i="2"/>
  <c r="EQ140" i="2"/>
  <c r="HD137" i="3"/>
  <c r="HD78" i="3"/>
  <c r="HD39" i="3"/>
  <c r="HD37" i="3"/>
  <c r="HD31" i="3"/>
  <c r="HD29" i="3"/>
  <c r="HD27" i="3"/>
  <c r="HD10" i="3"/>
  <c r="HD11" i="3"/>
  <c r="HD41" i="3"/>
  <c r="HD23" i="3"/>
  <c r="HD15" i="3"/>
  <c r="HD21" i="3"/>
  <c r="HD161" i="3"/>
  <c r="EL13" i="2"/>
  <c r="EL18" i="2"/>
  <c r="EL12" i="2"/>
  <c r="EL11" i="2"/>
  <c r="GY172" i="3"/>
  <c r="GY174" i="3"/>
  <c r="GY24" i="3"/>
  <c r="GY19" i="3"/>
  <c r="GY12" i="3"/>
  <c r="GI459" i="2"/>
  <c r="GI460" i="2"/>
  <c r="GI458" i="2"/>
  <c r="EF71" i="2"/>
  <c r="EF70" i="2"/>
  <c r="EH95" i="2"/>
  <c r="EH96" i="2"/>
  <c r="EH97" i="2"/>
  <c r="ER156" i="2"/>
  <c r="ER163" i="2"/>
  <c r="ER162" i="2"/>
  <c r="ER4" i="2"/>
  <c r="ER160" i="2"/>
  <c r="ER148" i="2"/>
  <c r="ER120" i="2"/>
  <c r="ER116" i="2"/>
  <c r="ER112" i="2"/>
  <c r="ER108" i="2"/>
  <c r="ER136" i="2"/>
  <c r="ER152" i="2"/>
  <c r="ER144" i="2"/>
  <c r="ER128" i="2"/>
  <c r="ER132" i="2"/>
  <c r="GS110" i="3"/>
  <c r="GV155" i="3" l="1"/>
  <c r="HD154" i="3"/>
  <c r="GY13" i="3"/>
  <c r="GY16" i="3"/>
  <c r="HE9" i="3"/>
  <c r="EQ358" i="2"/>
  <c r="EQ6" i="2"/>
  <c r="EQ5" i="2"/>
  <c r="EQ89" i="2"/>
  <c r="EQ261" i="2"/>
  <c r="EQ342" i="2"/>
  <c r="EQ202" i="2"/>
  <c r="EQ44" i="2"/>
  <c r="EQ62" i="2"/>
  <c r="EQ17" i="2"/>
  <c r="EQ206" i="2"/>
  <c r="EQ330" i="2"/>
  <c r="EQ40" i="2"/>
  <c r="EQ35" i="2"/>
  <c r="EQ198" i="2"/>
  <c r="EQ324" i="2"/>
  <c r="EQ269" i="2"/>
  <c r="EQ318" i="2"/>
  <c r="EQ362" i="2"/>
  <c r="EQ354" i="2"/>
  <c r="EQ257" i="2"/>
  <c r="EQ253" i="2"/>
  <c r="EQ265" i="2"/>
  <c r="EQ249" i="2"/>
  <c r="EQ191" i="2"/>
  <c r="EW309" i="2"/>
  <c r="EW262" i="2"/>
  <c r="GJ423" i="2"/>
  <c r="GJ422" i="2"/>
  <c r="EL57" i="2"/>
  <c r="EL56" i="2"/>
  <c r="EL55" i="2"/>
  <c r="EL58" i="2"/>
  <c r="EU137" i="2"/>
  <c r="EU121" i="2" s="1"/>
  <c r="ET420" i="2"/>
  <c r="EP29" i="2"/>
  <c r="EO26" i="2"/>
  <c r="ET297" i="2"/>
  <c r="ET296" i="2"/>
  <c r="EQ459" i="2"/>
  <c r="EQ458" i="2"/>
  <c r="EQ460" i="2"/>
  <c r="EI68" i="2"/>
  <c r="EI67" i="2"/>
  <c r="GU132" i="3"/>
  <c r="EI90" i="2" s="1"/>
  <c r="GU126" i="3"/>
  <c r="GU130" i="3" s="1"/>
  <c r="GV158" i="3"/>
  <c r="EH76" i="2"/>
  <c r="EI77" i="2" s="1"/>
  <c r="ER457" i="2"/>
  <c r="ER413" i="2"/>
  <c r="ER415" i="2"/>
  <c r="ER414" i="2"/>
  <c r="ES123" i="2"/>
  <c r="ES122" i="2"/>
  <c r="ES161" i="2"/>
  <c r="GJ121" i="2"/>
  <c r="GX173" i="3"/>
  <c r="GX175" i="3"/>
  <c r="GX25" i="3"/>
  <c r="EU131" i="2"/>
  <c r="EU130" i="2"/>
  <c r="EW127" i="2"/>
  <c r="EW126" i="2"/>
  <c r="EI81" i="2"/>
  <c r="EI80" i="2"/>
  <c r="EH68" i="2"/>
  <c r="EH67" i="2"/>
  <c r="GT52" i="3"/>
  <c r="EH72" i="2"/>
  <c r="HD94" i="3"/>
  <c r="HC94" i="3"/>
  <c r="GX33" i="3"/>
  <c r="GX45" i="3"/>
  <c r="GW84" i="3"/>
  <c r="GW155" i="3" s="1"/>
  <c r="GX155" i="3" s="1"/>
  <c r="GW17" i="3"/>
  <c r="GR130" i="3"/>
  <c r="GS126" i="3"/>
  <c r="GS130" i="3" s="1"/>
  <c r="GS129" i="3" s="1"/>
  <c r="ET190" i="2"/>
  <c r="ET189" i="2"/>
  <c r="EH80" i="2"/>
  <c r="EH81" i="2"/>
  <c r="GT110" i="3"/>
  <c r="GY173" i="3"/>
  <c r="GY175" i="3"/>
  <c r="GY70" i="3"/>
  <c r="GY25" i="3"/>
  <c r="GY32" i="3"/>
  <c r="EL20" i="2"/>
  <c r="EL19" i="2"/>
  <c r="EL21" i="2"/>
  <c r="EI95" i="2"/>
  <c r="EI96" i="2"/>
  <c r="EI97" i="2"/>
  <c r="GW168" i="3"/>
  <c r="GX168" i="3" s="1"/>
  <c r="GW45" i="3"/>
  <c r="GW34" i="3"/>
  <c r="GW42" i="3" s="1"/>
  <c r="GW33" i="3"/>
  <c r="EJ94" i="2"/>
  <c r="GW108" i="3"/>
  <c r="GX108" i="3" s="1"/>
  <c r="GV156" i="3"/>
  <c r="GV106" i="3"/>
  <c r="GV110" i="3" s="1"/>
  <c r="GV43" i="3"/>
  <c r="GV63" i="3"/>
  <c r="EJ76" i="2" s="1"/>
  <c r="GV47" i="3"/>
  <c r="GV48" i="3" s="1"/>
  <c r="GV50" i="3"/>
  <c r="EJ79" i="2"/>
  <c r="GV56" i="3"/>
  <c r="EJ66" i="2" s="1"/>
  <c r="GW167" i="3"/>
  <c r="GX167" i="3" s="1"/>
  <c r="EG93" i="2"/>
  <c r="GG90" i="2"/>
  <c r="GR75" i="3"/>
  <c r="GQ77" i="3"/>
  <c r="GK125" i="2"/>
  <c r="EM51" i="2"/>
  <c r="EM50" i="2"/>
  <c r="EM52" i="2"/>
  <c r="EM54" i="2"/>
  <c r="EM49" i="2"/>
  <c r="GV162" i="3"/>
  <c r="EG71" i="2"/>
  <c r="EG70" i="2"/>
  <c r="GS132" i="3"/>
  <c r="GS111" i="3"/>
  <c r="HF9" i="3"/>
  <c r="ER358" i="2"/>
  <c r="ER6" i="2"/>
  <c r="ER5" i="2"/>
  <c r="ER261" i="2"/>
  <c r="ER89" i="2"/>
  <c r="ER342" i="2"/>
  <c r="ER202" i="2"/>
  <c r="ER62" i="2"/>
  <c r="ER206" i="2"/>
  <c r="ER44" i="2"/>
  <c r="ER17" i="2"/>
  <c r="ER198" i="2"/>
  <c r="ER330" i="2"/>
  <c r="ER40" i="2"/>
  <c r="ER35" i="2"/>
  <c r="ER324" i="2"/>
  <c r="ER269" i="2"/>
  <c r="ER318" i="2"/>
  <c r="ER362" i="2"/>
  <c r="ER354" i="2"/>
  <c r="ER257" i="2"/>
  <c r="ER253" i="2"/>
  <c r="ER265" i="2"/>
  <c r="ER249" i="2"/>
  <c r="ER191" i="2"/>
  <c r="GJ139" i="2"/>
  <c r="GR128" i="3"/>
  <c r="GH58" i="2"/>
  <c r="GH56" i="2"/>
  <c r="GH57" i="2"/>
  <c r="HJ88" i="3"/>
  <c r="GW69" i="3"/>
  <c r="GX69" i="3" s="1"/>
  <c r="GX70" i="3"/>
  <c r="GP144" i="3"/>
  <c r="GP149" i="3"/>
  <c r="EE98" i="2"/>
  <c r="GP100" i="3"/>
  <c r="GP87" i="3"/>
  <c r="GT97" i="3"/>
  <c r="GS98" i="3"/>
  <c r="EI78" i="2"/>
  <c r="GZ172" i="3"/>
  <c r="GZ174" i="3"/>
  <c r="GZ24" i="3"/>
  <c r="GZ19" i="3"/>
  <c r="GZ12" i="3"/>
  <c r="HA18" i="3"/>
  <c r="EN31" i="2"/>
  <c r="EN27" i="2"/>
  <c r="EN48" i="2"/>
  <c r="EN28" i="2"/>
  <c r="EN10" i="2"/>
  <c r="ET123" i="2"/>
  <c r="ET122" i="2"/>
  <c r="ET161" i="2"/>
  <c r="ET140" i="2" s="1"/>
  <c r="EV263" i="2"/>
  <c r="EV264" i="2"/>
  <c r="EV129" i="2"/>
  <c r="EV246" i="2"/>
  <c r="EU295" i="2"/>
  <c r="EU247" i="2"/>
  <c r="EU248" i="2"/>
  <c r="EU188" i="2"/>
  <c r="ES421" i="2"/>
  <c r="ES422" i="2"/>
  <c r="ES412" i="2"/>
  <c r="GJ412" i="2" s="1"/>
  <c r="GV166" i="3"/>
  <c r="GU52" i="3"/>
  <c r="EI72" i="2"/>
  <c r="EM18" i="2"/>
  <c r="EM13" i="2"/>
  <c r="EM12" i="2"/>
  <c r="EM11" i="2"/>
  <c r="GT48" i="3"/>
  <c r="GX34" i="3" l="1"/>
  <c r="GX35" i="3" s="1"/>
  <c r="ET124" i="2"/>
  <c r="GR129" i="3"/>
  <c r="GJ415" i="2"/>
  <c r="GJ414" i="2"/>
  <c r="GW106" i="3"/>
  <c r="GW63" i="3"/>
  <c r="EK76" i="2" s="1"/>
  <c r="GH76" i="2" s="1"/>
  <c r="GH78" i="2" s="1"/>
  <c r="GW47" i="3"/>
  <c r="GW50" i="3"/>
  <c r="GW43" i="3"/>
  <c r="EK79" i="2"/>
  <c r="GH79" i="2" s="1"/>
  <c r="GH81" i="2" s="1"/>
  <c r="GW56" i="3"/>
  <c r="EK66" i="2" s="1"/>
  <c r="GW166" i="3"/>
  <c r="GX42" i="3"/>
  <c r="GW162" i="3"/>
  <c r="GX162" i="3" s="1"/>
  <c r="GW158" i="3"/>
  <c r="GX158" i="3" s="1"/>
  <c r="GT143" i="3"/>
  <c r="GU97" i="3"/>
  <c r="GT152" i="3"/>
  <c r="GT150" i="3"/>
  <c r="GT151" i="3"/>
  <c r="GT98" i="3"/>
  <c r="GT160" i="3"/>
  <c r="EV131" i="2"/>
  <c r="EV130" i="2"/>
  <c r="EN51" i="2"/>
  <c r="EN50" i="2"/>
  <c r="EN52" i="2"/>
  <c r="EN54" i="2"/>
  <c r="EN49" i="2"/>
  <c r="GZ13" i="3"/>
  <c r="GZ16" i="3"/>
  <c r="GT128" i="3"/>
  <c r="GG93" i="2"/>
  <c r="GG92" i="2"/>
  <c r="EJ81" i="2"/>
  <c r="EJ80" i="2"/>
  <c r="GX84" i="3"/>
  <c r="EK94" i="2"/>
  <c r="GW156" i="3"/>
  <c r="GX156" i="3" s="1"/>
  <c r="GT66" i="3"/>
  <c r="GT65" i="3"/>
  <c r="EH69" i="2"/>
  <c r="HB18" i="3"/>
  <c r="EO31" i="2"/>
  <c r="EO27" i="2"/>
  <c r="EO28" i="2"/>
  <c r="EO48" i="2"/>
  <c r="GI48" i="2" s="1"/>
  <c r="EO10" i="2"/>
  <c r="GI26" i="2"/>
  <c r="HF137" i="3"/>
  <c r="HF78" i="3"/>
  <c r="HF39" i="3"/>
  <c r="HF37" i="3"/>
  <c r="HF31" i="3"/>
  <c r="HF11" i="3"/>
  <c r="HF10" i="3"/>
  <c r="HF27" i="3"/>
  <c r="HF29" i="3"/>
  <c r="HF41" i="3"/>
  <c r="HF23" i="3"/>
  <c r="HF15" i="3"/>
  <c r="HF21" i="3"/>
  <c r="GV52" i="3"/>
  <c r="EJ72" i="2"/>
  <c r="GY168" i="3"/>
  <c r="GY33" i="3"/>
  <c r="GY45" i="3"/>
  <c r="GY34" i="3"/>
  <c r="GY42" i="3" s="1"/>
  <c r="GX128" i="3"/>
  <c r="EU123" i="2"/>
  <c r="EU122" i="2"/>
  <c r="EU161" i="2"/>
  <c r="EQ29" i="2"/>
  <c r="EM21" i="2"/>
  <c r="EM20" i="2"/>
  <c r="EM19" i="2"/>
  <c r="GZ173" i="3"/>
  <c r="GZ175" i="3"/>
  <c r="GZ70" i="3"/>
  <c r="GZ69" i="3" s="1"/>
  <c r="GZ25" i="3"/>
  <c r="GZ32" i="3"/>
  <c r="GZ167" i="3" s="1"/>
  <c r="HK88" i="3"/>
  <c r="GJ123" i="2"/>
  <c r="EP26" i="2"/>
  <c r="EU297" i="2"/>
  <c r="EU296" i="2"/>
  <c r="EM57" i="2"/>
  <c r="EM56" i="2"/>
  <c r="EM55" i="2"/>
  <c r="EM58" i="2"/>
  <c r="GK127" i="2"/>
  <c r="EJ78" i="2"/>
  <c r="EJ77" i="2"/>
  <c r="EJ95" i="2"/>
  <c r="EJ96" i="2"/>
  <c r="EJ97" i="2"/>
  <c r="GT132" i="3"/>
  <c r="EH90" i="2" s="1"/>
  <c r="GT126" i="3"/>
  <c r="GT75" i="3" s="1"/>
  <c r="ES163" i="2"/>
  <c r="ES162" i="2"/>
  <c r="ES4" i="2"/>
  <c r="ES156" i="2"/>
  <c r="ES160" i="2"/>
  <c r="ES148" i="2"/>
  <c r="ES120" i="2"/>
  <c r="ES116" i="2"/>
  <c r="ES112" i="2"/>
  <c r="ES136" i="2"/>
  <c r="ES108" i="2"/>
  <c r="ES152" i="2"/>
  <c r="ES144" i="2"/>
  <c r="ES128" i="2"/>
  <c r="ES132" i="2"/>
  <c r="GJ161" i="2"/>
  <c r="GJ124" i="2" s="1"/>
  <c r="ES140" i="2"/>
  <c r="EW264" i="2"/>
  <c r="EW263" i="2"/>
  <c r="EW129" i="2"/>
  <c r="GK129" i="2" s="1"/>
  <c r="EW246" i="2"/>
  <c r="GK246" i="2" s="1"/>
  <c r="HE137" i="3"/>
  <c r="HE94" i="3" s="1"/>
  <c r="HE78" i="3"/>
  <c r="HE39" i="3"/>
  <c r="HE37" i="3"/>
  <c r="HE31" i="3"/>
  <c r="HE29" i="3"/>
  <c r="HE27" i="3"/>
  <c r="HE10" i="3"/>
  <c r="HE11" i="3"/>
  <c r="HE41" i="3"/>
  <c r="HE23" i="3"/>
  <c r="HE21" i="3"/>
  <c r="HE15" i="3"/>
  <c r="HE161" i="3"/>
  <c r="HF161" i="3"/>
  <c r="HA174" i="3"/>
  <c r="HA172" i="3"/>
  <c r="HA24" i="3"/>
  <c r="HA19" i="3"/>
  <c r="HA12" i="3"/>
  <c r="HC18" i="3"/>
  <c r="GP147" i="3"/>
  <c r="GP148" i="3"/>
  <c r="GP146" i="3"/>
  <c r="GP92" i="3"/>
  <c r="GQ144" i="3"/>
  <c r="GQ149" i="3"/>
  <c r="EF98" i="2"/>
  <c r="GQ100" i="3"/>
  <c r="GQ87" i="3"/>
  <c r="GY69" i="3"/>
  <c r="EH74" i="2"/>
  <c r="EH73" i="2"/>
  <c r="ES124" i="2"/>
  <c r="ER459" i="2"/>
  <c r="ER460" i="2"/>
  <c r="ER458" i="2"/>
  <c r="EI93" i="2"/>
  <c r="ET422" i="2"/>
  <c r="ET421" i="2"/>
  <c r="ET412" i="2"/>
  <c r="GY84" i="3"/>
  <c r="GY17" i="3"/>
  <c r="GK262" i="2"/>
  <c r="ES457" i="2"/>
  <c r="ES413" i="2"/>
  <c r="ES415" i="2"/>
  <c r="ES414" i="2"/>
  <c r="EI74" i="2"/>
  <c r="EI73" i="2"/>
  <c r="GU65" i="3"/>
  <c r="GU66" i="3"/>
  <c r="EI69" i="2"/>
  <c r="EV295" i="2"/>
  <c r="EV247" i="2"/>
  <c r="EV248" i="2"/>
  <c r="EV188" i="2"/>
  <c r="EN13" i="2"/>
  <c r="EN12" i="2"/>
  <c r="EN11" i="2"/>
  <c r="EN18" i="2"/>
  <c r="GI10" i="2"/>
  <c r="EU190" i="2"/>
  <c r="EU189" i="2"/>
  <c r="ET163" i="2"/>
  <c r="ET162" i="2"/>
  <c r="ET4" i="2"/>
  <c r="ET156" i="2"/>
  <c r="ET160" i="2"/>
  <c r="ET148" i="2"/>
  <c r="ET120" i="2"/>
  <c r="ET116" i="2"/>
  <c r="ET112" i="2"/>
  <c r="ET136" i="2"/>
  <c r="ET108" i="2"/>
  <c r="ET152" i="2"/>
  <c r="ET144" i="2"/>
  <c r="ET128" i="2"/>
  <c r="ET132" i="2"/>
  <c r="GP102" i="3"/>
  <c r="EE101" i="2" s="1"/>
  <c r="GP101" i="3"/>
  <c r="EE100" i="2" s="1"/>
  <c r="EE99" i="2"/>
  <c r="GR77" i="3"/>
  <c r="GS75" i="3"/>
  <c r="EJ67" i="2"/>
  <c r="EJ68" i="2"/>
  <c r="GV132" i="3"/>
  <c r="EJ90" i="2" s="1"/>
  <c r="GV126" i="3"/>
  <c r="GV130" i="3" s="1"/>
  <c r="GY167" i="3"/>
  <c r="GX50" i="3"/>
  <c r="GX52" i="3" s="1"/>
  <c r="GH69" i="2" s="1"/>
  <c r="GH71" i="2" s="1"/>
  <c r="EH78" i="2"/>
  <c r="EH77" i="2"/>
  <c r="EU140" i="2"/>
  <c r="EV137" i="2"/>
  <c r="EV121" i="2" s="1"/>
  <c r="EU420" i="2"/>
  <c r="HF94" i="3" l="1"/>
  <c r="GK131" i="2"/>
  <c r="EV123" i="2"/>
  <c r="EV122" i="2"/>
  <c r="EV161" i="2"/>
  <c r="EV140" i="2" s="1"/>
  <c r="GT77" i="3"/>
  <c r="GU75" i="3"/>
  <c r="EJ92" i="2"/>
  <c r="EJ91" i="2"/>
  <c r="EJ93" i="2"/>
  <c r="GK295" i="2"/>
  <c r="GK297" i="2" s="1"/>
  <c r="GK248" i="2"/>
  <c r="EI70" i="2"/>
  <c r="EI71" i="2"/>
  <c r="EL94" i="2"/>
  <c r="GY156" i="3"/>
  <c r="GY155" i="3"/>
  <c r="GQ148" i="3"/>
  <c r="GQ146" i="3"/>
  <c r="GQ147" i="3"/>
  <c r="GQ92" i="3"/>
  <c r="GP157" i="3"/>
  <c r="HA173" i="3"/>
  <c r="HA175" i="3"/>
  <c r="HA70" i="3"/>
  <c r="HA32" i="3"/>
  <c r="HA25" i="3"/>
  <c r="HE154" i="3"/>
  <c r="HG9" i="3"/>
  <c r="ES358" i="2"/>
  <c r="ES261" i="2"/>
  <c r="ES6" i="2"/>
  <c r="ES5" i="2"/>
  <c r="ES89" i="2"/>
  <c r="ES342" i="2"/>
  <c r="ES202" i="2"/>
  <c r="ES62" i="2"/>
  <c r="ES17" i="2"/>
  <c r="ES44" i="2"/>
  <c r="ES206" i="2"/>
  <c r="ES35" i="2"/>
  <c r="ES330" i="2"/>
  <c r="ES198" i="2"/>
  <c r="ES40" i="2"/>
  <c r="ES324" i="2"/>
  <c r="ES318" i="2"/>
  <c r="ES269" i="2"/>
  <c r="ES362" i="2"/>
  <c r="ES354" i="2"/>
  <c r="ES257" i="2"/>
  <c r="ES253" i="2"/>
  <c r="ES265" i="2"/>
  <c r="ES249" i="2"/>
  <c r="ES191" i="2"/>
  <c r="GJ4" i="2"/>
  <c r="EH93" i="2"/>
  <c r="EH92" i="2"/>
  <c r="EH91" i="2"/>
  <c r="EO52" i="2"/>
  <c r="EO54" i="2"/>
  <c r="EO49" i="2"/>
  <c r="EO50" i="2"/>
  <c r="EO51" i="2"/>
  <c r="EH71" i="2"/>
  <c r="EH70" i="2"/>
  <c r="EK96" i="2"/>
  <c r="EK97" i="2"/>
  <c r="EK95" i="2"/>
  <c r="GY162" i="3"/>
  <c r="GW52" i="3"/>
  <c r="EK72" i="2"/>
  <c r="GI13" i="2"/>
  <c r="GI12" i="2"/>
  <c r="EV190" i="2"/>
  <c r="EV189" i="2"/>
  <c r="ET415" i="2"/>
  <c r="ET457" i="2"/>
  <c r="ET414" i="2"/>
  <c r="ET413" i="2"/>
  <c r="GQ101" i="3"/>
  <c r="EF100" i="2" s="1"/>
  <c r="GQ102" i="3"/>
  <c r="EF101" i="2" s="1"/>
  <c r="EF99" i="2"/>
  <c r="EU163" i="2"/>
  <c r="EU162" i="2"/>
  <c r="EU4" i="2"/>
  <c r="EU156" i="2"/>
  <c r="EU160" i="2"/>
  <c r="EU148" i="2"/>
  <c r="EU120" i="2"/>
  <c r="EU112" i="2"/>
  <c r="EU116" i="2"/>
  <c r="EU108" i="2"/>
  <c r="EU136" i="2"/>
  <c r="EU152" i="2"/>
  <c r="EU144" i="2"/>
  <c r="EU128" i="2"/>
  <c r="EU132" i="2"/>
  <c r="EJ73" i="2"/>
  <c r="EJ74" i="2"/>
  <c r="GI50" i="2"/>
  <c r="GI51" i="2"/>
  <c r="GI52" i="2"/>
  <c r="GX166" i="3"/>
  <c r="GW48" i="3"/>
  <c r="GX47" i="3"/>
  <c r="GX48" i="3" s="1"/>
  <c r="EN19" i="2"/>
  <c r="EN20" i="2"/>
  <c r="EN21" i="2"/>
  <c r="ES460" i="2"/>
  <c r="ES458" i="2"/>
  <c r="ES459" i="2"/>
  <c r="GJ457" i="2"/>
  <c r="HD18" i="3"/>
  <c r="EP28" i="2"/>
  <c r="EP48" i="2"/>
  <c r="EP27" i="2"/>
  <c r="EP31" i="2"/>
  <c r="EP10" i="2"/>
  <c r="HM89" i="3"/>
  <c r="HL88" i="3"/>
  <c r="HM88" i="3" s="1"/>
  <c r="GV65" i="3"/>
  <c r="GV66" i="3"/>
  <c r="EJ69" i="2"/>
  <c r="GY166" i="3"/>
  <c r="EK78" i="2"/>
  <c r="EK77" i="2"/>
  <c r="ER29" i="2"/>
  <c r="GZ168" i="3"/>
  <c r="GZ45" i="3"/>
  <c r="GZ34" i="3"/>
  <c r="GZ33" i="3"/>
  <c r="HA167" i="3"/>
  <c r="GY106" i="3"/>
  <c r="GY50" i="3"/>
  <c r="GY63" i="3"/>
  <c r="GY43" i="3"/>
  <c r="GY47" i="3"/>
  <c r="EL79" i="2"/>
  <c r="GY56" i="3"/>
  <c r="EL66" i="2" s="1"/>
  <c r="GY158" i="3"/>
  <c r="HF154" i="3"/>
  <c r="EN57" i="2"/>
  <c r="EN56" i="2"/>
  <c r="EN55" i="2"/>
  <c r="EN58" i="2"/>
  <c r="EK67" i="2"/>
  <c r="EK68" i="2"/>
  <c r="GW110" i="3"/>
  <c r="GX106" i="3"/>
  <c r="EU422" i="2"/>
  <c r="EU421" i="2"/>
  <c r="EU412" i="2"/>
  <c r="HI9" i="3"/>
  <c r="ET358" i="2"/>
  <c r="ET261" i="2"/>
  <c r="ET89" i="2"/>
  <c r="ET5" i="2"/>
  <c r="ET6" i="2"/>
  <c r="ET342" i="2"/>
  <c r="ET17" i="2"/>
  <c r="ET62" i="2"/>
  <c r="ET206" i="2"/>
  <c r="ET202" i="2"/>
  <c r="ET44" i="2"/>
  <c r="ET35" i="2"/>
  <c r="ET40" i="2"/>
  <c r="ET330" i="2"/>
  <c r="ET198" i="2"/>
  <c r="ET324" i="2"/>
  <c r="ET269" i="2"/>
  <c r="ET318" i="2"/>
  <c r="ET362" i="2"/>
  <c r="ET354" i="2"/>
  <c r="ET257" i="2"/>
  <c r="ET253" i="2"/>
  <c r="ET265" i="2"/>
  <c r="ET249" i="2"/>
  <c r="ET191" i="2"/>
  <c r="GK307" i="2"/>
  <c r="GK309" i="2" s="1"/>
  <c r="GK264" i="2"/>
  <c r="EW137" i="2"/>
  <c r="EW121" i="2" s="1"/>
  <c r="GK121" i="2" s="1"/>
  <c r="EV420" i="2"/>
  <c r="HA13" i="3"/>
  <c r="HA16" i="3"/>
  <c r="EW295" i="2"/>
  <c r="EW247" i="2"/>
  <c r="EW248" i="2"/>
  <c r="EW188" i="2"/>
  <c r="GK188" i="2" s="1"/>
  <c r="GT130" i="3"/>
  <c r="GT129" i="3" s="1"/>
  <c r="EU124" i="2"/>
  <c r="GI28" i="2"/>
  <c r="GI31" i="2"/>
  <c r="GI29" i="2"/>
  <c r="HB174" i="3"/>
  <c r="HB172" i="3"/>
  <c r="HB24" i="3"/>
  <c r="HB19" i="3"/>
  <c r="HB12" i="3"/>
  <c r="GY108" i="3"/>
  <c r="GU143" i="3"/>
  <c r="GV97" i="3"/>
  <c r="GU152" i="3"/>
  <c r="GU151" i="3"/>
  <c r="GU150" i="3"/>
  <c r="GU98" i="3"/>
  <c r="GU160" i="3"/>
  <c r="GX43" i="3"/>
  <c r="GX56" i="3"/>
  <c r="GH66" i="2" s="1"/>
  <c r="GH68" i="2" s="1"/>
  <c r="EK81" i="2"/>
  <c r="EK80" i="2"/>
  <c r="HC172" i="3"/>
  <c r="HC174" i="3"/>
  <c r="HC19" i="3"/>
  <c r="GR149" i="3"/>
  <c r="GS149" i="3" s="1"/>
  <c r="GR144" i="3"/>
  <c r="GS144" i="3" s="1"/>
  <c r="GS77" i="3"/>
  <c r="GS100" i="3" s="1"/>
  <c r="EG98" i="2"/>
  <c r="GG98" i="2" s="1"/>
  <c r="GR100" i="3"/>
  <c r="GR87" i="3"/>
  <c r="EV296" i="2"/>
  <c r="EV297" i="2"/>
  <c r="EI91" i="2"/>
  <c r="GP170" i="3"/>
  <c r="GP163" i="3"/>
  <c r="GP153" i="3"/>
  <c r="GP169" i="3"/>
  <c r="GP159" i="3"/>
  <c r="EW131" i="2"/>
  <c r="EW130" i="2"/>
  <c r="GJ163" i="2"/>
  <c r="GJ156" i="2"/>
  <c r="GJ148" i="2"/>
  <c r="GJ160" i="2"/>
  <c r="GJ120" i="2"/>
  <c r="GJ116" i="2"/>
  <c r="GJ112" i="2"/>
  <c r="GJ108" i="2"/>
  <c r="GJ136" i="2"/>
  <c r="GJ152" i="2"/>
  <c r="GJ144" i="2"/>
  <c r="GJ128" i="2"/>
  <c r="GJ132" i="2"/>
  <c r="GJ140" i="2"/>
  <c r="EQ26" i="2"/>
  <c r="EO12" i="2"/>
  <c r="EO11" i="2"/>
  <c r="EO13" i="2"/>
  <c r="EO18" i="2"/>
  <c r="GX63" i="3"/>
  <c r="GZ84" i="3"/>
  <c r="GZ108" i="3" s="1"/>
  <c r="GZ17" i="3"/>
  <c r="GP171" i="3" l="1"/>
  <c r="GK123" i="2"/>
  <c r="GR148" i="3"/>
  <c r="GS148" i="3" s="1"/>
  <c r="GR146" i="3"/>
  <c r="GR147" i="3"/>
  <c r="GS147" i="3" s="1"/>
  <c r="GS87" i="3"/>
  <c r="GR92" i="3"/>
  <c r="HB13" i="3"/>
  <c r="HB16" i="3"/>
  <c r="HC16" i="3" s="1"/>
  <c r="HC17" i="3" s="1"/>
  <c r="HC12" i="3"/>
  <c r="HC13" i="3" s="1"/>
  <c r="EW420" i="2"/>
  <c r="GR101" i="3"/>
  <c r="GR102" i="3"/>
  <c r="EG99" i="2"/>
  <c r="GG99" i="2" s="1"/>
  <c r="EW189" i="2"/>
  <c r="EW190" i="2"/>
  <c r="EL76" i="2"/>
  <c r="ES29" i="2"/>
  <c r="EK73" i="2"/>
  <c r="EK74" i="2"/>
  <c r="GH72" i="2"/>
  <c r="GH74" i="2" s="1"/>
  <c r="EO58" i="2"/>
  <c r="EO56" i="2"/>
  <c r="EO55" i="2"/>
  <c r="EO57" i="2"/>
  <c r="GI54" i="2"/>
  <c r="GK190" i="2"/>
  <c r="HB175" i="3"/>
  <c r="HB173" i="3"/>
  <c r="HB70" i="3"/>
  <c r="HB69" i="3" s="1"/>
  <c r="HB32" i="3"/>
  <c r="HB25" i="3"/>
  <c r="GW132" i="3"/>
  <c r="EK90" i="2" s="1"/>
  <c r="GW126" i="3"/>
  <c r="GX110" i="3"/>
  <c r="EL68" i="2"/>
  <c r="EL67" i="2"/>
  <c r="GY52" i="3"/>
  <c r="EL72" i="2"/>
  <c r="GZ42" i="3"/>
  <c r="GW65" i="3"/>
  <c r="GW66" i="3"/>
  <c r="EK69" i="2"/>
  <c r="GJ6" i="2"/>
  <c r="GJ358" i="2"/>
  <c r="GJ261" i="2"/>
  <c r="GJ89" i="2"/>
  <c r="GJ342" i="2"/>
  <c r="GJ44" i="2"/>
  <c r="GJ202" i="2"/>
  <c r="GJ35" i="2"/>
  <c r="GJ40" i="2"/>
  <c r="GJ330" i="2"/>
  <c r="GJ206" i="2"/>
  <c r="GJ17" i="2"/>
  <c r="GJ62" i="2"/>
  <c r="GJ198" i="2"/>
  <c r="GJ324" i="2"/>
  <c r="GJ362" i="2"/>
  <c r="GJ269" i="2"/>
  <c r="GJ354" i="2"/>
  <c r="GJ318" i="2"/>
  <c r="GJ257" i="2"/>
  <c r="GJ253" i="2"/>
  <c r="GJ265" i="2"/>
  <c r="GJ249" i="2"/>
  <c r="GJ191" i="2"/>
  <c r="EV163" i="2"/>
  <c r="EV162" i="2"/>
  <c r="EV156" i="2"/>
  <c r="EV4" i="2"/>
  <c r="EV160" i="2"/>
  <c r="EV148" i="2"/>
  <c r="EV120" i="2"/>
  <c r="EV112" i="2"/>
  <c r="EV116" i="2"/>
  <c r="EV108" i="2"/>
  <c r="EV136" i="2"/>
  <c r="EV152" i="2"/>
  <c r="EV144" i="2"/>
  <c r="EV128" i="2"/>
  <c r="EV132" i="2"/>
  <c r="EW123" i="2"/>
  <c r="EW122" i="2"/>
  <c r="EW161" i="2"/>
  <c r="EW124" i="2" s="1"/>
  <c r="GV143" i="3"/>
  <c r="GW97" i="3"/>
  <c r="GV152" i="3"/>
  <c r="GV151" i="3"/>
  <c r="GV150" i="3"/>
  <c r="GV98" i="3"/>
  <c r="GV160" i="3"/>
  <c r="HI137" i="3"/>
  <c r="HI78" i="3"/>
  <c r="HI154" i="3" s="1"/>
  <c r="HI29" i="3"/>
  <c r="HI27" i="3"/>
  <c r="HI39" i="3"/>
  <c r="HI37" i="3"/>
  <c r="HI31" i="3"/>
  <c r="HI10" i="3"/>
  <c r="HI11" i="3"/>
  <c r="HI41" i="3"/>
  <c r="HI23" i="3"/>
  <c r="HI21" i="3"/>
  <c r="HI15" i="3"/>
  <c r="EL80" i="2"/>
  <c r="EL81" i="2"/>
  <c r="GY110" i="3"/>
  <c r="EP13" i="2"/>
  <c r="EP12" i="2"/>
  <c r="EP11" i="2"/>
  <c r="EP18" i="2"/>
  <c r="HD172" i="3"/>
  <c r="HD174" i="3"/>
  <c r="HD24" i="3"/>
  <c r="HD19" i="3"/>
  <c r="HD12" i="3"/>
  <c r="ET458" i="2"/>
  <c r="ET459" i="2"/>
  <c r="ET460" i="2"/>
  <c r="HC24" i="3"/>
  <c r="GK137" i="2"/>
  <c r="EJ70" i="2"/>
  <c r="EJ71" i="2"/>
  <c r="GJ459" i="2"/>
  <c r="GJ460" i="2"/>
  <c r="GJ458" i="2"/>
  <c r="HB167" i="3"/>
  <c r="HC167" i="3" s="1"/>
  <c r="HA168" i="3"/>
  <c r="HA45" i="3"/>
  <c r="HA34" i="3"/>
  <c r="HA33" i="3"/>
  <c r="GQ170" i="3"/>
  <c r="GQ163" i="3"/>
  <c r="GQ169" i="3"/>
  <c r="GQ153" i="3"/>
  <c r="GQ159" i="3"/>
  <c r="GV75" i="3"/>
  <c r="GU77" i="3"/>
  <c r="EM94" i="2"/>
  <c r="GZ156" i="3"/>
  <c r="HE18" i="3"/>
  <c r="EQ28" i="2"/>
  <c r="EQ48" i="2"/>
  <c r="EQ27" i="2"/>
  <c r="EQ31" i="2"/>
  <c r="EQ10" i="2"/>
  <c r="EU415" i="2"/>
  <c r="EU457" i="2"/>
  <c r="EU414" i="2"/>
  <c r="EU413" i="2"/>
  <c r="GU128" i="3"/>
  <c r="GU129" i="3" s="1"/>
  <c r="EW296" i="2"/>
  <c r="EW297" i="2"/>
  <c r="EV422" i="2"/>
  <c r="EV421" i="2"/>
  <c r="EV412" i="2"/>
  <c r="GY48" i="3"/>
  <c r="ER26" i="2"/>
  <c r="HA69" i="3"/>
  <c r="GT149" i="3"/>
  <c r="GT144" i="3"/>
  <c r="EH98" i="2"/>
  <c r="GT100" i="3"/>
  <c r="GT87" i="3"/>
  <c r="EV124" i="2"/>
  <c r="GZ155" i="3"/>
  <c r="EO21" i="2"/>
  <c r="EO19" i="2"/>
  <c r="EO20" i="2"/>
  <c r="HA84" i="3"/>
  <c r="HA155" i="3" s="1"/>
  <c r="HA17" i="3"/>
  <c r="EP52" i="2"/>
  <c r="EP54" i="2"/>
  <c r="EP49" i="2"/>
  <c r="EP51" i="2"/>
  <c r="EP50" i="2"/>
  <c r="HJ9" i="3"/>
  <c r="HJ161" i="3" s="1"/>
  <c r="EU358" i="2"/>
  <c r="EU261" i="2"/>
  <c r="EU89" i="2"/>
  <c r="EU5" i="2"/>
  <c r="EU6" i="2"/>
  <c r="EU342" i="2"/>
  <c r="EU44" i="2"/>
  <c r="EU202" i="2"/>
  <c r="EU62" i="2"/>
  <c r="EU206" i="2"/>
  <c r="EU17" i="2"/>
  <c r="EU198" i="2"/>
  <c r="EU35" i="2"/>
  <c r="EU330" i="2"/>
  <c r="EU40" i="2"/>
  <c r="EU324" i="2"/>
  <c r="EU269" i="2"/>
  <c r="EU318" i="2"/>
  <c r="EU362" i="2"/>
  <c r="EU354" i="2"/>
  <c r="EU257" i="2"/>
  <c r="EU253" i="2"/>
  <c r="EU265" i="2"/>
  <c r="EU249" i="2"/>
  <c r="EU191" i="2"/>
  <c r="HG137" i="3"/>
  <c r="HG94" i="3" s="1"/>
  <c r="HG78" i="3"/>
  <c r="HG39" i="3"/>
  <c r="HG37" i="3"/>
  <c r="HG31" i="3"/>
  <c r="HG11" i="3"/>
  <c r="HG10" i="3"/>
  <c r="HG27" i="3"/>
  <c r="HG29" i="3"/>
  <c r="HG41" i="3"/>
  <c r="HG23" i="3"/>
  <c r="HG21" i="3"/>
  <c r="HG15" i="3"/>
  <c r="HI161" i="3"/>
  <c r="HG161" i="3"/>
  <c r="HH161" i="3" s="1"/>
  <c r="HH9" i="3"/>
  <c r="GQ157" i="3"/>
  <c r="EL96" i="2"/>
  <c r="EL97" i="2"/>
  <c r="EL95" i="2"/>
  <c r="HC70" i="3" l="1"/>
  <c r="HC69" i="3"/>
  <c r="HI94" i="3"/>
  <c r="HH94" i="3"/>
  <c r="GT148" i="3"/>
  <c r="GT146" i="3"/>
  <c r="GT147" i="3"/>
  <c r="GT92" i="3"/>
  <c r="HD13" i="3"/>
  <c r="HD16" i="3"/>
  <c r="EP19" i="2"/>
  <c r="EP20" i="2"/>
  <c r="EP21" i="2"/>
  <c r="HK9" i="3"/>
  <c r="EV358" i="2"/>
  <c r="EV5" i="2"/>
  <c r="EV6" i="2"/>
  <c r="EV89" i="2"/>
  <c r="EV261" i="2"/>
  <c r="EV342" i="2"/>
  <c r="EV202" i="2"/>
  <c r="EV206" i="2"/>
  <c r="EV17" i="2"/>
  <c r="EV62" i="2"/>
  <c r="EV44" i="2"/>
  <c r="EV40" i="2"/>
  <c r="EV330" i="2"/>
  <c r="EV198" i="2"/>
  <c r="EV35" i="2"/>
  <c r="EV324" i="2"/>
  <c r="EV269" i="2"/>
  <c r="EV318" i="2"/>
  <c r="EV362" i="2"/>
  <c r="EV354" i="2"/>
  <c r="EV257" i="2"/>
  <c r="EV253" i="2"/>
  <c r="EV265" i="2"/>
  <c r="EV249" i="2"/>
  <c r="EV191" i="2"/>
  <c r="HB168" i="3"/>
  <c r="HC168" i="3" s="1"/>
  <c r="HB45" i="3"/>
  <c r="HB34" i="3"/>
  <c r="HC34" i="3" s="1"/>
  <c r="HB33" i="3"/>
  <c r="HC32" i="3"/>
  <c r="GS102" i="3"/>
  <c r="EG101" i="2"/>
  <c r="EP58" i="2"/>
  <c r="EP57" i="2"/>
  <c r="EP56" i="2"/>
  <c r="EP55" i="2"/>
  <c r="GT101" i="3"/>
  <c r="EH100" i="2" s="1"/>
  <c r="GT102" i="3"/>
  <c r="EH101" i="2" s="1"/>
  <c r="EH99" i="2"/>
  <c r="HF18" i="3"/>
  <c r="ER48" i="2"/>
  <c r="ER31" i="2"/>
  <c r="ER28" i="2"/>
  <c r="ER27" i="2"/>
  <c r="ER10" i="2"/>
  <c r="GK139" i="2"/>
  <c r="HC175" i="3"/>
  <c r="HC173" i="3"/>
  <c r="HC25" i="3"/>
  <c r="GY132" i="3"/>
  <c r="EL90" i="2" s="1"/>
  <c r="GY126" i="3"/>
  <c r="GW143" i="3"/>
  <c r="GX143" i="3" s="1"/>
  <c r="GX97" i="3"/>
  <c r="GW152" i="3"/>
  <c r="GX152" i="3" s="1"/>
  <c r="GW98" i="3"/>
  <c r="GW151" i="3"/>
  <c r="GX151" i="3" s="1"/>
  <c r="GW150" i="3"/>
  <c r="GX150" i="3" s="1"/>
  <c r="GW160" i="3"/>
  <c r="GX160" i="3" s="1"/>
  <c r="GI56" i="2"/>
  <c r="GI57" i="2"/>
  <c r="GI58" i="2"/>
  <c r="GS101" i="3"/>
  <c r="EG100" i="2"/>
  <c r="GG100" i="2" s="1"/>
  <c r="GR170" i="3"/>
  <c r="GS170" i="3" s="1"/>
  <c r="GS92" i="3"/>
  <c r="GR163" i="3"/>
  <c r="GS163" i="3" s="1"/>
  <c r="GR169" i="3"/>
  <c r="GR153" i="3"/>
  <c r="GS153" i="3" s="1"/>
  <c r="GR159" i="3"/>
  <c r="GS159" i="3" s="1"/>
  <c r="HJ137" i="3"/>
  <c r="HJ78" i="3"/>
  <c r="HJ154" i="3" s="1"/>
  <c r="HJ39" i="3"/>
  <c r="HJ37" i="3"/>
  <c r="HJ31" i="3"/>
  <c r="HJ10" i="3"/>
  <c r="HJ11" i="3"/>
  <c r="HJ27" i="3"/>
  <c r="HJ29" i="3"/>
  <c r="HJ41" i="3"/>
  <c r="HJ23" i="3"/>
  <c r="HJ21" i="3"/>
  <c r="HJ15" i="3"/>
  <c r="EQ54" i="2"/>
  <c r="EQ49" i="2"/>
  <c r="EQ51" i="2"/>
  <c r="EQ50" i="2"/>
  <c r="EQ52" i="2"/>
  <c r="EM97" i="2"/>
  <c r="EM95" i="2"/>
  <c r="EM96" i="2"/>
  <c r="GQ171" i="3"/>
  <c r="ET29" i="2"/>
  <c r="GZ106" i="3"/>
  <c r="GZ50" i="3"/>
  <c r="GZ63" i="3"/>
  <c r="GZ43" i="3"/>
  <c r="GZ47" i="3"/>
  <c r="EM79" i="2"/>
  <c r="GZ56" i="3"/>
  <c r="EM66" i="2" s="1"/>
  <c r="GZ162" i="3"/>
  <c r="GZ166" i="3"/>
  <c r="GZ158" i="3"/>
  <c r="GX132" i="3"/>
  <c r="GX111" i="3"/>
  <c r="EW422" i="2"/>
  <c r="EW421" i="2"/>
  <c r="EW412" i="2"/>
  <c r="GK420" i="2"/>
  <c r="EU460" i="2"/>
  <c r="EU459" i="2"/>
  <c r="EU458" i="2"/>
  <c r="HD173" i="3"/>
  <c r="HD175" i="3"/>
  <c r="HD70" i="3"/>
  <c r="HD25" i="3"/>
  <c r="HD32" i="3"/>
  <c r="HD167" i="3" s="1"/>
  <c r="EW163" i="2"/>
  <c r="EW162" i="2"/>
  <c r="EW156" i="2"/>
  <c r="EW4" i="2"/>
  <c r="GK4" i="2" s="1"/>
  <c r="EW160" i="2"/>
  <c r="EW148" i="2"/>
  <c r="EW120" i="2"/>
  <c r="EW116" i="2"/>
  <c r="EW112" i="2"/>
  <c r="EW108" i="2"/>
  <c r="EW136" i="2"/>
  <c r="EW152" i="2"/>
  <c r="EW144" i="2"/>
  <c r="EW128" i="2"/>
  <c r="EW132" i="2"/>
  <c r="GK161" i="2"/>
  <c r="EL73" i="2"/>
  <c r="EL74" i="2"/>
  <c r="GW130" i="3"/>
  <c r="GX126" i="3"/>
  <c r="GX130" i="3" s="1"/>
  <c r="GX129" i="3" s="1"/>
  <c r="ES26" i="2"/>
  <c r="EW140" i="2"/>
  <c r="HH11" i="3"/>
  <c r="HH31" i="3"/>
  <c r="HH37" i="3"/>
  <c r="HH39" i="3"/>
  <c r="HH27" i="3"/>
  <c r="HH29" i="3"/>
  <c r="HH41" i="3"/>
  <c r="HH21" i="3"/>
  <c r="HH15" i="3"/>
  <c r="HH23" i="3"/>
  <c r="HE172" i="3"/>
  <c r="HE174" i="3"/>
  <c r="HE24" i="3"/>
  <c r="HE19" i="3"/>
  <c r="HE12" i="3"/>
  <c r="GU149" i="3"/>
  <c r="GU144" i="3"/>
  <c r="EI98" i="2"/>
  <c r="GU100" i="3"/>
  <c r="GU87" i="3"/>
  <c r="HA42" i="3"/>
  <c r="EK93" i="2"/>
  <c r="EK92" i="2"/>
  <c r="EK91" i="2"/>
  <c r="GH90" i="2"/>
  <c r="GS146" i="3"/>
  <c r="GR157" i="3"/>
  <c r="GS157" i="3" s="1"/>
  <c r="HH78" i="3"/>
  <c r="HG154" i="3"/>
  <c r="HH154" i="3" s="1"/>
  <c r="EN94" i="2"/>
  <c r="HA156" i="3"/>
  <c r="EV457" i="2"/>
  <c r="EV414" i="2"/>
  <c r="EV413" i="2"/>
  <c r="EV415" i="2"/>
  <c r="GV128" i="3"/>
  <c r="GV129" i="3" s="1"/>
  <c r="EQ18" i="2"/>
  <c r="EQ11" i="2"/>
  <c r="EQ12" i="2"/>
  <c r="EQ13" i="2"/>
  <c r="HA108" i="3"/>
  <c r="GV77" i="3"/>
  <c r="GW75" i="3"/>
  <c r="EK71" i="2"/>
  <c r="EK70" i="2"/>
  <c r="GY66" i="3"/>
  <c r="GY65" i="3"/>
  <c r="EL69" i="2"/>
  <c r="EL77" i="2"/>
  <c r="EL78" i="2"/>
  <c r="HB84" i="3"/>
  <c r="HB108" i="3" s="1"/>
  <c r="HB17" i="3"/>
  <c r="HC35" i="3" l="1"/>
  <c r="GK358" i="2"/>
  <c r="GK6" i="2"/>
  <c r="GK261" i="2"/>
  <c r="GK89" i="2"/>
  <c r="GK342" i="2"/>
  <c r="GK17" i="2"/>
  <c r="GK202" i="2"/>
  <c r="GK62" i="2"/>
  <c r="GK40" i="2"/>
  <c r="GK44" i="2"/>
  <c r="GK35" i="2"/>
  <c r="GK206" i="2"/>
  <c r="GK330" i="2"/>
  <c r="GK198" i="2"/>
  <c r="GK324" i="2"/>
  <c r="GK362" i="2"/>
  <c r="GK318" i="2"/>
  <c r="GK354" i="2"/>
  <c r="GK269" i="2"/>
  <c r="GK257" i="2"/>
  <c r="GK253" i="2"/>
  <c r="GK249" i="2"/>
  <c r="GK265" i="2"/>
  <c r="GK191" i="2"/>
  <c r="GK423" i="2"/>
  <c r="GK422" i="2"/>
  <c r="EM68" i="2"/>
  <c r="EM67" i="2"/>
  <c r="GZ110" i="3"/>
  <c r="HF172" i="3"/>
  <c r="HF174" i="3"/>
  <c r="HF24" i="3"/>
  <c r="HF19" i="3"/>
  <c r="HF12" i="3"/>
  <c r="GT170" i="3"/>
  <c r="GT163" i="3"/>
  <c r="GT153" i="3"/>
  <c r="GT169" i="3"/>
  <c r="GT159" i="3"/>
  <c r="EL71" i="2"/>
  <c r="EL70" i="2"/>
  <c r="GX75" i="3"/>
  <c r="GY75" i="3"/>
  <c r="GW77" i="3"/>
  <c r="EQ19" i="2"/>
  <c r="EQ21" i="2"/>
  <c r="EQ20" i="2"/>
  <c r="EV458" i="2"/>
  <c r="EV460" i="2"/>
  <c r="EV459" i="2"/>
  <c r="HA106" i="3"/>
  <c r="HA110" i="3" s="1"/>
  <c r="HA50" i="3"/>
  <c r="HA63" i="3"/>
  <c r="EN76" i="2" s="1"/>
  <c r="HA47" i="3"/>
  <c r="HA48" i="3" s="1"/>
  <c r="HA43" i="3"/>
  <c r="EN79" i="2"/>
  <c r="HA56" i="3"/>
  <c r="EN66" i="2" s="1"/>
  <c r="HE13" i="3"/>
  <c r="HE16" i="3"/>
  <c r="HG18" i="3"/>
  <c r="HH18" i="3" s="1"/>
  <c r="ES48" i="2"/>
  <c r="ES31" i="2"/>
  <c r="ES27" i="2"/>
  <c r="ES28" i="2"/>
  <c r="ES10" i="2"/>
  <c r="GJ10" i="2" s="1"/>
  <c r="HD168" i="3"/>
  <c r="HD45" i="3"/>
  <c r="HD33" i="3"/>
  <c r="HD34" i="3"/>
  <c r="EW414" i="2"/>
  <c r="EW413" i="2"/>
  <c r="EW415" i="2"/>
  <c r="EW457" i="2"/>
  <c r="HA162" i="3"/>
  <c r="EM80" i="2"/>
  <c r="EM81" i="2"/>
  <c r="EL93" i="2"/>
  <c r="EL92" i="2"/>
  <c r="EL91" i="2"/>
  <c r="ER13" i="2"/>
  <c r="ER12" i="2"/>
  <c r="ER18" i="2"/>
  <c r="ER11" i="2"/>
  <c r="HJ94" i="3"/>
  <c r="GV144" i="3"/>
  <c r="GV149" i="3"/>
  <c r="EJ98" i="2"/>
  <c r="GV100" i="3"/>
  <c r="GV87" i="3"/>
  <c r="GZ48" i="3"/>
  <c r="GT157" i="3"/>
  <c r="HL9" i="3"/>
  <c r="EW358" i="2"/>
  <c r="EW5" i="2"/>
  <c r="EW6" i="2"/>
  <c r="EW261" i="2"/>
  <c r="EW89" i="2"/>
  <c r="EW342" i="2"/>
  <c r="EW44" i="2"/>
  <c r="EW62" i="2"/>
  <c r="EW202" i="2"/>
  <c r="EW206" i="2"/>
  <c r="EW17" i="2"/>
  <c r="EW330" i="2"/>
  <c r="EW198" i="2"/>
  <c r="EW35" i="2"/>
  <c r="EW40" i="2"/>
  <c r="EW324" i="2"/>
  <c r="EW269" i="2"/>
  <c r="EW318" i="2"/>
  <c r="EW362" i="2"/>
  <c r="EW354" i="2"/>
  <c r="EW257" i="2"/>
  <c r="EW253" i="2"/>
  <c r="EW265" i="2"/>
  <c r="EW249" i="2"/>
  <c r="EW191" i="2"/>
  <c r="GU102" i="3"/>
  <c r="EI101" i="2" s="1"/>
  <c r="GU101" i="3"/>
  <c r="EI100" i="2" s="1"/>
  <c r="EI99" i="2"/>
  <c r="EQ57" i="2"/>
  <c r="EQ56" i="2"/>
  <c r="EQ55" i="2"/>
  <c r="EQ58" i="2"/>
  <c r="GY97" i="3"/>
  <c r="GX98" i="3"/>
  <c r="HB42" i="3"/>
  <c r="HC42" i="3" s="1"/>
  <c r="HD84" i="3"/>
  <c r="HD108" i="3" s="1"/>
  <c r="HD17" i="3"/>
  <c r="GK163" i="2"/>
  <c r="GK156" i="2"/>
  <c r="GK160" i="2"/>
  <c r="GK148" i="2"/>
  <c r="GK120" i="2"/>
  <c r="GK116" i="2"/>
  <c r="GK136" i="2"/>
  <c r="GK108" i="2"/>
  <c r="GK112" i="2"/>
  <c r="GK152" i="2"/>
  <c r="GK144" i="2"/>
  <c r="GK128" i="2"/>
  <c r="GK132" i="2"/>
  <c r="GK124" i="2"/>
  <c r="HC108" i="3"/>
  <c r="GH92" i="2"/>
  <c r="GH93" i="2"/>
  <c r="HE173" i="3"/>
  <c r="HE175" i="3"/>
  <c r="HE70" i="3"/>
  <c r="HE69" i="3" s="1"/>
  <c r="HE25" i="3"/>
  <c r="HE32" i="3"/>
  <c r="HD69" i="3"/>
  <c r="HA158" i="3"/>
  <c r="EM76" i="2"/>
  <c r="HC84" i="3"/>
  <c r="EO94" i="2"/>
  <c r="HB156" i="3"/>
  <c r="HC156" i="3" s="1"/>
  <c r="GW128" i="3"/>
  <c r="GW129" i="3" s="1"/>
  <c r="GU148" i="3"/>
  <c r="GU146" i="3"/>
  <c r="GU147" i="3"/>
  <c r="GU92" i="3"/>
  <c r="HC128" i="3"/>
  <c r="GJ26" i="2"/>
  <c r="HB155" i="3"/>
  <c r="HC155" i="3" s="1"/>
  <c r="EN95" i="2"/>
  <c r="EN96" i="2"/>
  <c r="EN97" i="2"/>
  <c r="EU29" i="2"/>
  <c r="HA166" i="3"/>
  <c r="GZ52" i="3"/>
  <c r="EM72" i="2"/>
  <c r="ET26" i="2"/>
  <c r="GS169" i="3"/>
  <c r="GR171" i="3"/>
  <c r="GS171" i="3" s="1"/>
  <c r="GY130" i="3"/>
  <c r="GK140" i="2"/>
  <c r="ER54" i="2"/>
  <c r="ER49" i="2"/>
  <c r="ER51" i="2"/>
  <c r="ER50" i="2"/>
  <c r="ER52" i="2"/>
  <c r="HC33" i="3"/>
  <c r="HC45" i="3"/>
  <c r="HK137" i="3"/>
  <c r="HK78" i="3"/>
  <c r="HK154" i="3" s="1"/>
  <c r="HK39" i="3"/>
  <c r="HK37" i="3"/>
  <c r="HK31" i="3"/>
  <c r="HK10" i="3"/>
  <c r="HK11" i="3"/>
  <c r="HK29" i="3"/>
  <c r="HK27" i="3"/>
  <c r="HK41" i="3"/>
  <c r="HK23" i="3"/>
  <c r="HK21" i="3"/>
  <c r="HK15" i="3"/>
  <c r="HK161" i="3"/>
  <c r="GK412" i="2"/>
  <c r="HB106" i="3" l="1"/>
  <c r="HB110" i="3" s="1"/>
  <c r="HB43" i="3"/>
  <c r="HB63" i="3"/>
  <c r="HB47" i="3"/>
  <c r="HB50" i="3"/>
  <c r="EO79" i="2"/>
  <c r="HB56" i="3"/>
  <c r="EO66" i="2" s="1"/>
  <c r="GV102" i="3"/>
  <c r="EJ101" i="2" s="1"/>
  <c r="GV101" i="3"/>
  <c r="EJ100" i="2" s="1"/>
  <c r="EJ99" i="2"/>
  <c r="HK94" i="3"/>
  <c r="EW459" i="2"/>
  <c r="EW458" i="2"/>
  <c r="EW460" i="2"/>
  <c r="ES18" i="2"/>
  <c r="ES13" i="2"/>
  <c r="ES11" i="2"/>
  <c r="ES12" i="2"/>
  <c r="HE84" i="3"/>
  <c r="HE17" i="3"/>
  <c r="EN78" i="2"/>
  <c r="EN77" i="2"/>
  <c r="HF173" i="3"/>
  <c r="HF175" i="3"/>
  <c r="HF70" i="3"/>
  <c r="HF25" i="3"/>
  <c r="HF32" i="3"/>
  <c r="HF167" i="3" s="1"/>
  <c r="ER57" i="2"/>
  <c r="ER56" i="2"/>
  <c r="ER55" i="2"/>
  <c r="ER58" i="2"/>
  <c r="HI18" i="3"/>
  <c r="ET31" i="2"/>
  <c r="ET28" i="2"/>
  <c r="ET48" i="2"/>
  <c r="ET27" i="2"/>
  <c r="ET10" i="2"/>
  <c r="HB158" i="3"/>
  <c r="HC158" i="3" s="1"/>
  <c r="HD42" i="3"/>
  <c r="HA52" i="3"/>
  <c r="EN72" i="2"/>
  <c r="GU157" i="3"/>
  <c r="GY143" i="3"/>
  <c r="GZ97" i="3"/>
  <c r="GY152" i="3"/>
  <c r="GY150" i="3"/>
  <c r="GY151" i="3"/>
  <c r="GY98" i="3"/>
  <c r="GY160" i="3"/>
  <c r="EN68" i="2"/>
  <c r="EN67" i="2"/>
  <c r="HA132" i="3"/>
  <c r="EN90" i="2" s="1"/>
  <c r="EN92" i="2" s="1"/>
  <c r="HA126" i="3"/>
  <c r="HA130" i="3" s="1"/>
  <c r="HB166" i="3"/>
  <c r="EN80" i="2"/>
  <c r="EN81" i="2"/>
  <c r="GW144" i="3"/>
  <c r="GX144" i="3" s="1"/>
  <c r="GW149" i="3"/>
  <c r="GX149" i="3" s="1"/>
  <c r="GX77" i="3"/>
  <c r="GX100" i="3" s="1"/>
  <c r="EK98" i="2"/>
  <c r="GH98" i="2" s="1"/>
  <c r="GW100" i="3"/>
  <c r="GW87" i="3"/>
  <c r="GT171" i="3"/>
  <c r="HH174" i="3"/>
  <c r="HH172" i="3"/>
  <c r="HH19" i="3"/>
  <c r="HC106" i="3"/>
  <c r="EU26" i="2"/>
  <c r="HE168" i="3"/>
  <c r="HE33" i="3"/>
  <c r="HE34" i="3"/>
  <c r="HE42" i="3" s="1"/>
  <c r="HE45" i="3"/>
  <c r="GJ13" i="2"/>
  <c r="GJ12" i="2"/>
  <c r="GY128" i="3"/>
  <c r="GY129" i="3" s="1"/>
  <c r="GK457" i="2"/>
  <c r="ES51" i="2"/>
  <c r="ES50" i="2"/>
  <c r="ES52" i="2"/>
  <c r="ES54" i="2"/>
  <c r="GJ54" i="2" s="1"/>
  <c r="ES49" i="2"/>
  <c r="GJ48" i="2"/>
  <c r="EV29" i="2"/>
  <c r="GY77" i="3"/>
  <c r="HF13" i="3"/>
  <c r="HF16" i="3"/>
  <c r="GZ132" i="3"/>
  <c r="EM90" i="2" s="1"/>
  <c r="GZ126" i="3"/>
  <c r="HC110" i="3"/>
  <c r="HB162" i="3"/>
  <c r="HC162" i="3" s="1"/>
  <c r="GK415" i="2"/>
  <c r="GK414" i="2"/>
  <c r="GZ66" i="3"/>
  <c r="GZ65" i="3"/>
  <c r="EM69" i="2"/>
  <c r="GU170" i="3"/>
  <c r="GU169" i="3"/>
  <c r="GU153" i="3"/>
  <c r="GU159" i="3"/>
  <c r="GU163" i="3"/>
  <c r="HC43" i="3"/>
  <c r="HC56" i="3"/>
  <c r="GI66" i="2" s="1"/>
  <c r="GI68" i="2" s="1"/>
  <c r="GJ28" i="2"/>
  <c r="GJ29" i="2"/>
  <c r="GJ31" i="2"/>
  <c r="EO95" i="2"/>
  <c r="EO96" i="2"/>
  <c r="EO97" i="2"/>
  <c r="EM78" i="2"/>
  <c r="EM77" i="2"/>
  <c r="HL137" i="3"/>
  <c r="HL78" i="3"/>
  <c r="HL39" i="3"/>
  <c r="HL37" i="3"/>
  <c r="HL31" i="3"/>
  <c r="HL10" i="3"/>
  <c r="HL11" i="3"/>
  <c r="HL29" i="3"/>
  <c r="HL27" i="3"/>
  <c r="HL41" i="3"/>
  <c r="HL23" i="3"/>
  <c r="HL15" i="3"/>
  <c r="HL21" i="3"/>
  <c r="HL161" i="3"/>
  <c r="HM161" i="3" s="1"/>
  <c r="HM9" i="3"/>
  <c r="EM74" i="2"/>
  <c r="EM73" i="2"/>
  <c r="EP94" i="2"/>
  <c r="HE108" i="3"/>
  <c r="HD156" i="3"/>
  <c r="HD155" i="3"/>
  <c r="GV147" i="3"/>
  <c r="GV148" i="3"/>
  <c r="GV146" i="3"/>
  <c r="GV92" i="3"/>
  <c r="ER20" i="2"/>
  <c r="ER19" i="2"/>
  <c r="ER21" i="2"/>
  <c r="HE167" i="3"/>
  <c r="HG174" i="3"/>
  <c r="HG172" i="3"/>
  <c r="HG24" i="3"/>
  <c r="HG19" i="3"/>
  <c r="HG12" i="3"/>
  <c r="GU171" i="3" l="1"/>
  <c r="HG173" i="3"/>
  <c r="HG175" i="3"/>
  <c r="HG70" i="3"/>
  <c r="HG69" i="3" s="1"/>
  <c r="HG32" i="3"/>
  <c r="HG167" i="3" s="1"/>
  <c r="HH167" i="3" s="1"/>
  <c r="HG25" i="3"/>
  <c r="EP95" i="2"/>
  <c r="EP96" i="2"/>
  <c r="EP97" i="2"/>
  <c r="HG13" i="3"/>
  <c r="HG16" i="3"/>
  <c r="HH16" i="3" s="1"/>
  <c r="HH17" i="3" s="1"/>
  <c r="HH12" i="3"/>
  <c r="HH13" i="3" s="1"/>
  <c r="GZ130" i="3"/>
  <c r="EV26" i="2"/>
  <c r="HE106" i="3"/>
  <c r="HE110" i="3" s="1"/>
  <c r="HE50" i="3"/>
  <c r="HE63" i="3"/>
  <c r="EQ76" i="2" s="1"/>
  <c r="HE47" i="3"/>
  <c r="HE48" i="3" s="1"/>
  <c r="HE43" i="3"/>
  <c r="EQ79" i="2"/>
  <c r="HE56" i="3"/>
  <c r="EQ66" i="2" s="1"/>
  <c r="GW101" i="3"/>
  <c r="GW102" i="3"/>
  <c r="EK99" i="2"/>
  <c r="GH99" i="2" s="1"/>
  <c r="EN74" i="2"/>
  <c r="EN73" i="2"/>
  <c r="EQ94" i="2"/>
  <c r="HE156" i="3"/>
  <c r="HE155" i="3"/>
  <c r="ES21" i="2"/>
  <c r="ES20" i="2"/>
  <c r="ES19" i="2"/>
  <c r="HL94" i="3"/>
  <c r="HB48" i="3"/>
  <c r="HC47" i="3"/>
  <c r="HC48" i="3" s="1"/>
  <c r="EM93" i="2"/>
  <c r="EM92" i="2"/>
  <c r="EM91" i="2"/>
  <c r="GZ143" i="3"/>
  <c r="HA97" i="3"/>
  <c r="GZ152" i="3"/>
  <c r="GZ150" i="3"/>
  <c r="GZ151" i="3"/>
  <c r="GZ98" i="3"/>
  <c r="GZ160" i="3"/>
  <c r="HA66" i="3"/>
  <c r="HA65" i="3"/>
  <c r="EN69" i="2"/>
  <c r="HH24" i="3"/>
  <c r="HE158" i="3"/>
  <c r="EO76" i="2"/>
  <c r="HC63" i="3"/>
  <c r="HM78" i="3"/>
  <c r="HL154" i="3"/>
  <c r="HM154" i="3" s="1"/>
  <c r="HF84" i="3"/>
  <c r="HF155" i="3" s="1"/>
  <c r="HF17" i="3"/>
  <c r="HC166" i="3"/>
  <c r="HD106" i="3"/>
  <c r="HD50" i="3"/>
  <c r="HD63" i="3"/>
  <c r="HD47" i="3"/>
  <c r="HD43" i="3"/>
  <c r="EP79" i="2"/>
  <c r="HD56" i="3"/>
  <c r="EP66" i="2" s="1"/>
  <c r="HD158" i="3"/>
  <c r="ET18" i="2"/>
  <c r="ET13" i="2"/>
  <c r="ET11" i="2"/>
  <c r="ET12" i="2"/>
  <c r="HI172" i="3"/>
  <c r="HI174" i="3"/>
  <c r="HI19" i="3"/>
  <c r="HI24" i="3"/>
  <c r="HI12" i="3"/>
  <c r="HF168" i="3"/>
  <c r="HF34" i="3"/>
  <c r="HF45" i="3"/>
  <c r="HF33" i="3"/>
  <c r="EW29" i="2"/>
  <c r="GV170" i="3"/>
  <c r="GV169" i="3"/>
  <c r="GV153" i="3"/>
  <c r="GV159" i="3"/>
  <c r="GV163" i="3"/>
  <c r="GJ50" i="2"/>
  <c r="GJ51" i="2"/>
  <c r="GJ52" i="2"/>
  <c r="GK459" i="2"/>
  <c r="GK460" i="2"/>
  <c r="GK458" i="2"/>
  <c r="EO68" i="2"/>
  <c r="EO67" i="2"/>
  <c r="HB132" i="3"/>
  <c r="EO90" i="2" s="1"/>
  <c r="HB126" i="3"/>
  <c r="HB130" i="3" s="1"/>
  <c r="GJ56" i="2"/>
  <c r="GJ57" i="2"/>
  <c r="GJ58" i="2"/>
  <c r="GV157" i="3"/>
  <c r="GZ75" i="3"/>
  <c r="HJ18" i="3"/>
  <c r="EU31" i="2"/>
  <c r="EU27" i="2"/>
  <c r="EU28" i="2"/>
  <c r="EU48" i="2"/>
  <c r="EU10" i="2"/>
  <c r="EN93" i="2"/>
  <c r="EN91" i="2"/>
  <c r="HD162" i="3"/>
  <c r="ET51" i="2"/>
  <c r="ET50" i="2"/>
  <c r="ET52" i="2"/>
  <c r="ET54" i="2"/>
  <c r="ET49" i="2"/>
  <c r="HF69" i="3"/>
  <c r="HH69" i="3" s="1"/>
  <c r="EO81" i="2"/>
  <c r="EO80" i="2"/>
  <c r="HM11" i="3"/>
  <c r="HM37" i="3"/>
  <c r="HM31" i="3"/>
  <c r="HM39" i="3"/>
  <c r="HM29" i="3"/>
  <c r="HM27" i="3"/>
  <c r="HM41" i="3"/>
  <c r="HM23" i="3"/>
  <c r="HM21" i="3"/>
  <c r="HM15" i="3"/>
  <c r="EM70" i="2"/>
  <c r="EM71" i="2"/>
  <c r="HC132" i="3"/>
  <c r="HC111" i="3"/>
  <c r="GY149" i="3"/>
  <c r="GY144" i="3"/>
  <c r="EL98" i="2"/>
  <c r="GY100" i="3"/>
  <c r="GY87" i="3"/>
  <c r="ES57" i="2"/>
  <c r="ES56" i="2"/>
  <c r="ES55" i="2"/>
  <c r="ES58" i="2"/>
  <c r="GZ128" i="3"/>
  <c r="GW148" i="3"/>
  <c r="GX148" i="3" s="1"/>
  <c r="GW146" i="3"/>
  <c r="GW147" i="3"/>
  <c r="GX147" i="3" s="1"/>
  <c r="GX87" i="3"/>
  <c r="GW92" i="3"/>
  <c r="HE162" i="3"/>
  <c r="HE166" i="3"/>
  <c r="HD166" i="3"/>
  <c r="HB52" i="3"/>
  <c r="EO72" i="2"/>
  <c r="HC50" i="3"/>
  <c r="HC52" i="3" s="1"/>
  <c r="GI69" i="2" s="1"/>
  <c r="GI71" i="2" s="1"/>
  <c r="GI79" i="2"/>
  <c r="GI81" i="2" s="1"/>
  <c r="HH70" i="3" l="1"/>
  <c r="HH32" i="3"/>
  <c r="GZ129" i="3"/>
  <c r="HF108" i="3"/>
  <c r="GV171" i="3"/>
  <c r="GY146" i="3"/>
  <c r="GY148" i="3"/>
  <c r="GY147" i="3"/>
  <c r="GY92" i="3"/>
  <c r="HJ172" i="3"/>
  <c r="HJ174" i="3"/>
  <c r="HJ24" i="3"/>
  <c r="HJ19" i="3"/>
  <c r="HJ12" i="3"/>
  <c r="HI175" i="3"/>
  <c r="HI173" i="3"/>
  <c r="HI70" i="3"/>
  <c r="HI32" i="3"/>
  <c r="HI167" i="3" s="1"/>
  <c r="HI25" i="3"/>
  <c r="EP81" i="2"/>
  <c r="EP80" i="2"/>
  <c r="HD110" i="3"/>
  <c r="HH175" i="3"/>
  <c r="HH173" i="3"/>
  <c r="HH25" i="3"/>
  <c r="EQ96" i="2"/>
  <c r="EQ97" i="2"/>
  <c r="EQ95" i="2"/>
  <c r="GX102" i="3"/>
  <c r="EK101" i="2"/>
  <c r="EQ78" i="2"/>
  <c r="HK18" i="3"/>
  <c r="EV28" i="2"/>
  <c r="EV48" i="2"/>
  <c r="EV31" i="2"/>
  <c r="EV27" i="2"/>
  <c r="EV10" i="2"/>
  <c r="EU12" i="2"/>
  <c r="EU18" i="2"/>
  <c r="EU13" i="2"/>
  <c r="EU11" i="2"/>
  <c r="GZ77" i="3"/>
  <c r="HA75" i="3"/>
  <c r="EW26" i="2"/>
  <c r="HF42" i="3"/>
  <c r="EN71" i="2"/>
  <c r="EN70" i="2"/>
  <c r="HM94" i="3"/>
  <c r="GX101" i="3"/>
  <c r="EK100" i="2"/>
  <c r="GH100" i="2" s="1"/>
  <c r="HE52" i="3"/>
  <c r="EQ72" i="2"/>
  <c r="GW170" i="3"/>
  <c r="GX170" i="3" s="1"/>
  <c r="GX92" i="3"/>
  <c r="GW153" i="3"/>
  <c r="GX153" i="3" s="1"/>
  <c r="GW169" i="3"/>
  <c r="GW159" i="3"/>
  <c r="GX159" i="3" s="1"/>
  <c r="GW163" i="3"/>
  <c r="GX163" i="3" s="1"/>
  <c r="GY101" i="3"/>
  <c r="EL100" i="2" s="1"/>
  <c r="GY102" i="3"/>
  <c r="EL101" i="2" s="1"/>
  <c r="EL99" i="2"/>
  <c r="EO93" i="2"/>
  <c r="EO92" i="2"/>
  <c r="EO91" i="2"/>
  <c r="EQ67" i="2"/>
  <c r="EQ68" i="2"/>
  <c r="HE132" i="3"/>
  <c r="EQ90" i="2" s="1"/>
  <c r="HE126" i="3"/>
  <c r="HE130" i="3" s="1"/>
  <c r="HC126" i="3"/>
  <c r="HC130" i="3" s="1"/>
  <c r="HC129" i="3" s="1"/>
  <c r="HH33" i="3"/>
  <c r="HH45" i="3"/>
  <c r="ET19" i="2"/>
  <c r="ET21" i="2"/>
  <c r="ET20" i="2"/>
  <c r="HD48" i="3"/>
  <c r="HA143" i="3"/>
  <c r="HB97" i="3"/>
  <c r="HA152" i="3"/>
  <c r="HA151" i="3"/>
  <c r="HA150" i="3"/>
  <c r="HA98" i="3"/>
  <c r="HA160" i="3"/>
  <c r="EQ81" i="2"/>
  <c r="EQ80" i="2"/>
  <c r="EU52" i="2"/>
  <c r="EU54" i="2"/>
  <c r="EU49" i="2"/>
  <c r="EU50" i="2"/>
  <c r="EU51" i="2"/>
  <c r="HB66" i="3"/>
  <c r="HB65" i="3"/>
  <c r="EO69" i="2"/>
  <c r="ET57" i="2"/>
  <c r="ET56" i="2"/>
  <c r="ET55" i="2"/>
  <c r="ET58" i="2"/>
  <c r="EP76" i="2"/>
  <c r="EQ77" i="2" s="1"/>
  <c r="EO78" i="2"/>
  <c r="EO77" i="2"/>
  <c r="GI76" i="2"/>
  <c r="GI78" i="2" s="1"/>
  <c r="HA128" i="3"/>
  <c r="HA129" i="3" s="1"/>
  <c r="EO73" i="2"/>
  <c r="EO74" i="2"/>
  <c r="GI72" i="2"/>
  <c r="GI74" i="2" s="1"/>
  <c r="GX146" i="3"/>
  <c r="GW157" i="3"/>
  <c r="GX157" i="3" s="1"/>
  <c r="HI13" i="3"/>
  <c r="HI16" i="3"/>
  <c r="EP67" i="2"/>
  <c r="EP68" i="2"/>
  <c r="HD52" i="3"/>
  <c r="EP72" i="2"/>
  <c r="ER94" i="2"/>
  <c r="HF156" i="3"/>
  <c r="GI90" i="2"/>
  <c r="HG84" i="3"/>
  <c r="HG17" i="3"/>
  <c r="HG168" i="3"/>
  <c r="HH168" i="3" s="1"/>
  <c r="HG34" i="3"/>
  <c r="HG42" i="3" s="1"/>
  <c r="HG45" i="3"/>
  <c r="HG33" i="3"/>
  <c r="HG106" i="3" l="1"/>
  <c r="HG50" i="3"/>
  <c r="HG63" i="3"/>
  <c r="ES76" i="2" s="1"/>
  <c r="HG43" i="3"/>
  <c r="HG47" i="3"/>
  <c r="HG48" i="3" s="1"/>
  <c r="ES79" i="2"/>
  <c r="HG56" i="3"/>
  <c r="ES66" i="2" s="1"/>
  <c r="HD65" i="3"/>
  <c r="HD66" i="3"/>
  <c r="EP69" i="2"/>
  <c r="HB143" i="3"/>
  <c r="HC143" i="3" s="1"/>
  <c r="HC97" i="3"/>
  <c r="HB152" i="3"/>
  <c r="HC152" i="3" s="1"/>
  <c r="HB151" i="3"/>
  <c r="HC151" i="3" s="1"/>
  <c r="HB150" i="3"/>
  <c r="HC150" i="3" s="1"/>
  <c r="HB98" i="3"/>
  <c r="HB160" i="3"/>
  <c r="HC160" i="3" s="1"/>
  <c r="HE65" i="3"/>
  <c r="HE66" i="3"/>
  <c r="EQ69" i="2"/>
  <c r="HL18" i="3"/>
  <c r="HM18" i="3" s="1"/>
  <c r="EW28" i="2"/>
  <c r="EW48" i="2"/>
  <c r="EW31" i="2"/>
  <c r="EW27" i="2"/>
  <c r="EW10" i="2"/>
  <c r="EU21" i="2"/>
  <c r="EU20" i="2"/>
  <c r="EU19" i="2"/>
  <c r="EV52" i="2"/>
  <c r="EV54" i="2"/>
  <c r="EV49" i="2"/>
  <c r="EV51" i="2"/>
  <c r="EV50" i="2"/>
  <c r="HH34" i="3"/>
  <c r="HH35" i="3" s="1"/>
  <c r="GY170" i="3"/>
  <c r="GY153" i="3"/>
  <c r="GY169" i="3"/>
  <c r="GY159" i="3"/>
  <c r="GY163" i="3"/>
  <c r="HA77" i="3"/>
  <c r="HB75" i="3"/>
  <c r="GK26" i="2"/>
  <c r="HK172" i="3"/>
  <c r="HK174" i="3"/>
  <c r="HK24" i="3"/>
  <c r="HK19" i="3"/>
  <c r="HK12" i="3"/>
  <c r="HD132" i="3"/>
  <c r="EP90" i="2" s="1"/>
  <c r="HD126" i="3"/>
  <c r="HI168" i="3"/>
  <c r="HI45" i="3"/>
  <c r="HI34" i="3"/>
  <c r="HI42" i="3" s="1"/>
  <c r="HI33" i="3"/>
  <c r="HJ13" i="3"/>
  <c r="HJ16" i="3"/>
  <c r="HH128" i="3"/>
  <c r="GZ149" i="3"/>
  <c r="GZ144" i="3"/>
  <c r="EM98" i="2"/>
  <c r="GZ100" i="3"/>
  <c r="GZ87" i="3"/>
  <c r="EV13" i="2"/>
  <c r="EV11" i="2"/>
  <c r="EV12" i="2"/>
  <c r="EV18" i="2"/>
  <c r="HI69" i="3"/>
  <c r="HH84" i="3"/>
  <c r="ES94" i="2"/>
  <c r="HG156" i="3"/>
  <c r="HH156" i="3" s="1"/>
  <c r="HG155" i="3"/>
  <c r="HH155" i="3" s="1"/>
  <c r="EP78" i="2"/>
  <c r="EP77" i="2"/>
  <c r="EO71" i="2"/>
  <c r="EO70" i="2"/>
  <c r="GI92" i="2"/>
  <c r="GI93" i="2"/>
  <c r="HJ173" i="3"/>
  <c r="HJ175" i="3"/>
  <c r="HJ70" i="3"/>
  <c r="HJ69" i="3" s="1"/>
  <c r="HJ25" i="3"/>
  <c r="HJ32" i="3"/>
  <c r="GY157" i="3"/>
  <c r="ER96" i="2"/>
  <c r="ER97" i="2"/>
  <c r="ER95" i="2"/>
  <c r="HI84" i="3"/>
  <c r="HI17" i="3"/>
  <c r="EU58" i="2"/>
  <c r="EU57" i="2"/>
  <c r="EU56" i="2"/>
  <c r="EU55" i="2"/>
  <c r="EP73" i="2"/>
  <c r="EP74" i="2"/>
  <c r="HB128" i="3"/>
  <c r="HB129" i="3" s="1"/>
  <c r="HG108" i="3"/>
  <c r="HH108" i="3" s="1"/>
  <c r="EQ93" i="2"/>
  <c r="EQ92" i="2"/>
  <c r="EQ91" i="2"/>
  <c r="GX169" i="3"/>
  <c r="GW171" i="3"/>
  <c r="GX171" i="3" s="1"/>
  <c r="EQ74" i="2"/>
  <c r="EQ73" i="2"/>
  <c r="HG166" i="3"/>
  <c r="HF106" i="3"/>
  <c r="HF50" i="3"/>
  <c r="HF63" i="3"/>
  <c r="HF47" i="3"/>
  <c r="HF43" i="3"/>
  <c r="ER79" i="2"/>
  <c r="HF56" i="3"/>
  <c r="ER66" i="2" s="1"/>
  <c r="HG158" i="3"/>
  <c r="HH158" i="3" s="1"/>
  <c r="HF166" i="3"/>
  <c r="HH42" i="3"/>
  <c r="HG162" i="3"/>
  <c r="HH162" i="3" s="1"/>
  <c r="HF158" i="3"/>
  <c r="HF162" i="3"/>
  <c r="HI162" i="3" l="1"/>
  <c r="HI158" i="3"/>
  <c r="HI166" i="3"/>
  <c r="ER76" i="2"/>
  <c r="HH63" i="3"/>
  <c r="HD128" i="3"/>
  <c r="HM174" i="3"/>
  <c r="HM172" i="3"/>
  <c r="HM19" i="3"/>
  <c r="ES97" i="2"/>
  <c r="ES95" i="2"/>
  <c r="ES96" i="2"/>
  <c r="HA149" i="3"/>
  <c r="HA144" i="3"/>
  <c r="EN98" i="2"/>
  <c r="HA100" i="3"/>
  <c r="HA87" i="3"/>
  <c r="EV58" i="2"/>
  <c r="EV57" i="2"/>
  <c r="EV56" i="2"/>
  <c r="EV55" i="2"/>
  <c r="ES68" i="2"/>
  <c r="ES67" i="2"/>
  <c r="HG110" i="3"/>
  <c r="ET94" i="2"/>
  <c r="HI156" i="3"/>
  <c r="HJ167" i="3"/>
  <c r="HK173" i="3"/>
  <c r="HK175" i="3"/>
  <c r="HK70" i="3"/>
  <c r="HK69" i="3" s="1"/>
  <c r="HK25" i="3"/>
  <c r="HK32" i="3"/>
  <c r="HD97" i="3"/>
  <c r="HC98" i="3"/>
  <c r="ES80" i="2"/>
  <c r="ES81" i="2"/>
  <c r="ER68" i="2"/>
  <c r="ER67" i="2"/>
  <c r="HD130" i="3"/>
  <c r="EW54" i="2"/>
  <c r="EW49" i="2"/>
  <c r="EW51" i="2"/>
  <c r="EW50" i="2"/>
  <c r="EW52" i="2"/>
  <c r="GK48" i="2"/>
  <c r="HH43" i="3"/>
  <c r="HH56" i="3"/>
  <c r="GJ66" i="2" s="1"/>
  <c r="GJ68" i="2" s="1"/>
  <c r="GZ146" i="3"/>
  <c r="GZ148" i="3"/>
  <c r="GZ147" i="3"/>
  <c r="GZ92" i="3"/>
  <c r="GY171" i="3"/>
  <c r="EP70" i="2"/>
  <c r="EP71" i="2"/>
  <c r="HH166" i="3"/>
  <c r="ER80" i="2"/>
  <c r="ER81" i="2"/>
  <c r="GJ79" i="2"/>
  <c r="GJ81" i="2" s="1"/>
  <c r="HI155" i="3"/>
  <c r="HI108" i="3"/>
  <c r="GZ101" i="3"/>
  <c r="EM100" i="2" s="1"/>
  <c r="GZ102" i="3"/>
  <c r="EM101" i="2" s="1"/>
  <c r="EM99" i="2"/>
  <c r="HI106" i="3"/>
  <c r="HI63" i="3"/>
  <c r="HI47" i="3"/>
  <c r="HI50" i="3"/>
  <c r="HI43" i="3"/>
  <c r="ET79" i="2"/>
  <c r="HI56" i="3"/>
  <c r="ET66" i="2" s="1"/>
  <c r="EP92" i="2"/>
  <c r="EP91" i="2"/>
  <c r="EP93" i="2"/>
  <c r="GK29" i="2"/>
  <c r="GK31" i="2"/>
  <c r="GK28" i="2"/>
  <c r="HL172" i="3"/>
  <c r="HL174" i="3"/>
  <c r="HL24" i="3"/>
  <c r="HM24" i="3" s="1"/>
  <c r="HL19" i="3"/>
  <c r="HL12" i="3"/>
  <c r="HM12" i="3" s="1"/>
  <c r="HM13" i="3" s="1"/>
  <c r="ES78" i="2"/>
  <c r="ES77" i="2"/>
  <c r="HF52" i="3"/>
  <c r="ER72" i="2"/>
  <c r="HH50" i="3"/>
  <c r="HH52" i="3" s="1"/>
  <c r="GJ69" i="2" s="1"/>
  <c r="GJ71" i="2" s="1"/>
  <c r="HJ168" i="3"/>
  <c r="HJ42" i="3"/>
  <c r="HJ33" i="3"/>
  <c r="HJ45" i="3"/>
  <c r="HJ34" i="3"/>
  <c r="HK167" i="3"/>
  <c r="HF110" i="3"/>
  <c r="HH106" i="3"/>
  <c r="HF48" i="3"/>
  <c r="HH47" i="3"/>
  <c r="HH48" i="3" s="1"/>
  <c r="EV19" i="2"/>
  <c r="EV20" i="2"/>
  <c r="EV21" i="2"/>
  <c r="HJ84" i="3"/>
  <c r="HJ108" i="3" s="1"/>
  <c r="HJ17" i="3"/>
  <c r="HK13" i="3"/>
  <c r="HK16" i="3"/>
  <c r="HD75" i="3"/>
  <c r="HB77" i="3"/>
  <c r="HC75" i="3"/>
  <c r="EW18" i="2"/>
  <c r="EW13" i="2"/>
  <c r="EW11" i="2"/>
  <c r="EW12" i="2"/>
  <c r="GK10" i="2"/>
  <c r="EQ71" i="2"/>
  <c r="EQ70" i="2"/>
  <c r="HG52" i="3"/>
  <c r="ES72" i="2"/>
  <c r="HM173" i="3" l="1"/>
  <c r="HM175" i="3"/>
  <c r="HM25" i="3"/>
  <c r="HA146" i="3"/>
  <c r="HA148" i="3"/>
  <c r="HA147" i="3"/>
  <c r="HA92" i="3"/>
  <c r="HG65" i="3"/>
  <c r="HG66" i="3"/>
  <c r="ES69" i="2"/>
  <c r="HJ106" i="3"/>
  <c r="HJ110" i="3" s="1"/>
  <c r="HJ50" i="3"/>
  <c r="HJ63" i="3"/>
  <c r="EU76" i="2" s="1"/>
  <c r="HJ47" i="3"/>
  <c r="HJ48" i="3" s="1"/>
  <c r="HJ43" i="3"/>
  <c r="EU79" i="2"/>
  <c r="HJ56" i="3"/>
  <c r="EU66" i="2" s="1"/>
  <c r="HJ166" i="3"/>
  <c r="HJ158" i="3"/>
  <c r="HJ162" i="3"/>
  <c r="HK168" i="3"/>
  <c r="HK33" i="3"/>
  <c r="HK45" i="3"/>
  <c r="HK34" i="3"/>
  <c r="HK42" i="3" s="1"/>
  <c r="HA102" i="3"/>
  <c r="EN101" i="2" s="1"/>
  <c r="HA101" i="3"/>
  <c r="EN100" i="2" s="1"/>
  <c r="EN99" i="2"/>
  <c r="ES74" i="2"/>
  <c r="ES73" i="2"/>
  <c r="HI48" i="3"/>
  <c r="GZ170" i="3"/>
  <c r="GZ169" i="3"/>
  <c r="GZ171" i="3" s="1"/>
  <c r="GZ153" i="3"/>
  <c r="GZ159" i="3"/>
  <c r="GZ163" i="3"/>
  <c r="ER77" i="2"/>
  <c r="ER78" i="2"/>
  <c r="GJ76" i="2"/>
  <c r="GJ78" i="2" s="1"/>
  <c r="EU94" i="2"/>
  <c r="HJ156" i="3"/>
  <c r="HJ155" i="3"/>
  <c r="ET68" i="2"/>
  <c r="ET67" i="2"/>
  <c r="ET76" i="2"/>
  <c r="EW57" i="2"/>
  <c r="EW56" i="2"/>
  <c r="EW55" i="2"/>
  <c r="EW58" i="2"/>
  <c r="GK54" i="2"/>
  <c r="HK84" i="3"/>
  <c r="HK17" i="3"/>
  <c r="HI52" i="3"/>
  <c r="ET72" i="2"/>
  <c r="HL13" i="3"/>
  <c r="HL16" i="3"/>
  <c r="HM16" i="3" s="1"/>
  <c r="HM17" i="3" s="1"/>
  <c r="GK12" i="2"/>
  <c r="GK13" i="2"/>
  <c r="GK51" i="2"/>
  <c r="GK52" i="2"/>
  <c r="GK50" i="2"/>
  <c r="ET95" i="2"/>
  <c r="ET96" i="2"/>
  <c r="ET97" i="2"/>
  <c r="EW20" i="2"/>
  <c r="EW19" i="2"/>
  <c r="EW21" i="2"/>
  <c r="HF132" i="3"/>
  <c r="ER90" i="2" s="1"/>
  <c r="HF126" i="3"/>
  <c r="HH110" i="3"/>
  <c r="HB149" i="3"/>
  <c r="HC149" i="3" s="1"/>
  <c r="HB144" i="3"/>
  <c r="HC144" i="3" s="1"/>
  <c r="HC77" i="3"/>
  <c r="HC100" i="3" s="1"/>
  <c r="EO98" i="2"/>
  <c r="GI98" i="2" s="1"/>
  <c r="HB100" i="3"/>
  <c r="HB87" i="3"/>
  <c r="ER73" i="2"/>
  <c r="ER74" i="2"/>
  <c r="GJ72" i="2"/>
  <c r="GJ74" i="2" s="1"/>
  <c r="ET80" i="2"/>
  <c r="ET81" i="2"/>
  <c r="HI110" i="3"/>
  <c r="HD77" i="3"/>
  <c r="HE75" i="3"/>
  <c r="HF66" i="3"/>
  <c r="HF65" i="3"/>
  <c r="ER69" i="2"/>
  <c r="HL173" i="3"/>
  <c r="HL175" i="3"/>
  <c r="HL70" i="3"/>
  <c r="HL25" i="3"/>
  <c r="HL32" i="3"/>
  <c r="HL167" i="3" s="1"/>
  <c r="HM167" i="3" s="1"/>
  <c r="GZ157" i="3"/>
  <c r="HD143" i="3"/>
  <c r="HE97" i="3"/>
  <c r="HD152" i="3"/>
  <c r="HD151" i="3"/>
  <c r="HD150" i="3"/>
  <c r="HD98" i="3"/>
  <c r="HD160" i="3"/>
  <c r="HG132" i="3"/>
  <c r="ES90" i="2" s="1"/>
  <c r="HG126" i="3"/>
  <c r="HG130" i="3" s="1"/>
  <c r="HD129" i="3"/>
  <c r="HM32" i="3" l="1"/>
  <c r="HM33" i="3" s="1"/>
  <c r="HK106" i="3"/>
  <c r="HK50" i="3"/>
  <c r="HK63" i="3"/>
  <c r="HK47" i="3"/>
  <c r="HK43" i="3"/>
  <c r="EV79" i="2"/>
  <c r="HK56" i="3"/>
  <c r="EV66" i="2" s="1"/>
  <c r="HK166" i="3"/>
  <c r="HK158" i="3"/>
  <c r="HK162" i="3"/>
  <c r="HL69" i="3"/>
  <c r="HM69" i="3" s="1"/>
  <c r="HM70" i="3"/>
  <c r="HE77" i="3"/>
  <c r="HF75" i="3"/>
  <c r="HB148" i="3"/>
  <c r="HC148" i="3" s="1"/>
  <c r="HB147" i="3"/>
  <c r="HC147" i="3" s="1"/>
  <c r="HB146" i="3"/>
  <c r="HC87" i="3"/>
  <c r="HB92" i="3"/>
  <c r="HH132" i="3"/>
  <c r="HH111" i="3"/>
  <c r="HI66" i="3"/>
  <c r="HI65" i="3"/>
  <c r="ET69" i="2"/>
  <c r="EU78" i="2"/>
  <c r="EU77" i="2"/>
  <c r="HB102" i="3"/>
  <c r="HB101" i="3"/>
  <c r="EO99" i="2"/>
  <c r="GI99" i="2" s="1"/>
  <c r="HF130" i="3"/>
  <c r="HH126" i="3"/>
  <c r="HH130" i="3" s="1"/>
  <c r="HH129" i="3" s="1"/>
  <c r="EU95" i="2"/>
  <c r="EU96" i="2"/>
  <c r="EU97" i="2"/>
  <c r="HJ52" i="3"/>
  <c r="EU72" i="2"/>
  <c r="ES70" i="2"/>
  <c r="ES71" i="2"/>
  <c r="HA157" i="3"/>
  <c r="EU68" i="2"/>
  <c r="EU67" i="2"/>
  <c r="HJ132" i="3"/>
  <c r="EU90" i="2" s="1"/>
  <c r="HJ126" i="3"/>
  <c r="HJ130" i="3" s="1"/>
  <c r="HD149" i="3"/>
  <c r="HD144" i="3"/>
  <c r="EP98" i="2"/>
  <c r="HD100" i="3"/>
  <c r="HD87" i="3"/>
  <c r="EU81" i="2"/>
  <c r="EU80" i="2"/>
  <c r="ER93" i="2"/>
  <c r="ER92" i="2"/>
  <c r="ER91" i="2"/>
  <c r="GJ90" i="2"/>
  <c r="HE128" i="3"/>
  <c r="HE129" i="3" s="1"/>
  <c r="ER71" i="2"/>
  <c r="ER70" i="2"/>
  <c r="HL84" i="3"/>
  <c r="HL17" i="3"/>
  <c r="HI132" i="3"/>
  <c r="ET90" i="2" s="1"/>
  <c r="HI126" i="3"/>
  <c r="EV94" i="2"/>
  <c r="HK156" i="3"/>
  <c r="HA170" i="3"/>
  <c r="HA153" i="3"/>
  <c r="HA169" i="3"/>
  <c r="HA159" i="3"/>
  <c r="HA163" i="3"/>
  <c r="HM45" i="3"/>
  <c r="HL168" i="3"/>
  <c r="HM168" i="3" s="1"/>
  <c r="HL45" i="3"/>
  <c r="HL34" i="3"/>
  <c r="HL42" i="3" s="1"/>
  <c r="HL33" i="3"/>
  <c r="ES93" i="2"/>
  <c r="ES92" i="2"/>
  <c r="ES91" i="2"/>
  <c r="HE143" i="3"/>
  <c r="HF97" i="3"/>
  <c r="HE152" i="3"/>
  <c r="HE150" i="3"/>
  <c r="HE151" i="3"/>
  <c r="HE98" i="3"/>
  <c r="HE160" i="3"/>
  <c r="HK155" i="3"/>
  <c r="ET74" i="2"/>
  <c r="ET73" i="2"/>
  <c r="GK57" i="2"/>
  <c r="GK58" i="2"/>
  <c r="GK56" i="2"/>
  <c r="ET78" i="2"/>
  <c r="ET77" i="2"/>
  <c r="HK108" i="3"/>
  <c r="HA171" i="3" l="1"/>
  <c r="HM34" i="3"/>
  <c r="HM35" i="3" s="1"/>
  <c r="HL106" i="3"/>
  <c r="HL50" i="3"/>
  <c r="HM50" i="3" s="1"/>
  <c r="HM52" i="3" s="1"/>
  <c r="GK69" i="2" s="1"/>
  <c r="GK71" i="2" s="1"/>
  <c r="HL63" i="3"/>
  <c r="EW76" i="2" s="1"/>
  <c r="HL47" i="3"/>
  <c r="HL48" i="3" s="1"/>
  <c r="HL43" i="3"/>
  <c r="EW79" i="2"/>
  <c r="HL56" i="3"/>
  <c r="EW66" i="2" s="1"/>
  <c r="GJ92" i="2"/>
  <c r="GJ93" i="2"/>
  <c r="HD148" i="3"/>
  <c r="HD146" i="3"/>
  <c r="HD147" i="3"/>
  <c r="HD92" i="3"/>
  <c r="EU93" i="2"/>
  <c r="EU92" i="2"/>
  <c r="EU91" i="2"/>
  <c r="HC102" i="3"/>
  <c r="EO101" i="2"/>
  <c r="HL162" i="3"/>
  <c r="HM162" i="3" s="1"/>
  <c r="HD101" i="3"/>
  <c r="EP100" i="2" s="1"/>
  <c r="HD102" i="3"/>
  <c r="EP101" i="2" s="1"/>
  <c r="EP99" i="2"/>
  <c r="HL158" i="3"/>
  <c r="HM158" i="3" s="1"/>
  <c r="HK48" i="3"/>
  <c r="EV95" i="2"/>
  <c r="EV96" i="2"/>
  <c r="EV97" i="2"/>
  <c r="EU73" i="2"/>
  <c r="EU74" i="2"/>
  <c r="HM128" i="3"/>
  <c r="HF77" i="3"/>
  <c r="HG75" i="3"/>
  <c r="EV76" i="2"/>
  <c r="HM63" i="3"/>
  <c r="HJ66" i="3"/>
  <c r="HJ65" i="3"/>
  <c r="EU69" i="2"/>
  <c r="ET70" i="2"/>
  <c r="ET71" i="2"/>
  <c r="HB170" i="3"/>
  <c r="HC170" i="3" s="1"/>
  <c r="HC92" i="3"/>
  <c r="HB153" i="3"/>
  <c r="HC153" i="3" s="1"/>
  <c r="HB169" i="3"/>
  <c r="HB159" i="3"/>
  <c r="HC159" i="3" s="1"/>
  <c r="HB163" i="3"/>
  <c r="HC163" i="3" s="1"/>
  <c r="HE149" i="3"/>
  <c r="HE144" i="3"/>
  <c r="EQ98" i="2"/>
  <c r="HE100" i="3"/>
  <c r="HE87" i="3"/>
  <c r="HK52" i="3"/>
  <c r="EV72" i="2"/>
  <c r="HM84" i="3"/>
  <c r="EW94" i="2"/>
  <c r="HL156" i="3"/>
  <c r="HM156" i="3" s="1"/>
  <c r="HF143" i="3"/>
  <c r="HG97" i="3"/>
  <c r="HF152" i="3"/>
  <c r="HF151" i="3"/>
  <c r="HF98" i="3"/>
  <c r="HF150" i="3"/>
  <c r="HF160" i="3"/>
  <c r="HM42" i="3"/>
  <c r="EV67" i="2"/>
  <c r="EV68" i="2"/>
  <c r="HK110" i="3"/>
  <c r="HM106" i="3"/>
  <c r="HI130" i="3"/>
  <c r="HL155" i="3"/>
  <c r="HM155" i="3" s="1"/>
  <c r="HL108" i="3"/>
  <c r="HM108" i="3" s="1"/>
  <c r="ET93" i="2"/>
  <c r="ET92" i="2"/>
  <c r="ET91" i="2"/>
  <c r="HF128" i="3"/>
  <c r="HF129" i="3" s="1"/>
  <c r="HC101" i="3"/>
  <c r="EO100" i="2"/>
  <c r="GI100" i="2" s="1"/>
  <c r="HC146" i="3"/>
  <c r="HB157" i="3"/>
  <c r="HC157" i="3" s="1"/>
  <c r="EV81" i="2"/>
  <c r="EV80" i="2"/>
  <c r="GK79" i="2"/>
  <c r="GK81" i="2" s="1"/>
  <c r="HL166" i="3"/>
  <c r="HM47" i="3" l="1"/>
  <c r="HM48" i="3" s="1"/>
  <c r="HG143" i="3"/>
  <c r="HH143" i="3" s="1"/>
  <c r="HH97" i="3"/>
  <c r="HG152" i="3"/>
  <c r="HH152" i="3" s="1"/>
  <c r="HG151" i="3"/>
  <c r="HH151" i="3" s="1"/>
  <c r="HG150" i="3"/>
  <c r="HH150" i="3" s="1"/>
  <c r="HG98" i="3"/>
  <c r="HG160" i="3"/>
  <c r="HH160" i="3" s="1"/>
  <c r="EU70" i="2"/>
  <c r="EU71" i="2"/>
  <c r="HI75" i="3"/>
  <c r="HH75" i="3"/>
  <c r="HG77" i="3"/>
  <c r="EW80" i="2"/>
  <c r="EW81" i="2"/>
  <c r="EV73" i="2"/>
  <c r="EV74" i="2"/>
  <c r="HF149" i="3"/>
  <c r="HF144" i="3"/>
  <c r="ER98" i="2"/>
  <c r="HF100" i="3"/>
  <c r="HF87" i="3"/>
  <c r="HD157" i="3"/>
  <c r="HK65" i="3"/>
  <c r="HK66" i="3"/>
  <c r="EV69" i="2"/>
  <c r="HM166" i="3"/>
  <c r="HK132" i="3"/>
  <c r="EV90" i="2" s="1"/>
  <c r="HK126" i="3"/>
  <c r="HE146" i="3"/>
  <c r="HE147" i="3"/>
  <c r="HE148" i="3"/>
  <c r="HE92" i="3"/>
  <c r="EW78" i="2"/>
  <c r="EW77" i="2"/>
  <c r="HM43" i="3"/>
  <c r="HM56" i="3"/>
  <c r="GK66" i="2" s="1"/>
  <c r="GK68" i="2" s="1"/>
  <c r="EW96" i="2"/>
  <c r="EW97" i="2"/>
  <c r="EW95" i="2"/>
  <c r="HE101" i="3"/>
  <c r="EQ100" i="2" s="1"/>
  <c r="HE102" i="3"/>
  <c r="EQ101" i="2" s="1"/>
  <c r="EQ99" i="2"/>
  <c r="HC169" i="3"/>
  <c r="HB171" i="3"/>
  <c r="HC171" i="3" s="1"/>
  <c r="EV77" i="2"/>
  <c r="EV78" i="2"/>
  <c r="GK76" i="2"/>
  <c r="GK78" i="2" s="1"/>
  <c r="HL52" i="3"/>
  <c r="EW72" i="2"/>
  <c r="HG128" i="3"/>
  <c r="HG129" i="3" s="1"/>
  <c r="HD170" i="3"/>
  <c r="HD153" i="3"/>
  <c r="HD169" i="3"/>
  <c r="HD159" i="3"/>
  <c r="HD163" i="3"/>
  <c r="EW67" i="2"/>
  <c r="EW68" i="2"/>
  <c r="HL110" i="3"/>
  <c r="EW73" i="2" l="1"/>
  <c r="EW74" i="2"/>
  <c r="HG144" i="3"/>
  <c r="HH144" i="3" s="1"/>
  <c r="HG149" i="3"/>
  <c r="HH149" i="3" s="1"/>
  <c r="HH77" i="3"/>
  <c r="HH100" i="3" s="1"/>
  <c r="ES98" i="2"/>
  <c r="GJ98" i="2" s="1"/>
  <c r="HG100" i="3"/>
  <c r="HG87" i="3"/>
  <c r="HF146" i="3"/>
  <c r="HF147" i="3"/>
  <c r="HF148" i="3"/>
  <c r="HF92" i="3"/>
  <c r="HJ75" i="3"/>
  <c r="HI77" i="3"/>
  <c r="HL132" i="3"/>
  <c r="EW90" i="2" s="1"/>
  <c r="GK90" i="2" s="1"/>
  <c r="HL126" i="3"/>
  <c r="HL130" i="3" s="1"/>
  <c r="HL65" i="3"/>
  <c r="HL66" i="3"/>
  <c r="EW69" i="2"/>
  <c r="EV70" i="2"/>
  <c r="EV71" i="2"/>
  <c r="HE157" i="3"/>
  <c r="HM110" i="3"/>
  <c r="HK130" i="3"/>
  <c r="HI97" i="3"/>
  <c r="HH98" i="3"/>
  <c r="GK72" i="2"/>
  <c r="GK74" i="2" s="1"/>
  <c r="HF101" i="3"/>
  <c r="ER100" i="2" s="1"/>
  <c r="HF102" i="3"/>
  <c r="ER101" i="2" s="1"/>
  <c r="ER99" i="2"/>
  <c r="HD171" i="3"/>
  <c r="HI128" i="3"/>
  <c r="HI129" i="3" s="1"/>
  <c r="HE170" i="3"/>
  <c r="HE153" i="3"/>
  <c r="HE169" i="3"/>
  <c r="HE159" i="3"/>
  <c r="HE163" i="3"/>
  <c r="EV92" i="2"/>
  <c r="EV91" i="2"/>
  <c r="EV93" i="2"/>
  <c r="HM132" i="3" l="1"/>
  <c r="HM111" i="3"/>
  <c r="HF170" i="3"/>
  <c r="HF153" i="3"/>
  <c r="HF169" i="3"/>
  <c r="HF159" i="3"/>
  <c r="HF163" i="3"/>
  <c r="GK93" i="2"/>
  <c r="GK92" i="2"/>
  <c r="EW93" i="2"/>
  <c r="EW92" i="2"/>
  <c r="EW91" i="2"/>
  <c r="HI144" i="3"/>
  <c r="HI149" i="3"/>
  <c r="ET98" i="2"/>
  <c r="HI100" i="3"/>
  <c r="HI87" i="3"/>
  <c r="HG146" i="3"/>
  <c r="HG147" i="3"/>
  <c r="HH147" i="3" s="1"/>
  <c r="HG148" i="3"/>
  <c r="HH148" i="3" s="1"/>
  <c r="HH87" i="3"/>
  <c r="HG92" i="3"/>
  <c r="HJ128" i="3"/>
  <c r="HJ129" i="3" s="1"/>
  <c r="HE171" i="3"/>
  <c r="HI143" i="3"/>
  <c r="HJ97" i="3"/>
  <c r="HI152" i="3"/>
  <c r="HI98" i="3"/>
  <c r="HI151" i="3"/>
  <c r="HI150" i="3"/>
  <c r="HI160" i="3"/>
  <c r="HF157" i="3"/>
  <c r="HM126" i="3"/>
  <c r="HM130" i="3" s="1"/>
  <c r="HM129" i="3" s="1"/>
  <c r="EW71" i="2"/>
  <c r="EW70" i="2"/>
  <c r="HJ77" i="3"/>
  <c r="HK75" i="3"/>
  <c r="HG102" i="3"/>
  <c r="HG101" i="3"/>
  <c r="ES99" i="2"/>
  <c r="GJ99" i="2" s="1"/>
  <c r="HK77" i="3" l="1"/>
  <c r="HL75" i="3"/>
  <c r="HJ149" i="3"/>
  <c r="HJ144" i="3"/>
  <c r="EU98" i="2"/>
  <c r="HJ100" i="3"/>
  <c r="HJ87" i="3"/>
  <c r="HH146" i="3"/>
  <c r="HG157" i="3"/>
  <c r="HH157" i="3" s="1"/>
  <c r="HJ143" i="3"/>
  <c r="HK97" i="3"/>
  <c r="HJ152" i="3"/>
  <c r="HJ151" i="3"/>
  <c r="HJ150" i="3"/>
  <c r="HJ98" i="3"/>
  <c r="HJ160" i="3"/>
  <c r="HF171" i="3"/>
  <c r="HK128" i="3"/>
  <c r="HK129" i="3" s="1"/>
  <c r="HH101" i="3"/>
  <c r="ES100" i="2"/>
  <c r="GJ100" i="2" s="1"/>
  <c r="HI148" i="3"/>
  <c r="HI146" i="3"/>
  <c r="HI157" i="3" s="1"/>
  <c r="HI147" i="3"/>
  <c r="HI92" i="3"/>
  <c r="HH102" i="3"/>
  <c r="ES101" i="2"/>
  <c r="HG170" i="3"/>
  <c r="HH170" i="3" s="1"/>
  <c r="HH92" i="3"/>
  <c r="HG169" i="3"/>
  <c r="HG153" i="3"/>
  <c r="HH153" i="3" s="1"/>
  <c r="HG159" i="3"/>
  <c r="HH159" i="3" s="1"/>
  <c r="HG163" i="3"/>
  <c r="HH163" i="3" s="1"/>
  <c r="HI101" i="3"/>
  <c r="ET100" i="2" s="1"/>
  <c r="HI102" i="3"/>
  <c r="ET101" i="2" s="1"/>
  <c r="ET99" i="2"/>
  <c r="HK143" i="3" l="1"/>
  <c r="HL97" i="3"/>
  <c r="HK152" i="3"/>
  <c r="HK150" i="3"/>
  <c r="HK151" i="3"/>
  <c r="HK98" i="3"/>
  <c r="HK160" i="3"/>
  <c r="HJ101" i="3"/>
  <c r="EU100" i="2" s="1"/>
  <c r="HJ102" i="3"/>
  <c r="EU101" i="2" s="1"/>
  <c r="EU99" i="2"/>
  <c r="HH169" i="3"/>
  <c r="HG171" i="3"/>
  <c r="HH171" i="3" s="1"/>
  <c r="HL128" i="3"/>
  <c r="HL129" i="3" s="1"/>
  <c r="HL77" i="3"/>
  <c r="HM75" i="3"/>
  <c r="HI170" i="3"/>
  <c r="HI153" i="3"/>
  <c r="HI169" i="3"/>
  <c r="HI159" i="3"/>
  <c r="HI163" i="3"/>
  <c r="HJ148" i="3"/>
  <c r="HJ146" i="3"/>
  <c r="HJ157" i="3" s="1"/>
  <c r="HJ147" i="3"/>
  <c r="HJ92" i="3"/>
  <c r="HK149" i="3"/>
  <c r="HK144" i="3"/>
  <c r="EV98" i="2"/>
  <c r="HK100" i="3"/>
  <c r="HK87" i="3"/>
  <c r="HK101" i="3" l="1"/>
  <c r="EV100" i="2" s="1"/>
  <c r="HK102" i="3"/>
  <c r="EV101" i="2" s="1"/>
  <c r="EV99" i="2"/>
  <c r="HJ170" i="3"/>
  <c r="HJ169" i="3"/>
  <c r="HJ153" i="3"/>
  <c r="HJ159" i="3"/>
  <c r="HJ163" i="3"/>
  <c r="HL143" i="3"/>
  <c r="HM143" i="3" s="1"/>
  <c r="HM97" i="3"/>
  <c r="HM98" i="3" s="1"/>
  <c r="HL152" i="3"/>
  <c r="HM152" i="3" s="1"/>
  <c r="HL98" i="3"/>
  <c r="HL150" i="3"/>
  <c r="HM150" i="3" s="1"/>
  <c r="HL151" i="3"/>
  <c r="HM151" i="3" s="1"/>
  <c r="HL160" i="3"/>
  <c r="HM160" i="3" s="1"/>
  <c r="HL149" i="3"/>
  <c r="HM149" i="3" s="1"/>
  <c r="HL144" i="3"/>
  <c r="HM144" i="3" s="1"/>
  <c r="HM77" i="3"/>
  <c r="HM100" i="3" s="1"/>
  <c r="EW98" i="2"/>
  <c r="GK98" i="2" s="1"/>
  <c r="HL100" i="3"/>
  <c r="HL87" i="3"/>
  <c r="HI171" i="3"/>
  <c r="HK146" i="3"/>
  <c r="HK157" i="3" s="1"/>
  <c r="HK147" i="3"/>
  <c r="HK148" i="3"/>
  <c r="HK92" i="3"/>
  <c r="HJ171" i="3" l="1"/>
  <c r="HK170" i="3"/>
  <c r="HK169" i="3"/>
  <c r="HK171" i="3" s="1"/>
  <c r="HK153" i="3"/>
  <c r="HK159" i="3"/>
  <c r="HK163" i="3"/>
  <c r="HL101" i="3"/>
  <c r="HL102" i="3"/>
  <c r="EW99" i="2"/>
  <c r="GK99" i="2" s="1"/>
  <c r="HL146" i="3"/>
  <c r="HL147" i="3"/>
  <c r="HM147" i="3" s="1"/>
  <c r="HL148" i="3"/>
  <c r="HM148" i="3" s="1"/>
  <c r="HL92" i="3"/>
  <c r="HM87" i="3"/>
  <c r="HM146" i="3" l="1"/>
  <c r="HL157" i="3"/>
  <c r="HM157" i="3" s="1"/>
  <c r="HM102" i="3"/>
  <c r="EW101" i="2"/>
  <c r="HL170" i="3"/>
  <c r="HM170" i="3" s="1"/>
  <c r="HM92" i="3"/>
  <c r="HL169" i="3"/>
  <c r="HL153" i="3"/>
  <c r="HM153" i="3" s="1"/>
  <c r="HL159" i="3"/>
  <c r="HM159" i="3" s="1"/>
  <c r="HL163" i="3"/>
  <c r="HM163" i="3" s="1"/>
  <c r="HM101" i="3"/>
  <c r="EW100" i="2"/>
  <c r="GK100" i="2" s="1"/>
  <c r="HM169" i="3" l="1"/>
  <c r="HL171" i="3"/>
  <c r="HM171" i="3" s="1"/>
</calcChain>
</file>

<file path=xl/sharedStrings.xml><?xml version="1.0" encoding="utf-8"?>
<sst xmlns="http://schemas.openxmlformats.org/spreadsheetml/2006/main" count="3700" uniqueCount="562">
  <si>
    <t>Advanced Micro Devices (AMD)</t>
  </si>
  <si>
    <t>Semiconductors</t>
  </si>
  <si>
    <t>James Schneider, Ph.D.</t>
  </si>
  <si>
    <t>jim.schneider@gs.com</t>
  </si>
  <si>
    <t>212-357-2929</t>
  </si>
  <si>
    <t>Anmol Makkar</t>
  </si>
  <si>
    <t>anmol.makkar@gs.com</t>
  </si>
  <si>
    <t>212-357-1366</t>
  </si>
  <si>
    <t>Lal Kablan</t>
  </si>
  <si>
    <t>lal.kablan@gs.com</t>
  </si>
  <si>
    <t>Luya You</t>
  </si>
  <si>
    <t>luya.you@gs.com</t>
  </si>
  <si>
    <t>Khalil Fenina</t>
  </si>
  <si>
    <t>khalil.fenina@gs.com</t>
  </si>
  <si>
    <t>AMD</t>
  </si>
  <si>
    <t>1Q93</t>
  </si>
  <si>
    <t>2Q93</t>
  </si>
  <si>
    <t>3Q93</t>
  </si>
  <si>
    <t>4Q93</t>
  </si>
  <si>
    <t>1Q94</t>
  </si>
  <si>
    <t>2Q94</t>
  </si>
  <si>
    <t>3Q94</t>
  </si>
  <si>
    <t>4Q94</t>
  </si>
  <si>
    <t>1Q95</t>
  </si>
  <si>
    <t>2Q95</t>
  </si>
  <si>
    <t>3Q95</t>
  </si>
  <si>
    <t>4Q95</t>
  </si>
  <si>
    <t>1Q96</t>
  </si>
  <si>
    <t>2Q96</t>
  </si>
  <si>
    <t>3Q96</t>
  </si>
  <si>
    <t>4Q96</t>
  </si>
  <si>
    <t>1Q97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</si>
  <si>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</si>
  <si>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</si>
  <si>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</si>
  <si>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</si>
  <si>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</si>
  <si>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</si>
  <si>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</si>
  <si>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</si>
  <si>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</si>
  <si>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</si>
  <si>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</si>
  <si>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</si>
  <si>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</si>
  <si>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</si>
  <si>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</si>
  <si>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</si>
  <si>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</si>
  <si>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</si>
  <si>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</si>
  <si>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</si>
  <si>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</si>
  <si>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</si>
  <si>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</si>
  <si>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</si>
  <si>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</si>
  <si>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</si>
  <si>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</si>
  <si>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</si>
  <si>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</si>
  <si>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</si>
  <si>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</si>
  <si>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</si>
  <si>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</si>
  <si>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</si>
  <si>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</si>
  <si>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</si>
  <si>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</si>
  <si>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</si>
  <si>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</si>
  <si>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</si>
  <si>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</si>
  <si>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</si>
  <si>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</si>
  <si>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</si>
  <si>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</si>
  <si>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</si>
  <si>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</si>
  <si>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</si>
  <si>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</si>
  <si>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</si>
  <si>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</si>
  <si>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</si>
  <si>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</si>
  <si>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</si>
  <si>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</si>
  <si>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</si>
  <si>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</si>
  <si>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</si>
  <si>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</si>
  <si>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</si>
  <si>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</si>
  <si>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</si>
  <si>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</si>
  <si>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</si>
  <si>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</si>
  <si>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</si>
  <si>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</si>
  <si>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</si>
  <si>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</si>
  <si>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</si>
  <si>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</si>
  <si>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</si>
  <si>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</si>
  <si>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</si>
  <si>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</si>
  <si>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</si>
  <si>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</si>
  <si>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</si>
  <si>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</si>
  <si>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</si>
  <si>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</si>
  <si>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</si>
  <si>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</si>
  <si>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</si>
  <si>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</si>
  <si>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</si>
  <si>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</si>
  <si>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</si>
  <si>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</si>
  <si>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</si>
  <si>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</si>
  <si>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</si>
  <si>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</si>
  <si>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</si>
  <si>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</si>
  <si>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</si>
  <si>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</si>
  <si>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</si>
  <si>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</si>
  <si>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</si>
  <si>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</si>
  <si>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</si>
  <si>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</si>
  <si>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</si>
  <si>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</si>
  <si>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</si>
  <si>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</si>
  <si>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</si>
  <si>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</si>
  <si>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</si>
  <si>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4Q24</t>
  </si>
  <si>
    <t>1Q25</t>
  </si>
  <si>
    <t>2Q25</t>
  </si>
  <si>
    <t>3Q25</t>
  </si>
  <si>
    <t>4Q25</t>
  </si>
  <si>
    <t>1Q26</t>
  </si>
  <si>
    <t>2Q26E</t>
  </si>
  <si>
    <t>3Q26E</t>
  </si>
  <si>
    <t>4Q26E</t>
  </si>
  <si>
    <t>1Q27E</t>
  </si>
  <si>
    <t>2Q27E</t>
  </si>
  <si>
    <t>3Q27E</t>
  </si>
  <si>
    <t>4Q27E</t>
  </si>
  <si>
    <t>1Q28E</t>
  </si>
  <si>
    <t>2Q28E</t>
  </si>
  <si>
    <t>3Q28E</t>
  </si>
  <si>
    <t>4Q28E</t>
  </si>
  <si>
    <t>1Q29E</t>
  </si>
  <si>
    <t>2Q29E</t>
  </si>
  <si>
    <t>3Q29E</t>
  </si>
  <si>
    <t>4Q29E</t>
  </si>
  <si>
    <t>1Q30E</t>
  </si>
  <si>
    <t>2Q30E</t>
  </si>
  <si>
    <t>3Q30E</t>
  </si>
  <si>
    <t>4Q30E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</si>
  <si>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</si>
  <si>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</si>
  <si>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</si>
  <si>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</si>
  <si>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</si>
  <si>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</si>
  <si>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</si>
  <si>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</si>
  <si>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</si>
  <si>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</si>
  <si>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</si>
  <si>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</si>
  <si>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</si>
  <si>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</si>
  <si>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</si>
  <si>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</si>
  <si>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</si>
  <si>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</si>
  <si>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</si>
  <si>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</si>
  <si>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</si>
  <si>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</si>
  <si>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</si>
  <si>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</si>
  <si>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2020</t>
  </si>
  <si>
    <t>2026E</t>
  </si>
  <si>
    <t>2027E</t>
  </si>
  <si>
    <t>2028E</t>
  </si>
  <si>
    <t>2029E</t>
  </si>
  <si>
    <t>2030E</t>
  </si>
  <si>
    <t>Revenue</t>
  </si>
  <si>
    <t>qoq</t>
  </si>
  <si>
    <t>--</t>
  </si>
  <si>
    <t>yoy</t>
  </si>
  <si>
    <t>COGS (incl. Depreciation)</t>
  </si>
  <si>
    <t>% of revenue</t>
  </si>
  <si>
    <t>Depreciation</t>
  </si>
  <si>
    <t xml:space="preserve">e </t>
  </si>
  <si>
    <t>COGS (ex depreciation)</t>
  </si>
  <si>
    <t>Purchases from GF</t>
  </si>
  <si>
    <t>% of COGS</t>
  </si>
  <si>
    <t>Gross Margin</t>
  </si>
  <si>
    <t>% of revenue (incl SBC)</t>
  </si>
  <si>
    <t>SBC</t>
  </si>
  <si>
    <t>% of revenue (ex SBC)</t>
  </si>
  <si>
    <t>Opex (incl SBC)</t>
  </si>
  <si>
    <t>Opex (ex SBC)</t>
  </si>
  <si>
    <t>R&amp;D</t>
  </si>
  <si>
    <t>SG&amp;A</t>
  </si>
  <si>
    <t>Operating Profit (incl SBC)</t>
  </si>
  <si>
    <t>EBITDA</t>
  </si>
  <si>
    <t>SBC/share</t>
  </si>
  <si>
    <t>Non-GAAP EPS (excl. SBC)</t>
  </si>
  <si>
    <t>Op EPS (incl. SBC)</t>
  </si>
  <si>
    <t>GAAP EPS</t>
  </si>
  <si>
    <t>AJ</t>
  </si>
  <si>
    <t>AO</t>
  </si>
  <si>
    <t>AT</t>
  </si>
  <si>
    <t>AY</t>
  </si>
  <si>
    <t>BD</t>
  </si>
  <si>
    <t>BI</t>
  </si>
  <si>
    <t>BN</t>
  </si>
  <si>
    <t>BS</t>
  </si>
  <si>
    <t>BX</t>
  </si>
  <si>
    <t>CC</t>
  </si>
  <si>
    <t>CH</t>
  </si>
  <si>
    <t>CM</t>
  </si>
  <si>
    <t>CR</t>
  </si>
  <si>
    <t>CW</t>
  </si>
  <si>
    <t>DB</t>
  </si>
  <si>
    <t>DG</t>
  </si>
  <si>
    <t>DL</t>
  </si>
  <si>
    <t>DQ</t>
  </si>
  <si>
    <t>DV</t>
  </si>
  <si>
    <t>EA</t>
  </si>
  <si>
    <t>EF</t>
  </si>
  <si>
    <t>EK</t>
  </si>
  <si>
    <t>EP</t>
  </si>
  <si>
    <t>EU</t>
  </si>
  <si>
    <t>EZ</t>
  </si>
  <si>
    <t>Non-GAAP Net Income</t>
  </si>
  <si>
    <t>GAAP Net Income</t>
  </si>
  <si>
    <t>Sharecount</t>
  </si>
  <si>
    <t>Capex</t>
  </si>
  <si>
    <t>FCF</t>
  </si>
  <si>
    <t>Inventory</t>
  </si>
  <si>
    <t>DOI</t>
  </si>
  <si>
    <t xml:space="preserve">Net cash </t>
  </si>
  <si>
    <t>Net debt</t>
  </si>
  <si>
    <t>Net debt/LTM EBITDA</t>
  </si>
  <si>
    <t>Net debt/LTM EBITDA (ex ESO)</t>
  </si>
  <si>
    <t>Repurchases</t>
  </si>
  <si>
    <t>New Segmentation Revenue</t>
  </si>
  <si>
    <t>Client</t>
  </si>
  <si>
    <t>% of total</t>
  </si>
  <si>
    <t>Desktop CPU</t>
  </si>
  <si>
    <t>Notebook CPU</t>
  </si>
  <si>
    <t>Delta (Client)</t>
  </si>
  <si>
    <t>Gaming</t>
  </si>
  <si>
    <t>Desktop GPU</t>
  </si>
  <si>
    <t>Notebook GPU</t>
  </si>
  <si>
    <t>Semi-custom</t>
  </si>
  <si>
    <t>Delta (Gaming)</t>
  </si>
  <si>
    <t>Data Center</t>
  </si>
  <si>
    <t>Server CPU</t>
  </si>
  <si>
    <t>Data Center GPU</t>
  </si>
  <si>
    <t>Other</t>
  </si>
  <si>
    <t>Embedded</t>
  </si>
  <si>
    <t>Total</t>
  </si>
  <si>
    <t>New Segmentation GAAP Operating Income</t>
  </si>
  <si>
    <t>Operating Margin (%)</t>
  </si>
  <si>
    <t>Computing &amp; Graphics</t>
  </si>
  <si>
    <t>CPU</t>
  </si>
  <si>
    <t>Total CPU</t>
  </si>
  <si>
    <t xml:space="preserve">% of total </t>
  </si>
  <si>
    <t>Units</t>
  </si>
  <si>
    <t>ASP</t>
  </si>
  <si>
    <t>Total CPU units</t>
  </si>
  <si>
    <t>Total DT CPU units</t>
  </si>
  <si>
    <t>Total NB CPU units (ex tablet + phone)</t>
  </si>
  <si>
    <t>GPU</t>
  </si>
  <si>
    <t>Total GPU</t>
  </si>
  <si>
    <t>Gaming GPU</t>
  </si>
  <si>
    <t>Crypto GPU</t>
  </si>
  <si>
    <t>Datacenter GPU</t>
  </si>
  <si>
    <t>Graphics</t>
  </si>
  <si>
    <t>Licensing</t>
  </si>
  <si>
    <t>Total revenue</t>
  </si>
  <si>
    <t>Embedded, Enterprise, and Semi Custom</t>
  </si>
  <si>
    <t>Semi Custom</t>
  </si>
  <si>
    <t>Adaptive and Embedded Computing Group (AECG)</t>
  </si>
  <si>
    <t>Xilinx</t>
  </si>
  <si>
    <t>A&amp;D, Industrial, and TME (AIT)</t>
  </si>
  <si>
    <t>Automotive, Broadcast, and Consumer (ABC)</t>
  </si>
  <si>
    <t>Wired and Wireless Group (WWG)</t>
  </si>
  <si>
    <t>Data Center Group (DCG)</t>
  </si>
  <si>
    <t>Channel</t>
  </si>
  <si>
    <t>COGS</t>
  </si>
  <si>
    <t>Gross Profit</t>
  </si>
  <si>
    <t>Opex</t>
  </si>
  <si>
    <t>Gross margin build</t>
  </si>
  <si>
    <t>Computing and Graphics</t>
  </si>
  <si>
    <t>GM</t>
  </si>
  <si>
    <t xml:space="preserve">Licensing </t>
  </si>
  <si>
    <t>Enterprise, Embedded, and Semi-Custom</t>
  </si>
  <si>
    <t>Adaptive and Embedded Computing</t>
  </si>
  <si>
    <t>IP/other</t>
  </si>
  <si>
    <t>Operating Income</t>
  </si>
  <si>
    <t>OM</t>
  </si>
  <si>
    <t>All Other</t>
  </si>
  <si>
    <t>10-Q Details</t>
  </si>
  <si>
    <t>Future Unconditional Purchase Commitments</t>
  </si>
  <si>
    <t>Remainder of 2021</t>
  </si>
  <si>
    <t>Remainder of 2022</t>
  </si>
  <si>
    <t>Remainder of 2023</t>
  </si>
  <si>
    <t>2029 and thereafter</t>
  </si>
  <si>
    <t>Notes:</t>
  </si>
  <si>
    <t>The Company’s purchase commitments primarily include obligations to purchase wafers and substrates from third parties</t>
  </si>
  <si>
    <t>Geographic Exposure</t>
  </si>
  <si>
    <t>US</t>
  </si>
  <si>
    <t>Japan</t>
  </si>
  <si>
    <t>China (incl. Hong Kong)</t>
  </si>
  <si>
    <t>Singapore</t>
  </si>
  <si>
    <t>Europe</t>
  </si>
  <si>
    <t>Taiwan</t>
  </si>
  <si>
    <t>Other countries</t>
  </si>
  <si>
    <t>as a % of total</t>
  </si>
  <si>
    <t>Prepaid Supply Agreements</t>
  </si>
  <si>
    <t>NA</t>
  </si>
  <si>
    <t>International Sales</t>
  </si>
  <si>
    <t>Legacy Segments</t>
  </si>
  <si>
    <t>Computing Solutions</t>
  </si>
  <si>
    <t>Graphics and Visual Solutions</t>
  </si>
  <si>
    <t>Goldman Sachs U.S. Research</t>
  </si>
  <si>
    <t>Fiscal Year Ends December</t>
  </si>
  <si>
    <t>Mar Q1</t>
  </si>
  <si>
    <t>Jun Q2</t>
  </si>
  <si>
    <t>Sep Q3</t>
  </si>
  <si>
    <t>Dec Q4</t>
  </si>
  <si>
    <t>1988</t>
  </si>
  <si>
    <t>1989</t>
  </si>
  <si>
    <t>1990</t>
  </si>
  <si>
    <t>1991</t>
  </si>
  <si>
    <t>1992</t>
  </si>
  <si>
    <t>2017</t>
  </si>
  <si>
    <t>2018</t>
  </si>
  <si>
    <t>2019</t>
  </si>
  <si>
    <t>2021</t>
  </si>
  <si>
    <t>2022</t>
  </si>
  <si>
    <t>2023</t>
  </si>
  <si>
    <t>2024</t>
  </si>
  <si>
    <t>2025</t>
  </si>
  <si>
    <t>Jun Q2E</t>
  </si>
  <si>
    <t>Sep Q3E</t>
  </si>
  <si>
    <t>Dec Q4E</t>
  </si>
  <si>
    <t>Mar Q1E</t>
  </si>
  <si>
    <t>Income Statement</t>
  </si>
  <si>
    <t>Revenue and Earnings Model</t>
  </si>
  <si>
    <t xml:space="preserve">    </t>
  </si>
  <si>
    <t>(Dollars in millions)</t>
  </si>
  <si>
    <t>Revenues</t>
  </si>
  <si>
    <t>Cost of goods sold (excl. Depr.)</t>
  </si>
  <si>
    <t>Cost of goods sold (incl. Depr)</t>
  </si>
  <si>
    <t>Gross margin</t>
  </si>
  <si>
    <t>Research &amp; development</t>
  </si>
  <si>
    <t>Selling &amp; administrative</t>
  </si>
  <si>
    <t>Pre-tax extraordinary items</t>
  </si>
  <si>
    <t>Interest &amp; other expense (income)</t>
  </si>
  <si>
    <t>Minority Interest</t>
  </si>
  <si>
    <t>Profit before taxes</t>
  </si>
  <si>
    <t>Taxes</t>
  </si>
  <si>
    <t>Tax rate</t>
  </si>
  <si>
    <t>Net income/loss of JV/GlobalFoundries</t>
  </si>
  <si>
    <t>Inter-segment eliminations</t>
  </si>
  <si>
    <t>After tax items</t>
  </si>
  <si>
    <t>Net income - reported (GAAP)</t>
  </si>
  <si>
    <t>Preferred stock dividends</t>
  </si>
  <si>
    <t>Add back</t>
  </si>
  <si>
    <t>Net income - operating</t>
  </si>
  <si>
    <t>EPS - GAAP reported</t>
  </si>
  <si>
    <t>EPS - extraordinary</t>
  </si>
  <si>
    <t>EPS - operating (FS Non-GAAP)</t>
  </si>
  <si>
    <t>ESO expense</t>
  </si>
  <si>
    <t>ESOs per share</t>
  </si>
  <si>
    <t>Non-GAAP EPS ex ESOs - reported</t>
  </si>
  <si>
    <t>Common shares (millions, GAAP)</t>
  </si>
  <si>
    <t>Diluted shares (millions, GAAP)</t>
  </si>
  <si>
    <t>Diluted shares (millions, non-GAAP)</t>
  </si>
  <si>
    <t>Strike Price ($)</t>
  </si>
  <si>
    <t>Non-GAAP reported Net Income (Company)</t>
  </si>
  <si>
    <t xml:space="preserve"> </t>
  </si>
  <si>
    <t xml:space="preserve">EBITDA </t>
  </si>
  <si>
    <t>EBITDA (ex. ESO)</t>
  </si>
  <si>
    <t>Balance Sheet</t>
  </si>
  <si>
    <t>DECONSOLIDATED</t>
  </si>
  <si>
    <t>Assets</t>
  </si>
  <si>
    <t>Cash</t>
  </si>
  <si>
    <t>Marketable Securities</t>
  </si>
  <si>
    <t xml:space="preserve"> Cash &amp; Securities</t>
  </si>
  <si>
    <t xml:space="preserve"> Accounts Receivable</t>
  </si>
  <si>
    <t xml:space="preserve">   DSOs</t>
  </si>
  <si>
    <t xml:space="preserve"> Inventory</t>
  </si>
  <si>
    <t xml:space="preserve">  Finished Goods</t>
  </si>
  <si>
    <t xml:space="preserve">  Work in Process</t>
  </si>
  <si>
    <t xml:space="preserve">  Raw Materials and Supplies</t>
  </si>
  <si>
    <t>Total Inventory - net</t>
  </si>
  <si>
    <t xml:space="preserve">   Inventory Days</t>
  </si>
  <si>
    <t xml:space="preserve"> Other Current Assets</t>
  </si>
  <si>
    <t xml:space="preserve">  Total Current Assets</t>
  </si>
  <si>
    <t>Gross PP&amp;E</t>
  </si>
  <si>
    <t>Accumulated Depreciation</t>
  </si>
  <si>
    <t xml:space="preserve"> Net PP&amp;E</t>
  </si>
  <si>
    <t xml:space="preserve"> Other Assets</t>
  </si>
  <si>
    <t xml:space="preserve">  Total Assets</t>
  </si>
  <si>
    <t>Liabilities &amp; Shareholder Equity</t>
  </si>
  <si>
    <t xml:space="preserve"> Current Liabilities</t>
  </si>
  <si>
    <t xml:space="preserve"> Long-Term Debt</t>
  </si>
  <si>
    <t xml:space="preserve"> Other Liabilities</t>
  </si>
  <si>
    <t xml:space="preserve"> Shareholders' Equity</t>
  </si>
  <si>
    <t xml:space="preserve">  Total Liabilities</t>
  </si>
  <si>
    <t>Statement of Cash Flows</t>
  </si>
  <si>
    <t>Operations</t>
  </si>
  <si>
    <t>Net income</t>
  </si>
  <si>
    <t>D&amp;A</t>
  </si>
  <si>
    <t>Changes non-cash in working capital</t>
  </si>
  <si>
    <t>Deferred taxes &amp; other</t>
  </si>
  <si>
    <t xml:space="preserve">  Net cash from operations</t>
  </si>
  <si>
    <t>Investments</t>
  </si>
  <si>
    <t>Capital expenditures</t>
  </si>
  <si>
    <t xml:space="preserve">  Net cash from investments</t>
  </si>
  <si>
    <t>Financing</t>
  </si>
  <si>
    <t>Additions to Debt</t>
  </si>
  <si>
    <t>Payments on Debt</t>
  </si>
  <si>
    <t>Equity Shares</t>
  </si>
  <si>
    <t>Dividends and Other</t>
  </si>
  <si>
    <t xml:space="preserve">  Net cash from financing</t>
  </si>
  <si>
    <t>Exchange rate effects</t>
  </si>
  <si>
    <t>Net cash flow</t>
  </si>
  <si>
    <t>Beginning cash balance</t>
  </si>
  <si>
    <t>Ending cash balance</t>
  </si>
  <si>
    <t>Net change</t>
  </si>
  <si>
    <t>Forecasting Items</t>
  </si>
  <si>
    <t>Accts payable as % of sales</t>
  </si>
  <si>
    <t>Accounts payable forecast</t>
  </si>
  <si>
    <t>Financial Ratio Analysis</t>
  </si>
  <si>
    <t>Book value per share</t>
  </si>
  <si>
    <t>Cash per share</t>
  </si>
  <si>
    <t>FCF per share</t>
  </si>
  <si>
    <t>Net working capital ($ mil)</t>
  </si>
  <si>
    <t>Current ratio (x)</t>
  </si>
  <si>
    <t>Quick ratio (x)</t>
  </si>
  <si>
    <t>Cash ratio (cash/current liabilities)</t>
  </si>
  <si>
    <t>Total debt to capital</t>
  </si>
  <si>
    <t>Total debt to equity</t>
  </si>
  <si>
    <t>Long-term debt to equity</t>
  </si>
  <si>
    <t>Sales to total assets</t>
  </si>
  <si>
    <t>Accounts receivable days out</t>
  </si>
  <si>
    <t>Inventory turnover (x)</t>
  </si>
  <si>
    <t>Days of inventory</t>
  </si>
  <si>
    <t>Working capital turnover (x)</t>
  </si>
  <si>
    <t>Return on sales</t>
  </si>
  <si>
    <t>Return on assets</t>
  </si>
  <si>
    <t>Return on equity</t>
  </si>
  <si>
    <t>Revenues per employee ($000)</t>
  </si>
  <si>
    <t>Net Income per employee ($000)</t>
  </si>
  <si>
    <t>Assets per employee ($000)</t>
  </si>
  <si>
    <t>Employees</t>
  </si>
  <si>
    <t>DuPont Model</t>
  </si>
  <si>
    <t>Tax burden (Net/Pretax)</t>
  </si>
  <si>
    <t>Interest burden (Pretax/EBIT)</t>
  </si>
  <si>
    <t>EBIT margin (EBIT/Sales)</t>
  </si>
  <si>
    <t>Asset turnover (Sales/Assets)</t>
  </si>
  <si>
    <t>Financial leverage (Assets/Equity)</t>
  </si>
  <si>
    <t xml:space="preserve">  Return on Equity</t>
  </si>
  <si>
    <t>Incremental gross margin</t>
  </si>
  <si>
    <t>Incremental operating margin</t>
  </si>
  <si>
    <t>Gross margin drop through</t>
  </si>
  <si>
    <t>Operaing margin drop through</t>
  </si>
  <si>
    <t>COMPUTING</t>
  </si>
  <si>
    <t>DESKTOP COMPUTING</t>
  </si>
  <si>
    <t xml:space="preserve">   Units</t>
  </si>
  <si>
    <t xml:space="preserve">   Sequential % change</t>
  </si>
  <si>
    <t xml:space="preserve">   Y-o-Y % change</t>
  </si>
  <si>
    <t xml:space="preserve">   ASPs</t>
  </si>
  <si>
    <t xml:space="preserve">  Desktop revenues</t>
  </si>
  <si>
    <t>MOBILE COMPUTING</t>
  </si>
  <si>
    <t xml:space="preserve">  Mobile revenues</t>
  </si>
  <si>
    <t>Total computing</t>
  </si>
  <si>
    <t>GRAPHICS</t>
  </si>
  <si>
    <t>DESKTOP GRAPHICS</t>
  </si>
  <si>
    <t xml:space="preserve">  Desktop standalone revenues</t>
  </si>
  <si>
    <t>NOTEBOOK GRAPHICS</t>
  </si>
  <si>
    <t xml:space="preserve">   ASPs (from Mercury)</t>
  </si>
  <si>
    <t xml:space="preserve">  Notebook standalone revenues</t>
  </si>
  <si>
    <t>Total GPU Units</t>
  </si>
  <si>
    <t xml:space="preserve">Total GPU ASP </t>
  </si>
  <si>
    <t xml:space="preserve">  Discrete GPU Revenue</t>
  </si>
  <si>
    <t xml:space="preserve">  Other Graphics/chipset revenue</t>
  </si>
  <si>
    <t xml:space="preserve"> Total Graphics Revenue</t>
  </si>
  <si>
    <t>Computing &amp; Graphics Solutions</t>
  </si>
  <si>
    <t xml:space="preserve">  % of total sales</t>
  </si>
  <si>
    <t>Op Income</t>
  </si>
  <si>
    <t>Op income margin (% of sales)</t>
  </si>
  <si>
    <t>ENTERPRISE, EMBEDDED, SEMICUSTOM</t>
  </si>
  <si>
    <t>GAMING</t>
  </si>
  <si>
    <t>PS4 Units (000)</t>
  </si>
  <si>
    <t>PS4 Revenue (mn)</t>
  </si>
  <si>
    <t>Xbox 720 Units (000)</t>
  </si>
  <si>
    <t>Xbox Revenue</t>
  </si>
  <si>
    <t>Total Gaming Revenue ($ mn)</t>
  </si>
  <si>
    <t>Total semi-custom units (Mercury)</t>
  </si>
  <si>
    <t>Xbox sell through</t>
  </si>
  <si>
    <t>SERVERS</t>
  </si>
  <si>
    <t xml:space="preserve">  Server revenues</t>
  </si>
  <si>
    <t>Other EESC revenue (PLUG)</t>
  </si>
  <si>
    <t>% change qoq</t>
  </si>
  <si>
    <t>EESC as reported</t>
  </si>
  <si>
    <t xml:space="preserve">   % of total sales</t>
  </si>
  <si>
    <t>EESC operating income</t>
  </si>
  <si>
    <t xml:space="preserve">  % of sales</t>
  </si>
  <si>
    <t>Unallocated operating income</t>
  </si>
  <si>
    <t>TOTAL AMD REVENUE</t>
  </si>
  <si>
    <t>Total AMD revenue</t>
  </si>
  <si>
    <t>Total revenue check</t>
  </si>
  <si>
    <t>Segment model (% of revenue)</t>
  </si>
  <si>
    <t>Mobile CPU</t>
  </si>
  <si>
    <t>Servers</t>
  </si>
  <si>
    <t>Other graphics</t>
  </si>
  <si>
    <t>Gaming revenue</t>
  </si>
  <si>
    <t>Other ESSC</t>
  </si>
  <si>
    <t>Old segments (reported)</t>
  </si>
  <si>
    <t>Computing Solutions (ATI chipsets and former Computation Products + Embedded segments)</t>
  </si>
  <si>
    <t>Graphics, servers</t>
  </si>
  <si>
    <t>Semicustom</t>
  </si>
  <si>
    <t>Consumer Electronics</t>
  </si>
  <si>
    <t>Memory</t>
  </si>
  <si>
    <t>Foundry</t>
  </si>
  <si>
    <t>Intersegment Eliminations</t>
  </si>
  <si>
    <t>Operating Income by Segment</t>
  </si>
  <si>
    <t>Foundry Co. Losses to AMD</t>
  </si>
  <si>
    <r>
      <t xml:space="preserve">% </t>
    </r>
    <r>
      <rPr>
        <sz val="10"/>
        <rFont val="Arial"/>
        <family val="2"/>
      </rPr>
      <t>of ex D&amp;A COGS</t>
    </r>
  </si>
  <si>
    <r>
      <t xml:space="preserve">% </t>
    </r>
    <r>
      <rPr>
        <sz val="10"/>
        <rFont val="Arial"/>
        <family val="2"/>
      </rPr>
      <t>of Rev</t>
    </r>
  </si>
  <si>
    <t>EBIT</t>
  </si>
  <si>
    <t>Interest  and Other Expense</t>
  </si>
  <si>
    <t>Foundry Co. Loss</t>
  </si>
  <si>
    <t>Operating margin by segment</t>
  </si>
  <si>
    <t>PC Client</t>
  </si>
  <si>
    <t xml:space="preserve">  PC Client revenues</t>
  </si>
  <si>
    <t>TOTAL CPUS</t>
  </si>
  <si>
    <t xml:space="preserve">  Total CPU sales</t>
  </si>
  <si>
    <t>MEMORY PRODUCTS</t>
  </si>
  <si>
    <t>128Mb NOR Flash (MM Units)</t>
  </si>
  <si>
    <t>Flash Prices (128 Mb NOR equiv)</t>
  </si>
  <si>
    <t xml:space="preserve">  Flash revenues</t>
  </si>
  <si>
    <t>Last updated: 05/06/26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</si>
</sst>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164" formatCode="0.0%"/>
    <numFmt numFmtId="165" formatCode="#,##0.00000"/>
    <numFmt numFmtId="166" formatCode="#,##0.0000"/>
    <numFmt numFmtId="167" formatCode="#,##0_);\(#,##0\);#,##0_);@_)"/>
    <numFmt numFmtId="168" formatCode="0.000000000000%"/>
    <numFmt numFmtId="169" formatCode="#,##0.0"/>
    <numFmt numFmtId="170" formatCode="#,##0.0_);\(#,##0.0\);#,##0.0_);@_)"/>
    <numFmt numFmtId="171" formatCode="&quot;$&quot;#,##0.00"/>
    <numFmt numFmtId="172" formatCode="0.0%_);\(0.0%\);0.0%_);@_)"/>
    <numFmt numFmtId="173" formatCode="#,##0.000_);\(#,##0.000\);#,##0.000_);@_)"/>
    <numFmt numFmtId="174" formatCode="0.0"/>
    <numFmt numFmtId="175" formatCode="#,##0.0000_);\(#,##0.0000\)"/>
    <numFmt numFmtId="176" formatCode="0.000"/>
    <numFmt numFmtId="177" formatCode="0.0000"/>
    <numFmt numFmtId="178" formatCode="&quot;$&quot;#,##0.00;\-&quot;$&quot;#,##0.00"/>
    <numFmt numFmtId="179" formatCode="#,##0.000"/>
    <numFmt numFmtId="180" formatCode="&quot;$&quot;#,##0_);\(&quot;$&quot;#,##0\);&quot;$&quot;#,##0_);@_)"/>
    <numFmt numFmtId="181" formatCode="0%_);\(0%\);0%_);@_)"/>
    <numFmt numFmtId="182" formatCode="#,##0.0_);[Red]\(#,##0.0\)"/>
    <numFmt numFmtId="183" formatCode="&quot;$&quot;#,##0.00_);\(&quot;$&quot;#,##0.00\);&quot;$&quot;#,##0.00_);@_)"/>
    <numFmt numFmtId="184" formatCode="&quot;$&quot;#,##0.0000;\-&quot;$&quot;#,##0.0000"/>
    <numFmt numFmtId="185" formatCode="#,##0.00_);\(#,##0.00\);#,##0.00_);@_)"/>
    <numFmt numFmtId="186" formatCode="#,##0.000_);[Red]\(#,##0.000\)"/>
    <numFmt numFmtId="187" formatCode="#,##0.0000000000000"/>
    <numFmt numFmtId="188" formatCode="#,##0.0_);\(#,##0.0\)"/>
    <numFmt numFmtId="191" formatCode="_(&quot;$&quot;* #,##0.000_);_(&quot;$&quot;* \(#,##0.000\);_(&quot;$&quot;* &quot;-&quot;??_);_(@_)"/>
  </numFmts>
  <fonts count="65">
    <font>
      <sz val="8"/>
      <name val="Arial"/>
    </font>
    <font>
      <sz val="10"/>
      <name val="GS TheSans"/>
      <family val="2"/>
    </font>
    <font>
      <b/>
      <sz val="26"/>
      <name val="Arial"/>
      <family val="2"/>
    </font>
    <font>
      <b/>
      <sz val="11"/>
      <color indexed="57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24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u/>
      <sz val="11"/>
      <color theme="10"/>
      <name val="Univers LT Std 55"/>
      <family val="2"/>
    </font>
    <font>
      <u/>
      <sz val="10"/>
      <color theme="10"/>
      <name val="Arial"/>
      <family val="2"/>
    </font>
    <font>
      <sz val="12"/>
      <color indexed="8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00FF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8"/>
      <color rgb="FFC00000"/>
      <name val="Arial"/>
      <family val="2"/>
    </font>
    <font>
      <sz val="8"/>
      <color rgb="FFC00000"/>
      <name val="Arial"/>
      <family val="2"/>
    </font>
    <font>
      <b/>
      <i/>
      <sz val="8"/>
      <name val="Arial"/>
      <family val="2"/>
    </font>
    <font>
      <sz val="8"/>
      <color theme="0" tint="-0.249977111117893"/>
      <name val="Arial"/>
      <family val="2"/>
    </font>
    <font>
      <i/>
      <sz val="8"/>
      <name val="Arial"/>
      <family val="2"/>
    </font>
    <font>
      <b/>
      <i/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FF3300"/>
      <name val="Arial"/>
      <family val="2"/>
    </font>
    <font>
      <i/>
      <sz val="8"/>
      <color rgb="FFFF0000"/>
      <name val="Arial"/>
      <family val="2"/>
    </font>
    <font>
      <i/>
      <sz val="8"/>
      <color rgb="FFC00000"/>
      <name val="Arial"/>
      <family val="2"/>
    </font>
    <font>
      <b/>
      <u/>
      <sz val="8"/>
      <name val="Arial"/>
      <family val="2"/>
    </font>
    <font>
      <sz val="10"/>
      <name val="Helv"/>
    </font>
    <font>
      <sz val="8"/>
      <color theme="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name val="Times New Roman"/>
      <family val="1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0"/>
      <color rgb="FF0000FF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b/>
      <i/>
      <sz val="10"/>
      <color indexed="12"/>
      <name val="Arial"/>
      <family val="2"/>
    </font>
    <font>
      <i/>
      <sz val="10"/>
      <color indexed="12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i/>
      <sz val="10"/>
      <color indexed="60"/>
      <name val="Arial"/>
      <family val="2"/>
    </font>
    <font>
      <b/>
      <i/>
      <sz val="10"/>
      <color indexed="60"/>
      <name val="Arial"/>
      <family val="2"/>
    </font>
    <font>
      <i/>
      <sz val="10"/>
      <color theme="0"/>
      <name val="Arial"/>
      <family val="2"/>
    </font>
    <font>
      <b/>
      <i/>
      <sz val="10"/>
      <color theme="0"/>
      <name val="Arial"/>
      <family val="2"/>
    </font>
    <font>
      <i/>
      <sz val="10"/>
      <color rgb="FF92D050"/>
      <name val="Arial"/>
      <family val="2"/>
    </font>
    <font>
      <i/>
      <sz val="10"/>
      <color rgb="FFC00000"/>
      <name val="Arial"/>
      <family val="2"/>
    </font>
    <font>
      <b/>
      <i/>
      <sz val="10"/>
      <color rgb="FFC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dotted">
        <color theme="0" tint="-0.24994659260841701"/>
      </left>
      <right/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dotted">
        <color theme="0" tint="-0.24994659260841701"/>
      </left>
      <right/>
      <top style="thin">
        <color theme="4"/>
      </top>
      <bottom style="thin">
        <color theme="4"/>
      </bottom>
      <diagonal/>
    </border>
    <border>
      <left style="dotted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dotted">
        <color theme="0" tint="-0.24994659260841701"/>
      </left>
      <right/>
      <top style="thin">
        <color theme="4"/>
      </top>
      <bottom/>
      <diagonal/>
    </border>
    <border>
      <left style="dotted">
        <color theme="0" tint="-0.24994659260841701"/>
      </left>
      <right/>
      <top/>
      <bottom style="thin">
        <color theme="4"/>
      </bottom>
      <diagonal/>
    </border>
  </borders>
  <cellStyleXfs count="21">
    <xf numFmtId="0" fontId="0" fillId="0" borderId="0"/>
    <xf numFmtId="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9" fontId="33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9" fillId="0" borderId="0"/>
    <xf numFmtId="0" fontId="9" fillId="0" borderId="0"/>
    <xf numFmtId="182" fontId="40" fillId="0" borderId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82" fontId="40" fillId="0" borderId="0" applyFill="0" applyBorder="0" applyAlignment="0" applyProtection="0"/>
  </cellStyleXfs>
  <cellXfs count="904">
    <xf numFmtId="0" fontId="0" fillId="0" borderId="0" xfId="0"/>
    <xf numFmtId="0" fontId="2" fillId="2" borderId="0" xfId="5" applyFont="1" applyFill="1" applyAlignment="1">
      <alignment horizontal="center"/>
    </xf>
    <xf numFmtId="15" fontId="3" fillId="2" borderId="0" xfId="5" quotePrefix="1" applyNumberFormat="1" applyFont="1" applyFill="1" applyAlignment="1" applyProtection="1">
      <alignment horizontal="center"/>
      <protection locked="0"/>
    </xf>
    <xf numFmtId="15" fontId="4" fillId="2" borderId="0" xfId="5" applyNumberFormat="1" applyFont="1" applyFill="1" applyAlignment="1">
      <alignment horizontal="center"/>
    </xf>
    <xf numFmtId="0" fontId="4" fillId="2" borderId="0" xfId="5" applyFont="1" applyFill="1"/>
    <xf numFmtId="49" fontId="5" fillId="2" borderId="0" xfId="5" applyNumberFormat="1" applyFont="1" applyFill="1" applyAlignment="1">
      <alignment horizontal="center"/>
    </xf>
    <xf numFmtId="0" fontId="4" fillId="3" borderId="0" xfId="5" applyFont="1" applyFill="1"/>
    <xf numFmtId="0" fontId="16" fillId="0" borderId="0" xfId="0" applyFont="1"/>
    <xf numFmtId="0" fontId="17" fillId="0" borderId="0" xfId="0" applyFont="1"/>
    <xf numFmtId="164" fontId="17" fillId="0" borderId="0" xfId="3" applyNumberFormat="1" applyFont="1"/>
    <xf numFmtId="3" fontId="17" fillId="0" borderId="0" xfId="0" applyNumberFormat="1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6" fontId="17" fillId="0" borderId="0" xfId="0" applyNumberFormat="1" applyFont="1" applyAlignment="1">
      <alignment horizontal="right"/>
    </xf>
    <xf numFmtId="3" fontId="18" fillId="0" borderId="0" xfId="0" applyNumberFormat="1" applyFont="1" applyAlignment="1">
      <alignment horizontal="right"/>
    </xf>
    <xf numFmtId="9" fontId="18" fillId="0" borderId="0" xfId="3" applyFont="1" applyAlignment="1">
      <alignment horizontal="right"/>
    </xf>
    <xf numFmtId="164" fontId="19" fillId="0" borderId="0" xfId="3" applyNumberFormat="1" applyFont="1" applyAlignment="1">
      <alignment horizontal="right"/>
    </xf>
    <xf numFmtId="3" fontId="20" fillId="0" borderId="0" xfId="1" applyNumberFormat="1" applyFont="1" applyFill="1" applyBorder="1" applyAlignment="1">
      <alignment horizontal="right"/>
    </xf>
    <xf numFmtId="9" fontId="20" fillId="0" borderId="0" xfId="3" applyFont="1" applyFill="1" applyBorder="1" applyAlignment="1">
      <alignment horizontal="right"/>
    </xf>
    <xf numFmtId="2" fontId="20" fillId="0" borderId="0" xfId="3" applyNumberFormat="1" applyFont="1" applyFill="1" applyBorder="1" applyAlignment="1">
      <alignment horizontal="right"/>
    </xf>
    <xf numFmtId="4" fontId="20" fillId="0" borderId="0" xfId="1" applyFont="1" applyFill="1" applyBorder="1" applyAlignment="1">
      <alignment horizontal="right"/>
    </xf>
    <xf numFmtId="0" fontId="17" fillId="0" borderId="0" xfId="0" applyFont="1" applyAlignment="1">
      <alignment horizontal="right"/>
    </xf>
    <xf numFmtId="9" fontId="16" fillId="0" borderId="0" xfId="3" applyFont="1"/>
    <xf numFmtId="164" fontId="16" fillId="0" borderId="0" xfId="0" applyNumberFormat="1" applyFont="1"/>
    <xf numFmtId="164" fontId="18" fillId="0" borderId="0" xfId="0" applyNumberFormat="1" applyFont="1"/>
    <xf numFmtId="9" fontId="16" fillId="0" borderId="0" xfId="0" applyNumberFormat="1" applyFont="1"/>
    <xf numFmtId="0" fontId="20" fillId="0" borderId="0" xfId="0" applyFont="1"/>
    <xf numFmtId="0" fontId="20" fillId="0" borderId="0" xfId="0" applyFont="1" applyAlignment="1">
      <alignment horizontal="right"/>
    </xf>
    <xf numFmtId="10" fontId="20" fillId="0" borderId="0" xfId="0" applyNumberFormat="1" applyFont="1" applyAlignment="1">
      <alignment horizontal="right"/>
    </xf>
    <xf numFmtId="9" fontId="20" fillId="0" borderId="0" xfId="3" applyFont="1" applyFill="1" applyAlignment="1">
      <alignment horizontal="right"/>
    </xf>
    <xf numFmtId="1" fontId="20" fillId="0" borderId="0" xfId="0" applyNumberFormat="1" applyFont="1" applyAlignment="1">
      <alignment horizontal="right"/>
    </xf>
    <xf numFmtId="167" fontId="20" fillId="0" borderId="0" xfId="3" applyNumberFormat="1" applyFont="1" applyFill="1" applyAlignment="1">
      <alignment horizontal="right"/>
    </xf>
    <xf numFmtId="3" fontId="20" fillId="0" borderId="0" xfId="1" applyNumberFormat="1" applyFont="1" applyFill="1" applyAlignment="1">
      <alignment horizontal="right"/>
    </xf>
    <xf numFmtId="164" fontId="16" fillId="0" borderId="0" xfId="3" applyNumberFormat="1" applyFont="1" applyFill="1" applyAlignment="1">
      <alignment horizontal="right"/>
    </xf>
    <xf numFmtId="164" fontId="20" fillId="0" borderId="0" xfId="3" applyNumberFormat="1" applyFont="1" applyFill="1" applyAlignment="1">
      <alignment horizontal="right"/>
    </xf>
    <xf numFmtId="0" fontId="16" fillId="0" borderId="0" xfId="0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0" fillId="0" borderId="0" xfId="0" applyNumberFormat="1"/>
    <xf numFmtId="164" fontId="0" fillId="0" borderId="0" xfId="0" applyNumberFormat="1"/>
    <xf numFmtId="164" fontId="20" fillId="0" borderId="0" xfId="0" applyNumberFormat="1" applyFont="1"/>
    <xf numFmtId="0" fontId="20" fillId="0" borderId="0" xfId="0" applyFont="1" applyAlignment="1">
      <alignment horizontal="center"/>
    </xf>
    <xf numFmtId="0" fontId="21" fillId="2" borderId="0" xfId="0" applyFont="1" applyFill="1" applyAlignment="1">
      <alignment horizontal="left"/>
    </xf>
    <xf numFmtId="0" fontId="21" fillId="2" borderId="0" xfId="0" applyFont="1" applyFill="1" applyAlignment="1">
      <alignment horizontal="right"/>
    </xf>
    <xf numFmtId="17" fontId="16" fillId="0" borderId="0" xfId="0" applyNumberFormat="1" applyFont="1"/>
    <xf numFmtId="0" fontId="21" fillId="2" borderId="0" xfId="0" quotePrefix="1" applyFont="1" applyFill="1" applyAlignment="1">
      <alignment horizontal="right"/>
    </xf>
    <xf numFmtId="3" fontId="20" fillId="0" borderId="0" xfId="0" applyNumberFormat="1" applyFont="1"/>
    <xf numFmtId="3" fontId="16" fillId="0" borderId="0" xfId="0" applyNumberFormat="1" applyFont="1"/>
    <xf numFmtId="3" fontId="19" fillId="0" borderId="0" xfId="0" applyNumberFormat="1" applyFont="1"/>
    <xf numFmtId="41" fontId="16" fillId="0" borderId="0" xfId="1" applyNumberFormat="1" applyFont="1"/>
    <xf numFmtId="164" fontId="16" fillId="0" borderId="0" xfId="0" applyNumberFormat="1" applyFont="1" applyAlignment="1">
      <alignment horizontal="left" indent="1"/>
    </xf>
    <xf numFmtId="164" fontId="16" fillId="0" borderId="0" xfId="0" applyNumberFormat="1" applyFont="1" applyAlignment="1">
      <alignment horizontal="right"/>
    </xf>
    <xf numFmtId="164" fontId="17" fillId="0" borderId="0" xfId="0" applyNumberFormat="1" applyFont="1"/>
    <xf numFmtId="3" fontId="16" fillId="0" borderId="0" xfId="1" quotePrefix="1" applyNumberFormat="1" applyFont="1" applyFill="1" applyBorder="1"/>
    <xf numFmtId="164" fontId="16" fillId="0" borderId="0" xfId="0" quotePrefix="1" applyNumberFormat="1" applyFont="1" applyAlignment="1">
      <alignment horizontal="right"/>
    </xf>
    <xf numFmtId="3" fontId="19" fillId="0" borderId="0" xfId="1" applyNumberFormat="1" applyFont="1" applyFill="1" applyBorder="1"/>
    <xf numFmtId="171" fontId="20" fillId="0" borderId="0" xfId="2" applyNumberFormat="1" applyFont="1" applyFill="1" applyBorder="1"/>
    <xf numFmtId="164" fontId="16" fillId="0" borderId="0" xfId="3" applyNumberFormat="1" applyFont="1" applyFill="1" applyBorder="1"/>
    <xf numFmtId="3" fontId="16" fillId="0" borderId="0" xfId="0" applyNumberFormat="1" applyFont="1" applyAlignment="1">
      <alignment horizontal="right"/>
    </xf>
    <xf numFmtId="169" fontId="20" fillId="0" borderId="0" xfId="0" applyNumberFormat="1" applyFont="1"/>
    <xf numFmtId="169" fontId="16" fillId="0" borderId="0" xfId="0" applyNumberFormat="1" applyFont="1"/>
    <xf numFmtId="169" fontId="16" fillId="0" borderId="0" xfId="3" applyNumberFormat="1" applyFont="1" applyFill="1" applyBorder="1"/>
    <xf numFmtId="0" fontId="20" fillId="4" borderId="0" xfId="0" applyFont="1" applyFill="1"/>
    <xf numFmtId="0" fontId="16" fillId="4" borderId="0" xfId="0" applyFont="1" applyFill="1"/>
    <xf numFmtId="3" fontId="18" fillId="4" borderId="0" xfId="0" applyNumberFormat="1" applyFont="1" applyFill="1"/>
    <xf numFmtId="3" fontId="18" fillId="4" borderId="0" xfId="1" applyNumberFormat="1" applyFont="1" applyFill="1" applyAlignment="1">
      <alignment horizontal="right"/>
    </xf>
    <xf numFmtId="9" fontId="18" fillId="4" borderId="0" xfId="3" applyFont="1" applyFill="1" applyAlignment="1">
      <alignment horizontal="right"/>
    </xf>
    <xf numFmtId="164" fontId="16" fillId="0" borderId="0" xfId="3" applyNumberFormat="1" applyFont="1" applyFill="1"/>
    <xf numFmtId="164" fontId="16" fillId="0" borderId="0" xfId="3" quotePrefix="1" applyNumberFormat="1" applyFont="1" applyFill="1" applyAlignment="1">
      <alignment horizontal="right"/>
    </xf>
    <xf numFmtId="164" fontId="17" fillId="0" borderId="0" xfId="3" quotePrefix="1" applyNumberFormat="1" applyFont="1" applyFill="1" applyAlignment="1">
      <alignment horizontal="right"/>
    </xf>
    <xf numFmtId="41" fontId="28" fillId="0" borderId="0" xfId="1" applyNumberFormat="1" applyFont="1" applyFill="1"/>
    <xf numFmtId="41" fontId="16" fillId="0" borderId="0" xfId="1" applyNumberFormat="1" applyFont="1" applyFill="1"/>
    <xf numFmtId="3" fontId="18" fillId="4" borderId="0" xfId="0" applyNumberFormat="1" applyFont="1" applyFill="1" applyAlignment="1">
      <alignment horizontal="right"/>
    </xf>
    <xf numFmtId="10" fontId="18" fillId="4" borderId="0" xfId="0" applyNumberFormat="1" applyFont="1" applyFill="1" applyAlignment="1">
      <alignment horizontal="right"/>
    </xf>
    <xf numFmtId="172" fontId="16" fillId="0" borderId="0" xfId="0" applyNumberFormat="1" applyFont="1"/>
    <xf numFmtId="170" fontId="23" fillId="0" borderId="0" xfId="0" applyNumberFormat="1" applyFont="1"/>
    <xf numFmtId="3" fontId="16" fillId="4" borderId="0" xfId="0" applyNumberFormat="1" applyFont="1" applyFill="1"/>
    <xf numFmtId="1" fontId="16" fillId="4" borderId="0" xfId="0" applyNumberFormat="1" applyFont="1" applyFill="1"/>
    <xf numFmtId="1" fontId="20" fillId="4" borderId="0" xfId="3" applyNumberFormat="1" applyFont="1" applyFill="1"/>
    <xf numFmtId="1" fontId="16" fillId="4" borderId="0" xfId="3" applyNumberFormat="1" applyFont="1" applyFill="1"/>
    <xf numFmtId="9" fontId="16" fillId="4" borderId="0" xfId="3" applyFont="1" applyFill="1"/>
    <xf numFmtId="0" fontId="16" fillId="4" borderId="0" xfId="0" applyFont="1" applyFill="1" applyAlignment="1">
      <alignment horizontal="right"/>
    </xf>
    <xf numFmtId="3" fontId="16" fillId="4" borderId="0" xfId="0" applyNumberFormat="1" applyFont="1" applyFill="1" applyAlignment="1">
      <alignment horizontal="right"/>
    </xf>
    <xf numFmtId="0" fontId="20" fillId="5" borderId="0" xfId="0" applyFont="1" applyFill="1"/>
    <xf numFmtId="0" fontId="16" fillId="5" borderId="0" xfId="0" applyFont="1" applyFill="1"/>
    <xf numFmtId="3" fontId="16" fillId="5" borderId="0" xfId="0" applyNumberFormat="1" applyFont="1" applyFill="1"/>
    <xf numFmtId="1" fontId="16" fillId="5" borderId="0" xfId="0" applyNumberFormat="1" applyFont="1" applyFill="1"/>
    <xf numFmtId="1" fontId="20" fillId="5" borderId="0" xfId="3" applyNumberFormat="1" applyFont="1" applyFill="1"/>
    <xf numFmtId="1" fontId="16" fillId="5" borderId="0" xfId="3" applyNumberFormat="1" applyFont="1" applyFill="1"/>
    <xf numFmtId="9" fontId="16" fillId="5" borderId="0" xfId="3" applyFont="1" applyFill="1"/>
    <xf numFmtId="0" fontId="16" fillId="5" borderId="0" xfId="0" applyFont="1" applyFill="1" applyAlignment="1">
      <alignment horizontal="right"/>
    </xf>
    <xf numFmtId="3" fontId="20" fillId="5" borderId="0" xfId="0" applyNumberFormat="1" applyFont="1" applyFill="1" applyAlignment="1">
      <alignment horizontal="right"/>
    </xf>
    <xf numFmtId="3" fontId="16" fillId="5" borderId="0" xfId="0" applyNumberFormat="1" applyFont="1" applyFill="1" applyAlignment="1">
      <alignment horizontal="right"/>
    </xf>
    <xf numFmtId="0" fontId="29" fillId="5" borderId="0" xfId="0" applyFont="1" applyFill="1" applyAlignment="1">
      <alignment horizontal="right"/>
    </xf>
    <xf numFmtId="9" fontId="16" fillId="5" borderId="0" xfId="3" applyFont="1" applyFill="1" applyAlignment="1">
      <alignment horizontal="right"/>
    </xf>
    <xf numFmtId="1" fontId="16" fillId="0" borderId="0" xfId="3" applyNumberFormat="1" applyFont="1" applyFill="1"/>
    <xf numFmtId="9" fontId="16" fillId="0" borderId="0" xfId="3" applyFont="1" applyFill="1"/>
    <xf numFmtId="3" fontId="16" fillId="0" borderId="0" xfId="1" applyNumberFormat="1" applyFont="1" applyFill="1" applyAlignment="1">
      <alignment horizontal="right"/>
    </xf>
    <xf numFmtId="170" fontId="16" fillId="5" borderId="0" xfId="0" applyNumberFormat="1" applyFont="1" applyFill="1" applyAlignment="1">
      <alignment horizontal="right"/>
    </xf>
    <xf numFmtId="1" fontId="16" fillId="5" borderId="0" xfId="0" applyNumberFormat="1" applyFont="1" applyFill="1" applyAlignment="1">
      <alignment horizontal="right"/>
    </xf>
    <xf numFmtId="0" fontId="20" fillId="6" borderId="0" xfId="0" applyFont="1" applyFill="1" applyAlignment="1">
      <alignment horizontal="left"/>
    </xf>
    <xf numFmtId="172" fontId="16" fillId="6" borderId="0" xfId="0" applyNumberFormat="1" applyFont="1" applyFill="1"/>
    <xf numFmtId="172" fontId="17" fillId="6" borderId="0" xfId="0" applyNumberFormat="1" applyFont="1" applyFill="1"/>
    <xf numFmtId="164" fontId="19" fillId="6" borderId="0" xfId="3" applyNumberFormat="1" applyFont="1" applyFill="1"/>
    <xf numFmtId="164" fontId="17" fillId="6" borderId="0" xfId="0" applyNumberFormat="1" applyFont="1" applyFill="1"/>
    <xf numFmtId="164" fontId="17" fillId="6" borderId="0" xfId="3" applyNumberFormat="1" applyFont="1" applyFill="1"/>
    <xf numFmtId="167" fontId="17" fillId="6" borderId="0" xfId="0" applyNumberFormat="1" applyFont="1" applyFill="1"/>
    <xf numFmtId="172" fontId="17" fillId="6" borderId="0" xfId="0" applyNumberFormat="1" applyFont="1" applyFill="1" applyAlignment="1">
      <alignment horizontal="right"/>
    </xf>
    <xf numFmtId="170" fontId="17" fillId="6" borderId="0" xfId="3" applyNumberFormat="1" applyFont="1" applyFill="1"/>
    <xf numFmtId="1" fontId="16" fillId="4" borderId="0" xfId="0" applyNumberFormat="1" applyFont="1" applyFill="1" applyAlignment="1">
      <alignment horizontal="right"/>
    </xf>
    <xf numFmtId="1" fontId="18" fillId="4" borderId="0" xfId="0" applyNumberFormat="1" applyFont="1" applyFill="1" applyAlignment="1">
      <alignment horizontal="right"/>
    </xf>
    <xf numFmtId="1" fontId="29" fillId="4" borderId="0" xfId="0" applyNumberFormat="1" applyFont="1" applyFill="1" applyAlignment="1">
      <alignment horizontal="right"/>
    </xf>
    <xf numFmtId="9" fontId="16" fillId="4" borderId="0" xfId="3" applyFont="1" applyFill="1" applyAlignment="1">
      <alignment horizontal="right"/>
    </xf>
    <xf numFmtId="3" fontId="16" fillId="4" borderId="0" xfId="1" applyNumberFormat="1" applyFont="1" applyFill="1" applyBorder="1"/>
    <xf numFmtId="9" fontId="16" fillId="5" borderId="0" xfId="3" applyFont="1" applyFill="1" applyBorder="1"/>
    <xf numFmtId="3" fontId="20" fillId="0" borderId="0" xfId="3" applyNumberFormat="1" applyFont="1" applyFill="1"/>
    <xf numFmtId="9" fontId="28" fillId="0" borderId="0" xfId="3" applyFont="1" applyFill="1"/>
    <xf numFmtId="164" fontId="16" fillId="5" borderId="0" xfId="0" applyNumberFormat="1" applyFont="1" applyFill="1"/>
    <xf numFmtId="9" fontId="16" fillId="0" borderId="0" xfId="3" applyFont="1" applyFill="1" applyAlignment="1">
      <alignment horizontal="right"/>
    </xf>
    <xf numFmtId="3" fontId="30" fillId="0" borderId="0" xfId="1" applyNumberFormat="1" applyFont="1" applyFill="1"/>
    <xf numFmtId="0" fontId="23" fillId="0" borderId="0" xfId="0" applyFont="1" applyAlignment="1">
      <alignment horizontal="left" indent="2"/>
    </xf>
    <xf numFmtId="6" fontId="16" fillId="0" borderId="0" xfId="0" applyNumberFormat="1" applyFont="1"/>
    <xf numFmtId="9" fontId="23" fillId="0" borderId="0" xfId="3" applyFont="1" applyBorder="1"/>
    <xf numFmtId="0" fontId="20" fillId="7" borderId="0" xfId="0" applyFont="1" applyFill="1"/>
    <xf numFmtId="0" fontId="16" fillId="7" borderId="0" xfId="0" applyFont="1" applyFill="1"/>
    <xf numFmtId="3" fontId="16" fillId="7" borderId="0" xfId="0" applyNumberFormat="1" applyFont="1" applyFill="1"/>
    <xf numFmtId="0" fontId="16" fillId="7" borderId="0" xfId="0" applyFont="1" applyFill="1" applyAlignment="1">
      <alignment horizontal="right"/>
    </xf>
    <xf numFmtId="170" fontId="16" fillId="7" borderId="0" xfId="0" applyNumberFormat="1" applyFont="1" applyFill="1" applyAlignment="1">
      <alignment horizontal="right"/>
    </xf>
    <xf numFmtId="41" fontId="16" fillId="7" borderId="0" xfId="1" applyNumberFormat="1" applyFont="1" applyFill="1"/>
    <xf numFmtId="0" fontId="29" fillId="4" borderId="0" xfId="0" applyFont="1" applyFill="1" applyAlignment="1">
      <alignment horizontal="right"/>
    </xf>
    <xf numFmtId="3" fontId="16" fillId="4" borderId="0" xfId="1" applyNumberFormat="1" applyFont="1" applyFill="1" applyAlignment="1">
      <alignment horizontal="right"/>
    </xf>
    <xf numFmtId="170" fontId="16" fillId="4" borderId="0" xfId="0" applyNumberFormat="1" applyFont="1" applyFill="1" applyAlignment="1">
      <alignment horizontal="right"/>
    </xf>
    <xf numFmtId="9" fontId="16" fillId="4" borderId="0" xfId="3" applyFont="1" applyFill="1" applyBorder="1"/>
    <xf numFmtId="3" fontId="20" fillId="4" borderId="0" xfId="0" applyNumberFormat="1" applyFont="1" applyFill="1" applyAlignment="1">
      <alignment horizontal="right"/>
    </xf>
    <xf numFmtId="169" fontId="16" fillId="4" borderId="0" xfId="0" applyNumberFormat="1" applyFont="1" applyFill="1" applyAlignment="1">
      <alignment horizontal="right"/>
    </xf>
    <xf numFmtId="1" fontId="20" fillId="0" borderId="0" xfId="3" applyNumberFormat="1" applyFont="1" applyFill="1"/>
    <xf numFmtId="0" fontId="21" fillId="8" borderId="0" xfId="0" applyFont="1" applyFill="1"/>
    <xf numFmtId="3" fontId="21" fillId="8" borderId="0" xfId="0" applyNumberFormat="1" applyFont="1" applyFill="1"/>
    <xf numFmtId="1" fontId="21" fillId="8" borderId="0" xfId="0" applyNumberFormat="1" applyFont="1" applyFill="1"/>
    <xf numFmtId="1" fontId="21" fillId="8" borderId="0" xfId="3" applyNumberFormat="1" applyFont="1" applyFill="1"/>
    <xf numFmtId="9" fontId="21" fillId="8" borderId="0" xfId="3" applyFont="1" applyFill="1"/>
    <xf numFmtId="0" fontId="21" fillId="8" borderId="0" xfId="0" applyFont="1" applyFill="1" applyAlignment="1">
      <alignment horizontal="right"/>
    </xf>
    <xf numFmtId="164" fontId="17" fillId="0" borderId="0" xfId="11" applyNumberFormat="1" applyFont="1" applyFill="1" applyAlignment="1">
      <alignment horizontal="right"/>
    </xf>
    <xf numFmtId="0" fontId="34" fillId="2" borderId="0" xfId="0" applyFont="1" applyFill="1"/>
    <xf numFmtId="0" fontId="34" fillId="2" borderId="0" xfId="0" applyFont="1" applyFill="1" applyAlignment="1">
      <alignment horizontal="right"/>
    </xf>
    <xf numFmtId="9" fontId="34" fillId="2" borderId="0" xfId="3" applyFont="1" applyFill="1" applyAlignment="1">
      <alignment horizontal="right"/>
    </xf>
    <xf numFmtId="0" fontId="34" fillId="0" borderId="0" xfId="0" applyFont="1"/>
    <xf numFmtId="3" fontId="34" fillId="2" borderId="0" xfId="0" applyNumberFormat="1" applyFont="1" applyFill="1"/>
    <xf numFmtId="9" fontId="34" fillId="2" borderId="0" xfId="3" applyFont="1" applyFill="1" applyBorder="1"/>
    <xf numFmtId="3" fontId="20" fillId="0" borderId="0" xfId="3" applyNumberFormat="1" applyFont="1" applyFill="1" applyAlignment="1">
      <alignment horizontal="right"/>
    </xf>
    <xf numFmtId="164" fontId="17" fillId="0" borderId="0" xfId="3" applyNumberFormat="1" applyFont="1" applyFill="1"/>
    <xf numFmtId="164" fontId="17" fillId="0" borderId="0" xfId="12" applyNumberFormat="1" applyFont="1" applyFill="1"/>
    <xf numFmtId="164" fontId="17" fillId="0" borderId="0" xfId="12" applyNumberFormat="1" applyFont="1" applyFill="1" applyAlignment="1">
      <alignment horizontal="right"/>
    </xf>
    <xf numFmtId="3" fontId="19" fillId="0" borderId="0" xfId="3" applyNumberFormat="1" applyFont="1" applyFill="1" applyAlignment="1">
      <alignment horizontal="right"/>
    </xf>
    <xf numFmtId="3" fontId="19" fillId="0" borderId="0" xfId="3" applyNumberFormat="1" applyFont="1" applyFill="1"/>
    <xf numFmtId="164" fontId="17" fillId="0" borderId="0" xfId="3" applyNumberFormat="1" applyFont="1" applyFill="1" applyAlignment="1">
      <alignment horizontal="right"/>
    </xf>
    <xf numFmtId="0" fontId="16" fillId="2" borderId="0" xfId="0" applyFont="1" applyFill="1"/>
    <xf numFmtId="0" fontId="17" fillId="2" borderId="0" xfId="0" applyFont="1" applyFill="1"/>
    <xf numFmtId="0" fontId="17" fillId="2" borderId="0" xfId="0" applyFont="1" applyFill="1" applyAlignment="1">
      <alignment horizontal="right"/>
    </xf>
    <xf numFmtId="164" fontId="21" fillId="9" borderId="0" xfId="0" applyNumberFormat="1" applyFont="1" applyFill="1" applyAlignment="1">
      <alignment horizontal="left"/>
    </xf>
    <xf numFmtId="164" fontId="16" fillId="9" borderId="0" xfId="0" applyNumberFormat="1" applyFont="1" applyFill="1"/>
    <xf numFmtId="164" fontId="16" fillId="9" borderId="0" xfId="0" quotePrefix="1" applyNumberFormat="1" applyFont="1" applyFill="1" applyAlignment="1">
      <alignment horizontal="center"/>
    </xf>
    <xf numFmtId="164" fontId="17" fillId="9" borderId="0" xfId="0" applyNumberFormat="1" applyFont="1" applyFill="1"/>
    <xf numFmtId="164" fontId="17" fillId="9" borderId="0" xfId="0" applyNumberFormat="1" applyFont="1" applyFill="1" applyAlignment="1">
      <alignment horizontal="right"/>
    </xf>
    <xf numFmtId="164" fontId="21" fillId="9" borderId="0" xfId="0" applyNumberFormat="1" applyFont="1" applyFill="1" applyAlignment="1">
      <alignment horizontal="right"/>
    </xf>
    <xf numFmtId="3" fontId="17" fillId="9" borderId="0" xfId="1" applyNumberFormat="1" applyFont="1" applyFill="1" applyBorder="1"/>
    <xf numFmtId="41" fontId="16" fillId="9" borderId="0" xfId="1" applyNumberFormat="1" applyFont="1" applyFill="1"/>
    <xf numFmtId="0" fontId="9" fillId="0" borderId="0" xfId="0" applyFont="1"/>
    <xf numFmtId="0" fontId="16" fillId="10" borderId="0" xfId="0" applyFont="1" applyFill="1"/>
    <xf numFmtId="0" fontId="16" fillId="10" borderId="0" xfId="0" applyFont="1" applyFill="1" applyAlignment="1">
      <alignment horizontal="right"/>
    </xf>
    <xf numFmtId="0" fontId="4" fillId="0" borderId="0" xfId="0" applyFont="1"/>
    <xf numFmtId="164" fontId="4" fillId="0" borderId="0" xfId="0" applyNumberFormat="1" applyFont="1"/>
    <xf numFmtId="164" fontId="9" fillId="0" borderId="0" xfId="3" applyNumberFormat="1" applyFont="1"/>
    <xf numFmtId="174" fontId="4" fillId="0" borderId="0" xfId="0" applyNumberFormat="1" applyFont="1"/>
    <xf numFmtId="176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9" fontId="9" fillId="0" borderId="0" xfId="0" applyNumberFormat="1" applyFont="1"/>
    <xf numFmtId="174" fontId="4" fillId="0" borderId="0" xfId="3" applyNumberFormat="1" applyFont="1"/>
    <xf numFmtId="4" fontId="9" fillId="0" borderId="0" xfId="3" applyNumberFormat="1" applyFont="1"/>
    <xf numFmtId="10" fontId="9" fillId="0" borderId="0" xfId="3" applyNumberFormat="1" applyFont="1"/>
    <xf numFmtId="164" fontId="9" fillId="0" borderId="0" xfId="3" applyNumberFormat="1" applyFont="1" applyBorder="1"/>
    <xf numFmtId="174" fontId="9" fillId="0" borderId="0" xfId="3" applyNumberFormat="1" applyFont="1"/>
    <xf numFmtId="174" fontId="9" fillId="0" borderId="0" xfId="12" applyNumberFormat="1" applyFont="1"/>
    <xf numFmtId="4" fontId="9" fillId="0" borderId="0" xfId="1" applyFont="1"/>
    <xf numFmtId="174" fontId="9" fillId="0" borderId="0" xfId="3" applyNumberFormat="1" applyFont="1" applyFill="1"/>
    <xf numFmtId="9" fontId="9" fillId="0" borderId="0" xfId="0" applyNumberFormat="1" applyFont="1"/>
    <xf numFmtId="10" fontId="9" fillId="0" borderId="0" xfId="0" applyNumberFormat="1" applyFont="1"/>
    <xf numFmtId="164" fontId="4" fillId="0" borderId="0" xfId="3" applyNumberFormat="1" applyFont="1"/>
    <xf numFmtId="177" fontId="9" fillId="0" borderId="0" xfId="3" applyNumberFormat="1" applyFont="1"/>
    <xf numFmtId="0" fontId="3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4" fontId="9" fillId="0" borderId="0" xfId="0" applyNumberFormat="1" applyFont="1" applyAlignment="1">
      <alignment horizontal="right"/>
    </xf>
    <xf numFmtId="174" fontId="9" fillId="0" borderId="0" xfId="0" applyNumberFormat="1" applyFont="1" applyAlignment="1">
      <alignment horizontal="right"/>
    </xf>
    <xf numFmtId="9" fontId="9" fillId="0" borderId="0" xfId="3" applyFont="1"/>
    <xf numFmtId="164" fontId="9" fillId="0" borderId="0" xfId="0" quotePrefix="1" applyNumberFormat="1" applyFont="1" applyAlignment="1">
      <alignment horizontal="right"/>
    </xf>
    <xf numFmtId="10" fontId="9" fillId="0" borderId="0" xfId="0" applyNumberFormat="1" applyFont="1" applyAlignment="1">
      <alignment horizontal="right"/>
    </xf>
    <xf numFmtId="9" fontId="9" fillId="0" borderId="0" xfId="3" applyFont="1" applyAlignment="1">
      <alignment horizontal="right"/>
    </xf>
    <xf numFmtId="176" fontId="9" fillId="0" borderId="0" xfId="0" applyNumberFormat="1" applyFont="1" applyAlignment="1">
      <alignment horizontal="right"/>
    </xf>
    <xf numFmtId="174" fontId="36" fillId="0" borderId="0" xfId="0" applyNumberFormat="1" applyFont="1" applyAlignment="1">
      <alignment horizontal="right"/>
    </xf>
    <xf numFmtId="174" fontId="9" fillId="0" borderId="0" xfId="0" applyNumberFormat="1" applyFont="1"/>
    <xf numFmtId="170" fontId="9" fillId="0" borderId="0" xfId="0" quotePrefix="1" applyNumberFormat="1" applyFont="1" applyAlignment="1">
      <alignment horizontal="right"/>
    </xf>
    <xf numFmtId="170" fontId="9" fillId="0" borderId="0" xfId="0" applyNumberFormat="1" applyFont="1" applyAlignment="1">
      <alignment horizontal="right"/>
    </xf>
    <xf numFmtId="0" fontId="35" fillId="0" borderId="0" xfId="0" applyFont="1"/>
    <xf numFmtId="0" fontId="37" fillId="2" borderId="1" xfId="0" quotePrefix="1" applyFont="1" applyFill="1" applyBorder="1" applyAlignment="1">
      <alignment horizontal="left"/>
    </xf>
    <xf numFmtId="17" fontId="37" fillId="2" borderId="1" xfId="0" quotePrefix="1" applyNumberFormat="1" applyFont="1" applyFill="1" applyBorder="1" applyAlignment="1">
      <alignment horizontal="right"/>
    </xf>
    <xf numFmtId="0" fontId="38" fillId="2" borderId="1" xfId="0" applyFont="1" applyFill="1" applyBorder="1" applyAlignment="1">
      <alignment horizontal="right"/>
    </xf>
    <xf numFmtId="0" fontId="38" fillId="2" borderId="1" xfId="0" quotePrefix="1" applyFont="1" applyFill="1" applyBorder="1" applyAlignment="1">
      <alignment horizontal="right"/>
    </xf>
    <xf numFmtId="0" fontId="38" fillId="0" borderId="0" xfId="0" quotePrefix="1" applyFont="1" applyAlignment="1">
      <alignment horizontal="right"/>
    </xf>
    <xf numFmtId="0" fontId="4" fillId="0" borderId="0" xfId="0" quotePrefix="1" applyFont="1" applyAlignment="1">
      <alignment horizontal="right"/>
    </xf>
    <xf numFmtId="17" fontId="9" fillId="0" borderId="0" xfId="0" quotePrefix="1" applyNumberFormat="1" applyFont="1" applyAlignment="1">
      <alignment horizontal="center"/>
    </xf>
    <xf numFmtId="0" fontId="38" fillId="2" borderId="0" xfId="0" applyFont="1" applyFill="1" applyAlignment="1">
      <alignment horizontal="left"/>
    </xf>
    <xf numFmtId="0" fontId="37" fillId="2" borderId="0" xfId="0" applyFont="1" applyFill="1"/>
    <xf numFmtId="174" fontId="37" fillId="2" borderId="0" xfId="0" applyNumberFormat="1" applyFont="1" applyFill="1" applyAlignment="1">
      <alignment horizontal="right"/>
    </xf>
    <xf numFmtId="174" fontId="38" fillId="2" borderId="0" xfId="0" applyNumberFormat="1" applyFont="1" applyFill="1" applyAlignment="1">
      <alignment horizontal="right"/>
    </xf>
    <xf numFmtId="164" fontId="37" fillId="2" borderId="0" xfId="0" applyNumberFormat="1" applyFont="1" applyFill="1" applyAlignment="1">
      <alignment horizontal="right"/>
    </xf>
    <xf numFmtId="164" fontId="38" fillId="2" borderId="0" xfId="0" applyNumberFormat="1" applyFont="1" applyFill="1" applyAlignment="1">
      <alignment horizontal="right"/>
    </xf>
    <xf numFmtId="0" fontId="38" fillId="2" borderId="0" xfId="0" applyFont="1" applyFill="1" applyAlignment="1">
      <alignment horizontal="right"/>
    </xf>
    <xf numFmtId="0" fontId="37" fillId="2" borderId="0" xfId="0" applyFont="1" applyFill="1" applyAlignment="1">
      <alignment horizontal="right"/>
    </xf>
    <xf numFmtId="164" fontId="37" fillId="2" borderId="0" xfId="0" applyNumberFormat="1" applyFont="1" applyFill="1"/>
    <xf numFmtId="0" fontId="38" fillId="2" borderId="0" xfId="0" applyFont="1" applyFill="1"/>
    <xf numFmtId="2" fontId="37" fillId="2" borderId="0" xfId="0" applyNumberFormat="1" applyFont="1" applyFill="1"/>
    <xf numFmtId="2" fontId="38" fillId="2" borderId="0" xfId="0" applyNumberFormat="1" applyFont="1" applyFill="1"/>
    <xf numFmtId="176" fontId="37" fillId="2" borderId="0" xfId="0" applyNumberFormat="1" applyFont="1" applyFill="1"/>
    <xf numFmtId="174" fontId="37" fillId="2" borderId="0" xfId="0" applyNumberFormat="1" applyFont="1" applyFill="1"/>
    <xf numFmtId="8" fontId="37" fillId="2" borderId="0" xfId="0" applyNumberFormat="1" applyFont="1" applyFill="1"/>
    <xf numFmtId="169" fontId="37" fillId="2" borderId="0" xfId="0" applyNumberFormat="1" applyFont="1" applyFill="1"/>
    <xf numFmtId="178" fontId="37" fillId="2" borderId="0" xfId="0" applyNumberFormat="1" applyFont="1" applyFill="1"/>
    <xf numFmtId="178" fontId="38" fillId="2" borderId="0" xfId="0" applyNumberFormat="1" applyFont="1" applyFill="1"/>
    <xf numFmtId="172" fontId="37" fillId="2" borderId="0" xfId="0" applyNumberFormat="1" applyFont="1" applyFill="1"/>
    <xf numFmtId="171" fontId="37" fillId="2" borderId="0" xfId="0" applyNumberFormat="1" applyFont="1" applyFill="1"/>
    <xf numFmtId="174" fontId="38" fillId="2" borderId="0" xfId="0" applyNumberFormat="1" applyFont="1" applyFill="1"/>
    <xf numFmtId="0" fontId="38" fillId="0" borderId="0" xfId="0" applyFont="1"/>
    <xf numFmtId="170" fontId="39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2" fontId="9" fillId="0" borderId="0" xfId="3" applyNumberFormat="1" applyFont="1" applyFill="1"/>
    <xf numFmtId="2" fontId="9" fillId="0" borderId="0" xfId="3" applyNumberFormat="1" applyFont="1" applyFill="1" applyBorder="1"/>
    <xf numFmtId="2" fontId="4" fillId="0" borderId="0" xfId="0" applyNumberFormat="1" applyFont="1" applyAlignment="1">
      <alignment horizontal="right"/>
    </xf>
    <xf numFmtId="0" fontId="4" fillId="11" borderId="0" xfId="0" applyFont="1" applyFill="1" applyAlignment="1">
      <alignment horizontal="left" vertical="top"/>
    </xf>
    <xf numFmtId="0" fontId="9" fillId="11" borderId="0" xfId="0" applyFont="1" applyFill="1" applyAlignment="1">
      <alignment vertical="top"/>
    </xf>
    <xf numFmtId="174" fontId="9" fillId="11" borderId="0" xfId="0" applyNumberFormat="1" applyFont="1" applyFill="1" applyAlignment="1">
      <alignment horizontal="right" vertical="top"/>
    </xf>
    <xf numFmtId="174" fontId="4" fillId="11" borderId="0" xfId="0" applyNumberFormat="1" applyFont="1" applyFill="1" applyAlignment="1">
      <alignment horizontal="right" vertical="top"/>
    </xf>
    <xf numFmtId="3" fontId="9" fillId="11" borderId="0" xfId="14" applyNumberFormat="1" applyFill="1" applyAlignment="1" applyProtection="1">
      <alignment vertical="top"/>
      <protection locked="0"/>
    </xf>
    <xf numFmtId="3" fontId="9" fillId="11" borderId="0" xfId="15" applyNumberFormat="1" applyFont="1" applyFill="1" applyAlignment="1" applyProtection="1">
      <alignment vertical="top"/>
      <protection locked="0"/>
    </xf>
    <xf numFmtId="3" fontId="9" fillId="11" borderId="0" xfId="15" applyNumberFormat="1" applyFont="1" applyFill="1" applyBorder="1" applyAlignment="1" applyProtection="1">
      <alignment vertical="top"/>
      <protection locked="0"/>
    </xf>
    <xf numFmtId="169" fontId="9" fillId="11" borderId="0" xfId="15" applyNumberFormat="1" applyFont="1" applyFill="1" applyAlignment="1" applyProtection="1">
      <alignment vertical="top"/>
      <protection locked="0"/>
    </xf>
    <xf numFmtId="169" fontId="9" fillId="11" borderId="0" xfId="13" applyNumberFormat="1" applyFill="1" applyAlignment="1">
      <alignment vertical="top"/>
    </xf>
    <xf numFmtId="169" fontId="41" fillId="11" borderId="0" xfId="13" applyNumberFormat="1" applyFont="1" applyFill="1" applyAlignment="1">
      <alignment vertical="top"/>
    </xf>
    <xf numFmtId="174" fontId="4" fillId="0" borderId="0" xfId="0" applyNumberFormat="1" applyFont="1" applyAlignment="1">
      <alignment horizontal="right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indent="1"/>
    </xf>
    <xf numFmtId="164" fontId="4" fillId="0" borderId="0" xfId="0" applyNumberFormat="1" applyFont="1" applyAlignment="1">
      <alignment horizontal="right"/>
    </xf>
    <xf numFmtId="174" fontId="4" fillId="0" borderId="0" xfId="0" applyNumberFormat="1" applyFont="1" applyAlignment="1">
      <alignment horizontal="right"/>
    </xf>
    <xf numFmtId="9" fontId="4" fillId="0" borderId="0" xfId="3" applyFont="1" applyFill="1" applyBorder="1" applyAlignment="1">
      <alignment horizontal="right"/>
    </xf>
    <xf numFmtId="169" fontId="9" fillId="11" borderId="0" xfId="14" applyNumberFormat="1" applyFill="1" applyAlignment="1" applyProtection="1">
      <alignment vertical="top"/>
      <protection locked="0"/>
    </xf>
    <xf numFmtId="169" fontId="4" fillId="11" borderId="0" xfId="0" applyNumberFormat="1" applyFont="1" applyFill="1" applyAlignment="1">
      <alignment horizontal="right" vertical="top"/>
    </xf>
    <xf numFmtId="169" fontId="41" fillId="11" borderId="0" xfId="14" applyNumberFormat="1" applyFont="1" applyFill="1" applyAlignment="1" applyProtection="1">
      <alignment vertical="top"/>
      <protection locked="0"/>
    </xf>
    <xf numFmtId="169" fontId="4" fillId="0" borderId="0" xfId="0" applyNumberFormat="1" applyFont="1" applyAlignment="1">
      <alignment horizontal="right" vertical="top"/>
    </xf>
    <xf numFmtId="9" fontId="4" fillId="0" borderId="0" xfId="3" applyFont="1" applyFill="1" applyBorder="1" applyAlignment="1">
      <alignment horizontal="right" vertical="top"/>
    </xf>
    <xf numFmtId="174" fontId="9" fillId="0" borderId="0" xfId="0" applyNumberFormat="1" applyFont="1" applyAlignment="1">
      <alignment vertical="top"/>
    </xf>
    <xf numFmtId="176" fontId="4" fillId="0" borderId="0" xfId="0" applyNumberFormat="1" applyFont="1" applyAlignment="1">
      <alignment horizontal="right"/>
    </xf>
    <xf numFmtId="164" fontId="4" fillId="0" borderId="0" xfId="3" applyNumberFormat="1" applyFont="1" applyFill="1" applyBorder="1" applyAlignment="1">
      <alignment horizontal="right"/>
    </xf>
    <xf numFmtId="9" fontId="9" fillId="0" borderId="0" xfId="0" applyNumberFormat="1" applyFont="1" applyAlignment="1">
      <alignment horizontal="right"/>
    </xf>
    <xf numFmtId="169" fontId="9" fillId="0" borderId="0" xfId="15" applyNumberFormat="1" applyFont="1" applyFill="1" applyProtection="1">
      <protection locked="0"/>
    </xf>
    <xf numFmtId="169" fontId="4" fillId="0" borderId="0" xfId="15" applyNumberFormat="1" applyFont="1" applyFill="1" applyProtection="1">
      <protection locked="0"/>
    </xf>
    <xf numFmtId="169" fontId="4" fillId="0" borderId="0" xfId="15" applyNumberFormat="1" applyFont="1" applyFill="1" applyBorder="1" applyProtection="1">
      <protection locked="0"/>
    </xf>
    <xf numFmtId="169" fontId="43" fillId="0" borderId="0" xfId="15" applyNumberFormat="1" applyFont="1" applyFill="1" applyProtection="1">
      <protection locked="0"/>
    </xf>
    <xf numFmtId="0" fontId="4" fillId="11" borderId="0" xfId="0" applyFont="1" applyFill="1" applyAlignment="1">
      <alignment vertical="top"/>
    </xf>
    <xf numFmtId="164" fontId="4" fillId="11" borderId="0" xfId="0" applyNumberFormat="1" applyFont="1" applyFill="1" applyAlignment="1">
      <alignment horizontal="right" vertical="top"/>
    </xf>
    <xf numFmtId="9" fontId="44" fillId="0" borderId="0" xfId="3" applyFont="1" applyFill="1" applyBorder="1" applyAlignment="1">
      <alignment horizontal="left"/>
    </xf>
    <xf numFmtId="0" fontId="4" fillId="0" borderId="0" xfId="0" applyFont="1" applyAlignment="1">
      <alignment vertical="top"/>
    </xf>
    <xf numFmtId="0" fontId="4" fillId="11" borderId="0" xfId="0" quotePrefix="1" applyFont="1" applyFill="1" applyAlignment="1">
      <alignment horizontal="left"/>
    </xf>
    <xf numFmtId="0" fontId="9" fillId="11" borderId="0" xfId="0" applyFont="1" applyFill="1"/>
    <xf numFmtId="178" fontId="9" fillId="11" borderId="0" xfId="0" applyNumberFormat="1" applyFont="1" applyFill="1" applyAlignment="1">
      <alignment horizontal="right"/>
    </xf>
    <xf numFmtId="178" fontId="4" fillId="11" borderId="0" xfId="0" applyNumberFormat="1" applyFont="1" applyFill="1" applyAlignment="1">
      <alignment horizontal="right"/>
    </xf>
    <xf numFmtId="44" fontId="9" fillId="11" borderId="0" xfId="2" applyFont="1" applyFill="1" applyAlignment="1">
      <alignment horizontal="right"/>
    </xf>
    <xf numFmtId="44" fontId="4" fillId="11" borderId="0" xfId="2" applyFont="1" applyFill="1" applyAlignment="1">
      <alignment horizontal="right"/>
    </xf>
    <xf numFmtId="44" fontId="9" fillId="11" borderId="0" xfId="16" applyFont="1" applyFill="1" applyAlignment="1">
      <alignment horizontal="right"/>
    </xf>
    <xf numFmtId="44" fontId="4" fillId="0" borderId="0" xfId="2" applyFont="1" applyFill="1" applyAlignment="1">
      <alignment horizontal="right"/>
    </xf>
    <xf numFmtId="9" fontId="44" fillId="0" borderId="0" xfId="17" applyFont="1" applyFill="1" applyBorder="1" applyAlignment="1">
      <alignment horizontal="left"/>
    </xf>
    <xf numFmtId="178" fontId="9" fillId="0" borderId="0" xfId="0" applyNumberFormat="1" applyFont="1" applyAlignment="1">
      <alignment horizontal="right"/>
    </xf>
    <xf numFmtId="178" fontId="4" fillId="0" borderId="0" xfId="0" applyNumberFormat="1" applyFont="1" applyAlignment="1">
      <alignment horizontal="right"/>
    </xf>
    <xf numFmtId="44" fontId="9" fillId="0" borderId="0" xfId="2" applyFont="1" applyFill="1" applyAlignment="1">
      <alignment horizontal="right"/>
    </xf>
    <xf numFmtId="44" fontId="9" fillId="0" borderId="0" xfId="16" applyFont="1" applyFill="1" applyAlignment="1">
      <alignment horizontal="right"/>
    </xf>
    <xf numFmtId="0" fontId="9" fillId="11" borderId="0" xfId="0" applyFont="1" applyFill="1" applyAlignment="1">
      <alignment horizontal="left"/>
    </xf>
    <xf numFmtId="44" fontId="9" fillId="11" borderId="0" xfId="2" applyFont="1" applyFill="1" applyBorder="1" applyAlignment="1">
      <alignment horizontal="right"/>
    </xf>
    <xf numFmtId="44" fontId="4" fillId="11" borderId="0" xfId="2" applyFont="1" applyFill="1" applyBorder="1" applyAlignment="1">
      <alignment horizontal="right"/>
    </xf>
    <xf numFmtId="44" fontId="9" fillId="11" borderId="0" xfId="16" applyFont="1" applyFill="1" applyBorder="1" applyAlignment="1">
      <alignment horizontal="right"/>
    </xf>
    <xf numFmtId="44" fontId="4" fillId="0" borderId="0" xfId="2" applyFont="1" applyFill="1" applyBorder="1" applyAlignment="1">
      <alignment horizontal="right"/>
    </xf>
    <xf numFmtId="178" fontId="9" fillId="0" borderId="0" xfId="0" quotePrefix="1" applyNumberFormat="1" applyFont="1" applyAlignment="1">
      <alignment horizontal="center"/>
    </xf>
    <xf numFmtId="164" fontId="9" fillId="0" borderId="0" xfId="3" quotePrefix="1" applyNumberFormat="1" applyFont="1" applyBorder="1" applyAlignment="1">
      <alignment horizontal="right"/>
    </xf>
    <xf numFmtId="164" fontId="4" fillId="0" borderId="0" xfId="3" applyNumberFormat="1" applyFont="1" applyBorder="1"/>
    <xf numFmtId="164" fontId="9" fillId="0" borderId="0" xfId="3" applyNumberFormat="1" applyFont="1" applyFill="1" applyBorder="1" applyAlignment="1">
      <alignment horizontal="center"/>
    </xf>
    <xf numFmtId="164" fontId="9" fillId="0" borderId="0" xfId="3" applyNumberFormat="1" applyFont="1" applyFill="1" applyBorder="1"/>
    <xf numFmtId="9" fontId="44" fillId="0" borderId="0" xfId="3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9" fontId="9" fillId="0" borderId="0" xfId="3" applyFont="1" applyFill="1" applyBorder="1"/>
    <xf numFmtId="4" fontId="9" fillId="0" borderId="0" xfId="3" applyNumberFormat="1" applyFont="1" applyFill="1" applyBorder="1" applyAlignment="1">
      <alignment horizontal="center"/>
    </xf>
    <xf numFmtId="0" fontId="4" fillId="11" borderId="0" xfId="0" applyFont="1" applyFill="1" applyAlignment="1">
      <alignment horizontal="left"/>
    </xf>
    <xf numFmtId="184" fontId="9" fillId="11" borderId="0" xfId="0" applyNumberFormat="1" applyFont="1" applyFill="1" applyAlignment="1">
      <alignment horizontal="right"/>
    </xf>
    <xf numFmtId="164" fontId="9" fillId="0" borderId="0" xfId="3" applyNumberFormat="1" applyFont="1" applyBorder="1" applyAlignment="1">
      <alignment horizontal="right"/>
    </xf>
    <xf numFmtId="4" fontId="9" fillId="0" borderId="0" xfId="1" applyFont="1" applyBorder="1" applyAlignment="1">
      <alignment horizontal="right"/>
    </xf>
    <xf numFmtId="4" fontId="4" fillId="0" borderId="0" xfId="1" applyFont="1" applyBorder="1" applyAlignment="1">
      <alignment horizontal="right"/>
    </xf>
    <xf numFmtId="4" fontId="9" fillId="0" borderId="0" xfId="1" applyFont="1" applyFill="1" applyBorder="1" applyAlignment="1">
      <alignment horizontal="right"/>
    </xf>
    <xf numFmtId="4" fontId="9" fillId="0" borderId="0" xfId="18" applyFont="1" applyBorder="1" applyAlignment="1">
      <alignment horizontal="right"/>
    </xf>
    <xf numFmtId="2" fontId="44" fillId="0" borderId="0" xfId="3" applyNumberFormat="1" applyFont="1" applyFill="1" applyBorder="1" applyAlignment="1">
      <alignment horizontal="right"/>
    </xf>
    <xf numFmtId="3" fontId="9" fillId="0" borderId="0" xfId="20" applyNumberFormat="1" applyFont="1" applyFill="1" applyBorder="1" applyProtection="1">
      <protection locked="0"/>
    </xf>
    <xf numFmtId="3" fontId="9" fillId="0" borderId="0" xfId="20" applyNumberFormat="1" applyFont="1" applyFill="1" applyProtection="1">
      <protection locked="0"/>
    </xf>
    <xf numFmtId="3" fontId="4" fillId="0" borderId="0" xfId="20" applyNumberFormat="1" applyFont="1" applyFill="1" applyProtection="1">
      <protection locked="0"/>
    </xf>
    <xf numFmtId="3" fontId="9" fillId="0" borderId="0" xfId="20" applyNumberFormat="1" applyFont="1" applyFill="1" applyBorder="1" applyAlignment="1" applyProtection="1">
      <alignment horizontal="center"/>
      <protection locked="0"/>
    </xf>
    <xf numFmtId="3" fontId="4" fillId="0" borderId="0" xfId="20" applyNumberFormat="1" applyFont="1" applyFill="1" applyBorder="1" applyProtection="1">
      <protection locked="0"/>
    </xf>
    <xf numFmtId="38" fontId="9" fillId="0" borderId="0" xfId="20" applyNumberFormat="1" applyFont="1" applyProtection="1">
      <protection locked="0"/>
    </xf>
    <xf numFmtId="38" fontId="9" fillId="0" borderId="0" xfId="20" applyNumberFormat="1" applyFont="1" applyFill="1" applyBorder="1" applyProtection="1">
      <protection locked="0"/>
    </xf>
    <xf numFmtId="38" fontId="9" fillId="0" borderId="0" xfId="20" applyNumberFormat="1" applyFont="1" applyFill="1" applyProtection="1">
      <protection locked="0"/>
    </xf>
    <xf numFmtId="38" fontId="4" fillId="0" borderId="0" xfId="20" applyNumberFormat="1" applyFont="1" applyFill="1" applyProtection="1">
      <protection locked="0"/>
    </xf>
    <xf numFmtId="38" fontId="4" fillId="0" borderId="0" xfId="20" applyNumberFormat="1" applyFont="1" applyFill="1" applyBorder="1" applyProtection="1">
      <protection locked="0"/>
    </xf>
    <xf numFmtId="38" fontId="9" fillId="0" borderId="0" xfId="20" applyNumberFormat="1" applyFont="1" applyFill="1" applyBorder="1" applyAlignment="1" applyProtection="1">
      <alignment horizontal="center"/>
      <protection locked="0"/>
    </xf>
    <xf numFmtId="10" fontId="9" fillId="0" borderId="0" xfId="3" applyNumberFormat="1" applyFont="1" applyBorder="1" applyAlignment="1">
      <alignment horizontal="right"/>
    </xf>
    <xf numFmtId="179" fontId="45" fillId="0" borderId="0" xfId="20" applyNumberFormat="1" applyFont="1" applyProtection="1">
      <protection locked="0"/>
    </xf>
    <xf numFmtId="10" fontId="9" fillId="0" borderId="0" xfId="3" applyNumberFormat="1" applyFont="1" applyAlignment="1">
      <alignment horizontal="right"/>
    </xf>
    <xf numFmtId="179" fontId="9" fillId="0" borderId="0" xfId="20" applyNumberFormat="1" applyFont="1" applyProtection="1">
      <protection locked="0"/>
    </xf>
    <xf numFmtId="169" fontId="45" fillId="0" borderId="0" xfId="20" applyNumberFormat="1" applyFont="1" applyProtection="1">
      <protection locked="0"/>
    </xf>
    <xf numFmtId="186" fontId="9" fillId="0" borderId="0" xfId="20" applyNumberFormat="1" applyFont="1" applyProtection="1">
      <protection locked="0"/>
    </xf>
    <xf numFmtId="9" fontId="4" fillId="0" borderId="0" xfId="3" applyFont="1" applyFill="1"/>
    <xf numFmtId="164" fontId="9" fillId="0" borderId="0" xfId="0" applyNumberFormat="1" applyFont="1" applyAlignment="1">
      <alignment horizontal="center"/>
    </xf>
    <xf numFmtId="164" fontId="35" fillId="0" borderId="0" xfId="3" applyNumberFormat="1" applyFont="1" applyBorder="1" applyAlignment="1">
      <alignment horizontal="left"/>
    </xf>
    <xf numFmtId="4" fontId="4" fillId="0" borderId="0" xfId="1" applyFont="1" applyFill="1" applyBorder="1" applyAlignment="1">
      <alignment horizontal="right"/>
    </xf>
    <xf numFmtId="164" fontId="9" fillId="0" borderId="0" xfId="3" applyNumberFormat="1" applyFont="1" applyBorder="1" applyAlignment="1">
      <alignment horizontal="left"/>
    </xf>
    <xf numFmtId="0" fontId="35" fillId="0" borderId="0" xfId="0" applyFont="1" applyAlignment="1">
      <alignment horizontal="left"/>
    </xf>
    <xf numFmtId="172" fontId="4" fillId="0" borderId="0" xfId="0" applyNumberFormat="1" applyFont="1"/>
    <xf numFmtId="0" fontId="37" fillId="0" borderId="0" xfId="0" applyFont="1" applyAlignment="1">
      <alignment horizontal="center"/>
    </xf>
    <xf numFmtId="0" fontId="37" fillId="0" borderId="0" xfId="0" applyFont="1"/>
    <xf numFmtId="170" fontId="4" fillId="0" borderId="0" xfId="3" applyNumberFormat="1" applyFont="1" applyFill="1" applyBorder="1"/>
    <xf numFmtId="164" fontId="4" fillId="0" borderId="0" xfId="3" applyNumberFormat="1" applyFont="1" applyFill="1" applyBorder="1"/>
    <xf numFmtId="167" fontId="4" fillId="0" borderId="0" xfId="17" applyNumberFormat="1" applyFont="1" applyFill="1" applyBorder="1"/>
    <xf numFmtId="170" fontId="4" fillId="0" borderId="0" xfId="17" applyNumberFormat="1" applyFont="1" applyFill="1" applyBorder="1"/>
    <xf numFmtId="174" fontId="9" fillId="0" borderId="0" xfId="3" applyNumberFormat="1" applyFont="1" applyFill="1" applyBorder="1" applyAlignment="1">
      <alignment horizontal="right"/>
    </xf>
    <xf numFmtId="9" fontId="50" fillId="0" borderId="0" xfId="3" applyFont="1" applyFill="1"/>
    <xf numFmtId="9" fontId="35" fillId="0" borderId="0" xfId="3" applyFont="1" applyFill="1"/>
    <xf numFmtId="9" fontId="35" fillId="0" borderId="0" xfId="3" applyFont="1" applyFill="1" applyBorder="1"/>
    <xf numFmtId="9" fontId="35" fillId="0" borderId="0" xfId="12" applyFont="1" applyFill="1"/>
    <xf numFmtId="164" fontId="4" fillId="0" borderId="0" xfId="3" applyNumberFormat="1" applyFont="1" applyFill="1"/>
    <xf numFmtId="9" fontId="9" fillId="0" borderId="0" xfId="3" applyFont="1" applyFill="1" applyAlignment="1">
      <alignment horizontal="right"/>
    </xf>
    <xf numFmtId="9" fontId="4" fillId="0" borderId="0" xfId="3" applyFont="1" applyFill="1" applyBorder="1" applyAlignment="1">
      <alignment horizontal="left"/>
    </xf>
    <xf numFmtId="9" fontId="9" fillId="0" borderId="0" xfId="3" applyFont="1" applyFill="1" applyBorder="1" applyAlignment="1">
      <alignment horizontal="right"/>
    </xf>
    <xf numFmtId="9" fontId="53" fillId="0" borderId="0" xfId="3" applyFont="1" applyFill="1" applyBorder="1" applyAlignment="1">
      <alignment horizontal="center"/>
    </xf>
    <xf numFmtId="9" fontId="4" fillId="0" borderId="0" xfId="3" applyFont="1" applyFill="1" applyBorder="1"/>
    <xf numFmtId="3" fontId="9" fillId="0" borderId="0" xfId="3" applyNumberFormat="1" applyFont="1" applyFill="1" applyAlignment="1">
      <alignment horizontal="right"/>
    </xf>
    <xf numFmtId="9" fontId="9" fillId="0" borderId="5" xfId="3" applyFont="1" applyFill="1" applyBorder="1"/>
    <xf numFmtId="9" fontId="54" fillId="0" borderId="0" xfId="3" applyFont="1" applyFill="1"/>
    <xf numFmtId="9" fontId="9" fillId="0" borderId="0" xfId="3" applyFont="1" applyFill="1"/>
    <xf numFmtId="9" fontId="9" fillId="0" borderId="0" xfId="17" applyFont="1" applyFill="1"/>
    <xf numFmtId="9" fontId="54" fillId="0" borderId="0" xfId="17" applyFont="1" applyFill="1"/>
    <xf numFmtId="9" fontId="54" fillId="0" borderId="0" xfId="17" applyFont="1" applyFill="1" applyBorder="1" applyAlignment="1"/>
    <xf numFmtId="9" fontId="55" fillId="0" borderId="0" xfId="3" applyFont="1" applyFill="1"/>
    <xf numFmtId="9" fontId="4" fillId="0" borderId="0" xfId="3" applyFont="1" applyFill="1" applyBorder="1" applyAlignment="1">
      <alignment horizontal="center"/>
    </xf>
    <xf numFmtId="3" fontId="45" fillId="0" borderId="0" xfId="1" applyNumberFormat="1" applyFont="1" applyFill="1"/>
    <xf numFmtId="3" fontId="45" fillId="0" borderId="0" xfId="1" applyNumberFormat="1" applyFont="1" applyFill="1" applyBorder="1"/>
    <xf numFmtId="3" fontId="4" fillId="0" borderId="0" xfId="1" applyNumberFormat="1" applyFont="1" applyFill="1"/>
    <xf numFmtId="3" fontId="42" fillId="0" borderId="0" xfId="1" applyNumberFormat="1" applyFont="1" applyFill="1"/>
    <xf numFmtId="3" fontId="42" fillId="0" borderId="0" xfId="1" applyNumberFormat="1" applyFont="1" applyFill="1" applyBorder="1"/>
    <xf numFmtId="9" fontId="36" fillId="0" borderId="0" xfId="3" applyFont="1" applyFill="1" applyBorder="1"/>
    <xf numFmtId="169" fontId="64" fillId="0" borderId="0" xfId="1" applyNumberFormat="1" applyFont="1" applyFill="1" applyBorder="1"/>
    <xf numFmtId="164" fontId="35" fillId="0" borderId="0" xfId="3" applyNumberFormat="1" applyFont="1" applyFill="1"/>
    <xf numFmtId="164" fontId="36" fillId="0" borderId="0" xfId="3" applyNumberFormat="1" applyFont="1" applyFill="1" applyBorder="1"/>
    <xf numFmtId="164" fontId="36" fillId="0" borderId="0" xfId="3" applyNumberFormat="1" applyFont="1" applyFill="1" applyBorder="1" applyAlignment="1">
      <alignment horizontal="center"/>
    </xf>
    <xf numFmtId="4" fontId="9" fillId="0" borderId="0" xfId="1" applyFont="1" applyFill="1" applyBorder="1"/>
    <xf numFmtId="191" fontId="9" fillId="0" borderId="0" xfId="2" applyNumberFormat="1" applyFont="1" applyFill="1" applyAlignment="1">
      <alignment horizontal="right"/>
    </xf>
    <xf numFmtId="2" fontId="4" fillId="0" borderId="0" xfId="3" applyNumberFormat="1" applyFont="1" applyFill="1" applyAlignment="1">
      <alignment horizontal="right"/>
    </xf>
    <xf numFmtId="2" fontId="4" fillId="0" borderId="0" xfId="3" applyNumberFormat="1" applyFont="1" applyFill="1" applyBorder="1" applyAlignment="1">
      <alignment horizontal="right"/>
    </xf>
    <xf numFmtId="2" fontId="4" fillId="0" borderId="0" xfId="3" applyNumberFormat="1" applyFont="1" applyFill="1"/>
    <xf numFmtId="2" fontId="4" fillId="0" borderId="0" xfId="3" applyNumberFormat="1" applyFont="1" applyFill="1" applyBorder="1"/>
    <xf numFmtId="0" fontId="4" fillId="0" borderId="0" xfId="5" applyFont="1" applyFill="1"/>
    <xf numFmtId="0" fontId="10" fillId="0" borderId="0" xfId="5" applyFont="1" applyFill="1"/>
    <xf numFmtId="0" fontId="11" fillId="0" borderId="0" xfId="5" applyFont="1" applyFill="1"/>
    <xf numFmtId="0" fontId="13" fillId="0" borderId="0" xfId="6" applyFont="1" applyFill="1" applyAlignment="1" applyProtection="1"/>
    <xf numFmtId="0" fontId="14" fillId="0" borderId="0" xfId="5" applyFont="1" applyFill="1"/>
    <xf numFmtId="0" fontId="15" fillId="0" borderId="0" xfId="4" applyFill="1" applyAlignment="1" applyProtection="1"/>
    <xf numFmtId="3" fontId="20" fillId="0" borderId="0" xfId="0" applyNumberFormat="1" applyFont="1" applyFill="1"/>
    <xf numFmtId="3" fontId="20" fillId="0" borderId="0" xfId="0" quotePrefix="1" applyNumberFormat="1" applyFont="1" applyFill="1" applyAlignment="1">
      <alignment horizontal="right"/>
    </xf>
    <xf numFmtId="3" fontId="19" fillId="0" borderId="0" xfId="0" quotePrefix="1" applyNumberFormat="1" applyFont="1" applyFill="1" applyAlignment="1">
      <alignment horizontal="right"/>
    </xf>
    <xf numFmtId="3" fontId="16" fillId="0" borderId="0" xfId="0" applyNumberFormat="1" applyFont="1" applyFill="1"/>
    <xf numFmtId="3" fontId="19" fillId="0" borderId="0" xfId="0" applyNumberFormat="1" applyFont="1" applyFill="1"/>
    <xf numFmtId="164" fontId="16" fillId="0" borderId="0" xfId="0" applyNumberFormat="1" applyFont="1" applyFill="1" applyAlignment="1">
      <alignment horizontal="left" indent="1"/>
    </xf>
    <xf numFmtId="164" fontId="16" fillId="0" borderId="0" xfId="0" applyNumberFormat="1" applyFont="1" applyFill="1"/>
    <xf numFmtId="164" fontId="16" fillId="0" borderId="0" xfId="0" applyNumberFormat="1" applyFont="1" applyFill="1" applyAlignment="1">
      <alignment horizontal="right"/>
    </xf>
    <xf numFmtId="164" fontId="17" fillId="0" borderId="0" xfId="0" applyNumberFormat="1" applyFont="1" applyFill="1"/>
    <xf numFmtId="164" fontId="16" fillId="0" borderId="0" xfId="0" quotePrefix="1" applyNumberFormat="1" applyFont="1" applyFill="1"/>
    <xf numFmtId="164" fontId="16" fillId="0" borderId="0" xfId="0" quotePrefix="1" applyNumberFormat="1" applyFont="1" applyFill="1" applyAlignment="1">
      <alignment horizontal="right"/>
    </xf>
    <xf numFmtId="164" fontId="19" fillId="0" borderId="0" xfId="0" applyNumberFormat="1" applyFont="1" applyFill="1"/>
    <xf numFmtId="164" fontId="22" fillId="0" borderId="0" xfId="0" applyNumberFormat="1" applyFont="1" applyFill="1" applyAlignment="1">
      <alignment horizontal="left" indent="1"/>
    </xf>
    <xf numFmtId="164" fontId="23" fillId="0" borderId="0" xfId="0" applyNumberFormat="1" applyFont="1" applyFill="1"/>
    <xf numFmtId="3" fontId="22" fillId="0" borderId="0" xfId="0" quotePrefix="1" applyNumberFormat="1" applyFont="1" applyFill="1" applyAlignment="1">
      <alignment horizontal="right"/>
    </xf>
    <xf numFmtId="164" fontId="17" fillId="0" borderId="0" xfId="0" applyNumberFormat="1" applyFont="1" applyFill="1" applyAlignment="1">
      <alignment horizontal="right"/>
    </xf>
    <xf numFmtId="164" fontId="20" fillId="0" borderId="0" xfId="0" applyNumberFormat="1" applyFont="1" applyFill="1"/>
    <xf numFmtId="164" fontId="23" fillId="0" borderId="0" xfId="0" applyNumberFormat="1" applyFont="1" applyFill="1" applyAlignment="1">
      <alignment horizontal="left" indent="2"/>
    </xf>
    <xf numFmtId="167" fontId="16" fillId="0" borderId="0" xfId="0" applyNumberFormat="1" applyFont="1" applyFill="1"/>
    <xf numFmtId="3" fontId="20" fillId="0" borderId="0" xfId="0" applyNumberFormat="1" applyFont="1" applyFill="1" applyAlignment="1">
      <alignment horizontal="left" indent="1"/>
    </xf>
    <xf numFmtId="164" fontId="16" fillId="0" borderId="0" xfId="0" applyNumberFormat="1" applyFont="1" applyFill="1" applyAlignment="1">
      <alignment horizontal="left" indent="2"/>
    </xf>
    <xf numFmtId="3" fontId="20" fillId="0" borderId="0" xfId="0" applyNumberFormat="1" applyFont="1" applyFill="1" applyAlignment="1">
      <alignment horizontal="right"/>
    </xf>
    <xf numFmtId="168" fontId="17" fillId="0" borderId="0" xfId="0" applyNumberFormat="1" applyFont="1" applyFill="1"/>
    <xf numFmtId="169" fontId="22" fillId="0" borderId="0" xfId="0" applyNumberFormat="1" applyFont="1" applyFill="1" applyAlignment="1">
      <alignment horizontal="left" indent="1"/>
    </xf>
    <xf numFmtId="169" fontId="22" fillId="0" borderId="0" xfId="0" applyNumberFormat="1" applyFont="1" applyFill="1"/>
    <xf numFmtId="169" fontId="22" fillId="0" borderId="0" xfId="0" applyNumberFormat="1" applyFont="1" applyFill="1" applyAlignment="1">
      <alignment horizontal="right"/>
    </xf>
    <xf numFmtId="169" fontId="23" fillId="0" borderId="0" xfId="0" applyNumberFormat="1" applyFont="1" applyFill="1"/>
    <xf numFmtId="3" fontId="22" fillId="0" borderId="0" xfId="0" applyNumberFormat="1" applyFont="1" applyFill="1"/>
    <xf numFmtId="41" fontId="23" fillId="0" borderId="0" xfId="1" applyNumberFormat="1" applyFont="1" applyFill="1"/>
    <xf numFmtId="3" fontId="20" fillId="0" borderId="0" xfId="0" applyNumberFormat="1" applyFont="1" applyFill="1" applyAlignment="1">
      <alignment horizontal="left"/>
    </xf>
    <xf numFmtId="3" fontId="22" fillId="0" borderId="0" xfId="0" applyNumberFormat="1" applyFont="1" applyFill="1" applyAlignment="1">
      <alignment horizontal="left" indent="1"/>
    </xf>
    <xf numFmtId="3" fontId="22" fillId="0" borderId="0" xfId="0" applyNumberFormat="1" applyFont="1" applyFill="1" applyAlignment="1">
      <alignment horizontal="right"/>
    </xf>
    <xf numFmtId="3" fontId="23" fillId="0" borderId="0" xfId="0" applyNumberFormat="1" applyFont="1" applyFill="1"/>
    <xf numFmtId="3" fontId="24" fillId="0" borderId="0" xfId="0" applyNumberFormat="1" applyFont="1" applyFill="1" applyAlignment="1">
      <alignment horizontal="left" indent="1"/>
    </xf>
    <xf numFmtId="3" fontId="19" fillId="0" borderId="0" xfId="0" applyNumberFormat="1" applyFont="1" applyFill="1" applyAlignment="1">
      <alignment horizontal="right"/>
    </xf>
    <xf numFmtId="170" fontId="17" fillId="0" borderId="0" xfId="0" applyNumberFormat="1" applyFont="1" applyFill="1"/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/>
    <xf numFmtId="164" fontId="20" fillId="0" borderId="0" xfId="0" applyNumberFormat="1" applyFont="1" applyFill="1" applyAlignment="1">
      <alignment horizontal="left"/>
    </xf>
    <xf numFmtId="171" fontId="20" fillId="0" borderId="0" xfId="0" applyNumberFormat="1" applyFont="1" applyFill="1"/>
    <xf numFmtId="171" fontId="20" fillId="0" borderId="0" xfId="0" applyNumberFormat="1" applyFont="1" applyFill="1" applyAlignment="1">
      <alignment horizontal="right"/>
    </xf>
    <xf numFmtId="171" fontId="19" fillId="0" borderId="0" xfId="0" applyNumberFormat="1" applyFont="1" applyFill="1"/>
    <xf numFmtId="0" fontId="16" fillId="0" borderId="0" xfId="0" applyFont="1" applyFill="1"/>
    <xf numFmtId="2" fontId="16" fillId="0" borderId="0" xfId="0" applyNumberFormat="1" applyFont="1" applyFill="1"/>
    <xf numFmtId="2" fontId="16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right"/>
    </xf>
    <xf numFmtId="171" fontId="25" fillId="0" borderId="0" xfId="0" applyNumberFormat="1" applyFont="1" applyFill="1" applyAlignment="1">
      <alignment horizontal="right"/>
    </xf>
    <xf numFmtId="171" fontId="16" fillId="0" borderId="0" xfId="0" applyNumberFormat="1" applyFont="1" applyFill="1" applyAlignment="1">
      <alignment horizontal="right"/>
    </xf>
    <xf numFmtId="164" fontId="17" fillId="0" borderId="0" xfId="3" applyNumberFormat="1" applyFont="1" applyFill="1" applyBorder="1"/>
    <xf numFmtId="3" fontId="16" fillId="0" borderId="0" xfId="0" applyNumberFormat="1" applyFont="1" applyFill="1" applyAlignment="1">
      <alignment horizontal="left" indent="1"/>
    </xf>
    <xf numFmtId="3" fontId="16" fillId="0" borderId="0" xfId="0" applyNumberFormat="1" applyFont="1" applyFill="1" applyAlignment="1">
      <alignment horizontal="right"/>
    </xf>
    <xf numFmtId="3" fontId="17" fillId="0" borderId="0" xfId="0" applyNumberFormat="1" applyFont="1" applyFill="1"/>
    <xf numFmtId="169" fontId="20" fillId="0" borderId="0" xfId="0" applyNumberFormat="1" applyFont="1" applyFill="1" applyAlignment="1">
      <alignment horizontal="left"/>
    </xf>
    <xf numFmtId="169" fontId="20" fillId="0" borderId="0" xfId="0" applyNumberFormat="1" applyFont="1" applyFill="1"/>
    <xf numFmtId="169" fontId="20" fillId="0" borderId="0" xfId="0" applyNumberFormat="1" applyFont="1" applyFill="1" applyAlignment="1">
      <alignment horizontal="right"/>
    </xf>
    <xf numFmtId="169" fontId="19" fillId="0" borderId="0" xfId="0" applyNumberFormat="1" applyFont="1" applyFill="1"/>
    <xf numFmtId="169" fontId="16" fillId="0" borderId="0" xfId="0" applyNumberFormat="1" applyFont="1" applyFill="1"/>
    <xf numFmtId="169" fontId="16" fillId="0" borderId="0" xfId="3" applyNumberFormat="1" applyFont="1" applyFill="1"/>
    <xf numFmtId="169" fontId="26" fillId="0" borderId="0" xfId="0" applyNumberFormat="1" applyFont="1" applyFill="1" applyAlignment="1">
      <alignment horizontal="left" indent="1"/>
    </xf>
    <xf numFmtId="169" fontId="19" fillId="0" borderId="0" xfId="0" applyNumberFormat="1" applyFont="1" applyFill="1" applyAlignment="1">
      <alignment horizontal="right"/>
    </xf>
    <xf numFmtId="169" fontId="27" fillId="0" borderId="0" xfId="0" applyNumberFormat="1" applyFont="1" applyFill="1" applyAlignment="1">
      <alignment horizontal="right"/>
    </xf>
    <xf numFmtId="169" fontId="27" fillId="0" borderId="0" xfId="0" applyNumberFormat="1" applyFont="1" applyFill="1"/>
    <xf numFmtId="0" fontId="6" fillId="3" borderId="0" xfId="5" applyFont="1" applyFill="1"/>
    <xf numFmtId="0" fontId="7" fillId="3" borderId="0" xfId="5" applyFont="1" applyFill="1"/>
    <xf numFmtId="0" fontId="8" fillId="3" borderId="0" xfId="5" applyFont="1" applyFill="1"/>
    <xf numFmtId="0" fontId="9" fillId="3" borderId="0" xfId="5" applyFont="1" applyFill="1"/>
    <xf numFmtId="164" fontId="19" fillId="0" borderId="0" xfId="3" applyNumberFormat="1" applyFont="1" applyFill="1" applyAlignment="1">
      <alignment horizontal="right"/>
    </xf>
    <xf numFmtId="164" fontId="16" fillId="0" borderId="0" xfId="1" applyNumberFormat="1" applyFont="1" applyFill="1"/>
    <xf numFmtId="164" fontId="19" fillId="0" borderId="0" xfId="0" applyNumberFormat="1" applyFont="1" applyFill="1" applyAlignment="1">
      <alignment horizontal="right"/>
    </xf>
    <xf numFmtId="1" fontId="20" fillId="0" borderId="0" xfId="3" applyNumberFormat="1" applyFont="1" applyFill="1" applyAlignment="1">
      <alignment horizontal="right"/>
    </xf>
    <xf numFmtId="164" fontId="28" fillId="0" borderId="0" xfId="1" applyNumberFormat="1" applyFont="1" applyFill="1"/>
    <xf numFmtId="164" fontId="27" fillId="0" borderId="0" xfId="0" applyNumberFormat="1" applyFont="1" applyFill="1"/>
    <xf numFmtId="0" fontId="23" fillId="0" borderId="0" xfId="0" applyFont="1" applyFill="1" applyAlignment="1">
      <alignment horizontal="left" indent="1"/>
    </xf>
    <xf numFmtId="172" fontId="16" fillId="0" borderId="0" xfId="0" applyNumberFormat="1" applyFont="1" applyFill="1"/>
    <xf numFmtId="170" fontId="23" fillId="0" borderId="0" xfId="0" applyNumberFormat="1" applyFont="1" applyFill="1"/>
    <xf numFmtId="169" fontId="29" fillId="0" borderId="0" xfId="0" applyNumberFormat="1" applyFont="1" applyFill="1"/>
    <xf numFmtId="169" fontId="29" fillId="0" borderId="0" xfId="0" applyNumberFormat="1" applyFont="1" applyFill="1" applyAlignment="1">
      <alignment horizontal="right"/>
    </xf>
    <xf numFmtId="0" fontId="0" fillId="0" borderId="0" xfId="0" applyFill="1"/>
    <xf numFmtId="172" fontId="23" fillId="0" borderId="0" xfId="0" applyNumberFormat="1" applyFont="1" applyFill="1"/>
    <xf numFmtId="164" fontId="30" fillId="0" borderId="0" xfId="0" applyNumberFormat="1" applyFont="1" applyFill="1" applyAlignment="1">
      <alignment horizontal="left" indent="1"/>
    </xf>
    <xf numFmtId="164" fontId="28" fillId="0" borderId="0" xfId="0" applyNumberFormat="1" applyFont="1" applyFill="1"/>
    <xf numFmtId="1" fontId="16" fillId="0" borderId="0" xfId="0" applyNumberFormat="1" applyFont="1" applyFill="1"/>
    <xf numFmtId="0" fontId="16" fillId="0" borderId="0" xfId="0" applyFont="1" applyFill="1" applyAlignment="1">
      <alignment horizontal="right"/>
    </xf>
    <xf numFmtId="164" fontId="30" fillId="0" borderId="0" xfId="0" applyNumberFormat="1" applyFont="1" applyFill="1"/>
    <xf numFmtId="164" fontId="30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64" fontId="17" fillId="0" borderId="0" xfId="8" applyNumberFormat="1" applyFont="1" applyFill="1"/>
    <xf numFmtId="164" fontId="17" fillId="0" borderId="0" xfId="9" applyNumberFormat="1" applyFont="1" applyFill="1"/>
    <xf numFmtId="164" fontId="31" fillId="0" borderId="0" xfId="0" applyNumberFormat="1" applyFont="1" applyFill="1"/>
    <xf numFmtId="167" fontId="20" fillId="0" borderId="0" xfId="0" applyNumberFormat="1" applyFont="1" applyFill="1"/>
    <xf numFmtId="164" fontId="18" fillId="0" borderId="0" xfId="0" applyNumberFormat="1" applyFont="1" applyFill="1"/>
    <xf numFmtId="164" fontId="17" fillId="0" borderId="0" xfId="0" quotePrefix="1" applyNumberFormat="1" applyFont="1" applyFill="1" applyAlignment="1">
      <alignment horizontal="right"/>
    </xf>
    <xf numFmtId="4" fontId="16" fillId="0" borderId="0" xfId="0" applyNumberFormat="1" applyFont="1" applyFill="1"/>
    <xf numFmtId="1" fontId="16" fillId="0" borderId="0" xfId="0" applyNumberFormat="1" applyFont="1" applyFill="1" applyAlignment="1">
      <alignment horizontal="right"/>
    </xf>
    <xf numFmtId="0" fontId="28" fillId="0" borderId="0" xfId="0" applyFont="1" applyFill="1"/>
    <xf numFmtId="170" fontId="20" fillId="0" borderId="0" xfId="0" applyNumberFormat="1" applyFont="1" applyFill="1"/>
    <xf numFmtId="9" fontId="17" fillId="0" borderId="0" xfId="3" applyFont="1" applyFill="1" applyAlignment="1">
      <alignment horizontal="right"/>
    </xf>
    <xf numFmtId="164" fontId="16" fillId="0" borderId="0" xfId="0" applyNumberFormat="1" applyFont="1" applyFill="1" applyAlignment="1">
      <alignment horizontal="left" indent="4"/>
    </xf>
    <xf numFmtId="3" fontId="16" fillId="0" borderId="0" xfId="1" applyNumberFormat="1" applyFont="1" applyFill="1"/>
    <xf numFmtId="2" fontId="17" fillId="0" borderId="0" xfId="0" applyNumberFormat="1" applyFont="1" applyFill="1" applyAlignment="1">
      <alignment horizontal="right"/>
    </xf>
    <xf numFmtId="2" fontId="17" fillId="0" borderId="0" xfId="0" applyNumberFormat="1" applyFont="1" applyFill="1"/>
    <xf numFmtId="172" fontId="17" fillId="0" borderId="0" xfId="0" applyNumberFormat="1" applyFont="1" applyFill="1"/>
    <xf numFmtId="164" fontId="23" fillId="0" borderId="0" xfId="0" applyNumberFormat="1" applyFont="1" applyFill="1" applyAlignment="1">
      <alignment horizontal="left" indent="1"/>
    </xf>
    <xf numFmtId="164" fontId="23" fillId="0" borderId="0" xfId="0" applyNumberFormat="1" applyFont="1" applyFill="1" applyAlignment="1">
      <alignment horizontal="right"/>
    </xf>
    <xf numFmtId="3" fontId="19" fillId="0" borderId="0" xfId="10" applyNumberFormat="1" applyFont="1" applyFill="1" applyAlignment="1">
      <alignment horizontal="right"/>
    </xf>
    <xf numFmtId="164" fontId="17" fillId="0" borderId="0" xfId="10" applyNumberFormat="1" applyFont="1" applyFill="1" applyAlignment="1">
      <alignment horizontal="right"/>
    </xf>
    <xf numFmtId="0" fontId="16" fillId="0" borderId="0" xfId="0" applyFont="1" applyFill="1" applyAlignment="1">
      <alignment horizontal="left" indent="1"/>
    </xf>
    <xf numFmtId="0" fontId="17" fillId="0" borderId="0" xfId="0" applyFont="1" applyFill="1"/>
    <xf numFmtId="175" fontId="17" fillId="0" borderId="0" xfId="0" applyNumberFormat="1" applyFont="1" applyFill="1"/>
    <xf numFmtId="0" fontId="17" fillId="0" borderId="0" xfId="0" applyFont="1" applyFill="1" applyAlignment="1">
      <alignment horizontal="right"/>
    </xf>
    <xf numFmtId="3" fontId="17" fillId="0" borderId="0" xfId="0" applyNumberFormat="1" applyFont="1" applyFill="1" applyAlignment="1">
      <alignment horizontal="right"/>
    </xf>
    <xf numFmtId="170" fontId="17" fillId="0" borderId="0" xfId="0" applyNumberFormat="1" applyFont="1" applyFill="1" applyAlignment="1">
      <alignment horizontal="right"/>
    </xf>
    <xf numFmtId="3" fontId="20" fillId="0" borderId="0" xfId="10" applyNumberFormat="1" applyFont="1" applyFill="1" applyAlignment="1">
      <alignment horizontal="left"/>
    </xf>
    <xf numFmtId="3" fontId="20" fillId="0" borderId="0" xfId="10" applyNumberFormat="1" applyFont="1" applyFill="1" applyAlignment="1">
      <alignment horizontal="right"/>
    </xf>
    <xf numFmtId="164" fontId="16" fillId="0" borderId="0" xfId="10" applyNumberFormat="1" applyFill="1" applyAlignment="1">
      <alignment horizontal="right"/>
    </xf>
    <xf numFmtId="164" fontId="16" fillId="0" borderId="0" xfId="10" applyNumberFormat="1" applyFill="1" applyAlignment="1">
      <alignment horizontal="left" indent="1"/>
    </xf>
    <xf numFmtId="10" fontId="17" fillId="0" borderId="0" xfId="3" applyNumberFormat="1" applyFont="1" applyFill="1" applyAlignment="1">
      <alignment horizontal="right"/>
    </xf>
    <xf numFmtId="9" fontId="17" fillId="0" borderId="0" xfId="3" applyFont="1" applyFill="1" applyBorder="1"/>
    <xf numFmtId="170" fontId="16" fillId="0" borderId="0" xfId="0" applyNumberFormat="1" applyFont="1" applyFill="1"/>
    <xf numFmtId="164" fontId="16" fillId="0" borderId="0" xfId="11" applyNumberFormat="1" applyFont="1" applyFill="1" applyAlignment="1">
      <alignment horizontal="right"/>
    </xf>
    <xf numFmtId="3" fontId="20" fillId="0" borderId="0" xfId="10" applyNumberFormat="1" applyFont="1" applyFill="1" applyAlignment="1">
      <alignment horizontal="left" indent="1"/>
    </xf>
    <xf numFmtId="164" fontId="16" fillId="0" borderId="0" xfId="10" applyNumberFormat="1" applyFill="1" applyAlignment="1">
      <alignment horizontal="left" indent="2"/>
    </xf>
    <xf numFmtId="164" fontId="19" fillId="0" borderId="0" xfId="3" applyNumberFormat="1" applyFont="1" applyFill="1"/>
    <xf numFmtId="9" fontId="16" fillId="0" borderId="0" xfId="0" applyNumberFormat="1" applyFont="1" applyFill="1" applyAlignment="1">
      <alignment horizontal="left" indent="2"/>
    </xf>
    <xf numFmtId="9" fontId="16" fillId="0" borderId="0" xfId="0" applyNumberFormat="1" applyFont="1" applyFill="1"/>
    <xf numFmtId="164" fontId="20" fillId="0" borderId="0" xfId="0" applyNumberFormat="1" applyFont="1" applyFill="1" applyAlignment="1">
      <alignment horizontal="right"/>
    </xf>
    <xf numFmtId="172" fontId="20" fillId="0" borderId="0" xfId="0" applyNumberFormat="1" applyFont="1" applyFill="1"/>
    <xf numFmtId="164" fontId="16" fillId="0" borderId="0" xfId="0" quotePrefix="1" applyNumberFormat="1" applyFont="1" applyFill="1" applyAlignment="1">
      <alignment horizontal="center"/>
    </xf>
    <xf numFmtId="3" fontId="17" fillId="0" borderId="0" xfId="1" applyNumberFormat="1" applyFont="1" applyFill="1" applyBorder="1"/>
    <xf numFmtId="0" fontId="20" fillId="0" borderId="0" xfId="0" applyFont="1" applyFill="1" applyAlignment="1">
      <alignment horizontal="left" indent="1"/>
    </xf>
    <xf numFmtId="3" fontId="20" fillId="0" borderId="0" xfId="0" applyNumberFormat="1" applyFont="1" applyFill="1" applyAlignment="1">
      <alignment wrapText="1"/>
    </xf>
    <xf numFmtId="3" fontId="32" fillId="0" borderId="0" xfId="0" applyNumberFormat="1" applyFont="1" applyFill="1"/>
    <xf numFmtId="1" fontId="20" fillId="0" borderId="0" xfId="0" applyNumberFormat="1" applyFont="1" applyFill="1" applyAlignment="1">
      <alignment horizontal="right"/>
    </xf>
    <xf numFmtId="0" fontId="9" fillId="0" borderId="0" xfId="0" applyFont="1" applyFill="1"/>
    <xf numFmtId="0" fontId="20" fillId="0" borderId="0" xfId="0" applyFont="1" applyFill="1" applyAlignment="1">
      <alignment horizontal="left"/>
    </xf>
    <xf numFmtId="1" fontId="20" fillId="0" borderId="0" xfId="0" applyNumberFormat="1" applyFont="1" applyFill="1"/>
    <xf numFmtId="0" fontId="19" fillId="0" borderId="0" xfId="0" applyFont="1" applyFill="1"/>
    <xf numFmtId="0" fontId="19" fillId="0" borderId="0" xfId="0" applyFont="1" applyFill="1" applyAlignment="1">
      <alignment horizontal="right"/>
    </xf>
    <xf numFmtId="0" fontId="20" fillId="0" borderId="0" xfId="0" applyFont="1" applyFill="1"/>
    <xf numFmtId="167" fontId="19" fillId="0" borderId="0" xfId="0" applyNumberFormat="1" applyFont="1" applyFill="1"/>
    <xf numFmtId="0" fontId="16" fillId="0" borderId="0" xfId="0" applyFont="1" applyFill="1" applyAlignment="1">
      <alignment horizontal="left" indent="2"/>
    </xf>
    <xf numFmtId="0" fontId="9" fillId="0" borderId="0" xfId="0" applyFont="1" applyFill="1" applyAlignment="1">
      <alignment horizontal="left" indent="1"/>
    </xf>
    <xf numFmtId="164" fontId="9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right"/>
    </xf>
    <xf numFmtId="164" fontId="9" fillId="0" borderId="0" xfId="0" quotePrefix="1" applyNumberFormat="1" applyFont="1" applyFill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left"/>
    </xf>
    <xf numFmtId="174" fontId="9" fillId="0" borderId="0" xfId="0" applyNumberFormat="1" applyFont="1" applyFill="1" applyAlignment="1">
      <alignment horizontal="right"/>
    </xf>
    <xf numFmtId="174" fontId="4" fillId="0" borderId="0" xfId="0" applyNumberFormat="1" applyFont="1" applyFill="1" applyAlignment="1">
      <alignment horizontal="right"/>
    </xf>
    <xf numFmtId="3" fontId="9" fillId="0" borderId="0" xfId="14" applyNumberFormat="1" applyFill="1" applyProtection="1">
      <protection locked="0"/>
    </xf>
    <xf numFmtId="3" fontId="9" fillId="0" borderId="0" xfId="15" applyNumberFormat="1" applyFont="1" applyFill="1" applyProtection="1">
      <protection locked="0"/>
    </xf>
    <xf numFmtId="3" fontId="9" fillId="0" borderId="0" xfId="15" applyNumberFormat="1" applyFont="1" applyFill="1" applyBorder="1" applyProtection="1">
      <protection locked="0"/>
    </xf>
    <xf numFmtId="38" fontId="9" fillId="0" borderId="0" xfId="14" applyNumberFormat="1" applyFill="1"/>
    <xf numFmtId="174" fontId="42" fillId="0" borderId="0" xfId="0" applyNumberFormat="1" applyFont="1" applyFill="1" applyAlignment="1">
      <alignment horizontal="right"/>
    </xf>
    <xf numFmtId="169" fontId="9" fillId="0" borderId="0" xfId="15" applyNumberFormat="1" applyFont="1" applyFill="1" applyBorder="1" applyProtection="1">
      <protection locked="0"/>
    </xf>
    <xf numFmtId="164" fontId="9" fillId="0" borderId="0" xfId="0" applyNumberFormat="1" applyFont="1" applyFill="1" applyAlignment="1">
      <alignment horizontal="left"/>
    </xf>
    <xf numFmtId="0" fontId="9" fillId="0" borderId="0" xfId="0" quotePrefix="1" applyFont="1" applyFill="1" applyAlignment="1">
      <alignment horizontal="left"/>
    </xf>
    <xf numFmtId="176" fontId="4" fillId="0" borderId="0" xfId="0" applyNumberFormat="1" applyFont="1" applyFill="1" applyAlignment="1">
      <alignment horizontal="right"/>
    </xf>
    <xf numFmtId="169" fontId="9" fillId="0" borderId="0" xfId="14" applyNumberFormat="1" applyFill="1" applyProtection="1">
      <protection locked="0"/>
    </xf>
    <xf numFmtId="169" fontId="42" fillId="0" borderId="0" xfId="14" applyNumberFormat="1" applyFont="1" applyFill="1" applyProtection="1">
      <protection locked="0"/>
    </xf>
    <xf numFmtId="3" fontId="4" fillId="0" borderId="0" xfId="15" applyNumberFormat="1" applyFont="1" applyFill="1" applyProtection="1">
      <protection locked="0"/>
    </xf>
    <xf numFmtId="179" fontId="9" fillId="0" borderId="0" xfId="15" applyNumberFormat="1" applyFont="1" applyFill="1" applyProtection="1">
      <protection locked="0"/>
    </xf>
    <xf numFmtId="0" fontId="4" fillId="0" borderId="0" xfId="0" applyFont="1" applyFill="1"/>
    <xf numFmtId="174" fontId="9" fillId="0" borderId="0" xfId="0" applyNumberFormat="1" applyFont="1" applyFill="1"/>
    <xf numFmtId="174" fontId="43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right"/>
    </xf>
    <xf numFmtId="174" fontId="4" fillId="0" borderId="0" xfId="0" applyNumberFormat="1" applyFont="1" applyFill="1"/>
    <xf numFmtId="9" fontId="9" fillId="0" borderId="0" xfId="0" applyNumberFormat="1" applyFont="1" applyFill="1" applyAlignment="1">
      <alignment horizontal="right"/>
    </xf>
    <xf numFmtId="164" fontId="43" fillId="0" borderId="0" xfId="0" applyNumberFormat="1" applyFont="1" applyFill="1" applyAlignment="1">
      <alignment horizontal="right"/>
    </xf>
    <xf numFmtId="0" fontId="9" fillId="0" borderId="0" xfId="13" applyFill="1"/>
    <xf numFmtId="169" fontId="9" fillId="0" borderId="0" xfId="14" applyNumberFormat="1" applyFill="1"/>
    <xf numFmtId="3" fontId="9" fillId="0" borderId="0" xfId="14" applyNumberFormat="1" applyFill="1"/>
    <xf numFmtId="174" fontId="43" fillId="0" borderId="0" xfId="0" applyNumberFormat="1" applyFont="1" applyFill="1"/>
    <xf numFmtId="0" fontId="9" fillId="0" borderId="0" xfId="0" applyFont="1" applyFill="1" applyAlignment="1">
      <alignment horizontal="left" vertical="top"/>
    </xf>
    <xf numFmtId="0" fontId="9" fillId="0" borderId="0" xfId="0" applyFont="1" applyFill="1" applyAlignment="1">
      <alignment vertical="top"/>
    </xf>
    <xf numFmtId="164" fontId="9" fillId="0" borderId="0" xfId="0" applyNumberFormat="1" applyFont="1" applyFill="1" applyAlignment="1">
      <alignment horizontal="right" vertical="top"/>
    </xf>
    <xf numFmtId="164" fontId="4" fillId="0" borderId="0" xfId="0" applyNumberFormat="1" applyFont="1" applyFill="1" applyAlignment="1">
      <alignment horizontal="right" vertical="top"/>
    </xf>
    <xf numFmtId="174" fontId="9" fillId="0" borderId="0" xfId="0" applyNumberFormat="1" applyFont="1" applyFill="1" applyAlignment="1">
      <alignment horizontal="right" vertical="top"/>
    </xf>
    <xf numFmtId="174" fontId="4" fillId="0" borderId="0" xfId="0" applyNumberFormat="1" applyFont="1" applyFill="1" applyAlignment="1">
      <alignment horizontal="right" vertical="top"/>
    </xf>
    <xf numFmtId="170" fontId="9" fillId="0" borderId="0" xfId="0" applyNumberFormat="1" applyFont="1" applyFill="1" applyAlignment="1">
      <alignment horizontal="right"/>
    </xf>
    <xf numFmtId="183" fontId="4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8" fontId="9" fillId="0" borderId="0" xfId="0" applyNumberFormat="1" applyFont="1" applyFill="1" applyAlignment="1">
      <alignment horizontal="right"/>
    </xf>
    <xf numFmtId="178" fontId="4" fillId="0" borderId="0" xfId="0" applyNumberFormat="1" applyFont="1" applyFill="1" applyAlignment="1">
      <alignment horizontal="right"/>
    </xf>
    <xf numFmtId="184" fontId="9" fillId="0" borderId="0" xfId="0" applyNumberFormat="1" applyFont="1" applyFill="1" applyAlignment="1">
      <alignment horizontal="right"/>
    </xf>
    <xf numFmtId="178" fontId="9" fillId="0" borderId="0" xfId="0" quotePrefix="1" applyNumberFormat="1" applyFont="1" applyFill="1" applyAlignment="1">
      <alignment horizontal="center"/>
    </xf>
    <xf numFmtId="178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4" fontId="9" fillId="0" borderId="0" xfId="17" applyNumberFormat="1" applyFont="1" applyFill="1" applyBorder="1" applyAlignment="1">
      <alignment horizontal="left"/>
    </xf>
    <xf numFmtId="164" fontId="9" fillId="0" borderId="0" xfId="3" quotePrefix="1" applyNumberFormat="1" applyFont="1" applyFill="1" applyBorder="1" applyAlignment="1">
      <alignment horizontal="right"/>
    </xf>
    <xf numFmtId="174" fontId="4" fillId="0" borderId="0" xfId="0" applyNumberFormat="1" applyFont="1" applyFill="1" applyAlignment="1">
      <alignment horizontal="left"/>
    </xf>
    <xf numFmtId="164" fontId="9" fillId="0" borderId="0" xfId="3" applyNumberFormat="1" applyFont="1" applyFill="1" applyBorder="1" applyAlignment="1">
      <alignment horizontal="right"/>
    </xf>
    <xf numFmtId="4" fontId="9" fillId="0" borderId="0" xfId="18" applyFont="1" applyFill="1" applyBorder="1" applyAlignment="1">
      <alignment horizontal="right"/>
    </xf>
    <xf numFmtId="3" fontId="9" fillId="0" borderId="0" xfId="0" quotePrefix="1" applyNumberFormat="1" applyFont="1" applyFill="1" applyAlignment="1">
      <alignment horizontal="left"/>
    </xf>
    <xf numFmtId="3" fontId="9" fillId="0" borderId="0" xfId="0" applyNumberFormat="1" applyFont="1" applyFill="1"/>
    <xf numFmtId="3" fontId="9" fillId="0" borderId="0" xfId="0" applyNumberFormat="1" applyFont="1" applyFill="1" applyAlignment="1">
      <alignment horizontal="right"/>
    </xf>
    <xf numFmtId="3" fontId="4" fillId="0" borderId="0" xfId="0" applyNumberFormat="1" applyFont="1" applyFill="1" applyAlignment="1">
      <alignment horizontal="right"/>
    </xf>
    <xf numFmtId="3" fontId="9" fillId="0" borderId="0" xfId="19" applyNumberFormat="1" applyFont="1" applyFill="1" applyBorder="1"/>
    <xf numFmtId="3" fontId="9" fillId="0" borderId="0" xfId="20" applyNumberFormat="1" applyFont="1" applyFill="1"/>
    <xf numFmtId="3" fontId="39" fillId="0" borderId="2" xfId="2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Fill="1" applyAlignment="1">
      <alignment horizontal="center"/>
    </xf>
    <xf numFmtId="176" fontId="9" fillId="0" borderId="0" xfId="0" applyNumberFormat="1" applyFont="1" applyFill="1"/>
    <xf numFmtId="176" fontId="9" fillId="0" borderId="0" xfId="0" applyNumberFormat="1" applyFont="1" applyFill="1" applyAlignment="1">
      <alignment horizontal="right"/>
    </xf>
    <xf numFmtId="38" fontId="9" fillId="0" borderId="0" xfId="19" applyNumberFormat="1" applyFont="1" applyFill="1" applyBorder="1"/>
    <xf numFmtId="38" fontId="9" fillId="0" borderId="0" xfId="20" applyNumberFormat="1" applyFont="1" applyFill="1"/>
    <xf numFmtId="169" fontId="9" fillId="0" borderId="0" xfId="20" applyNumberFormat="1" applyFont="1" applyFill="1" applyProtection="1">
      <protection locked="0"/>
    </xf>
    <xf numFmtId="182" fontId="4" fillId="0" borderId="0" xfId="20" applyFont="1" applyFill="1" applyProtection="1">
      <protection locked="0"/>
    </xf>
    <xf numFmtId="40" fontId="9" fillId="0" borderId="0" xfId="20" applyNumberFormat="1" applyFont="1" applyFill="1" applyProtection="1">
      <protection locked="0"/>
    </xf>
    <xf numFmtId="167" fontId="9" fillId="0" borderId="0" xfId="20" applyNumberFormat="1" applyFont="1" applyFill="1" applyProtection="1">
      <protection locked="0"/>
    </xf>
    <xf numFmtId="172" fontId="9" fillId="0" borderId="0" xfId="20" applyNumberFormat="1" applyFont="1" applyFill="1" applyProtection="1">
      <protection locked="0"/>
    </xf>
    <xf numFmtId="185" fontId="9" fillId="0" borderId="0" xfId="20" applyNumberFormat="1" applyFont="1" applyFill="1" applyProtection="1">
      <protection locked="0"/>
    </xf>
    <xf numFmtId="9" fontId="4" fillId="0" borderId="0" xfId="3" applyFont="1" applyFill="1" applyProtection="1">
      <protection locked="0"/>
    </xf>
    <xf numFmtId="0" fontId="35" fillId="0" borderId="0" xfId="0" applyFont="1" applyFill="1" applyAlignment="1">
      <alignment horizontal="left"/>
    </xf>
    <xf numFmtId="0" fontId="9" fillId="0" borderId="0" xfId="0" applyFont="1" applyFill="1" applyAlignment="1">
      <alignment horizontal="right"/>
    </xf>
    <xf numFmtId="2" fontId="9" fillId="0" borderId="0" xfId="0" applyNumberFormat="1" applyFont="1" applyFill="1"/>
    <xf numFmtId="2" fontId="4" fillId="0" borderId="0" xfId="0" applyNumberFormat="1" applyFont="1" applyFill="1"/>
    <xf numFmtId="1" fontId="46" fillId="0" borderId="0" xfId="0" applyNumberFormat="1" applyFont="1" applyFill="1"/>
    <xf numFmtId="174" fontId="47" fillId="0" borderId="0" xfId="0" applyNumberFormat="1" applyFont="1" applyFill="1"/>
    <xf numFmtId="0" fontId="47" fillId="0" borderId="0" xfId="0" applyFont="1" applyFill="1"/>
    <xf numFmtId="1" fontId="9" fillId="0" borderId="0" xfId="0" applyNumberFormat="1" applyFont="1" applyFill="1"/>
    <xf numFmtId="169" fontId="4" fillId="0" borderId="0" xfId="14" applyNumberFormat="1" applyFont="1" applyFill="1"/>
    <xf numFmtId="169" fontId="9" fillId="0" borderId="0" xfId="0" applyNumberFormat="1" applyFont="1" applyFill="1" applyAlignment="1">
      <alignment horizontal="right"/>
    </xf>
    <xf numFmtId="174" fontId="45" fillId="0" borderId="0" xfId="13" applyNumberFormat="1" applyFont="1" applyFill="1"/>
    <xf numFmtId="169" fontId="9" fillId="0" borderId="0" xfId="0" applyNumberFormat="1" applyFont="1" applyFill="1"/>
    <xf numFmtId="172" fontId="9" fillId="0" borderId="0" xfId="0" applyNumberFormat="1" applyFont="1" applyFill="1"/>
    <xf numFmtId="176" fontId="9" fillId="0" borderId="0" xfId="0" applyNumberFormat="1" applyFont="1" applyFill="1" applyAlignment="1">
      <alignment horizontal="center"/>
    </xf>
    <xf numFmtId="169" fontId="9" fillId="0" borderId="0" xfId="13" applyNumberFormat="1" applyFill="1"/>
    <xf numFmtId="174" fontId="9" fillId="0" borderId="0" xfId="13" applyNumberFormat="1" applyFill="1"/>
    <xf numFmtId="174" fontId="9" fillId="0" borderId="0" xfId="0" applyNumberFormat="1" applyFont="1" applyFill="1" applyAlignment="1">
      <alignment horizontal="left"/>
    </xf>
    <xf numFmtId="174" fontId="9" fillId="0" borderId="0" xfId="14" applyNumberFormat="1" applyFill="1"/>
    <xf numFmtId="174" fontId="9" fillId="0" borderId="0" xfId="0" applyNumberFormat="1" applyFont="1" applyFill="1" applyAlignment="1">
      <alignment horizontal="center"/>
    </xf>
    <xf numFmtId="0" fontId="45" fillId="0" borderId="0" xfId="0" applyFont="1" applyFill="1" applyAlignment="1">
      <alignment horizontal="left"/>
    </xf>
    <xf numFmtId="0" fontId="45" fillId="0" borderId="0" xfId="0" applyFont="1" applyFill="1"/>
    <xf numFmtId="174" fontId="45" fillId="0" borderId="0" xfId="0" applyNumberFormat="1" applyFont="1" applyFill="1" applyAlignment="1">
      <alignment horizontal="right"/>
    </xf>
    <xf numFmtId="169" fontId="4" fillId="0" borderId="0" xfId="14" applyNumberFormat="1" applyFont="1" applyFill="1" applyAlignment="1">
      <alignment horizontal="right"/>
    </xf>
    <xf numFmtId="1" fontId="35" fillId="0" borderId="0" xfId="0" applyNumberFormat="1" applyFont="1" applyFill="1"/>
    <xf numFmtId="1" fontId="36" fillId="0" borderId="0" xfId="0" quotePrefix="1" applyNumberFormat="1" applyFont="1" applyFill="1" applyAlignment="1">
      <alignment horizontal="right"/>
    </xf>
    <xf numFmtId="1" fontId="48" fillId="0" borderId="0" xfId="0" quotePrefix="1" applyNumberFormat="1" applyFont="1" applyFill="1" applyAlignment="1">
      <alignment horizontal="right"/>
    </xf>
    <xf numFmtId="1" fontId="49" fillId="0" borderId="0" xfId="0" applyNumberFormat="1" applyFont="1" applyFill="1"/>
    <xf numFmtId="0" fontId="45" fillId="0" borderId="0" xfId="0" applyFont="1" applyFill="1" applyAlignment="1">
      <alignment horizontal="center"/>
    </xf>
    <xf numFmtId="169" fontId="45" fillId="0" borderId="0" xfId="14" applyNumberFormat="1" applyFont="1" applyFill="1"/>
    <xf numFmtId="169" fontId="44" fillId="0" borderId="0" xfId="14" applyNumberFormat="1" applyFont="1" applyFill="1" applyAlignment="1">
      <alignment horizontal="right"/>
    </xf>
    <xf numFmtId="3" fontId="35" fillId="0" borderId="0" xfId="14" applyNumberFormat="1" applyFont="1" applyFill="1"/>
    <xf numFmtId="2" fontId="9" fillId="0" borderId="0" xfId="0" applyNumberFormat="1" applyFont="1" applyFill="1" applyAlignment="1">
      <alignment horizontal="right"/>
    </xf>
    <xf numFmtId="0" fontId="43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177" fontId="51" fillId="0" borderId="0" xfId="0" applyNumberFormat="1" applyFont="1" applyFill="1" applyAlignment="1">
      <alignment horizontal="right"/>
    </xf>
    <xf numFmtId="164" fontId="9" fillId="0" borderId="0" xfId="3" applyNumberFormat="1" applyFont="1" applyFill="1"/>
    <xf numFmtId="164" fontId="9" fillId="0" borderId="0" xfId="3" quotePrefix="1" applyNumberFormat="1" applyFont="1" applyFill="1" applyAlignment="1">
      <alignment horizontal="right"/>
    </xf>
    <xf numFmtId="174" fontId="4" fillId="0" borderId="0" xfId="12" applyNumberFormat="1" applyFont="1" applyFill="1" applyBorder="1"/>
    <xf numFmtId="164" fontId="9" fillId="0" borderId="0" xfId="17" applyNumberFormat="1" applyFont="1" applyFill="1" applyBorder="1"/>
    <xf numFmtId="164" fontId="9" fillId="0" borderId="0" xfId="17" applyNumberFormat="1" applyFont="1" applyFill="1"/>
    <xf numFmtId="164" fontId="9" fillId="0" borderId="0" xfId="17" quotePrefix="1" applyNumberFormat="1" applyFont="1" applyFill="1" applyAlignment="1">
      <alignment horizontal="right"/>
    </xf>
    <xf numFmtId="164" fontId="4" fillId="0" borderId="0" xfId="17" applyNumberFormat="1" applyFont="1" applyFill="1"/>
    <xf numFmtId="170" fontId="9" fillId="0" borderId="0" xfId="17" applyNumberFormat="1" applyFont="1" applyFill="1" applyBorder="1"/>
    <xf numFmtId="174" fontId="9" fillId="0" borderId="0" xfId="17" applyNumberFormat="1" applyFont="1" applyFill="1" applyBorder="1"/>
    <xf numFmtId="167" fontId="9" fillId="0" borderId="0" xfId="17" applyNumberFormat="1" applyFont="1" applyFill="1" applyBorder="1"/>
    <xf numFmtId="0" fontId="35" fillId="0" borderId="0" xfId="0" applyFont="1" applyFill="1"/>
    <xf numFmtId="173" fontId="9" fillId="0" borderId="0" xfId="0" applyNumberFormat="1" applyFont="1" applyFill="1"/>
    <xf numFmtId="174" fontId="9" fillId="0" borderId="0" xfId="0" quotePrefix="1" applyNumberFormat="1" applyFont="1" applyFill="1" applyAlignment="1">
      <alignment horizontal="left"/>
    </xf>
    <xf numFmtId="176" fontId="4" fillId="0" borderId="0" xfId="1" applyNumberFormat="1" applyFont="1" applyFill="1" applyAlignment="1">
      <alignment horizontal="right"/>
    </xf>
    <xf numFmtId="174" fontId="9" fillId="0" borderId="0" xfId="3" applyNumberFormat="1" applyFont="1" applyFill="1" applyAlignment="1">
      <alignment horizontal="right"/>
    </xf>
    <xf numFmtId="176" fontId="9" fillId="0" borderId="0" xfId="3" applyNumberFormat="1" applyFont="1" applyFill="1" applyBorder="1" applyAlignment="1">
      <alignment horizontal="right"/>
    </xf>
    <xf numFmtId="177" fontId="4" fillId="0" borderId="0" xfId="0" applyNumberFormat="1" applyFont="1" applyFill="1" applyAlignment="1">
      <alignment horizontal="right"/>
    </xf>
    <xf numFmtId="174" fontId="9" fillId="0" borderId="0" xfId="1" applyNumberFormat="1" applyFont="1" applyFill="1"/>
    <xf numFmtId="176" fontId="51" fillId="0" borderId="0" xfId="0" applyNumberFormat="1" applyFont="1" applyFill="1"/>
    <xf numFmtId="176" fontId="51" fillId="0" borderId="0" xfId="0" applyNumberFormat="1" applyFont="1" applyFill="1" applyAlignment="1">
      <alignment horizontal="right"/>
    </xf>
    <xf numFmtId="176" fontId="51" fillId="0" borderId="0" xfId="0" applyNumberFormat="1" applyFont="1" applyFill="1" applyAlignment="1">
      <alignment horizontal="center"/>
    </xf>
    <xf numFmtId="176" fontId="4" fillId="0" borderId="0" xfId="0" applyNumberFormat="1" applyFont="1" applyFill="1"/>
    <xf numFmtId="174" fontId="35" fillId="0" borderId="0" xfId="0" applyNumberFormat="1" applyFont="1" applyFill="1" applyAlignment="1">
      <alignment horizontal="right"/>
    </xf>
    <xf numFmtId="174" fontId="36" fillId="0" borderId="0" xfId="0" applyNumberFormat="1" applyFont="1" applyFill="1" applyAlignment="1">
      <alignment horizontal="right"/>
    </xf>
    <xf numFmtId="2" fontId="4" fillId="0" borderId="0" xfId="0" quotePrefix="1" applyNumberFormat="1" applyFont="1" applyFill="1" applyAlignment="1">
      <alignment horizontal="right"/>
    </xf>
    <xf numFmtId="174" fontId="4" fillId="0" borderId="0" xfId="0" quotePrefix="1" applyNumberFormat="1" applyFont="1" applyFill="1" applyAlignment="1">
      <alignment horizontal="right"/>
    </xf>
    <xf numFmtId="1" fontId="9" fillId="0" borderId="0" xfId="0" applyNumberFormat="1" applyFont="1" applyFill="1" applyAlignment="1">
      <alignment horizontal="right"/>
    </xf>
    <xf numFmtId="1" fontId="4" fillId="0" borderId="0" xfId="0" applyNumberFormat="1" applyFont="1" applyFill="1" applyAlignment="1">
      <alignment horizontal="right"/>
    </xf>
    <xf numFmtId="172" fontId="4" fillId="0" borderId="0" xfId="0" applyNumberFormat="1" applyFont="1" applyFill="1" applyAlignment="1">
      <alignment horizontal="right"/>
    </xf>
    <xf numFmtId="9" fontId="4" fillId="0" borderId="0" xfId="0" applyNumberFormat="1" applyFont="1" applyFill="1" applyAlignment="1">
      <alignment horizontal="right"/>
    </xf>
    <xf numFmtId="164" fontId="9" fillId="0" borderId="0" xfId="3" applyNumberFormat="1" applyFont="1" applyFill="1" applyAlignment="1">
      <alignment horizontal="left"/>
    </xf>
    <xf numFmtId="164" fontId="9" fillId="0" borderId="0" xfId="12" applyNumberFormat="1" applyFont="1" applyFill="1"/>
    <xf numFmtId="0" fontId="38" fillId="0" borderId="0" xfId="0" applyFont="1" applyFill="1"/>
    <xf numFmtId="0" fontId="37" fillId="0" borderId="0" xfId="0" applyFont="1" applyFill="1"/>
    <xf numFmtId="174" fontId="37" fillId="0" borderId="0" xfId="0" applyNumberFormat="1" applyFont="1" applyFill="1" applyAlignment="1">
      <alignment horizontal="right"/>
    </xf>
    <xf numFmtId="174" fontId="38" fillId="0" borderId="0" xfId="0" applyNumberFormat="1" applyFont="1" applyFill="1" applyAlignment="1">
      <alignment horizontal="right"/>
    </xf>
    <xf numFmtId="2" fontId="37" fillId="0" borderId="0" xfId="0" applyNumberFormat="1" applyFont="1" applyFill="1" applyAlignment="1">
      <alignment horizontal="right"/>
    </xf>
    <xf numFmtId="2" fontId="38" fillId="0" borderId="0" xfId="0" applyNumberFormat="1" applyFont="1" applyFill="1" applyAlignment="1">
      <alignment horizontal="right"/>
    </xf>
    <xf numFmtId="2" fontId="38" fillId="0" borderId="0" xfId="0" applyNumberFormat="1" applyFont="1" applyFill="1"/>
    <xf numFmtId="174" fontId="37" fillId="0" borderId="0" xfId="0" applyNumberFormat="1" applyFont="1" applyFill="1"/>
    <xf numFmtId="174" fontId="38" fillId="0" borderId="0" xfId="0" applyNumberFormat="1" applyFont="1" applyFill="1"/>
    <xf numFmtId="174" fontId="39" fillId="0" borderId="0" xfId="0" applyNumberFormat="1" applyFont="1" applyFill="1"/>
    <xf numFmtId="174" fontId="50" fillId="0" borderId="0" xfId="0" applyNumberFormat="1" applyFont="1" applyFill="1"/>
    <xf numFmtId="174" fontId="45" fillId="0" borderId="0" xfId="0" applyNumberFormat="1" applyFont="1" applyFill="1"/>
    <xf numFmtId="174" fontId="52" fillId="0" borderId="0" xfId="0" applyNumberFormat="1" applyFont="1" applyFill="1"/>
    <xf numFmtId="174" fontId="53" fillId="0" borderId="0" xfId="0" applyNumberFormat="1" applyFont="1" applyFill="1"/>
    <xf numFmtId="3" fontId="9" fillId="0" borderId="0" xfId="13" applyNumberFormat="1" applyFill="1"/>
    <xf numFmtId="174" fontId="4" fillId="0" borderId="0" xfId="0" applyNumberFormat="1" applyFont="1" applyFill="1" applyAlignment="1">
      <alignment horizontal="center"/>
    </xf>
    <xf numFmtId="9" fontId="9" fillId="0" borderId="0" xfId="13" applyNumberFormat="1" applyFill="1"/>
    <xf numFmtId="9" fontId="45" fillId="0" borderId="0" xfId="13" applyNumberFormat="1" applyFont="1" applyFill="1"/>
    <xf numFmtId="9" fontId="45" fillId="0" borderId="0" xfId="3" applyFont="1" applyFill="1" applyAlignment="1">
      <alignment horizontal="right"/>
    </xf>
    <xf numFmtId="2" fontId="4" fillId="0" borderId="0" xfId="0" quotePrefix="1" applyNumberFormat="1" applyFont="1" applyFill="1" applyAlignment="1">
      <alignment horizontal="left"/>
    </xf>
    <xf numFmtId="9" fontId="9" fillId="0" borderId="0" xfId="13" applyNumberFormat="1" applyFill="1" applyAlignment="1">
      <alignment horizontal="center"/>
    </xf>
    <xf numFmtId="2" fontId="53" fillId="0" borderId="0" xfId="0" applyNumberFormat="1" applyFont="1" applyFill="1" applyAlignment="1">
      <alignment horizontal="center"/>
    </xf>
    <xf numFmtId="174" fontId="44" fillId="0" borderId="0" xfId="0" applyNumberFormat="1" applyFont="1" applyFill="1" applyAlignment="1">
      <alignment horizontal="right"/>
    </xf>
    <xf numFmtId="2" fontId="45" fillId="0" borderId="0" xfId="0" applyNumberFormat="1" applyFont="1" applyFill="1" applyAlignment="1">
      <alignment horizontal="right"/>
    </xf>
    <xf numFmtId="2" fontId="44" fillId="0" borderId="0" xfId="0" applyNumberFormat="1" applyFont="1" applyFill="1" applyAlignment="1">
      <alignment horizontal="right"/>
    </xf>
    <xf numFmtId="174" fontId="54" fillId="0" borderId="0" xfId="0" applyNumberFormat="1" applyFont="1" applyFill="1" applyAlignment="1">
      <alignment horizontal="right"/>
    </xf>
    <xf numFmtId="174" fontId="53" fillId="0" borderId="0" xfId="0" applyNumberFormat="1" applyFont="1" applyFill="1" applyAlignment="1">
      <alignment horizontal="center"/>
    </xf>
    <xf numFmtId="0" fontId="4" fillId="0" borderId="3" xfId="0" quotePrefix="1" applyFont="1" applyFill="1" applyBorder="1"/>
    <xf numFmtId="0" fontId="9" fillId="0" borderId="3" xfId="0" applyFont="1" applyFill="1" applyBorder="1"/>
    <xf numFmtId="174" fontId="9" fillId="0" borderId="3" xfId="0" applyNumberFormat="1" applyFont="1" applyFill="1" applyBorder="1" applyAlignment="1">
      <alignment horizontal="right"/>
    </xf>
    <xf numFmtId="174" fontId="4" fillId="0" borderId="3" xfId="0" applyNumberFormat="1" applyFont="1" applyFill="1" applyBorder="1" applyAlignment="1">
      <alignment horizontal="right"/>
    </xf>
    <xf numFmtId="2" fontId="9" fillId="0" borderId="3" xfId="0" applyNumberFormat="1" applyFont="1" applyFill="1" applyBorder="1" applyAlignment="1">
      <alignment horizontal="right"/>
    </xf>
    <xf numFmtId="2" fontId="4" fillId="0" borderId="3" xfId="0" applyNumberFormat="1" applyFont="1" applyFill="1" applyBorder="1" applyAlignment="1">
      <alignment horizontal="right"/>
    </xf>
    <xf numFmtId="174" fontId="9" fillId="0" borderId="3" xfId="13" applyNumberFormat="1" applyFill="1" applyBorder="1"/>
    <xf numFmtId="2" fontId="4" fillId="0" borderId="3" xfId="0" applyNumberFormat="1" applyFont="1" applyFill="1" applyBorder="1"/>
    <xf numFmtId="174" fontId="4" fillId="0" borderId="3" xfId="0" applyNumberFormat="1" applyFont="1" applyFill="1" applyBorder="1"/>
    <xf numFmtId="3" fontId="9" fillId="0" borderId="0" xfId="3" applyNumberFormat="1" applyFont="1" applyFill="1" applyBorder="1" applyAlignment="1">
      <alignment horizontal="right"/>
    </xf>
    <xf numFmtId="3" fontId="9" fillId="0" borderId="0" xfId="13" applyNumberFormat="1" applyFill="1" applyAlignment="1">
      <alignment horizontal="center"/>
    </xf>
    <xf numFmtId="3" fontId="54" fillId="0" borderId="0" xfId="13" applyNumberFormat="1" applyFont="1" applyFill="1"/>
    <xf numFmtId="169" fontId="9" fillId="0" borderId="3" xfId="13" applyNumberFormat="1" applyFill="1" applyBorder="1"/>
    <xf numFmtId="169" fontId="9" fillId="0" borderId="0" xfId="13" applyNumberFormat="1" applyFill="1" applyAlignment="1">
      <alignment horizontal="center"/>
    </xf>
    <xf numFmtId="174" fontId="4" fillId="0" borderId="4" xfId="0" quotePrefix="1" applyNumberFormat="1" applyFont="1" applyFill="1" applyBorder="1"/>
    <xf numFmtId="174" fontId="9" fillId="0" borderId="4" xfId="0" applyNumberFormat="1" applyFont="1" applyFill="1" applyBorder="1"/>
    <xf numFmtId="174" fontId="4" fillId="0" borderId="4" xfId="0" applyNumberFormat="1" applyFont="1" applyFill="1" applyBorder="1"/>
    <xf numFmtId="174" fontId="9" fillId="0" borderId="4" xfId="0" quotePrefix="1" applyNumberFormat="1" applyFont="1" applyFill="1" applyBorder="1" applyAlignment="1">
      <alignment horizontal="right"/>
    </xf>
    <xf numFmtId="0" fontId="9" fillId="0" borderId="0" xfId="0" quotePrefix="1" applyFont="1" applyFill="1" applyAlignment="1">
      <alignment horizontal="right"/>
    </xf>
    <xf numFmtId="9" fontId="55" fillId="0" borderId="0" xfId="3" applyFont="1" applyFill="1" applyBorder="1"/>
    <xf numFmtId="0" fontId="9" fillId="0" borderId="5" xfId="0" applyFont="1" applyFill="1" applyBorder="1"/>
    <xf numFmtId="0" fontId="4" fillId="0" borderId="5" xfId="0" applyFont="1" applyFill="1" applyBorder="1"/>
    <xf numFmtId="0" fontId="9" fillId="0" borderId="5" xfId="0" quotePrefix="1" applyFont="1" applyFill="1" applyBorder="1" applyAlignment="1">
      <alignment horizontal="right"/>
    </xf>
    <xf numFmtId="9" fontId="4" fillId="0" borderId="5" xfId="3" applyFont="1" applyFill="1" applyBorder="1"/>
    <xf numFmtId="9" fontId="55" fillId="0" borderId="5" xfId="3" applyFont="1" applyFill="1" applyBorder="1"/>
    <xf numFmtId="169" fontId="37" fillId="0" borderId="0" xfId="0" applyNumberFormat="1" applyFont="1" applyFill="1"/>
    <xf numFmtId="187" fontId="37" fillId="0" borderId="0" xfId="0" applyNumberFormat="1" applyFont="1" applyFill="1"/>
    <xf numFmtId="4" fontId="50" fillId="0" borderId="0" xfId="0" applyNumberFormat="1" applyFont="1" applyFill="1"/>
    <xf numFmtId="9" fontId="45" fillId="0" borderId="0" xfId="3" applyFont="1" applyFill="1"/>
    <xf numFmtId="9" fontId="4" fillId="0" borderId="0" xfId="12" applyFont="1" applyFill="1"/>
    <xf numFmtId="174" fontId="55" fillId="0" borderId="0" xfId="0" applyNumberFormat="1" applyFont="1" applyFill="1"/>
    <xf numFmtId="9" fontId="9" fillId="0" borderId="0" xfId="17" applyFont="1" applyFill="1" applyAlignment="1">
      <alignment horizontal="right"/>
    </xf>
    <xf numFmtId="9" fontId="55" fillId="0" borderId="0" xfId="17" applyFont="1" applyFill="1"/>
    <xf numFmtId="9" fontId="9" fillId="0" borderId="0" xfId="17" applyFont="1" applyFill="1" applyBorder="1"/>
    <xf numFmtId="0" fontId="4" fillId="0" borderId="3" xfId="0" applyFont="1" applyFill="1" applyBorder="1"/>
    <xf numFmtId="174" fontId="9" fillId="0" borderId="3" xfId="0" applyNumberFormat="1" applyFont="1" applyFill="1" applyBorder="1"/>
    <xf numFmtId="174" fontId="55" fillId="0" borderId="3" xfId="0" applyNumberFormat="1" applyFont="1" applyFill="1" applyBorder="1"/>
    <xf numFmtId="0" fontId="55" fillId="0" borderId="0" xfId="0" applyFont="1" applyFill="1"/>
    <xf numFmtId="9" fontId="55" fillId="0" borderId="0" xfId="3" applyFont="1" applyFill="1" applyAlignment="1">
      <alignment horizontal="right"/>
    </xf>
    <xf numFmtId="2" fontId="9" fillId="0" borderId="0" xfId="0" quotePrefix="1" applyNumberFormat="1" applyFont="1" applyFill="1" applyAlignment="1">
      <alignment horizontal="right"/>
    </xf>
    <xf numFmtId="0" fontId="9" fillId="0" borderId="0" xfId="0" quotePrefix="1" applyFont="1" applyFill="1"/>
    <xf numFmtId="0" fontId="35" fillId="0" borderId="0" xfId="0" quotePrefix="1" applyFont="1" applyFill="1"/>
    <xf numFmtId="174" fontId="55" fillId="0" borderId="6" xfId="0" applyNumberFormat="1" applyFont="1" applyFill="1" applyBorder="1"/>
    <xf numFmtId="0" fontId="50" fillId="0" borderId="0" xfId="0" applyFont="1" applyFill="1" applyAlignment="1">
      <alignment horizontal="center"/>
    </xf>
    <xf numFmtId="9" fontId="55" fillId="0" borderId="6" xfId="3" applyFont="1" applyFill="1" applyBorder="1"/>
    <xf numFmtId="0" fontId="4" fillId="0" borderId="4" xfId="0" quotePrefix="1" applyFont="1" applyFill="1" applyBorder="1"/>
    <xf numFmtId="0" fontId="9" fillId="0" borderId="4" xfId="0" applyFont="1" applyFill="1" applyBorder="1"/>
    <xf numFmtId="0" fontId="4" fillId="0" borderId="4" xfId="0" applyFont="1" applyFill="1" applyBorder="1"/>
    <xf numFmtId="0" fontId="9" fillId="0" borderId="4" xfId="0" quotePrefix="1" applyFont="1" applyFill="1" applyBorder="1" applyAlignment="1">
      <alignment horizontal="right"/>
    </xf>
    <xf numFmtId="174" fontId="55" fillId="0" borderId="4" xfId="0" quotePrefix="1" applyNumberFormat="1" applyFont="1" applyFill="1" applyBorder="1" applyAlignment="1">
      <alignment horizontal="right"/>
    </xf>
    <xf numFmtId="0" fontId="9" fillId="0" borderId="7" xfId="0" applyFont="1" applyFill="1" applyBorder="1"/>
    <xf numFmtId="0" fontId="56" fillId="0" borderId="7" xfId="0" applyFont="1" applyFill="1" applyBorder="1"/>
    <xf numFmtId="0" fontId="57" fillId="0" borderId="7" xfId="0" applyFont="1" applyFill="1" applyBorder="1"/>
    <xf numFmtId="174" fontId="56" fillId="0" borderId="7" xfId="0" applyNumberFormat="1" applyFont="1" applyFill="1" applyBorder="1"/>
    <xf numFmtId="174" fontId="57" fillId="0" borderId="7" xfId="0" applyNumberFormat="1" applyFont="1" applyFill="1" applyBorder="1"/>
    <xf numFmtId="174" fontId="4" fillId="0" borderId="7" xfId="0" applyNumberFormat="1" applyFont="1" applyFill="1" applyBorder="1" applyAlignment="1">
      <alignment horizontal="right"/>
    </xf>
    <xf numFmtId="174" fontId="9" fillId="0" borderId="7" xfId="0" applyNumberFormat="1" applyFont="1" applyFill="1" applyBorder="1" applyAlignment="1">
      <alignment horizontal="right"/>
    </xf>
    <xf numFmtId="1" fontId="4" fillId="0" borderId="7" xfId="0" applyNumberFormat="1" applyFont="1" applyFill="1" applyBorder="1" applyAlignment="1">
      <alignment horizontal="right"/>
    </xf>
    <xf numFmtId="174" fontId="4" fillId="0" borderId="7" xfId="0" applyNumberFormat="1" applyFont="1" applyFill="1" applyBorder="1"/>
    <xf numFmtId="174" fontId="9" fillId="0" borderId="7" xfId="0" applyNumberFormat="1" applyFont="1" applyFill="1" applyBorder="1"/>
    <xf numFmtId="169" fontId="9" fillId="0" borderId="7" xfId="1" applyNumberFormat="1" applyFont="1" applyFill="1" applyBorder="1"/>
    <xf numFmtId="169" fontId="4" fillId="0" borderId="7" xfId="1" applyNumberFormat="1" applyFont="1" applyFill="1" applyBorder="1"/>
    <xf numFmtId="2" fontId="4" fillId="0" borderId="0" xfId="0" applyNumberFormat="1" applyFont="1" applyFill="1" applyAlignment="1">
      <alignment horizontal="center"/>
    </xf>
    <xf numFmtId="0" fontId="9" fillId="0" borderId="8" xfId="0" applyFont="1" applyFill="1" applyBorder="1"/>
    <xf numFmtId="0" fontId="4" fillId="0" borderId="8" xfId="0" applyFont="1" applyFill="1" applyBorder="1"/>
    <xf numFmtId="9" fontId="9" fillId="0" borderId="8" xfId="3" applyFont="1" applyFill="1" applyBorder="1" applyAlignment="1">
      <alignment horizontal="right"/>
    </xf>
    <xf numFmtId="9" fontId="4" fillId="0" borderId="8" xfId="3" applyFont="1" applyFill="1" applyBorder="1"/>
    <xf numFmtId="2" fontId="4" fillId="0" borderId="8" xfId="0" quotePrefix="1" applyNumberFormat="1" applyFont="1" applyFill="1" applyBorder="1" applyAlignment="1">
      <alignment horizontal="right"/>
    </xf>
    <xf numFmtId="9" fontId="4" fillId="0" borderId="8" xfId="3" applyFont="1" applyFill="1" applyBorder="1" applyAlignment="1">
      <alignment horizontal="right"/>
    </xf>
    <xf numFmtId="0" fontId="58" fillId="0" borderId="0" xfId="0" applyFont="1" applyFill="1"/>
    <xf numFmtId="0" fontId="59" fillId="0" borderId="0" xfId="0" applyFont="1" applyFill="1"/>
    <xf numFmtId="174" fontId="58" fillId="0" borderId="0" xfId="0" applyNumberFormat="1" applyFont="1" applyFill="1"/>
    <xf numFmtId="174" fontId="59" fillId="0" borderId="0" xfId="0" applyNumberFormat="1" applyFont="1" applyFill="1"/>
    <xf numFmtId="174" fontId="35" fillId="0" borderId="0" xfId="0" applyNumberFormat="1" applyFont="1" applyFill="1"/>
    <xf numFmtId="174" fontId="36" fillId="0" borderId="0" xfId="0" applyNumberFormat="1" applyFont="1" applyFill="1"/>
    <xf numFmtId="9" fontId="36" fillId="0" borderId="0" xfId="3" applyFont="1" applyFill="1"/>
    <xf numFmtId="0" fontId="60" fillId="0" borderId="0" xfId="0" applyFont="1" applyFill="1"/>
    <xf numFmtId="0" fontId="61" fillId="0" borderId="0" xfId="0" applyFont="1" applyFill="1"/>
    <xf numFmtId="176" fontId="60" fillId="0" borderId="0" xfId="0" applyNumberFormat="1" applyFont="1" applyFill="1"/>
    <xf numFmtId="176" fontId="61" fillId="0" borderId="0" xfId="0" applyNumberFormat="1" applyFont="1" applyFill="1"/>
    <xf numFmtId="3" fontId="50" fillId="0" borderId="0" xfId="0" applyNumberFormat="1" applyFont="1" applyFill="1"/>
    <xf numFmtId="0" fontId="50" fillId="0" borderId="0" xfId="0" applyFont="1" applyFill="1"/>
    <xf numFmtId="188" fontId="45" fillId="0" borderId="0" xfId="0" applyNumberFormat="1" applyFont="1" applyFill="1"/>
    <xf numFmtId="188" fontId="45" fillId="0" borderId="9" xfId="0" applyNumberFormat="1" applyFont="1" applyFill="1" applyBorder="1"/>
    <xf numFmtId="37" fontId="45" fillId="0" borderId="0" xfId="0" applyNumberFormat="1" applyFont="1" applyFill="1"/>
    <xf numFmtId="3" fontId="4" fillId="0" borderId="0" xfId="18" applyNumberFormat="1" applyFont="1" applyFill="1"/>
    <xf numFmtId="0" fontId="9" fillId="0" borderId="9" xfId="0" quotePrefix="1" applyFont="1" applyFill="1" applyBorder="1" applyAlignment="1">
      <alignment horizontal="right"/>
    </xf>
    <xf numFmtId="37" fontId="45" fillId="0" borderId="9" xfId="0" applyNumberFormat="1" applyFont="1" applyFill="1" applyBorder="1"/>
    <xf numFmtId="3" fontId="9" fillId="0" borderId="9" xfId="13" applyNumberFormat="1" applyFill="1" applyBorder="1"/>
    <xf numFmtId="37" fontId="42" fillId="0" borderId="9" xfId="0" applyNumberFormat="1" applyFont="1" applyFill="1" applyBorder="1"/>
    <xf numFmtId="37" fontId="42" fillId="0" borderId="0" xfId="0" applyNumberFormat="1" applyFont="1" applyFill="1"/>
    <xf numFmtId="9" fontId="9" fillId="0" borderId="9" xfId="3" applyFont="1" applyFill="1" applyBorder="1"/>
    <xf numFmtId="0" fontId="4" fillId="0" borderId="10" xfId="0" applyFont="1" applyFill="1" applyBorder="1"/>
    <xf numFmtId="0" fontId="9" fillId="0" borderId="10" xfId="0" applyFont="1" applyFill="1" applyBorder="1"/>
    <xf numFmtId="0" fontId="9" fillId="0" borderId="10" xfId="0" quotePrefix="1" applyFont="1" applyFill="1" applyBorder="1" applyAlignment="1">
      <alignment horizontal="right"/>
    </xf>
    <xf numFmtId="9" fontId="9" fillId="0" borderId="10" xfId="3" applyFont="1" applyFill="1" applyBorder="1"/>
    <xf numFmtId="9" fontId="4" fillId="0" borderId="10" xfId="3" applyFont="1" applyFill="1" applyBorder="1"/>
    <xf numFmtId="174" fontId="9" fillId="0" borderId="11" xfId="0" quotePrefix="1" applyNumberFormat="1" applyFont="1" applyFill="1" applyBorder="1" applyAlignment="1">
      <alignment horizontal="right"/>
    </xf>
    <xf numFmtId="174" fontId="9" fillId="0" borderId="10" xfId="0" quotePrefix="1" applyNumberFormat="1" applyFont="1" applyFill="1" applyBorder="1" applyAlignment="1">
      <alignment horizontal="right"/>
    </xf>
    <xf numFmtId="174" fontId="4" fillId="0" borderId="10" xfId="0" applyNumberFormat="1" applyFont="1" applyFill="1" applyBorder="1"/>
    <xf numFmtId="9" fontId="9" fillId="0" borderId="9" xfId="3" quotePrefix="1" applyFont="1" applyFill="1" applyBorder="1" applyAlignment="1">
      <alignment horizontal="right"/>
    </xf>
    <xf numFmtId="9" fontId="9" fillId="0" borderId="0" xfId="3" quotePrefix="1" applyFont="1" applyFill="1" applyBorder="1" applyAlignment="1">
      <alignment horizontal="right"/>
    </xf>
    <xf numFmtId="0" fontId="36" fillId="0" borderId="0" xfId="0" applyFont="1" applyFill="1"/>
    <xf numFmtId="0" fontId="35" fillId="0" borderId="0" xfId="0" quotePrefix="1" applyFont="1" applyFill="1" applyAlignment="1">
      <alignment horizontal="right"/>
    </xf>
    <xf numFmtId="9" fontId="35" fillId="0" borderId="9" xfId="3" applyFont="1" applyFill="1" applyBorder="1"/>
    <xf numFmtId="3" fontId="35" fillId="0" borderId="0" xfId="1" applyNumberFormat="1" applyFont="1" applyFill="1"/>
    <xf numFmtId="3" fontId="36" fillId="0" borderId="0" xfId="1" applyNumberFormat="1" applyFont="1" applyFill="1"/>
    <xf numFmtId="3" fontId="35" fillId="0" borderId="0" xfId="1" applyNumberFormat="1" applyFont="1" applyFill="1" applyBorder="1"/>
    <xf numFmtId="3" fontId="35" fillId="0" borderId="0" xfId="3" applyNumberFormat="1" applyFont="1" applyFill="1"/>
    <xf numFmtId="0" fontId="35" fillId="0" borderId="0" xfId="0" applyFont="1" applyFill="1" applyAlignment="1">
      <alignment horizontal="center"/>
    </xf>
    <xf numFmtId="37" fontId="35" fillId="0" borderId="0" xfId="0" applyNumberFormat="1" applyFont="1" applyFill="1"/>
    <xf numFmtId="174" fontId="9" fillId="0" borderId="9" xfId="0" applyNumberFormat="1" applyFont="1" applyFill="1" applyBorder="1"/>
    <xf numFmtId="3" fontId="9" fillId="0" borderId="9" xfId="0" applyNumberFormat="1" applyFont="1" applyFill="1" applyBorder="1"/>
    <xf numFmtId="9" fontId="9" fillId="0" borderId="9" xfId="13" applyNumberFormat="1" applyFill="1" applyBorder="1"/>
    <xf numFmtId="9" fontId="9" fillId="0" borderId="9" xfId="3" applyFont="1" applyFill="1" applyBorder="1" applyAlignment="1">
      <alignment horizontal="right"/>
    </xf>
    <xf numFmtId="169" fontId="9" fillId="0" borderId="9" xfId="0" applyNumberFormat="1" applyFont="1" applyFill="1" applyBorder="1" applyAlignment="1">
      <alignment horizontal="right"/>
    </xf>
    <xf numFmtId="4" fontId="9" fillId="0" borderId="3" xfId="13" applyNumberFormat="1" applyFill="1" applyBorder="1"/>
    <xf numFmtId="3" fontId="9" fillId="0" borderId="3" xfId="13" applyNumberFormat="1" applyFill="1" applyBorder="1"/>
    <xf numFmtId="3" fontId="9" fillId="0" borderId="12" xfId="13" applyNumberFormat="1" applyFill="1" applyBorder="1"/>
    <xf numFmtId="0" fontId="9" fillId="0" borderId="3" xfId="0" quotePrefix="1" applyFont="1" applyFill="1" applyBorder="1" applyAlignment="1">
      <alignment horizontal="right"/>
    </xf>
    <xf numFmtId="9" fontId="9" fillId="0" borderId="3" xfId="3" applyFont="1" applyFill="1" applyBorder="1"/>
    <xf numFmtId="9" fontId="4" fillId="0" borderId="3" xfId="3" applyFont="1" applyFill="1" applyBorder="1"/>
    <xf numFmtId="4" fontId="42" fillId="0" borderId="12" xfId="1" applyFont="1" applyFill="1" applyBorder="1"/>
    <xf numFmtId="4" fontId="42" fillId="0" borderId="3" xfId="1" applyFont="1" applyFill="1" applyBorder="1"/>
    <xf numFmtId="4" fontId="4" fillId="0" borderId="3" xfId="1" applyFont="1" applyFill="1" applyBorder="1"/>
    <xf numFmtId="4" fontId="9" fillId="0" borderId="3" xfId="1" applyFont="1" applyFill="1" applyBorder="1"/>
    <xf numFmtId="2" fontId="4" fillId="0" borderId="9" xfId="0" quotePrefix="1" applyNumberFormat="1" applyFont="1" applyFill="1" applyBorder="1" applyAlignment="1">
      <alignment horizontal="right"/>
    </xf>
    <xf numFmtId="9" fontId="43" fillId="0" borderId="0" xfId="3" applyFont="1" applyFill="1" applyBorder="1"/>
    <xf numFmtId="4" fontId="9" fillId="0" borderId="9" xfId="1" applyFont="1" applyFill="1" applyBorder="1"/>
    <xf numFmtId="0" fontId="58" fillId="0" borderId="7" xfId="0" applyFont="1" applyFill="1" applyBorder="1"/>
    <xf numFmtId="0" fontId="59" fillId="0" borderId="7" xfId="0" applyFont="1" applyFill="1" applyBorder="1"/>
    <xf numFmtId="174" fontId="58" fillId="0" borderId="7" xfId="0" applyNumberFormat="1" applyFont="1" applyFill="1" applyBorder="1"/>
    <xf numFmtId="174" fontId="59" fillId="0" borderId="7" xfId="0" applyNumberFormat="1" applyFont="1" applyFill="1" applyBorder="1"/>
    <xf numFmtId="174" fontId="36" fillId="0" borderId="7" xfId="0" applyNumberFormat="1" applyFont="1" applyFill="1" applyBorder="1"/>
    <xf numFmtId="174" fontId="35" fillId="0" borderId="7" xfId="0" applyNumberFormat="1" applyFont="1" applyFill="1" applyBorder="1"/>
    <xf numFmtId="174" fontId="35" fillId="0" borderId="13" xfId="0" applyNumberFormat="1" applyFont="1" applyFill="1" applyBorder="1"/>
    <xf numFmtId="169" fontId="36" fillId="0" borderId="7" xfId="1" applyNumberFormat="1" applyFont="1" applyFill="1" applyBorder="1"/>
    <xf numFmtId="0" fontId="9" fillId="0" borderId="8" xfId="0" quotePrefix="1" applyFont="1" applyFill="1" applyBorder="1" applyAlignment="1">
      <alignment horizontal="right"/>
    </xf>
    <xf numFmtId="9" fontId="9" fillId="0" borderId="8" xfId="3" applyFont="1" applyFill="1" applyBorder="1"/>
    <xf numFmtId="9" fontId="9" fillId="0" borderId="14" xfId="3" applyFont="1" applyFill="1" applyBorder="1"/>
    <xf numFmtId="0" fontId="62" fillId="0" borderId="0" xfId="0" applyFont="1" applyFill="1"/>
    <xf numFmtId="179" fontId="63" fillId="0" borderId="9" xfId="1" applyNumberFormat="1" applyFont="1" applyFill="1" applyBorder="1"/>
    <xf numFmtId="179" fontId="63" fillId="0" borderId="0" xfId="1" applyNumberFormat="1" applyFont="1" applyFill="1" applyBorder="1"/>
    <xf numFmtId="174" fontId="35" fillId="0" borderId="9" xfId="0" applyNumberFormat="1" applyFont="1" applyFill="1" applyBorder="1"/>
    <xf numFmtId="174" fontId="63" fillId="0" borderId="0" xfId="0" applyNumberFormat="1" applyFont="1" applyFill="1"/>
    <xf numFmtId="9" fontId="63" fillId="0" borderId="0" xfId="0" applyNumberFormat="1" applyFont="1" applyFill="1"/>
    <xf numFmtId="169" fontId="64" fillId="0" borderId="0" xfId="18" applyNumberFormat="1" applyFont="1" applyFill="1" applyBorder="1"/>
    <xf numFmtId="9" fontId="4" fillId="0" borderId="0" xfId="12" applyFont="1" applyFill="1" applyBorder="1"/>
    <xf numFmtId="179" fontId="64" fillId="0" borderId="0" xfId="1" applyNumberFormat="1" applyFont="1" applyFill="1" applyBorder="1"/>
    <xf numFmtId="174" fontId="35" fillId="0" borderId="0" xfId="0" applyNumberFormat="1" applyFont="1" applyFill="1" applyAlignment="1">
      <alignment horizontal="center"/>
    </xf>
    <xf numFmtId="174" fontId="36" fillId="0" borderId="0" xfId="0" applyNumberFormat="1" applyFont="1" applyFill="1" applyAlignment="1">
      <alignment horizontal="center"/>
    </xf>
    <xf numFmtId="164" fontId="36" fillId="0" borderId="0" xfId="3" applyNumberFormat="1" applyFont="1" applyFill="1"/>
    <xf numFmtId="164" fontId="35" fillId="0" borderId="0" xfId="12" applyNumberFormat="1" applyFont="1" applyFill="1"/>
    <xf numFmtId="4" fontId="9" fillId="0" borderId="0" xfId="18" applyFont="1" applyFill="1" applyBorder="1"/>
    <xf numFmtId="176" fontId="58" fillId="0" borderId="0" xfId="0" applyNumberFormat="1" applyFont="1" applyFill="1"/>
    <xf numFmtId="176" fontId="36" fillId="0" borderId="0" xfId="0" applyNumberFormat="1" applyFont="1" applyFill="1"/>
    <xf numFmtId="4" fontId="35" fillId="0" borderId="0" xfId="1" applyFont="1" applyFill="1"/>
    <xf numFmtId="0" fontId="58" fillId="0" borderId="4" xfId="0" applyFont="1" applyFill="1" applyBorder="1"/>
    <xf numFmtId="0" fontId="59" fillId="0" borderId="4" xfId="0" applyFont="1" applyFill="1" applyBorder="1"/>
    <xf numFmtId="174" fontId="58" fillId="0" borderId="4" xfId="0" applyNumberFormat="1" applyFont="1" applyFill="1" applyBorder="1"/>
    <xf numFmtId="174" fontId="59" fillId="0" borderId="4" xfId="0" applyNumberFormat="1" applyFont="1" applyFill="1" applyBorder="1"/>
    <xf numFmtId="174" fontId="4" fillId="0" borderId="4" xfId="0" applyNumberFormat="1" applyFont="1" applyFill="1" applyBorder="1" applyAlignment="1">
      <alignment horizontal="right"/>
    </xf>
    <xf numFmtId="174" fontId="9" fillId="0" borderId="4" xfId="0" applyNumberFormat="1" applyFont="1" applyFill="1" applyBorder="1" applyAlignment="1">
      <alignment horizontal="right"/>
    </xf>
    <xf numFmtId="174" fontId="54" fillId="0" borderId="4" xfId="0" applyNumberFormat="1" applyFont="1" applyFill="1" applyBorder="1" applyAlignment="1">
      <alignment horizontal="right"/>
    </xf>
    <xf numFmtId="174" fontId="36" fillId="0" borderId="4" xfId="0" applyNumberFormat="1" applyFont="1" applyFill="1" applyBorder="1"/>
    <xf numFmtId="174" fontId="35" fillId="0" borderId="4" xfId="0" applyNumberFormat="1" applyFont="1" applyFill="1" applyBorder="1"/>
    <xf numFmtId="174" fontId="9" fillId="0" borderId="0" xfId="0" quotePrefix="1" applyNumberFormat="1" applyFont="1" applyFill="1" applyAlignment="1">
      <alignment horizontal="right"/>
    </xf>
    <xf numFmtId="0" fontId="35" fillId="0" borderId="0" xfId="0" applyFont="1" applyFill="1" applyAlignment="1">
      <alignment horizontal="left" indent="2"/>
    </xf>
    <xf numFmtId="0" fontId="35" fillId="0" borderId="5" xfId="0" applyFont="1" applyFill="1" applyBorder="1" applyAlignment="1">
      <alignment horizontal="left" indent="2"/>
    </xf>
    <xf numFmtId="0" fontId="58" fillId="0" borderId="5" xfId="0" applyFont="1" applyFill="1" applyBorder="1"/>
    <xf numFmtId="0" fontId="59" fillId="0" borderId="5" xfId="0" applyFont="1" applyFill="1" applyBorder="1"/>
    <xf numFmtId="174" fontId="58" fillId="0" borderId="5" xfId="0" applyNumberFormat="1" applyFont="1" applyFill="1" applyBorder="1"/>
    <xf numFmtId="174" fontId="59" fillId="0" borderId="5" xfId="0" applyNumberFormat="1" applyFont="1" applyFill="1" applyBorder="1"/>
    <xf numFmtId="174" fontId="4" fillId="0" borderId="5" xfId="0" quotePrefix="1" applyNumberFormat="1" applyFont="1" applyFill="1" applyBorder="1" applyAlignment="1">
      <alignment horizontal="right"/>
    </xf>
    <xf numFmtId="174" fontId="9" fillId="0" borderId="5" xfId="0" quotePrefix="1" applyNumberFormat="1" applyFont="1" applyFill="1" applyBorder="1" applyAlignment="1">
      <alignment horizontal="right"/>
    </xf>
    <xf numFmtId="174" fontId="9" fillId="0" borderId="5" xfId="0" applyNumberFormat="1" applyFont="1" applyFill="1" applyBorder="1" applyAlignment="1">
      <alignment horizontal="right"/>
    </xf>
    <xf numFmtId="174" fontId="4" fillId="0" borderId="5" xfId="0" applyNumberFormat="1" applyFont="1" applyFill="1" applyBorder="1" applyAlignment="1">
      <alignment horizontal="right"/>
    </xf>
    <xf numFmtId="174" fontId="4" fillId="0" borderId="5" xfId="0" applyNumberFormat="1" applyFont="1" applyFill="1" applyBorder="1"/>
    <xf numFmtId="174" fontId="35" fillId="0" borderId="5" xfId="0" applyNumberFormat="1" applyFont="1" applyFill="1" applyBorder="1" applyAlignment="1">
      <alignment horizontal="right"/>
    </xf>
    <xf numFmtId="174" fontId="35" fillId="0" borderId="5" xfId="0" applyNumberFormat="1" applyFont="1" applyFill="1" applyBorder="1"/>
    <xf numFmtId="174" fontId="36" fillId="0" borderId="5" xfId="0" applyNumberFormat="1" applyFont="1" applyFill="1" applyBorder="1"/>
    <xf numFmtId="176" fontId="35" fillId="0" borderId="0" xfId="0" applyNumberFormat="1" applyFont="1" applyFill="1"/>
    <xf numFmtId="0" fontId="4" fillId="0" borderId="0" xfId="0" applyFont="1" applyFill="1" applyAlignment="1">
      <alignment horizontal="left" indent="1"/>
    </xf>
    <xf numFmtId="164" fontId="45" fillId="0" borderId="0" xfId="0" applyNumberFormat="1" applyFont="1" applyFill="1" applyAlignment="1">
      <alignment horizontal="right"/>
    </xf>
    <xf numFmtId="9" fontId="9" fillId="0" borderId="0" xfId="3" quotePrefix="1" applyFont="1" applyFill="1" applyAlignment="1">
      <alignment horizontal="right"/>
    </xf>
    <xf numFmtId="0" fontId="4" fillId="0" borderId="0" xfId="0" quotePrefix="1" applyFont="1" applyFill="1"/>
    <xf numFmtId="177" fontId="9" fillId="0" borderId="0" xfId="0" applyNumberFormat="1" applyFont="1" applyFill="1" applyAlignment="1">
      <alignment horizontal="right"/>
    </xf>
    <xf numFmtId="10" fontId="9" fillId="0" borderId="0" xfId="3" applyNumberFormat="1" applyFont="1" applyFill="1" applyAlignment="1">
      <alignment horizontal="right"/>
    </xf>
    <xf numFmtId="9" fontId="4" fillId="0" borderId="0" xfId="3" applyFont="1" applyFill="1" applyAlignment="1">
      <alignment horizontal="right"/>
    </xf>
    <xf numFmtId="2" fontId="9" fillId="0" borderId="4" xfId="0" applyNumberFormat="1" applyFont="1" applyFill="1" applyBorder="1" applyAlignment="1">
      <alignment horizontal="right"/>
    </xf>
    <xf numFmtId="2" fontId="4" fillId="0" borderId="4" xfId="0" applyNumberFormat="1" applyFont="1" applyFill="1" applyBorder="1" applyAlignment="1">
      <alignment horizontal="right"/>
    </xf>
    <xf numFmtId="2" fontId="9" fillId="0" borderId="5" xfId="0" applyNumberFormat="1" applyFont="1" applyFill="1" applyBorder="1" applyAlignment="1">
      <alignment horizontal="right"/>
    </xf>
    <xf numFmtId="2" fontId="4" fillId="0" borderId="5" xfId="0" applyNumberFormat="1" applyFont="1" applyFill="1" applyBorder="1" applyAlignment="1">
      <alignment horizontal="right"/>
    </xf>
    <xf numFmtId="2" fontId="4" fillId="0" borderId="5" xfId="0" quotePrefix="1" applyNumberFormat="1" applyFont="1" applyFill="1" applyBorder="1" applyAlignment="1">
      <alignment horizontal="right"/>
    </xf>
    <xf numFmtId="9" fontId="9" fillId="0" borderId="5" xfId="3" applyFont="1" applyFill="1" applyBorder="1" applyAlignment="1">
      <alignment horizontal="right"/>
    </xf>
    <xf numFmtId="0" fontId="9" fillId="0" borderId="0" xfId="13" applyFill="1" applyAlignment="1">
      <alignment horizontal="left" indent="1"/>
    </xf>
    <xf numFmtId="2" fontId="9" fillId="0" borderId="0" xfId="13" applyNumberFormat="1" applyFill="1"/>
    <xf numFmtId="2" fontId="45" fillId="0" borderId="0" xfId="13" applyNumberFormat="1" applyFont="1" applyFill="1"/>
    <xf numFmtId="2" fontId="9" fillId="0" borderId="0" xfId="3" applyNumberFormat="1" applyFont="1" applyFill="1" applyBorder="1" applyAlignment="1">
      <alignment horizontal="right"/>
    </xf>
    <xf numFmtId="2" fontId="4" fillId="0" borderId="0" xfId="12" applyNumberFormat="1" applyFont="1" applyFill="1" applyAlignment="1">
      <alignment horizontal="right"/>
    </xf>
    <xf numFmtId="2" fontId="4" fillId="0" borderId="0" xfId="12" applyNumberFormat="1" applyFont="1" applyFill="1"/>
    <xf numFmtId="0" fontId="4" fillId="0" borderId="0" xfId="0" quotePrefix="1" applyFont="1" applyFill="1" applyAlignment="1">
      <alignment horizontal="left"/>
    </xf>
    <xf numFmtId="9" fontId="9" fillId="0" borderId="0" xfId="0" applyNumberFormat="1" applyFont="1" applyFill="1"/>
    <xf numFmtId="177" fontId="9" fillId="0" borderId="0" xfId="3" applyNumberFormat="1" applyFont="1" applyFill="1"/>
    <xf numFmtId="4" fontId="9" fillId="0" borderId="0" xfId="0" quotePrefix="1" applyNumberFormat="1" applyFont="1" applyFill="1" applyAlignment="1">
      <alignment horizontal="right"/>
    </xf>
    <xf numFmtId="172" fontId="9" fillId="0" borderId="0" xfId="3" applyNumberFormat="1" applyFont="1" applyFill="1"/>
    <xf numFmtId="2" fontId="9" fillId="0" borderId="0" xfId="12" applyNumberFormat="1" applyFont="1" applyFill="1"/>
    <xf numFmtId="2" fontId="9" fillId="0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left" indent="1"/>
    </xf>
    <xf numFmtId="179" fontId="9" fillId="0" borderId="0" xfId="0" applyNumberFormat="1" applyFont="1" applyFill="1" applyAlignment="1">
      <alignment horizontal="right"/>
    </xf>
    <xf numFmtId="164" fontId="4" fillId="0" borderId="0" xfId="0" applyNumberFormat="1" applyFont="1" applyFill="1"/>
    <xf numFmtId="10" fontId="9" fillId="0" borderId="0" xfId="3" applyNumberFormat="1" applyFont="1" applyFill="1"/>
    <xf numFmtId="164" fontId="9" fillId="0" borderId="0" xfId="0" applyNumberFormat="1" applyFont="1" applyFill="1"/>
    <xf numFmtId="177" fontId="9" fillId="0" borderId="0" xfId="13" applyNumberFormat="1" applyFill="1"/>
    <xf numFmtId="172" fontId="9" fillId="0" borderId="0" xfId="13" applyNumberFormat="1" applyFill="1"/>
    <xf numFmtId="176" fontId="9" fillId="0" borderId="0" xfId="13" applyNumberFormat="1" applyFill="1"/>
    <xf numFmtId="169" fontId="9" fillId="0" borderId="0" xfId="13" applyNumberFormat="1" applyFill="1" applyAlignment="1">
      <alignment vertical="top"/>
    </xf>
    <xf numFmtId="172" fontId="9" fillId="0" borderId="0" xfId="0" applyNumberFormat="1" applyFont="1" applyFill="1" applyAlignment="1">
      <alignment horizontal="center"/>
    </xf>
    <xf numFmtId="180" fontId="9" fillId="0" borderId="0" xfId="0" applyNumberFormat="1" applyFont="1" applyFill="1" applyAlignment="1">
      <alignment horizontal="center"/>
    </xf>
    <xf numFmtId="181" fontId="9" fillId="0" borderId="0" xfId="0" applyNumberFormat="1" applyFont="1" applyFill="1" applyAlignment="1">
      <alignment horizontal="center"/>
    </xf>
    <xf numFmtId="164" fontId="17" fillId="0" borderId="0" xfId="0" quotePrefix="1" applyNumberFormat="1" applyFont="1" applyFill="1"/>
  </cellXfs>
  <cellStyles count="21">
    <cellStyle name="Comma" xfId="1" builtinId="3"/>
    <cellStyle name="Comma [0]_INTC" xfId="19" xr:uid="{C25E3AA8-1D81-46E1-8CA7-F87AAAB59D3A}"/>
    <cellStyle name="Comma 10" xfId="18" xr:uid="{C51C7263-71BE-4AD7-961B-3383DE7568B8}"/>
    <cellStyle name="Currency" xfId="2" builtinId="4"/>
    <cellStyle name="Currency 12" xfId="16" xr:uid="{62D52C4A-1003-4487-9327-F90314709E67}"/>
    <cellStyle name="Hyperlink" xfId="4" builtinId="8"/>
    <cellStyle name="Hyperlink 2" xfId="6" xr:uid="{2851BFB8-E3EA-4DBA-8460-CDBC5B8E263F}"/>
    <cellStyle name="IncomeStatement" xfId="15" xr:uid="{9736DCA4-083B-4006-9B3D-8F3BFB014D42}"/>
    <cellStyle name="Normal" xfId="0" builtinId="0"/>
    <cellStyle name="Normal 23" xfId="9" xr:uid="{97A75BC0-C394-4777-9FC9-AA781B691C1E}"/>
    <cellStyle name="Normal 24" xfId="7" xr:uid="{0E0B6BBD-D000-4ED4-93E8-FC5323668D88}"/>
    <cellStyle name="Normal 25" xfId="8" xr:uid="{716688C6-350C-4A47-B5A3-A7F4E3AF14BB}"/>
    <cellStyle name="Normal 4" xfId="10" xr:uid="{23367C01-60B5-4D3C-B6C6-7C7676FE9D7B}"/>
    <cellStyle name="Normal_AMD" xfId="13" xr:uid="{EFCA3521-1CBD-4F11-8C2C-E8AA7A9C7CE5}"/>
    <cellStyle name="Normal_INTC" xfId="14" xr:uid="{8D14C36A-1825-49B9-9541-2FC2AC1F03C7}"/>
    <cellStyle name="Normal_Request Template" xfId="5" xr:uid="{2F8C4BEC-A813-4655-A362-A6B1A80E3149}"/>
    <cellStyle name="Percent" xfId="3" builtinId="5"/>
    <cellStyle name="Percent 11" xfId="12" xr:uid="{663DECB5-DCC2-4C78-9317-3387FDD3E85C}"/>
    <cellStyle name="Percent 17" xfId="11" xr:uid="{4699786C-4879-455C-A1DE-AA4E6EA63768}"/>
    <cellStyle name="Percent 3" xfId="17" xr:uid="{A32E8AEA-EF2A-47CA-AD12-0B9953B3D832}"/>
    <cellStyle name="Shares" xfId="20" xr:uid="{880281DE-3C61-46D1-B869-69D349683E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PC CPU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0-EA58-44DA-B758-78EFAD7C2075}"/>
            </c:ext>
          </c:extLst>
        </c:ser>
        <c:ser>
          <c:idx val="6"/>
          <c:order val="1"/>
          <c:tx>
            <c:v>Server CPU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1-EA58-44DA-B758-78EFAD7C2075}"/>
            </c:ext>
          </c:extLst>
        </c:ser>
        <c:ser>
          <c:idx val="1"/>
          <c:order val="2"/>
          <c:tx>
            <c:v>Gaming GPU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solidFill>
                <a:schemeClr val="bg1"/>
              </a:solidFill>
              <a:ln>
                <a:solidFill>
                  <a:schemeClr val="bg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2-EA58-44DA-B758-78EFAD7C2075}"/>
            </c:ext>
          </c:extLst>
        </c:ser>
        <c:ser>
          <c:idx val="5"/>
          <c:order val="3"/>
          <c:tx>
            <c:v>Semi-custom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solidFill>
                <a:schemeClr val="bg1"/>
              </a:solidFill>
              <a:ln>
                <a:solidFill>
                  <a:schemeClr val="accent3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3-EA58-44DA-B758-78EFAD7C2075}"/>
            </c:ext>
          </c:extLst>
        </c:ser>
        <c:ser>
          <c:idx val="7"/>
          <c:order val="4"/>
          <c:tx>
            <c:v>Embedded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4-EA58-44DA-B758-78EFAD7C2075}"/>
            </c:ext>
          </c:extLst>
        </c:ser>
        <c:ser>
          <c:idx val="3"/>
          <c:order val="5"/>
          <c:tx>
            <c:v>Licensing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5-EA58-44DA-B758-78EFAD7C2075}"/>
            </c:ext>
          </c:extLst>
        </c:ser>
        <c:ser>
          <c:idx val="2"/>
          <c:order val="6"/>
          <c:tx>
            <c:v>Datacenter GPU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}</c:f>
            </c:multiLvlStrRef>
          </c:cat>
          <c:val>
            <c:numRef>
              <c:f>{}</c:f>
            </c:numRef>
          </c:val>
          <c:extLst>
            <c:ext xmlns:c16="http://schemas.microsoft.com/office/drawing/2014/chart" uri="{C3380CC4-5D6E-409C-BE32-E72D297353CC}">
              <c16:uniqueId val="{00000006-EA58-44DA-B758-78EFAD7C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0621008"/>
        <c:axId val="300629744"/>
      </c:barChart>
      <c:catAx>
        <c:axId val="30062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629744"/>
        <c:crosses val="autoZero"/>
        <c:auto val="1"/>
        <c:lblAlgn val="ctr"/>
        <c:lblOffset val="100"/>
        <c:noMultiLvlLbl val="0"/>
      </c:catAx>
      <c:valAx>
        <c:axId val="3006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62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38100</xdr:rowOff>
    </xdr:from>
    <xdr:to>
      <xdr:col>2</xdr:col>
      <xdr:colOff>361950</xdr:colOff>
      <xdr:row>12</xdr:row>
      <xdr:rowOff>38100</xdr:rowOff>
    </xdr:to>
    <xdr:pic>
      <xdr:nvPicPr>
        <xdr:cNvPr id="2" name="Picture 1" descr="Logo_solid_1_5in">
          <a:extLst>
            <a:ext uri="{FF2B5EF4-FFF2-40B4-BE49-F238E27FC236}">
              <a16:creationId xmlns:a16="http://schemas.microsoft.com/office/drawing/2014/main" id="{6D7A7C2E-F355-4EEB-B901-122A3C789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543050"/>
          <a:ext cx="15240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</xdr:row>
      <xdr:rowOff>28575</xdr:rowOff>
    </xdr:from>
    <xdr:to>
      <xdr:col>2</xdr:col>
      <xdr:colOff>361950</xdr:colOff>
      <xdr:row>11</xdr:row>
      <xdr:rowOff>28575</xdr:rowOff>
    </xdr:to>
    <xdr:pic>
      <xdr:nvPicPr>
        <xdr:cNvPr id="3" name="Picture 2" descr="Logo_solid_1_5in">
          <a:extLst>
            <a:ext uri="{FF2B5EF4-FFF2-40B4-BE49-F238E27FC236}">
              <a16:creationId xmlns:a16="http://schemas.microsoft.com/office/drawing/2014/main" id="{42A67D65-A96E-4F90-99FA-E713B5918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371600"/>
          <a:ext cx="15240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4</xdr:row>
      <xdr:rowOff>123825</xdr:rowOff>
    </xdr:from>
    <xdr:to>
      <xdr:col>2</xdr:col>
      <xdr:colOff>361950</xdr:colOff>
      <xdr:row>10</xdr:row>
      <xdr:rowOff>123825</xdr:rowOff>
    </xdr:to>
    <xdr:pic>
      <xdr:nvPicPr>
        <xdr:cNvPr id="4" name="Picture 3" descr="Logo_solid_1_5in">
          <a:extLst>
            <a:ext uri="{FF2B5EF4-FFF2-40B4-BE49-F238E27FC236}">
              <a16:creationId xmlns:a16="http://schemas.microsoft.com/office/drawing/2014/main" id="{373FF939-AEAB-4C69-A60F-593204A1A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304925"/>
          <a:ext cx="15240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169</xdr:col>
      <xdr:colOff>0</xdr:colOff>
      <xdr:row>414</xdr:row>
      <xdr:rowOff>0</xdr:rowOff>
    </xdr:from>
    <xdr:to>
      <xdr:col>179</xdr:col>
      <xdr:colOff>257175</xdr:colOff>
      <xdr:row>435</xdr:row>
      <xdr:rowOff>6350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B983C79-3C26-4992-9924-59E7AB5DB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0" cy="0"/>
    <xdr:sp macro="" textlink="">
      <xdr:nvSpPr>
        <xdr:cNvPr id="12" name="worksheetKey" descr="{&quot;key&quot;:&quot;worksheetKey&quot;,&quot;value&quot;:&quot;466e3175-8a53-4c3b-b162-195f95212b99&quot;}" hidden="1">
          <a:extLst>
            <a:ext uri="{FF2B5EF4-FFF2-40B4-BE49-F238E27FC236}">
              <a16:creationId xmlns:a16="http://schemas.microsoft.com/office/drawing/2014/main" id="{A060C682-1661-48A9-B6D2-670F7289A13B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9525</xdr:colOff>
          <xdr:row>0</xdr:row>
          <xdr:rowOff>9525</xdr:rowOff>
        </xdr:to>
        <xdr:sp macro="" textlink="">
          <xdr:nvSpPr>
            <xdr:cNvPr id="2" name="TrinStgClass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7BBA0781-59EF-400D-AB37-C71BFD5391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lal.kablan@gs.com" TargetMode="External"/><Relationship Id="rId7" Type="http://schemas.openxmlformats.org/officeDocument/2006/relationships/customProperty" Target="../customProperty1.bin"/><Relationship Id="rId2" Type="http://schemas.openxmlformats.org/officeDocument/2006/relationships/hyperlink" Target="mailto:anmol.makkar@gs.com" TargetMode="External"/><Relationship Id="rId1" Type="http://schemas.openxmlformats.org/officeDocument/2006/relationships/hyperlink" Target="mailto:jim.schneider@gs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khalil.fenina@gs.com" TargetMode="External"/><Relationship Id="rId4" Type="http://schemas.openxmlformats.org/officeDocument/2006/relationships/hyperlink" Target="mailto:luya.you@gs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F4AFE-D4CF-47F6-B0D6-DD77E3C2EC68}">
  <sheetPr>
    <tabColor theme="4"/>
  </sheetPr>
  <dimension ref="A1:AA31"/>
  <sheetViews>
    <sheetView showGridLines="0" tabSelected="1" workbookViewId="0"/>
  </sheetViews>
  <sheetFormatPr defaultColWidth="10.33203125" defaultRowHeight="12.75"/>
  <cols>
    <col min="1" max="3" width="10.33203125" style="370"/>
    <col min="4" max="4" width="4" style="370" customWidth="1"/>
    <col min="5" max="5" width="3.33203125" style="370" customWidth="1"/>
    <col min="6" max="6" width="14.5" style="370" customWidth="1"/>
    <col min="7" max="7" width="10.33203125" style="370"/>
    <col min="8" max="8" width="9.83203125" style="370" customWidth="1"/>
    <col min="9" max="9" width="1.33203125" style="370" customWidth="1"/>
    <col min="10" max="11" width="10.33203125" style="370"/>
    <col min="12" max="12" width="7.5" style="370" customWidth="1"/>
    <col min="13" max="13" width="10.33203125" style="370"/>
    <col min="14" max="14" width="14.5" style="370" customWidth="1"/>
    <col min="15" max="15" width="10.33203125" style="370"/>
    <col min="16" max="16" width="26.33203125" style="370" customWidth="1"/>
    <col min="17" max="16384" width="10.33203125" style="370"/>
  </cols>
  <sheetData>
    <row r="1" spans="1:16" s="4" customFormat="1" ht="33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3"/>
    </row>
    <row r="2" spans="1:16" s="4" customFormat="1" ht="33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1"/>
      <c r="P2" s="3"/>
    </row>
    <row r="3" spans="1:16" s="4" customFormat="1"/>
    <row r="4" spans="1:16" s="4" customFormat="1"/>
    <row r="5" spans="1:16" s="6" customFormat="1"/>
    <row r="6" spans="1:16" s="6" customFormat="1"/>
    <row r="7" spans="1:16" s="6" customFormat="1"/>
    <row r="8" spans="1:16" s="6" customFormat="1" ht="30">
      <c r="E8" s="438" t="s">
        <v>0</v>
      </c>
    </row>
    <row r="9" spans="1:16" s="6" customFormat="1" ht="26.25">
      <c r="E9" s="439" t="s">
        <v>1</v>
      </c>
      <c r="F9" s="439"/>
      <c r="G9" s="439"/>
      <c r="H9" s="439"/>
      <c r="I9" s="439"/>
      <c r="J9" s="439"/>
      <c r="K9" s="439"/>
      <c r="L9" s="439"/>
      <c r="M9" s="440"/>
    </row>
    <row r="10" spans="1:16" s="6" customFormat="1">
      <c r="E10" s="6" t="s">
        <v>561</v>
      </c>
      <c r="F10" s="441"/>
    </row>
    <row r="11" spans="1:16" s="6" customFormat="1"/>
    <row r="12" spans="1:16" s="6" customFormat="1"/>
    <row r="13" spans="1:16" s="6" customFormat="1"/>
    <row r="15" spans="1:16" ht="20.25">
      <c r="F15" s="371"/>
    </row>
    <row r="16" spans="1:16" ht="15.75">
      <c r="F16" s="372" t="s">
        <v>2</v>
      </c>
    </row>
    <row r="17" spans="6:27">
      <c r="F17" s="373" t="s">
        <v>3</v>
      </c>
    </row>
    <row r="18" spans="6:27">
      <c r="F18" s="370" t="s">
        <v>4</v>
      </c>
    </row>
    <row r="19" spans="6:27" ht="15">
      <c r="AA19" s="374"/>
    </row>
    <row r="20" spans="6:27" ht="15.75">
      <c r="F20" s="372" t="s">
        <v>5</v>
      </c>
    </row>
    <row r="21" spans="6:27">
      <c r="F21" s="373" t="s">
        <v>6</v>
      </c>
    </row>
    <row r="22" spans="6:27">
      <c r="F22" s="370" t="s">
        <v>7</v>
      </c>
    </row>
    <row r="23" spans="6:27" ht="15.75">
      <c r="F23" s="372"/>
    </row>
    <row r="24" spans="6:27" ht="15.75">
      <c r="F24" s="372" t="s">
        <v>8</v>
      </c>
    </row>
    <row r="25" spans="6:27">
      <c r="F25" s="375" t="s">
        <v>9</v>
      </c>
    </row>
    <row r="27" spans="6:27" ht="15.75">
      <c r="F27" s="372" t="s">
        <v>10</v>
      </c>
    </row>
    <row r="28" spans="6:27">
      <c r="F28" s="375" t="s">
        <v>11</v>
      </c>
    </row>
    <row r="30" spans="6:27" ht="15.75">
      <c r="F30" s="372" t="s">
        <v>12</v>
      </c>
    </row>
    <row r="31" spans="6:27">
      <c r="F31" s="375" t="s">
        <v>13</v>
      </c>
    </row>
  </sheetData>
  <hyperlinks>
    <hyperlink ref="F17" r:id="rId1" xr:uid="{96064BEA-DE70-41E3-8E27-FF5A995D8B7C}"/>
    <hyperlink ref="F21" r:id="rId2" xr:uid="{D3BA4FA3-1845-44D9-9040-44480F5603CC}"/>
    <hyperlink ref="F25" r:id="rId3" xr:uid="{303A07E6-D1ED-4F62-AB45-C7CE24C13CB5}"/>
    <hyperlink ref="F28" r:id="rId4" xr:uid="{D1671FE8-DCC9-44CE-8963-108B5316EF68}"/>
    <hyperlink ref="F31" r:id="rId5" xr:uid="{8629F3CA-D44C-4DCC-BF83-64DA5D66617E}"/>
  </hyperlinks>
  <pageMargins left="0.7" right="0.7" top="0.75" bottom="0.75" header="0.3" footer="0.3"/>
  <pageSetup orientation="portrait" r:id="rId6"/>
  <customProperties>
    <customPr name="Qube.Worksheet.Visibility" r:id="rId7"/>
  </customPropertie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FE9D-A4C5-4164-BF34-335CF6621530}">
  <sheetPr>
    <tabColor theme="1"/>
    <pageSetUpPr fitToPage="1"/>
  </sheetPr>
  <dimension ref="A1:IF579"/>
  <sheetViews>
    <sheetView zoomScale="110" zoomScaleNormal="110" zoomScaleSheetLayoutView="50" workbookViewId="0">
      <pane xSplit="1" ySplit="3" topLeftCell="DU4" activePane="bottomRight" state="frozen"/>
      <selection activeCell="F32" sqref="F32"/>
      <selection pane="topRight" activeCell="F32" sqref="F32"/>
      <selection pane="bottomLeft" activeCell="F32" sqref="F32"/>
      <selection pane="bottomRight"/>
    </sheetView>
  </sheetViews>
  <sheetFormatPr defaultColWidth="9.33203125" defaultRowHeight="11.25" outlineLevelRow="1" outlineLevelCol="2"/>
  <cols>
    <col min="1" max="1" width="29.1640625" style="7" customWidth="1"/>
    <col min="2" max="2" width="6" style="7" hidden="1" customWidth="1" outlineLevel="2"/>
    <col min="3" max="5" width="6.5" style="7" hidden="1" customWidth="1" outlineLevel="2"/>
    <col min="6" max="6" width="7" style="7" hidden="1" customWidth="1" outlineLevel="2"/>
    <col min="7" max="7" width="7.5" style="7" hidden="1" customWidth="1" outlineLevel="2"/>
    <col min="8" max="8" width="8" style="7" hidden="1" customWidth="1" outlineLevel="2"/>
    <col min="9" max="9" width="7" style="7" hidden="1" customWidth="1" outlineLevel="2"/>
    <col min="10" max="10" width="7.5" style="7" hidden="1" customWidth="1" outlineLevel="2"/>
    <col min="11" max="11" width="8.83203125" style="7" hidden="1" customWidth="1" outlineLevel="2"/>
    <col min="12" max="12" width="6.5" style="7" hidden="1" customWidth="1" outlineLevel="2"/>
    <col min="13" max="13" width="7" style="7" hidden="1" customWidth="1" outlineLevel="2"/>
    <col min="14" max="15" width="7.5" style="7" hidden="1" customWidth="1" outlineLevel="2"/>
    <col min="16" max="16" width="8.5" style="7" hidden="1" customWidth="1" outlineLevel="2"/>
    <col min="17" max="21" width="7.5" style="7" hidden="1" customWidth="1" outlineLevel="2"/>
    <col min="22" max="23" width="8.5" style="7" hidden="1" customWidth="1" outlineLevel="2"/>
    <col min="24" max="24" width="7.5" style="7" hidden="1" customWidth="1" outlineLevel="2"/>
    <col min="25" max="25" width="8" style="7" hidden="1" customWidth="1" outlineLevel="2"/>
    <col min="26" max="26" width="7.5" style="7" hidden="1" customWidth="1" outlineLevel="2"/>
    <col min="27" max="27" width="7" style="7" hidden="1" customWidth="1" outlineLevel="2"/>
    <col min="28" max="28" width="9.5" style="7" hidden="1" customWidth="1" outlineLevel="2"/>
    <col min="29" max="29" width="7.5" style="7" hidden="1" customWidth="1" outlineLevel="2"/>
    <col min="30" max="34" width="7.5" style="7" hidden="1" customWidth="1" outlineLevel="1"/>
    <col min="35" max="35" width="7.1640625" style="7" hidden="1" customWidth="1" outlineLevel="1"/>
    <col min="36" max="36" width="8.5" style="7" hidden="1" customWidth="1" outlineLevel="1"/>
    <col min="37" max="37" width="7.5" style="7" hidden="1" customWidth="1" outlineLevel="1"/>
    <col min="38" max="38" width="8" style="7" hidden="1" customWidth="1" outlineLevel="1"/>
    <col min="39" max="40" width="8.5" style="7" hidden="1" customWidth="1" outlineLevel="1"/>
    <col min="41" max="41" width="8" style="7" hidden="1" customWidth="1" outlineLevel="1"/>
    <col min="42" max="42" width="7.5" style="7" hidden="1" customWidth="1" outlineLevel="1"/>
    <col min="43" max="43" width="7.1640625" style="7" hidden="1" customWidth="1" outlineLevel="1"/>
    <col min="44" max="51" width="7.5" style="7" hidden="1" customWidth="1" outlineLevel="1"/>
    <col min="52" max="52" width="8.5" style="7" hidden="1" customWidth="1" outlineLevel="1"/>
    <col min="53" max="53" width="8" style="7" hidden="1" customWidth="1" outlineLevel="1"/>
    <col min="54" max="55" width="8.5" style="7" hidden="1" customWidth="1" outlineLevel="1"/>
    <col min="56" max="57" width="7.5" style="7" hidden="1" customWidth="1" outlineLevel="1"/>
    <col min="58" max="58" width="8.5" style="7" hidden="1" customWidth="1" outlineLevel="1"/>
    <col min="59" max="61" width="7.5" style="7" hidden="1" customWidth="1" outlineLevel="1"/>
    <col min="62" max="62" width="8" style="7" hidden="1" customWidth="1" outlineLevel="1"/>
    <col min="63" max="64" width="7.5" style="7" hidden="1" customWidth="1" outlineLevel="1"/>
    <col min="65" max="65" width="8" style="7" hidden="1" customWidth="1" outlineLevel="1"/>
    <col min="66" max="66" width="7.5" style="7" hidden="1" customWidth="1" outlineLevel="1"/>
    <col min="67" max="67" width="7.1640625" style="7" hidden="1" customWidth="1" outlineLevel="1"/>
    <col min="68" max="69" width="7.5" style="7" hidden="1" customWidth="1" outlineLevel="1"/>
    <col min="70" max="70" width="8" style="7" hidden="1" customWidth="1" outlineLevel="1"/>
    <col min="71" max="72" width="9" style="7" hidden="1" customWidth="1" outlineLevel="1"/>
    <col min="73" max="73" width="8.5" style="7" hidden="1" customWidth="1" outlineLevel="1"/>
    <col min="74" max="75" width="8" style="7" hidden="1" customWidth="1" outlineLevel="1"/>
    <col min="76" max="76" width="9" style="7" hidden="1" customWidth="1" outlineLevel="1"/>
    <col min="77" max="77" width="8" style="7" hidden="1" customWidth="1" outlineLevel="1"/>
    <col min="78" max="78" width="8.5" style="7" hidden="1" customWidth="1" outlineLevel="1"/>
    <col min="79" max="83" width="8" style="7" hidden="1" customWidth="1" outlineLevel="1"/>
    <col min="84" max="85" width="8.5" style="7" hidden="1" customWidth="1" outlineLevel="1"/>
    <col min="86" max="87" width="8" style="7" hidden="1" customWidth="1" outlineLevel="1"/>
    <col min="88" max="88" width="7.5" style="7" hidden="1" customWidth="1" outlineLevel="1"/>
    <col min="89" max="90" width="8.5" style="7" hidden="1" customWidth="1" outlineLevel="1"/>
    <col min="91" max="91" width="8" style="7" hidden="1" customWidth="1" outlineLevel="1"/>
    <col min="92" max="93" width="7.5" style="7" hidden="1" customWidth="1" outlineLevel="1"/>
    <col min="94" max="94" width="8" style="7" hidden="1" customWidth="1" outlineLevel="1"/>
    <col min="95" max="95" width="7.5" style="7" hidden="1" customWidth="1" outlineLevel="1"/>
    <col min="96" max="96" width="8" style="7" hidden="1" customWidth="1" outlineLevel="1"/>
    <col min="97" max="97" width="7.5" style="7" hidden="1" customWidth="1" outlineLevel="1"/>
    <col min="98" max="98" width="7.5" style="8" hidden="1" customWidth="1" outlineLevel="1"/>
    <col min="99" max="99" width="8" style="8" hidden="1" customWidth="1" outlineLevel="1"/>
    <col min="100" max="101" width="8.5" style="8" hidden="1" customWidth="1" outlineLevel="1"/>
    <col min="102" max="103" width="8" style="8" hidden="1" customWidth="1" outlineLevel="1"/>
    <col min="104" max="105" width="7.5" style="8" hidden="1" customWidth="1" outlineLevel="1"/>
    <col min="106" max="106" width="8" style="8" bestFit="1" customWidth="1" collapsed="1"/>
    <col min="107" max="107" width="7.5" style="8" bestFit="1" customWidth="1"/>
    <col min="108" max="108" width="7.1640625" style="8" bestFit="1" customWidth="1"/>
    <col min="109" max="109" width="8" style="8" bestFit="1" customWidth="1"/>
    <col min="110" max="110" width="8.5" style="8" bestFit="1" customWidth="1"/>
    <col min="111" max="111" width="8" style="8" bestFit="1" customWidth="1"/>
    <col min="112" max="113" width="7.5" style="8" bestFit="1" customWidth="1"/>
    <col min="114" max="114" width="8.83203125" style="21" bestFit="1" customWidth="1"/>
    <col min="115" max="115" width="8" style="21" customWidth="1"/>
    <col min="116" max="116" width="7.1640625" style="21" bestFit="1" customWidth="1"/>
    <col min="117" max="117" width="7.5" style="21" bestFit="1" customWidth="1"/>
    <col min="118" max="118" width="8" style="21" bestFit="1" customWidth="1"/>
    <col min="119" max="119" width="8.83203125" style="21" bestFit="1" customWidth="1"/>
    <col min="120" max="122" width="8" style="21" bestFit="1" customWidth="1"/>
    <col min="123" max="127" width="8" style="21" customWidth="1"/>
    <col min="128" max="129" width="8" style="8" customWidth="1"/>
    <col min="130" max="131" width="7.83203125" style="8" customWidth="1"/>
    <col min="132" max="137" width="7.1640625" style="8" customWidth="1"/>
    <col min="138" max="138" width="7.5" style="8" customWidth="1"/>
    <col min="139" max="139" width="8.33203125" style="8" customWidth="1"/>
    <col min="140" max="143" width="7.5" style="8" customWidth="1"/>
    <col min="144" max="144" width="8" style="8" customWidth="1"/>
    <col min="145" max="147" width="7.5" style="8" customWidth="1"/>
    <col min="148" max="150" width="8" style="8" customWidth="1"/>
    <col min="151" max="153" width="8.5" style="8" bestFit="1" customWidth="1"/>
    <col min="154" max="154" width="2" style="7" customWidth="1"/>
    <col min="155" max="155" width="1.83203125" style="7" customWidth="1"/>
    <col min="156" max="156" width="6.33203125" style="7" hidden="1" customWidth="1" outlineLevel="1"/>
    <col min="157" max="157" width="7" style="7" hidden="1" customWidth="1" outlineLevel="1"/>
    <col min="158" max="163" width="8" style="7" hidden="1" customWidth="1" outlineLevel="1"/>
    <col min="164" max="164" width="9.6640625" style="7" hidden="1" customWidth="1" outlineLevel="1"/>
    <col min="165" max="165" width="9" style="7" hidden="1" customWidth="1" outlineLevel="1"/>
    <col min="166" max="168" width="8" style="7" hidden="1" customWidth="1" outlineLevel="1"/>
    <col min="169" max="170" width="7.6640625" style="7" hidden="1" customWidth="1" outlineLevel="1"/>
    <col min="171" max="171" width="8" style="7" hidden="1" customWidth="1" outlineLevel="1"/>
    <col min="172" max="173" width="7.6640625" style="7" hidden="1" customWidth="1" outlineLevel="1"/>
    <col min="174" max="175" width="8.6640625" style="7" hidden="1" customWidth="1" outlineLevel="1"/>
    <col min="176" max="176" width="8" style="7" hidden="1" customWidth="1" outlineLevel="1"/>
    <col min="177" max="177" width="8.33203125" style="7" hidden="1" customWidth="1" outlineLevel="1" collapsed="1"/>
    <col min="178" max="179" width="8" style="7" hidden="1" customWidth="1" outlineLevel="1"/>
    <col min="180" max="180" width="7.6640625" style="7" hidden="1" customWidth="1" outlineLevel="1" collapsed="1"/>
    <col min="181" max="181" width="7.6640625" style="7" hidden="1" customWidth="1" outlineLevel="1"/>
    <col min="182" max="182" width="7.6640625" style="7" hidden="1" customWidth="1" outlineLevel="1" collapsed="1"/>
    <col min="183" max="183" width="7.5" style="7" hidden="1" customWidth="1" outlineLevel="1"/>
    <col min="184" max="184" width="10.5" style="7" hidden="1" customWidth="1" outlineLevel="1"/>
    <col min="185" max="185" width="8.6640625" style="7" hidden="1" customWidth="1" outlineLevel="1"/>
    <col min="186" max="186" width="7.6640625" style="7" hidden="1" customWidth="1" outlineLevel="1"/>
    <col min="187" max="187" width="7.6640625" style="7" bestFit="1" customWidth="1" collapsed="1"/>
    <col min="188" max="188" width="7.6640625" style="7" bestFit="1" customWidth="1"/>
    <col min="189" max="189" width="7.83203125" style="7" bestFit="1" customWidth="1"/>
    <col min="190" max="192" width="7.5" style="7" bestFit="1" customWidth="1"/>
    <col min="193" max="193" width="8.5" style="7" bestFit="1" customWidth="1"/>
    <col min="194" max="195" width="2.33203125" style="7" customWidth="1"/>
    <col min="197" max="200" width="9.33203125" style="7"/>
    <col min="201" max="201" width="13" style="7" bestFit="1" customWidth="1"/>
    <col min="202" max="213" width="9.33203125" style="7"/>
    <col min="214" max="214" width="10.33203125" style="7" bestFit="1" customWidth="1"/>
    <col min="215" max="16384" width="9.33203125" style="7"/>
  </cols>
  <sheetData>
    <row r="1" spans="1:196">
      <c r="DE1" s="9"/>
      <c r="DF1" s="9"/>
      <c r="DG1" s="10"/>
      <c r="DI1" s="11"/>
      <c r="DJ1" s="12"/>
      <c r="DK1" s="13"/>
      <c r="DL1" s="14"/>
      <c r="DM1" s="15"/>
      <c r="DN1" s="16"/>
      <c r="DO1" s="17"/>
      <c r="DP1" s="17"/>
      <c r="DQ1" s="17"/>
      <c r="DR1" s="17"/>
      <c r="DS1" s="18"/>
      <c r="DT1" s="19"/>
      <c r="DU1" s="20"/>
      <c r="DX1" s="22"/>
      <c r="DY1" s="22"/>
      <c r="DZ1" s="22"/>
      <c r="EA1" s="22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GA1" s="23"/>
      <c r="GB1" s="23"/>
      <c r="GC1" s="24"/>
      <c r="GD1" s="24"/>
      <c r="GE1" s="24"/>
      <c r="GF1" s="24"/>
      <c r="GG1" s="25"/>
      <c r="GH1" s="25"/>
      <c r="GI1" s="25"/>
      <c r="GJ1" s="25"/>
      <c r="GK1" s="25"/>
      <c r="GN1" s="7"/>
    </row>
    <row r="2" spans="1:196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8"/>
      <c r="DF2" s="29"/>
      <c r="DG2" s="29"/>
      <c r="DH2" s="30"/>
      <c r="DI2" s="30"/>
      <c r="DJ2" s="29"/>
      <c r="DK2" s="31"/>
      <c r="DL2" s="32"/>
      <c r="DM2" s="29"/>
      <c r="DN2" s="29"/>
      <c r="DO2" s="33"/>
      <c r="DP2" s="34"/>
      <c r="DQ2" s="14"/>
      <c r="DR2" s="35"/>
      <c r="DS2" s="35"/>
      <c r="DT2" s="36"/>
      <c r="DU2" s="28"/>
      <c r="DX2"/>
      <c r="DY2" s="22"/>
      <c r="DZ2" s="22"/>
      <c r="EA2" s="22"/>
      <c r="EB2"/>
      <c r="EC2"/>
      <c r="ED2" s="37"/>
      <c r="EE2" s="37"/>
      <c r="EF2" s="37"/>
      <c r="EG2"/>
      <c r="EH2"/>
      <c r="EI2"/>
      <c r="EJ2"/>
      <c r="EK2"/>
      <c r="EL2"/>
      <c r="EM2"/>
      <c r="EN2"/>
      <c r="EO2"/>
      <c r="EP2"/>
      <c r="EQ2"/>
      <c r="ER2"/>
      <c r="ES2"/>
      <c r="ET2" s="38"/>
      <c r="EU2" s="38"/>
      <c r="EV2" s="38"/>
      <c r="EW2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39"/>
      <c r="GB2" s="39"/>
      <c r="GC2" s="40"/>
      <c r="GD2" s="40"/>
      <c r="GE2" s="40"/>
      <c r="GF2" s="40"/>
      <c r="GG2" s="40"/>
      <c r="GH2" s="40"/>
      <c r="GI2" s="40"/>
      <c r="GJ2" s="40"/>
      <c r="GK2" s="40"/>
      <c r="GN2" s="7"/>
    </row>
    <row r="3" spans="1:196" ht="11.25" customHeight="1">
      <c r="A3" s="41" t="s">
        <v>14</v>
      </c>
      <c r="B3" s="42" t="s">
        <v>15</v>
      </c>
      <c r="C3" s="42" t="s">
        <v>16</v>
      </c>
      <c r="D3" s="42" t="s">
        <v>17</v>
      </c>
      <c r="E3" s="42" t="s">
        <v>18</v>
      </c>
      <c r="F3" s="42" t="s">
        <v>19</v>
      </c>
      <c r="G3" s="42" t="s">
        <v>20</v>
      </c>
      <c r="H3" s="42" t="s">
        <v>21</v>
      </c>
      <c r="I3" s="42" t="s">
        <v>22</v>
      </c>
      <c r="J3" s="42" t="s">
        <v>23</v>
      </c>
      <c r="K3" s="42" t="s">
        <v>24</v>
      </c>
      <c r="L3" s="42" t="s">
        <v>25</v>
      </c>
      <c r="M3" s="42" t="s">
        <v>26</v>
      </c>
      <c r="N3" s="42" t="s">
        <v>27</v>
      </c>
      <c r="O3" s="42" t="s">
        <v>28</v>
      </c>
      <c r="P3" s="42" t="s">
        <v>29</v>
      </c>
      <c r="Q3" s="42" t="s">
        <v>30</v>
      </c>
      <c r="R3" s="42" t="s">
        <v>31</v>
      </c>
      <c r="S3" s="42" t="s">
        <v>32</v>
      </c>
      <c r="T3" s="42" t="s">
        <v>33</v>
      </c>
      <c r="U3" s="42" t="s">
        <v>34</v>
      </c>
      <c r="V3" s="42" t="s">
        <v>35</v>
      </c>
      <c r="W3" s="42" t="s">
        <v>36</v>
      </c>
      <c r="X3" s="42" t="s">
        <v>37</v>
      </c>
      <c r="Y3" s="42" t="s">
        <v>38</v>
      </c>
      <c r="Z3" s="42" t="s">
        <v>39</v>
      </c>
      <c r="AA3" s="42" t="s">
        <v>40</v>
      </c>
      <c r="AB3" s="42" t="s">
        <v>41</v>
      </c>
      <c r="AC3" s="42" t="s">
        <v>42</v>
      </c>
      <c r="AD3" s="42" t="s">
        <v>43</v>
      </c>
      <c r="AE3" s="42" t="s">
        <v>44</v>
      </c>
      <c r="AF3" s="42" t="s">
        <v>45</v>
      </c>
      <c r="AG3" s="42" t="s">
        <v>46</v>
      </c>
      <c r="AH3" s="42" t="s">
        <v>47</v>
      </c>
      <c r="AI3" s="42" t="s">
        <v>48</v>
      </c>
      <c r="AJ3" s="42" t="s">
        <v>49</v>
      </c>
      <c r="AK3" s="42" t="s">
        <v>50</v>
      </c>
      <c r="AL3" s="42" t="s">
        <v>51</v>
      </c>
      <c r="AM3" s="42" t="s">
        <v>52</v>
      </c>
      <c r="AN3" s="42" t="s">
        <v>53</v>
      </c>
      <c r="AO3" s="42" t="s">
        <v>54</v>
      </c>
      <c r="AP3" s="42" t="s">
        <v>55</v>
      </c>
      <c r="AQ3" s="42" t="s">
        <v>56</v>
      </c>
      <c r="AR3" s="42" t="s">
        <v>57</v>
      </c>
      <c r="AS3" s="42" t="s">
        <v>58</v>
      </c>
      <c r="AT3" s="42" t="s">
        <v>59</v>
      </c>
      <c r="AU3" s="42" t="s">
        <v>60</v>
      </c>
      <c r="AV3" s="42" t="s">
        <v>61</v>
      </c>
      <c r="AW3" s="42" t="s">
        <v>62</v>
      </c>
      <c r="AX3" s="42" t="s">
        <v>63</v>
      </c>
      <c r="AY3" s="42" t="s">
        <v>64</v>
      </c>
      <c r="AZ3" s="42" t="s">
        <v>65</v>
      </c>
      <c r="BA3" s="42" t="s">
        <v>66</v>
      </c>
      <c r="BB3" s="42" t="s">
        <v>67</v>
      </c>
      <c r="BC3" s="42" t="s">
        <v>68</v>
      </c>
      <c r="BD3" s="42" t="s">
        <v>69</v>
      </c>
      <c r="BE3" s="42" t="s">
        <v>70</v>
      </c>
      <c r="BF3" s="42" t="s">
        <v>71</v>
      </c>
      <c r="BG3" s="42" t="s">
        <v>72</v>
      </c>
      <c r="BH3" s="42" t="s">
        <v>73</v>
      </c>
      <c r="BI3" s="42" t="s">
        <v>74</v>
      </c>
      <c r="BJ3" s="42" t="s">
        <v>75</v>
      </c>
      <c r="BK3" s="42" t="s">
        <v>76</v>
      </c>
      <c r="BL3" s="42" t="s">
        <v>77</v>
      </c>
      <c r="BM3" s="42" t="s">
        <v>78</v>
      </c>
      <c r="BN3" s="42" t="s">
        <v>79</v>
      </c>
      <c r="BO3" s="42" t="s">
        <v>80</v>
      </c>
      <c r="BP3" s="42" t="s">
        <v>81</v>
      </c>
      <c r="BQ3" s="42" t="s">
        <v>82</v>
      </c>
      <c r="BR3" s="42" t="s">
        <v>83</v>
      </c>
      <c r="BS3" s="42" t="s">
        <v>84</v>
      </c>
      <c r="BT3" s="42" t="s">
        <v>85</v>
      </c>
      <c r="BU3" s="42" t="s">
        <v>86</v>
      </c>
      <c r="BV3" s="42" t="s">
        <v>87</v>
      </c>
      <c r="BW3" s="42" t="s">
        <v>88</v>
      </c>
      <c r="BX3" s="42" t="s">
        <v>89</v>
      </c>
      <c r="BY3" s="42" t="s">
        <v>90</v>
      </c>
      <c r="BZ3" s="42" t="s">
        <v>91</v>
      </c>
      <c r="CA3" s="42" t="s">
        <v>92</v>
      </c>
      <c r="CB3" s="42" t="s">
        <v>93</v>
      </c>
      <c r="CC3" s="42" t="s">
        <v>94</v>
      </c>
      <c r="CD3" s="42" t="s">
        <v>95</v>
      </c>
      <c r="CE3" s="42" t="s">
        <v>96</v>
      </c>
      <c r="CF3" s="42" t="s">
        <v>97</v>
      </c>
      <c r="CG3" s="42" t="s">
        <v>98</v>
      </c>
      <c r="CH3" s="42" t="s">
        <v>99</v>
      </c>
      <c r="CI3" s="42" t="s">
        <v>100</v>
      </c>
      <c r="CJ3" s="42" t="s">
        <v>101</v>
      </c>
      <c r="CK3" s="42" t="s">
        <v>102</v>
      </c>
      <c r="CL3" s="42" t="s">
        <v>103</v>
      </c>
      <c r="CM3" s="42" t="s">
        <v>104</v>
      </c>
      <c r="CN3" s="42" t="s">
        <v>105</v>
      </c>
      <c r="CO3" s="42" t="s">
        <v>106</v>
      </c>
      <c r="CP3" s="42" t="s">
        <v>107</v>
      </c>
      <c r="CQ3" s="42" t="s">
        <v>108</v>
      </c>
      <c r="CR3" s="42" t="s">
        <v>109</v>
      </c>
      <c r="CS3" s="42" t="s">
        <v>110</v>
      </c>
      <c r="CT3" s="42" t="s">
        <v>111</v>
      </c>
      <c r="CU3" s="42" t="s">
        <v>112</v>
      </c>
      <c r="CV3" s="42" t="s">
        <v>113</v>
      </c>
      <c r="CW3" s="42" t="s">
        <v>114</v>
      </c>
      <c r="CX3" s="42" t="s">
        <v>115</v>
      </c>
      <c r="CY3" s="42" t="s">
        <v>116</v>
      </c>
      <c r="CZ3" s="42" t="s">
        <v>117</v>
      </c>
      <c r="DA3" s="42" t="s">
        <v>118</v>
      </c>
      <c r="DB3" s="42" t="s">
        <v>119</v>
      </c>
      <c r="DC3" s="42" t="s">
        <v>120</v>
      </c>
      <c r="DD3" s="42" t="s">
        <v>121</v>
      </c>
      <c r="DE3" s="42" t="s">
        <v>122</v>
      </c>
      <c r="DF3" s="42" t="s">
        <v>123</v>
      </c>
      <c r="DG3" s="42" t="s">
        <v>124</v>
      </c>
      <c r="DH3" s="42" t="s">
        <v>125</v>
      </c>
      <c r="DI3" s="42" t="s">
        <v>126</v>
      </c>
      <c r="DJ3" s="42" t="s">
        <v>127</v>
      </c>
      <c r="DK3" s="42" t="s">
        <v>128</v>
      </c>
      <c r="DL3" s="42" t="s">
        <v>129</v>
      </c>
      <c r="DM3" s="42" t="s">
        <v>130</v>
      </c>
      <c r="DN3" s="42" t="s">
        <v>131</v>
      </c>
      <c r="DO3" s="42" t="s">
        <v>132</v>
      </c>
      <c r="DP3" s="42" t="s">
        <v>133</v>
      </c>
      <c r="DQ3" s="42" t="s">
        <v>134</v>
      </c>
      <c r="DR3" s="42" t="s">
        <v>135</v>
      </c>
      <c r="DS3" s="42" t="s">
        <v>136</v>
      </c>
      <c r="DT3" s="42" t="s">
        <v>137</v>
      </c>
      <c r="DU3" s="42" t="s">
        <v>138</v>
      </c>
      <c r="DV3" s="42" t="s">
        <v>139</v>
      </c>
      <c r="DW3" s="42" t="s">
        <v>140</v>
      </c>
      <c r="DX3" s="42" t="s">
        <v>141</v>
      </c>
      <c r="DY3" s="42" t="s">
        <v>142</v>
      </c>
      <c r="DZ3" s="42" t="s">
        <v>143</v>
      </c>
      <c r="EA3" s="42" t="s">
        <v>144</v>
      </c>
      <c r="EB3" s="42" t="s">
        <v>145</v>
      </c>
      <c r="EC3" s="42" t="s">
        <v>146</v>
      </c>
      <c r="ED3" s="42" t="s">
        <v>147</v>
      </c>
      <c r="EE3" s="42" t="s">
        <v>148</v>
      </c>
      <c r="EF3" s="42" t="s">
        <v>149</v>
      </c>
      <c r="EG3" s="42" t="s">
        <v>150</v>
      </c>
      <c r="EH3" s="42" t="s">
        <v>151</v>
      </c>
      <c r="EI3" s="42" t="s">
        <v>152</v>
      </c>
      <c r="EJ3" s="42" t="s">
        <v>153</v>
      </c>
      <c r="EK3" s="42" t="s">
        <v>154</v>
      </c>
      <c r="EL3" s="42" t="s">
        <v>155</v>
      </c>
      <c r="EM3" s="42" t="s">
        <v>156</v>
      </c>
      <c r="EN3" s="42" t="s">
        <v>157</v>
      </c>
      <c r="EO3" s="42" t="s">
        <v>158</v>
      </c>
      <c r="EP3" s="42" t="s">
        <v>159</v>
      </c>
      <c r="EQ3" s="42" t="s">
        <v>160</v>
      </c>
      <c r="ER3" s="42" t="s">
        <v>161</v>
      </c>
      <c r="ES3" s="42" t="s">
        <v>162</v>
      </c>
      <c r="ET3" s="42" t="s">
        <v>163</v>
      </c>
      <c r="EU3" s="42" t="s">
        <v>164</v>
      </c>
      <c r="EV3" s="42" t="s">
        <v>165</v>
      </c>
      <c r="EW3" s="42" t="s">
        <v>166</v>
      </c>
      <c r="EX3" s="43"/>
      <c r="EY3" s="43"/>
      <c r="EZ3" s="44" t="s">
        <v>167</v>
      </c>
      <c r="FA3" s="44" t="s">
        <v>168</v>
      </c>
      <c r="FB3" s="44" t="s">
        <v>169</v>
      </c>
      <c r="FC3" s="44" t="s">
        <v>170</v>
      </c>
      <c r="FD3" s="44" t="s">
        <v>171</v>
      </c>
      <c r="FE3" s="44" t="s">
        <v>172</v>
      </c>
      <c r="FF3" s="44" t="s">
        <v>173</v>
      </c>
      <c r="FG3" s="44" t="s">
        <v>174</v>
      </c>
      <c r="FH3" s="44" t="s">
        <v>175</v>
      </c>
      <c r="FI3" s="44" t="s">
        <v>176</v>
      </c>
      <c r="FJ3" s="44" t="s">
        <v>177</v>
      </c>
      <c r="FK3" s="44" t="s">
        <v>178</v>
      </c>
      <c r="FL3" s="44" t="s">
        <v>179</v>
      </c>
      <c r="FM3" s="44" t="s">
        <v>180</v>
      </c>
      <c r="FN3" s="44" t="s">
        <v>181</v>
      </c>
      <c r="FO3" s="44" t="s">
        <v>182</v>
      </c>
      <c r="FP3" s="44" t="s">
        <v>183</v>
      </c>
      <c r="FQ3" s="44" t="s">
        <v>184</v>
      </c>
      <c r="FR3" s="44" t="s">
        <v>185</v>
      </c>
      <c r="FS3" s="44" t="s">
        <v>186</v>
      </c>
      <c r="FT3" s="44" t="s">
        <v>187</v>
      </c>
      <c r="FU3" s="44" t="s">
        <v>188</v>
      </c>
      <c r="FV3" s="44" t="s">
        <v>189</v>
      </c>
      <c r="FW3" s="44" t="s">
        <v>190</v>
      </c>
      <c r="FX3" s="42">
        <v>2017</v>
      </c>
      <c r="FY3" s="42">
        <v>2018</v>
      </c>
      <c r="FZ3" s="42">
        <v>2019</v>
      </c>
      <c r="GA3" s="44" t="s">
        <v>191</v>
      </c>
      <c r="GB3" s="44">
        <v>2021</v>
      </c>
      <c r="GC3" s="42">
        <v>2022</v>
      </c>
      <c r="GD3" s="42">
        <v>2023</v>
      </c>
      <c r="GE3" s="42">
        <v>2024</v>
      </c>
      <c r="GF3" s="42">
        <v>2025</v>
      </c>
      <c r="GG3" s="42" t="s">
        <v>192</v>
      </c>
      <c r="GH3" s="42" t="s">
        <v>193</v>
      </c>
      <c r="GI3" s="42" t="s">
        <v>194</v>
      </c>
      <c r="GJ3" s="42" t="s">
        <v>195</v>
      </c>
      <c r="GK3" s="42" t="s">
        <v>196</v>
      </c>
      <c r="GN3" s="7"/>
    </row>
    <row r="4" spans="1:196" s="379" customFormat="1">
      <c r="A4" s="376" t="s">
        <v>197</v>
      </c>
      <c r="B4" s="377">
        <f>AMD!AF9</f>
        <v>407.43299999999999</v>
      </c>
      <c r="C4" s="377">
        <f>AMD!AG9</f>
        <v>409.09199999999998</v>
      </c>
      <c r="D4" s="377">
        <f>AMD!AH9</f>
        <v>418.351</v>
      </c>
      <c r="E4" s="377">
        <f>AMD!AI9</f>
        <v>413.404</v>
      </c>
      <c r="F4" s="377">
        <f>AMD!AK9</f>
        <v>513.08000000000004</v>
      </c>
      <c r="G4" s="377">
        <f>AMD!AL9</f>
        <v>533.29700000000003</v>
      </c>
      <c r="H4" s="377">
        <f>AMD!AM9</f>
        <v>543.11400000000003</v>
      </c>
      <c r="I4" s="377">
        <f>AMD!AN9</f>
        <v>545.16800000000001</v>
      </c>
      <c r="J4" s="377">
        <f>AMD!AP9</f>
        <v>620.096</v>
      </c>
      <c r="K4" s="377">
        <f>AMD!AQ9</f>
        <v>626.21400000000006</v>
      </c>
      <c r="L4" s="377">
        <f>AMD!AR9</f>
        <v>590.38499999999999</v>
      </c>
      <c r="M4" s="377">
        <f>AMD!AS9</f>
        <v>593.029</v>
      </c>
      <c r="N4" s="377">
        <f>AMD!AU9</f>
        <v>544.21199999999999</v>
      </c>
      <c r="O4" s="377">
        <f>AMD!AV9</f>
        <v>455.077</v>
      </c>
      <c r="P4" s="377">
        <f>AMD!AW9</f>
        <v>456.86200000000002</v>
      </c>
      <c r="Q4" s="377">
        <f>AMD!AX9</f>
        <v>496.86799999999999</v>
      </c>
      <c r="R4" s="377">
        <f>AMD!AZ9</f>
        <v>551.99900000000002</v>
      </c>
      <c r="S4" s="377">
        <f>AMD!BA9</f>
        <v>594.56100000000004</v>
      </c>
      <c r="T4" s="377">
        <f>AMD!BB9</f>
        <v>596.64400000000001</v>
      </c>
      <c r="U4" s="377">
        <f>AMD!BC9</f>
        <v>613.17100000000005</v>
      </c>
      <c r="V4" s="377">
        <f>AMD!BE9</f>
        <v>540.85599999999999</v>
      </c>
      <c r="W4" s="377">
        <f>AMD!BF9</f>
        <v>526.53800000000001</v>
      </c>
      <c r="X4" s="377">
        <f>AMD!BG9</f>
        <v>685.92700000000002</v>
      </c>
      <c r="Y4" s="377">
        <f>AMD!BH9</f>
        <v>788.82</v>
      </c>
      <c r="Z4" s="377">
        <f>AMD!BJ9</f>
        <v>631.59299999999996</v>
      </c>
      <c r="AA4" s="377">
        <f>AMD!BK9</f>
        <v>595.10900000000004</v>
      </c>
      <c r="AB4" s="377">
        <f>AMD!BL9</f>
        <v>662.19200000000001</v>
      </c>
      <c r="AC4" s="377">
        <f>AMD!BM9</f>
        <v>968.71</v>
      </c>
      <c r="AD4" s="377">
        <f>AMD!BO9</f>
        <v>1092.029</v>
      </c>
      <c r="AE4" s="377">
        <f>AMD!BP9</f>
        <v>1170.4369999999999</v>
      </c>
      <c r="AF4" s="377">
        <f>AMD!BQ9</f>
        <v>1206.549</v>
      </c>
      <c r="AG4" s="377">
        <f>AMD!BR9</f>
        <v>1175.172</v>
      </c>
      <c r="AH4" s="377">
        <f>AMD!BT9</f>
        <v>1188.7470000000001</v>
      </c>
      <c r="AI4" s="377">
        <f>AMD!BU9</f>
        <v>985.26400000000001</v>
      </c>
      <c r="AJ4" s="377">
        <f>AMD!BV9</f>
        <v>765.87</v>
      </c>
      <c r="AK4" s="377">
        <f>AMD!BW9</f>
        <v>951.87300000000005</v>
      </c>
      <c r="AL4" s="377">
        <f>AMD!BY9</f>
        <v>902.07299999999998</v>
      </c>
      <c r="AM4" s="377">
        <f>AMD!BZ9</f>
        <v>600.29899999999998</v>
      </c>
      <c r="AN4" s="377">
        <f>AMD!CA9</f>
        <v>508.22699999999998</v>
      </c>
      <c r="AO4" s="377">
        <f>AMD!CB9</f>
        <v>686.43</v>
      </c>
      <c r="AP4" s="377">
        <f>AMD!CD9</f>
        <v>714.55499999999995</v>
      </c>
      <c r="AQ4" s="377">
        <f>AMD!CE9</f>
        <v>645.26099999999997</v>
      </c>
      <c r="AR4" s="377">
        <f>AMD!CF9</f>
        <v>953.75900000000001</v>
      </c>
      <c r="AS4" s="377">
        <f>AMD!CG9</f>
        <v>1205.5930000000001</v>
      </c>
      <c r="AT4" s="377">
        <f>AMD!CI9</f>
        <v>1236.433</v>
      </c>
      <c r="AU4" s="377">
        <f>AMD!CJ9</f>
        <v>1261.837</v>
      </c>
      <c r="AV4" s="377">
        <f>AMD!CK9</f>
        <v>1239.4590000000001</v>
      </c>
      <c r="AW4" s="377">
        <f>AMD!CL9</f>
        <v>1263.7059999999999</v>
      </c>
      <c r="AX4" s="377">
        <f>AMD!CN9</f>
        <v>1226.6279999999999</v>
      </c>
      <c r="AY4" s="377">
        <f>AMD!CO9</f>
        <v>1259.9179999999999</v>
      </c>
      <c r="AZ4" s="377">
        <f>AMD!CP9</f>
        <v>1522.7550000000001</v>
      </c>
      <c r="BA4" s="377">
        <f>AMD!CQ9</f>
        <v>1838.2760000000001</v>
      </c>
      <c r="BB4" s="377">
        <f>AMD!CS9</f>
        <v>1332.1579999999999</v>
      </c>
      <c r="BC4" s="377">
        <f>AMD!CT9</f>
        <v>1216.367</v>
      </c>
      <c r="BD4" s="377">
        <f>AMD!CU9</f>
        <v>1327.6220000000001</v>
      </c>
      <c r="BE4" s="377">
        <f>AMD!CV9</f>
        <v>1773</v>
      </c>
      <c r="BF4" s="377">
        <f>AMD!CX9</f>
        <v>1233</v>
      </c>
      <c r="BG4" s="377">
        <f>AMD!CY9</f>
        <v>1378</v>
      </c>
      <c r="BH4" s="377">
        <f>AMD!CZ9</f>
        <v>1632</v>
      </c>
      <c r="BI4" s="377">
        <f>AMD!DA9</f>
        <v>1770</v>
      </c>
      <c r="BJ4" s="377">
        <f>AMD!DC9</f>
        <v>1505</v>
      </c>
      <c r="BK4" s="377">
        <f>AMD!DD9</f>
        <v>1349</v>
      </c>
      <c r="BL4" s="377">
        <f>AMD!DE9</f>
        <v>1606</v>
      </c>
      <c r="BM4" s="377">
        <f>AMD!DF9</f>
        <v>1162</v>
      </c>
      <c r="BN4" s="377">
        <f>AMD!DH9</f>
        <v>1177</v>
      </c>
      <c r="BO4" s="377">
        <f>AMD!DI9</f>
        <v>1184</v>
      </c>
      <c r="BP4" s="377">
        <f>AMD!DJ9</f>
        <v>1396</v>
      </c>
      <c r="BQ4" s="377">
        <f>AMD!DK9</f>
        <v>1646</v>
      </c>
      <c r="BR4" s="377">
        <f>AMD!DM9</f>
        <v>1574</v>
      </c>
      <c r="BS4" s="377">
        <f>AMD!DN9</f>
        <v>1653</v>
      </c>
      <c r="BT4" s="377">
        <f>AMD!DO9</f>
        <v>1618</v>
      </c>
      <c r="BU4" s="377">
        <f>AMD!DP9</f>
        <v>1649</v>
      </c>
      <c r="BV4" s="377">
        <f>AMD!DR9</f>
        <v>1613</v>
      </c>
      <c r="BW4" s="377">
        <f>AMD!DS9</f>
        <v>1574</v>
      </c>
      <c r="BX4" s="377">
        <f>AMD!DT9</f>
        <v>1690</v>
      </c>
      <c r="BY4" s="377">
        <f>AMD!DU9</f>
        <v>1691</v>
      </c>
      <c r="BZ4" s="377">
        <f>AMD!DW9</f>
        <v>1585</v>
      </c>
      <c r="CA4" s="377">
        <f>AMD!DX9</f>
        <v>1413</v>
      </c>
      <c r="CB4" s="377">
        <f>AMD!DY9</f>
        <v>1269</v>
      </c>
      <c r="CC4" s="377">
        <f>AMD!DZ9</f>
        <v>1155</v>
      </c>
      <c r="CD4" s="377">
        <f>AMD!EB9</f>
        <v>1088</v>
      </c>
      <c r="CE4" s="377">
        <f>AMD!EC9</f>
        <v>1161</v>
      </c>
      <c r="CF4" s="377">
        <f>AMD!ED9</f>
        <v>1461</v>
      </c>
      <c r="CG4" s="377">
        <f>AMD!EE9</f>
        <v>1589</v>
      </c>
      <c r="CH4" s="377">
        <f>AMD!EG9</f>
        <v>1397</v>
      </c>
      <c r="CI4" s="377">
        <f>AMD!EH9</f>
        <v>1441</v>
      </c>
      <c r="CJ4" s="377">
        <f>AMD!EI9</f>
        <v>1429</v>
      </c>
      <c r="CK4" s="377">
        <f>AMD!EJ9</f>
        <v>1239</v>
      </c>
      <c r="CL4" s="377">
        <f>AMD!EL9</f>
        <v>1030</v>
      </c>
      <c r="CM4" s="377">
        <f>AMD!EM9</f>
        <v>942</v>
      </c>
      <c r="CN4" s="377">
        <f>AMD!EN9</f>
        <v>1061</v>
      </c>
      <c r="CO4" s="377">
        <f>AMD!EO9</f>
        <v>958</v>
      </c>
      <c r="CP4" s="377">
        <f>AMD!EQ9</f>
        <v>832</v>
      </c>
      <c r="CQ4" s="377">
        <f>AMD!ER9</f>
        <v>1027</v>
      </c>
      <c r="CR4" s="377">
        <f>AMD!ES9</f>
        <v>1307</v>
      </c>
      <c r="CS4" s="377">
        <f>AMD!ET9</f>
        <v>1106</v>
      </c>
      <c r="CT4" s="377">
        <f>AMD!EV9</f>
        <v>984</v>
      </c>
      <c r="CU4" s="377">
        <f>AMD!EW9</f>
        <v>1222</v>
      </c>
      <c r="CV4" s="377">
        <f>AMD!EX9</f>
        <v>1643</v>
      </c>
      <c r="CW4" s="377">
        <f>AMD!EY9</f>
        <v>1480</v>
      </c>
      <c r="CX4" s="377">
        <f>AMD!FA9</f>
        <v>1647</v>
      </c>
      <c r="CY4" s="377">
        <f>AMD!FB9</f>
        <v>1756</v>
      </c>
      <c r="CZ4" s="377">
        <f>AMD!FC9</f>
        <v>1653</v>
      </c>
      <c r="DA4" s="377">
        <f>AMD!FD9</f>
        <v>1419</v>
      </c>
      <c r="DB4" s="377">
        <f>AMD!FF9</f>
        <v>1272</v>
      </c>
      <c r="DC4" s="377">
        <f>AMD!FG9</f>
        <v>1531</v>
      </c>
      <c r="DD4" s="377">
        <f>AMD!FH9</f>
        <v>1801</v>
      </c>
      <c r="DE4" s="377">
        <f>AMD!FI9</f>
        <v>2127</v>
      </c>
      <c r="DF4" s="377">
        <f>AMD!FK9</f>
        <v>1786</v>
      </c>
      <c r="DG4" s="377">
        <f>AMD!FL9</f>
        <v>1932</v>
      </c>
      <c r="DH4" s="377">
        <f>AMD!FM9</f>
        <v>2801</v>
      </c>
      <c r="DI4" s="377">
        <f>AMD!FN9</f>
        <v>3244</v>
      </c>
      <c r="DJ4" s="377">
        <f>AMD!FP9</f>
        <v>3445</v>
      </c>
      <c r="DK4" s="377">
        <f>AMD!FQ9</f>
        <v>3850</v>
      </c>
      <c r="DL4" s="377">
        <f>AMD!FR9</f>
        <v>4313</v>
      </c>
      <c r="DM4" s="377">
        <f>AMD!FS9</f>
        <v>4826</v>
      </c>
      <c r="DN4" s="377">
        <f>AMD!FU9</f>
        <v>5887</v>
      </c>
      <c r="DO4" s="377">
        <f>AMD!FV9</f>
        <v>6550</v>
      </c>
      <c r="DP4" s="377">
        <f>AMD!FW9</f>
        <v>5565</v>
      </c>
      <c r="DQ4" s="377">
        <f>AMD!FX9</f>
        <v>5599</v>
      </c>
      <c r="DR4" s="377">
        <f>AMD!FZ9</f>
        <v>5353</v>
      </c>
      <c r="DS4" s="377">
        <f>AMD!GA9</f>
        <v>5359</v>
      </c>
      <c r="DT4" s="377">
        <f>AMD!GB9</f>
        <v>5800</v>
      </c>
      <c r="DU4" s="377">
        <f>AMD!GC9</f>
        <v>6168</v>
      </c>
      <c r="DV4" s="377">
        <f>AMD!GE9</f>
        <v>5473</v>
      </c>
      <c r="DW4" s="377">
        <f>AMD!GF9</f>
        <v>5835</v>
      </c>
      <c r="DX4" s="377">
        <f>AMD!GG9</f>
        <v>6819</v>
      </c>
      <c r="DY4" s="377">
        <f>AMD!GH9</f>
        <v>7658</v>
      </c>
      <c r="DZ4" s="377">
        <f>AMD!GJ9</f>
        <v>7438</v>
      </c>
      <c r="EA4" s="377">
        <f>AMD!GK9</f>
        <v>7685</v>
      </c>
      <c r="EB4" s="377">
        <f>AMD!GL9</f>
        <v>9246</v>
      </c>
      <c r="EC4" s="377">
        <f>AMD!GM9</f>
        <v>10270</v>
      </c>
      <c r="ED4" s="377">
        <f>AMD!GO9</f>
        <v>10253</v>
      </c>
      <c r="EE4" s="378">
        <f t="shared" ref="EE4:EW4" si="0">EE161</f>
        <v>11222.514309366818</v>
      </c>
      <c r="EF4" s="378">
        <f t="shared" si="0"/>
        <v>11993.620034003765</v>
      </c>
      <c r="EG4" s="378">
        <f t="shared" si="0"/>
        <v>16191.575655349377</v>
      </c>
      <c r="EH4" s="378">
        <f t="shared" si="0"/>
        <v>17434.835157895457</v>
      </c>
      <c r="EI4" s="378">
        <f t="shared" si="0"/>
        <v>19211.519433229434</v>
      </c>
      <c r="EJ4" s="378">
        <f t="shared" si="0"/>
        <v>22135.831183491169</v>
      </c>
      <c r="EK4" s="378">
        <f t="shared" si="0"/>
        <v>24518.507856484532</v>
      </c>
      <c r="EL4" s="378">
        <f t="shared" si="0"/>
        <v>23941.468119764104</v>
      </c>
      <c r="EM4" s="378">
        <f t="shared" si="0"/>
        <v>25033.087624722979</v>
      </c>
      <c r="EN4" s="378">
        <f t="shared" si="0"/>
        <v>26871.929306270456</v>
      </c>
      <c r="EO4" s="378">
        <f t="shared" si="0"/>
        <v>28752.085059580812</v>
      </c>
      <c r="EP4" s="378">
        <f t="shared" si="0"/>
        <v>28176.564740319147</v>
      </c>
      <c r="EQ4" s="378">
        <f t="shared" si="0"/>
        <v>29378.280866986392</v>
      </c>
      <c r="ER4" s="378">
        <f t="shared" si="0"/>
        <v>31716.128567077441</v>
      </c>
      <c r="ES4" s="378">
        <f t="shared" si="0"/>
        <v>33114.22682619554</v>
      </c>
      <c r="ET4" s="378">
        <f t="shared" si="0"/>
        <v>31713.601397150269</v>
      </c>
      <c r="EU4" s="378">
        <f t="shared" si="0"/>
        <v>33054.938213667039</v>
      </c>
      <c r="EV4" s="378">
        <f t="shared" si="0"/>
        <v>36321.560050308944</v>
      </c>
      <c r="EW4" s="378">
        <f t="shared" si="0"/>
        <v>37997.208681636912</v>
      </c>
      <c r="EZ4" s="376">
        <f>B4+C4+D4+E4</f>
        <v>1648.28</v>
      </c>
      <c r="FA4" s="376">
        <f>F4+G4+H4+I4</f>
        <v>2134.6590000000001</v>
      </c>
      <c r="FB4" s="376">
        <f>J4+K4+L4+M4</f>
        <v>2429.7240000000002</v>
      </c>
      <c r="FC4" s="376">
        <f>N4+O4+P4+Q4</f>
        <v>1953.019</v>
      </c>
      <c r="FD4" s="376">
        <f>R4+S4+T4+U4</f>
        <v>2356.375</v>
      </c>
      <c r="FE4" s="376">
        <f>V4+W4+X4+Y4</f>
        <v>2542.1410000000001</v>
      </c>
      <c r="FF4" s="376">
        <f>Z4+AA4+AB4+AC4</f>
        <v>2857.6040000000003</v>
      </c>
      <c r="FG4" s="376">
        <f>AD4+AE4+AF4+AG4</f>
        <v>4644.1869999999999</v>
      </c>
      <c r="FH4" s="376">
        <f>AH4+AI4+AJ4+AK4</f>
        <v>3891.7539999999999</v>
      </c>
      <c r="FI4" s="376">
        <f>AL4+AM4+AN4+AO4</f>
        <v>2697.0289999999995</v>
      </c>
      <c r="FJ4" s="376">
        <f>AP4+AQ4+AR4+AS4</f>
        <v>3519.1679999999997</v>
      </c>
      <c r="FK4" s="376">
        <f>AT4+AU4+AV4+AW4</f>
        <v>5001.4350000000004</v>
      </c>
      <c r="FL4" s="376">
        <f>AX4+AY4+AZ4+BA4</f>
        <v>5847.5770000000002</v>
      </c>
      <c r="FM4" s="376">
        <f>BB4+BC4+BD4+BE4</f>
        <v>5649.1469999999999</v>
      </c>
      <c r="FN4" s="376">
        <f>BF4+BG4+BH4+BI4</f>
        <v>6013</v>
      </c>
      <c r="FO4" s="376">
        <f>BJ4+BK4+BL4+BM4</f>
        <v>5622</v>
      </c>
      <c r="FP4" s="376">
        <f>BN4+BO4+BP4+BQ4</f>
        <v>5403</v>
      </c>
      <c r="FQ4" s="376">
        <f>BR4+BS4+BT4+BU4</f>
        <v>6494</v>
      </c>
      <c r="FR4" s="376">
        <f>BV4+BW4+BX4+BY4</f>
        <v>6568</v>
      </c>
      <c r="FS4" s="376">
        <f>BZ4+CA4+CB4+CC4</f>
        <v>5422</v>
      </c>
      <c r="FT4" s="376">
        <f>CD4+CE4+CF4+CG4</f>
        <v>5299</v>
      </c>
      <c r="FU4" s="376">
        <f>CH4+CI4+CJ4+CK4</f>
        <v>5506</v>
      </c>
      <c r="FV4" s="376">
        <f>CL4+CM4+CN4+CO4</f>
        <v>3991</v>
      </c>
      <c r="FW4" s="376">
        <f>CP4+CQ4+CR4+CS4</f>
        <v>4272</v>
      </c>
      <c r="FX4" s="376">
        <f>CT4+CU4+CV4+CW4</f>
        <v>5329</v>
      </c>
      <c r="FY4" s="376">
        <f>CX4+CY4+CZ4+DA4</f>
        <v>6475</v>
      </c>
      <c r="FZ4" s="376">
        <f>DB4+DC4+DD4+DE4</f>
        <v>6731</v>
      </c>
      <c r="GA4" s="376">
        <f>SUM(DF4:DI4)</f>
        <v>9763</v>
      </c>
      <c r="GB4" s="376">
        <f>SUM(DJ4:DM4)</f>
        <v>16434</v>
      </c>
      <c r="GC4" s="376">
        <f>SUM(DN4:DQ4)</f>
        <v>23601</v>
      </c>
      <c r="GD4" s="376">
        <f>SUM(DR4:DU4)</f>
        <v>22680</v>
      </c>
      <c r="GE4" s="376">
        <f>SUM(DV4:DY4)</f>
        <v>25785</v>
      </c>
      <c r="GF4" s="376">
        <f>SUM(DZ4:EC4)</f>
        <v>34639</v>
      </c>
      <c r="GG4" s="380">
        <f>SUM(ED4:EG4)</f>
        <v>49660.709998719954</v>
      </c>
      <c r="GH4" s="380">
        <f>SUM(EH4:EK4)</f>
        <v>83300.693631100599</v>
      </c>
      <c r="GI4" s="380">
        <f>SUM(EL4:EO4)</f>
        <v>104598.57011033835</v>
      </c>
      <c r="GJ4" s="380">
        <f>SUM(EP4:ES4)</f>
        <v>122385.20100057853</v>
      </c>
      <c r="GK4" s="380">
        <f>SUM(ET4:EW4)</f>
        <v>139087.30834276316</v>
      </c>
      <c r="GN4" s="70"/>
    </row>
    <row r="5" spans="1:196" s="382" customFormat="1">
      <c r="A5" s="381" t="s">
        <v>198</v>
      </c>
      <c r="C5" s="382">
        <f>C4/B4-1</f>
        <v>4.0718351238118178E-3</v>
      </c>
      <c r="D5" s="382">
        <f t="shared" ref="D5:BO5" si="1">D4/C4-1</f>
        <v>2.2633050756309059E-2</v>
      </c>
      <c r="E5" s="382">
        <f t="shared" si="1"/>
        <v>-1.1824998625556082E-2</v>
      </c>
      <c r="F5" s="382">
        <f t="shared" si="1"/>
        <v>0.24111039080415297</v>
      </c>
      <c r="G5" s="382">
        <f t="shared" si="1"/>
        <v>3.9403211974740726E-2</v>
      </c>
      <c r="H5" s="382">
        <f t="shared" si="1"/>
        <v>1.8408129053791855E-2</v>
      </c>
      <c r="I5" s="382">
        <f t="shared" si="1"/>
        <v>3.7818947771552924E-3</v>
      </c>
      <c r="J5" s="382">
        <f t="shared" si="1"/>
        <v>0.13744020191940831</v>
      </c>
      <c r="K5" s="382">
        <f t="shared" si="1"/>
        <v>9.8662142635979055E-3</v>
      </c>
      <c r="L5" s="382">
        <f t="shared" si="1"/>
        <v>-5.7215265069129773E-2</v>
      </c>
      <c r="M5" s="382">
        <f t="shared" si="1"/>
        <v>4.4784335645384754E-3</v>
      </c>
      <c r="N5" s="382">
        <f t="shared" si="1"/>
        <v>-8.231806538971953E-2</v>
      </c>
      <c r="O5" s="382">
        <f t="shared" si="1"/>
        <v>-0.1637872740770141</v>
      </c>
      <c r="P5" s="382">
        <f t="shared" si="1"/>
        <v>3.9224131300856779E-3</v>
      </c>
      <c r="Q5" s="382">
        <f t="shared" si="1"/>
        <v>8.7566923928888762E-2</v>
      </c>
      <c r="R5" s="382">
        <f t="shared" si="1"/>
        <v>0.11095703486640329</v>
      </c>
      <c r="S5" s="382">
        <f t="shared" si="1"/>
        <v>7.7105212147123403E-2</v>
      </c>
      <c r="T5" s="382">
        <f t="shared" si="1"/>
        <v>3.5034252162520207E-3</v>
      </c>
      <c r="U5" s="382">
        <f t="shared" si="1"/>
        <v>2.7699934969596773E-2</v>
      </c>
      <c r="V5" s="382">
        <f t="shared" si="1"/>
        <v>-0.11793610591498949</v>
      </c>
      <c r="W5" s="382">
        <f t="shared" si="1"/>
        <v>-2.6472850444480556E-2</v>
      </c>
      <c r="X5" s="382">
        <f t="shared" si="1"/>
        <v>0.30271129529112817</v>
      </c>
      <c r="Y5" s="382">
        <f t="shared" si="1"/>
        <v>0.15000575863029164</v>
      </c>
      <c r="Z5" s="382">
        <f t="shared" si="1"/>
        <v>-0.19931923632767945</v>
      </c>
      <c r="AA5" s="382">
        <f t="shared" si="1"/>
        <v>-5.7765048061013902E-2</v>
      </c>
      <c r="AB5" s="382">
        <f t="shared" si="1"/>
        <v>0.11272388755673335</v>
      </c>
      <c r="AC5" s="382">
        <f t="shared" si="1"/>
        <v>0.46288387657960239</v>
      </c>
      <c r="AD5" s="382">
        <f t="shared" si="1"/>
        <v>0.12730228861062654</v>
      </c>
      <c r="AE5" s="382">
        <f t="shared" si="1"/>
        <v>7.1800291017912521E-2</v>
      </c>
      <c r="AF5" s="382">
        <f t="shared" si="1"/>
        <v>3.0853433375739314E-2</v>
      </c>
      <c r="AG5" s="382">
        <f t="shared" si="1"/>
        <v>-2.6005574576747348E-2</v>
      </c>
      <c r="AH5" s="382">
        <f t="shared" si="1"/>
        <v>1.155150054630294E-2</v>
      </c>
      <c r="AI5" s="382">
        <f t="shared" si="1"/>
        <v>-0.17117435417292326</v>
      </c>
      <c r="AJ5" s="382">
        <f t="shared" si="1"/>
        <v>-0.22267534386722743</v>
      </c>
      <c r="AK5" s="382">
        <f t="shared" si="1"/>
        <v>0.24286497708488386</v>
      </c>
      <c r="AL5" s="382">
        <f t="shared" si="1"/>
        <v>-5.2317903753967276E-2</v>
      </c>
      <c r="AM5" s="382">
        <f t="shared" si="1"/>
        <v>-0.33453390135831584</v>
      </c>
      <c r="AN5" s="382">
        <f t="shared" si="1"/>
        <v>-0.1533769005112452</v>
      </c>
      <c r="AO5" s="382">
        <f t="shared" si="1"/>
        <v>0.3506366249726991</v>
      </c>
      <c r="AP5" s="382">
        <f t="shared" si="1"/>
        <v>4.0972859577815601E-2</v>
      </c>
      <c r="AQ5" s="382">
        <f t="shared" si="1"/>
        <v>-9.6975040409765456E-2</v>
      </c>
      <c r="AR5" s="382">
        <f t="shared" si="1"/>
        <v>0.47809800995256202</v>
      </c>
      <c r="AS5" s="382">
        <f t="shared" si="1"/>
        <v>0.26404364205213282</v>
      </c>
      <c r="AT5" s="382">
        <f t="shared" si="1"/>
        <v>2.5580772283847031E-2</v>
      </c>
      <c r="AU5" s="382">
        <f t="shared" si="1"/>
        <v>2.0546200238912959E-2</v>
      </c>
      <c r="AV5" s="382">
        <f t="shared" si="1"/>
        <v>-1.7734461741096497E-2</v>
      </c>
      <c r="AW5" s="382">
        <f t="shared" si="1"/>
        <v>1.9562567216826032E-2</v>
      </c>
      <c r="AX5" s="382">
        <f t="shared" si="1"/>
        <v>-2.9340685254323429E-2</v>
      </c>
      <c r="AY5" s="382">
        <f t="shared" si="1"/>
        <v>2.7139442438946393E-2</v>
      </c>
      <c r="AZ5" s="382">
        <f t="shared" si="1"/>
        <v>0.20861437014154904</v>
      </c>
      <c r="BA5" s="382">
        <f t="shared" si="1"/>
        <v>0.20720404792629155</v>
      </c>
      <c r="BB5" s="382">
        <f t="shared" si="1"/>
        <v>-0.27532209526752249</v>
      </c>
      <c r="BC5" s="382">
        <f t="shared" si="1"/>
        <v>-8.6919869865286215E-2</v>
      </c>
      <c r="BD5" s="382">
        <f t="shared" si="1"/>
        <v>9.1464993706669162E-2</v>
      </c>
      <c r="BE5" s="382">
        <f t="shared" si="1"/>
        <v>0.33547048783463951</v>
      </c>
      <c r="BF5" s="382">
        <f t="shared" si="1"/>
        <v>-0.30456852791878175</v>
      </c>
      <c r="BG5" s="382">
        <f t="shared" si="1"/>
        <v>0.11759935117599341</v>
      </c>
      <c r="BH5" s="382">
        <f t="shared" si="1"/>
        <v>0.1843251088534108</v>
      </c>
      <c r="BI5" s="382">
        <f t="shared" si="1"/>
        <v>8.4558823529411686E-2</v>
      </c>
      <c r="BJ5" s="382">
        <f t="shared" si="1"/>
        <v>-0.14971751412429379</v>
      </c>
      <c r="BK5" s="382">
        <f t="shared" si="1"/>
        <v>-0.10365448504983388</v>
      </c>
      <c r="BL5" s="382">
        <f t="shared" si="1"/>
        <v>0.19051148999258705</v>
      </c>
      <c r="BM5" s="382">
        <f t="shared" si="1"/>
        <v>-0.27646326276463262</v>
      </c>
      <c r="BN5" s="382">
        <f t="shared" si="1"/>
        <v>1.2908777969018903E-2</v>
      </c>
      <c r="BO5" s="382">
        <f t="shared" si="1"/>
        <v>5.9473237043330407E-3</v>
      </c>
      <c r="BP5" s="382">
        <f t="shared" ref="BP5:EA5" si="2">BP4/BO4-1</f>
        <v>0.17905405405405395</v>
      </c>
      <c r="BQ5" s="382">
        <f t="shared" si="2"/>
        <v>0.1790830945558739</v>
      </c>
      <c r="BR5" s="382">
        <f t="shared" si="2"/>
        <v>-4.3742405832320808E-2</v>
      </c>
      <c r="BS5" s="382">
        <f t="shared" si="2"/>
        <v>5.0190597204574416E-2</v>
      </c>
      <c r="BT5" s="382">
        <f t="shared" si="2"/>
        <v>-2.1173623714458523E-2</v>
      </c>
      <c r="BU5" s="382">
        <f t="shared" si="2"/>
        <v>1.9159456118664986E-2</v>
      </c>
      <c r="BV5" s="382">
        <f t="shared" si="2"/>
        <v>-2.1831412977562192E-2</v>
      </c>
      <c r="BW5" s="382">
        <f t="shared" si="2"/>
        <v>-2.4178549287042772E-2</v>
      </c>
      <c r="BX5" s="382">
        <f t="shared" si="2"/>
        <v>7.369758576874208E-2</v>
      </c>
      <c r="BY5" s="382">
        <f t="shared" si="2"/>
        <v>5.9171597633134176E-4</v>
      </c>
      <c r="BZ5" s="382">
        <f t="shared" si="2"/>
        <v>-6.2684801892371356E-2</v>
      </c>
      <c r="CA5" s="382">
        <f t="shared" si="2"/>
        <v>-0.10851735015772868</v>
      </c>
      <c r="CB5" s="382">
        <f t="shared" si="2"/>
        <v>-0.10191082802547768</v>
      </c>
      <c r="CC5" s="382">
        <f t="shared" si="2"/>
        <v>-8.9834515366430279E-2</v>
      </c>
      <c r="CD5" s="382">
        <f t="shared" si="2"/>
        <v>-5.8008658008657954E-2</v>
      </c>
      <c r="CE5" s="382">
        <f t="shared" si="2"/>
        <v>6.7095588235294157E-2</v>
      </c>
      <c r="CF5" s="382">
        <f t="shared" si="2"/>
        <v>0.25839793281653756</v>
      </c>
      <c r="CG5" s="382">
        <f t="shared" si="2"/>
        <v>8.7611225188227282E-2</v>
      </c>
      <c r="CH5" s="382">
        <f t="shared" si="2"/>
        <v>-0.12083071113908117</v>
      </c>
      <c r="CI5" s="382">
        <f t="shared" si="2"/>
        <v>3.1496062992125928E-2</v>
      </c>
      <c r="CJ5" s="382">
        <f t="shared" si="2"/>
        <v>-8.3275503122831607E-3</v>
      </c>
      <c r="CK5" s="382">
        <f t="shared" si="2"/>
        <v>-0.13296011196641011</v>
      </c>
      <c r="CL5" s="382">
        <f t="shared" si="2"/>
        <v>-0.16868442292171104</v>
      </c>
      <c r="CM5" s="382">
        <f t="shared" si="2"/>
        <v>-8.5436893203883479E-2</v>
      </c>
      <c r="CN5" s="382">
        <f t="shared" si="2"/>
        <v>0.12632696390658182</v>
      </c>
      <c r="CO5" s="382">
        <f t="shared" si="2"/>
        <v>-9.7078228086710627E-2</v>
      </c>
      <c r="CP5" s="382">
        <f t="shared" si="2"/>
        <v>-0.13152400835073064</v>
      </c>
      <c r="CQ5" s="382">
        <f t="shared" si="2"/>
        <v>0.234375</v>
      </c>
      <c r="CR5" s="382">
        <f t="shared" si="2"/>
        <v>0.27263875365141188</v>
      </c>
      <c r="CS5" s="382">
        <f t="shared" si="2"/>
        <v>-0.15378729915837797</v>
      </c>
      <c r="CT5" s="382">
        <f t="shared" si="2"/>
        <v>-0.11030741410488243</v>
      </c>
      <c r="CU5" s="382">
        <f t="shared" si="2"/>
        <v>0.24186991869918706</v>
      </c>
      <c r="CV5" s="382">
        <f>CV4/CU4-1</f>
        <v>0.34451718494271688</v>
      </c>
      <c r="CW5" s="382">
        <f>CW4/CV4-1</f>
        <v>-9.920876445526472E-2</v>
      </c>
      <c r="CX5" s="382">
        <f t="shared" si="2"/>
        <v>0.11283783783783785</v>
      </c>
      <c r="CY5" s="382">
        <f t="shared" si="2"/>
        <v>6.6180935033393951E-2</v>
      </c>
      <c r="CZ5" s="382">
        <f t="shared" si="2"/>
        <v>-5.8656036446469217E-2</v>
      </c>
      <c r="DA5" s="382">
        <f t="shared" si="2"/>
        <v>-0.14156079854809434</v>
      </c>
      <c r="DB5" s="382">
        <f t="shared" si="2"/>
        <v>-0.10359408033826634</v>
      </c>
      <c r="DC5" s="382">
        <f t="shared" si="2"/>
        <v>0.20361635220125796</v>
      </c>
      <c r="DD5" s="382">
        <f t="shared" si="2"/>
        <v>0.17635532331809278</v>
      </c>
      <c r="DE5" s="382">
        <f t="shared" si="2"/>
        <v>0.18101054969461416</v>
      </c>
      <c r="DF5" s="382">
        <f t="shared" si="2"/>
        <v>-0.16031969910672306</v>
      </c>
      <c r="DG5" s="382">
        <f t="shared" si="2"/>
        <v>8.1746920492721253E-2</v>
      </c>
      <c r="DH5" s="382">
        <f t="shared" si="2"/>
        <v>0.44979296066252594</v>
      </c>
      <c r="DI5" s="382">
        <f t="shared" si="2"/>
        <v>0.15815780078543384</v>
      </c>
      <c r="DJ5" s="383">
        <f t="shared" si="2"/>
        <v>6.1960542540073993E-2</v>
      </c>
      <c r="DK5" s="383">
        <f t="shared" si="2"/>
        <v>0.11756168359941954</v>
      </c>
      <c r="DL5" s="383">
        <f t="shared" si="2"/>
        <v>0.12025974025974029</v>
      </c>
      <c r="DM5" s="383">
        <f t="shared" si="2"/>
        <v>0.11894273127753308</v>
      </c>
      <c r="DN5" s="383">
        <f t="shared" si="2"/>
        <v>0.21985080812266888</v>
      </c>
      <c r="DO5" s="383">
        <f t="shared" si="2"/>
        <v>0.11262102938678442</v>
      </c>
      <c r="DP5" s="383">
        <f t="shared" si="2"/>
        <v>-0.15038167938931302</v>
      </c>
      <c r="DQ5" s="383">
        <f t="shared" si="2"/>
        <v>6.1096136567835302E-3</v>
      </c>
      <c r="DR5" s="383">
        <f t="shared" si="2"/>
        <v>-4.3936417217360191E-2</v>
      </c>
      <c r="DS5" s="383">
        <f t="shared" si="2"/>
        <v>1.1208668036615244E-3</v>
      </c>
      <c r="DT5" s="383">
        <f t="shared" si="2"/>
        <v>8.2291472289606205E-2</v>
      </c>
      <c r="DU5" s="383">
        <f t="shared" si="2"/>
        <v>6.3448275862068915E-2</v>
      </c>
      <c r="DV5" s="382">
        <f t="shared" si="2"/>
        <v>-0.11267833981841768</v>
      </c>
      <c r="DW5" s="382">
        <f t="shared" si="2"/>
        <v>6.6142883245021045E-2</v>
      </c>
      <c r="DX5" s="382">
        <f t="shared" si="2"/>
        <v>0.16863753213367616</v>
      </c>
      <c r="DY5" s="383">
        <f t="shared" si="2"/>
        <v>0.12303856870508878</v>
      </c>
      <c r="DZ5" s="383">
        <f t="shared" si="2"/>
        <v>-2.8728127448419905E-2</v>
      </c>
      <c r="EA5" s="383">
        <f t="shared" si="2"/>
        <v>3.3207851573003433E-2</v>
      </c>
      <c r="EB5" s="383">
        <f t="shared" ref="EB5:EW5" si="3">EB4/EA4-1</f>
        <v>0.20312296681847752</v>
      </c>
      <c r="EC5" s="383">
        <f t="shared" si="3"/>
        <v>0.11075059485182792</v>
      </c>
      <c r="ED5" s="383">
        <f t="shared" si="3"/>
        <v>-1.6553067185978154E-3</v>
      </c>
      <c r="EE5" s="384">
        <f t="shared" si="3"/>
        <v>9.455908605937946E-2</v>
      </c>
      <c r="EF5" s="384">
        <f t="shared" si="3"/>
        <v>6.8710602934437537E-2</v>
      </c>
      <c r="EG5" s="384">
        <f t="shared" si="3"/>
        <v>0.35001572581453799</v>
      </c>
      <c r="EH5" s="384">
        <f t="shared" si="3"/>
        <v>7.6784343229457708E-2</v>
      </c>
      <c r="EI5" s="384">
        <f t="shared" si="3"/>
        <v>0.10190427722681372</v>
      </c>
      <c r="EJ5" s="384">
        <f t="shared" si="3"/>
        <v>0.15221657820586865</v>
      </c>
      <c r="EK5" s="384">
        <f t="shared" si="3"/>
        <v>0.10763890694876443</v>
      </c>
      <c r="EL5" s="384">
        <f t="shared" si="3"/>
        <v>-2.3534863544635076E-2</v>
      </c>
      <c r="EM5" s="384">
        <f t="shared" si="3"/>
        <v>4.5595345260290188E-2</v>
      </c>
      <c r="EN5" s="384">
        <f t="shared" si="3"/>
        <v>7.3456447287445936E-2</v>
      </c>
      <c r="EO5" s="384">
        <f t="shared" si="3"/>
        <v>6.996727819135895E-2</v>
      </c>
      <c r="EP5" s="384">
        <f t="shared" si="3"/>
        <v>-2.001664637778644E-2</v>
      </c>
      <c r="EQ5" s="384">
        <f t="shared" si="3"/>
        <v>4.2649490374092824E-2</v>
      </c>
      <c r="ER5" s="384">
        <f t="shared" si="3"/>
        <v>7.9577416754776475E-2</v>
      </c>
      <c r="ES5" s="384">
        <f t="shared" si="3"/>
        <v>4.4081617848193977E-2</v>
      </c>
      <c r="ET5" s="384">
        <f t="shared" si="3"/>
        <v>-4.2296787915255929E-2</v>
      </c>
      <c r="EU5" s="384">
        <f t="shared" si="3"/>
        <v>4.2295316754447754E-2</v>
      </c>
      <c r="EV5" s="384">
        <f t="shared" si="3"/>
        <v>9.8824018835747651E-2</v>
      </c>
      <c r="EW5" s="384">
        <f t="shared" si="3"/>
        <v>4.6133718623512454E-2</v>
      </c>
      <c r="FX5" s="385"/>
      <c r="FY5" s="52"/>
      <c r="FZ5" s="386" t="s">
        <v>199</v>
      </c>
      <c r="GA5" s="386" t="s">
        <v>199</v>
      </c>
      <c r="GB5" s="386" t="s">
        <v>199</v>
      </c>
      <c r="GC5" s="386" t="s">
        <v>199</v>
      </c>
      <c r="GD5" s="386" t="s">
        <v>199</v>
      </c>
      <c r="GE5" s="386" t="s">
        <v>199</v>
      </c>
      <c r="GF5" s="386" t="s">
        <v>199</v>
      </c>
      <c r="GG5" s="386" t="s">
        <v>199</v>
      </c>
      <c r="GH5" s="386" t="s">
        <v>199</v>
      </c>
      <c r="GI5" s="386" t="s">
        <v>199</v>
      </c>
      <c r="GJ5" s="386" t="s">
        <v>199</v>
      </c>
      <c r="GK5" s="386" t="s">
        <v>199</v>
      </c>
      <c r="GN5" s="70"/>
    </row>
    <row r="6" spans="1:196" s="382" customFormat="1">
      <c r="A6" s="381" t="s">
        <v>200</v>
      </c>
      <c r="F6" s="382">
        <f>F4/B4-1</f>
        <v>0.25929907493992888</v>
      </c>
      <c r="G6" s="382">
        <f t="shared" ref="G6:BR6" si="4">G4/C4-1</f>
        <v>0.30361141259178881</v>
      </c>
      <c r="H6" s="382">
        <f t="shared" si="4"/>
        <v>0.29822565262184164</v>
      </c>
      <c r="I6" s="382">
        <f t="shared" si="4"/>
        <v>0.3187293785256069</v>
      </c>
      <c r="J6" s="382">
        <f t="shared" si="4"/>
        <v>0.20857566071567768</v>
      </c>
      <c r="K6" s="382">
        <f t="shared" si="4"/>
        <v>0.17423124450353189</v>
      </c>
      <c r="L6" s="382">
        <f t="shared" si="4"/>
        <v>8.7036975662567961E-2</v>
      </c>
      <c r="M6" s="382">
        <f t="shared" si="4"/>
        <v>8.7791286355765497E-2</v>
      </c>
      <c r="N6" s="382">
        <f t="shared" si="4"/>
        <v>-0.12237460006192591</v>
      </c>
      <c r="O6" s="382">
        <f t="shared" si="4"/>
        <v>-0.27328836468044482</v>
      </c>
      <c r="P6" s="382">
        <f t="shared" si="4"/>
        <v>-0.22616258881916029</v>
      </c>
      <c r="Q6" s="382">
        <f t="shared" si="4"/>
        <v>-0.16215227248583119</v>
      </c>
      <c r="R6" s="382">
        <f t="shared" si="4"/>
        <v>1.4308762026563171E-2</v>
      </c>
      <c r="S6" s="382">
        <f t="shared" si="4"/>
        <v>0.30650637144922732</v>
      </c>
      <c r="T6" s="382">
        <f t="shared" si="4"/>
        <v>0.30596109985072073</v>
      </c>
      <c r="U6" s="382">
        <f t="shared" si="4"/>
        <v>0.2340722284389416</v>
      </c>
      <c r="V6" s="382">
        <f t="shared" si="4"/>
        <v>-2.0186630772881853E-2</v>
      </c>
      <c r="W6" s="382">
        <f t="shared" si="4"/>
        <v>-0.11440878227801687</v>
      </c>
      <c r="X6" s="382">
        <f t="shared" si="4"/>
        <v>0.14964199757309227</v>
      </c>
      <c r="Y6" s="382">
        <f t="shared" si="4"/>
        <v>0.28646005763481952</v>
      </c>
      <c r="Z6" s="382">
        <f t="shared" si="4"/>
        <v>0.16776554202967153</v>
      </c>
      <c r="AA6" s="382">
        <f t="shared" si="4"/>
        <v>0.1302299169290726</v>
      </c>
      <c r="AB6" s="382">
        <f t="shared" si="4"/>
        <v>-3.4602807587396311E-2</v>
      </c>
      <c r="AC6" s="382">
        <f t="shared" si="4"/>
        <v>0.22804949164574939</v>
      </c>
      <c r="AD6" s="382">
        <f t="shared" si="4"/>
        <v>0.72900744625098768</v>
      </c>
      <c r="AE6" s="382">
        <f t="shared" si="4"/>
        <v>0.96676071106301498</v>
      </c>
      <c r="AF6" s="382">
        <f t="shared" si="4"/>
        <v>0.82205312054509871</v>
      </c>
      <c r="AG6" s="382">
        <f t="shared" si="4"/>
        <v>0.2131308647582868</v>
      </c>
      <c r="AH6" s="382">
        <f t="shared" si="4"/>
        <v>8.8567245009061102E-2</v>
      </c>
      <c r="AI6" s="382">
        <f t="shared" si="4"/>
        <v>-0.15820842984287053</v>
      </c>
      <c r="AJ6" s="382">
        <f t="shared" si="4"/>
        <v>-0.36523920702764656</v>
      </c>
      <c r="AK6" s="382">
        <f t="shared" si="4"/>
        <v>-0.19001388732883351</v>
      </c>
      <c r="AL6" s="382">
        <f t="shared" si="4"/>
        <v>-0.24115644455885066</v>
      </c>
      <c r="AM6" s="382">
        <f t="shared" si="4"/>
        <v>-0.39072268955325684</v>
      </c>
      <c r="AN6" s="382">
        <f t="shared" si="4"/>
        <v>-0.33640565631242902</v>
      </c>
      <c r="AO6" s="382">
        <f t="shared" si="4"/>
        <v>-0.27886388205149226</v>
      </c>
      <c r="AP6" s="382">
        <f t="shared" si="4"/>
        <v>-0.20787452900153314</v>
      </c>
      <c r="AQ6" s="382">
        <f t="shared" si="4"/>
        <v>7.4899341827989074E-2</v>
      </c>
      <c r="AR6" s="382">
        <f t="shared" si="4"/>
        <v>0.87663976923697495</v>
      </c>
      <c r="AS6" s="382">
        <f t="shared" si="4"/>
        <v>0.7563232958932451</v>
      </c>
      <c r="AT6" s="382">
        <f t="shared" si="4"/>
        <v>0.73035385659606344</v>
      </c>
      <c r="AU6" s="382">
        <f t="shared" si="4"/>
        <v>0.95554512050162654</v>
      </c>
      <c r="AV6" s="382">
        <f t="shared" si="4"/>
        <v>0.29955156386466597</v>
      </c>
      <c r="AW6" s="382">
        <f t="shared" si="4"/>
        <v>4.8202834621634105E-2</v>
      </c>
      <c r="AX6" s="382">
        <f t="shared" si="4"/>
        <v>-7.9300698056425922E-3</v>
      </c>
      <c r="AY6" s="382">
        <f t="shared" si="4"/>
        <v>-1.5207986451499789E-3</v>
      </c>
      <c r="AZ6" s="382">
        <f t="shared" si="4"/>
        <v>0.22856423649350233</v>
      </c>
      <c r="BA6" s="382">
        <f t="shared" si="4"/>
        <v>0.45467062750354925</v>
      </c>
      <c r="BB6" s="382">
        <f t="shared" si="4"/>
        <v>8.6032603201622537E-2</v>
      </c>
      <c r="BC6" s="382">
        <f t="shared" si="4"/>
        <v>-3.4566535282454791E-2</v>
      </c>
      <c r="BD6" s="382">
        <f t="shared" si="4"/>
        <v>-0.12814471139480743</v>
      </c>
      <c r="BE6" s="382">
        <f t="shared" si="4"/>
        <v>-3.550935768078356E-2</v>
      </c>
      <c r="BF6" s="382">
        <f t="shared" si="4"/>
        <v>-7.4434113671201119E-2</v>
      </c>
      <c r="BG6" s="382">
        <f t="shared" si="4"/>
        <v>0.13288177005788548</v>
      </c>
      <c r="BH6" s="382">
        <f t="shared" si="4"/>
        <v>0.22926555902207091</v>
      </c>
      <c r="BI6" s="382">
        <f t="shared" si="4"/>
        <v>-1.6920473773265332E-3</v>
      </c>
      <c r="BJ6" s="382">
        <f t="shared" si="4"/>
        <v>0.22060016220600165</v>
      </c>
      <c r="BK6" s="382">
        <f t="shared" si="4"/>
        <v>-2.1044992743106006E-2</v>
      </c>
      <c r="BL6" s="382">
        <f t="shared" si="4"/>
        <v>-1.5931372549019662E-2</v>
      </c>
      <c r="BM6" s="382">
        <f t="shared" si="4"/>
        <v>-0.34350282485875705</v>
      </c>
      <c r="BN6" s="382">
        <f t="shared" si="4"/>
        <v>-0.2179401993355482</v>
      </c>
      <c r="BO6" s="382">
        <f t="shared" si="4"/>
        <v>-0.1223128243143069</v>
      </c>
      <c r="BP6" s="382">
        <f t="shared" si="4"/>
        <v>-0.13075965130759648</v>
      </c>
      <c r="BQ6" s="382">
        <f t="shared" si="4"/>
        <v>0.41652323580034434</v>
      </c>
      <c r="BR6" s="382">
        <f t="shared" si="4"/>
        <v>0.33729821580288877</v>
      </c>
      <c r="BS6" s="382">
        <f t="shared" ref="BS6:ED6" si="5">BS4/BO4-1</f>
        <v>0.39611486486486491</v>
      </c>
      <c r="BT6" s="382">
        <f t="shared" si="5"/>
        <v>0.15902578796561606</v>
      </c>
      <c r="BU6" s="382">
        <f t="shared" si="5"/>
        <v>1.8226002430132837E-3</v>
      </c>
      <c r="BV6" s="382">
        <f t="shared" si="5"/>
        <v>2.4777636594663255E-2</v>
      </c>
      <c r="BW6" s="382">
        <f t="shared" si="5"/>
        <v>-4.7791893526920703E-2</v>
      </c>
      <c r="BX6" s="382">
        <f t="shared" si="5"/>
        <v>4.4499381953028383E-2</v>
      </c>
      <c r="BY6" s="382">
        <f t="shared" si="5"/>
        <v>2.5469981807155762E-2</v>
      </c>
      <c r="BZ6" s="382">
        <f t="shared" si="5"/>
        <v>-1.7358958462492247E-2</v>
      </c>
      <c r="CA6" s="382">
        <f t="shared" si="5"/>
        <v>-0.102287166454892</v>
      </c>
      <c r="CB6" s="382">
        <f t="shared" si="5"/>
        <v>-0.24911242603550299</v>
      </c>
      <c r="CC6" s="382">
        <f t="shared" si="5"/>
        <v>-0.31697220579538732</v>
      </c>
      <c r="CD6" s="382">
        <f t="shared" si="5"/>
        <v>-0.31356466876971612</v>
      </c>
      <c r="CE6" s="382">
        <f t="shared" si="5"/>
        <v>-0.17834394904458595</v>
      </c>
      <c r="CF6" s="382">
        <f t="shared" si="5"/>
        <v>0.15130023640661938</v>
      </c>
      <c r="CG6" s="382">
        <f t="shared" si="5"/>
        <v>0.37575757575757573</v>
      </c>
      <c r="CH6" s="382">
        <f t="shared" si="5"/>
        <v>0.28400735294117641</v>
      </c>
      <c r="CI6" s="382">
        <f t="shared" si="5"/>
        <v>0.24117140396210157</v>
      </c>
      <c r="CJ6" s="382">
        <f t="shared" si="5"/>
        <v>-2.1902806297056765E-2</v>
      </c>
      <c r="CK6" s="382">
        <f t="shared" si="5"/>
        <v>-0.22026431718061679</v>
      </c>
      <c r="CL6" s="382">
        <f t="shared" si="5"/>
        <v>-0.26270579813886896</v>
      </c>
      <c r="CM6" s="382">
        <f t="shared" si="5"/>
        <v>-0.34628730048577372</v>
      </c>
      <c r="CN6" s="382">
        <f t="shared" si="5"/>
        <v>-0.25752274317704693</v>
      </c>
      <c r="CO6" s="382">
        <f t="shared" si="5"/>
        <v>-0.22679580306698954</v>
      </c>
      <c r="CP6" s="382">
        <f t="shared" si="5"/>
        <v>-0.19223300970873791</v>
      </c>
      <c r="CQ6" s="382">
        <f t="shared" si="5"/>
        <v>9.0233545647558477E-2</v>
      </c>
      <c r="CR6" s="382">
        <f t="shared" si="5"/>
        <v>0.23185673892554193</v>
      </c>
      <c r="CS6" s="382">
        <f t="shared" si="5"/>
        <v>0.15448851774530281</v>
      </c>
      <c r="CT6" s="382">
        <f t="shared" si="5"/>
        <v>0.18269230769230771</v>
      </c>
      <c r="CU6" s="382">
        <f t="shared" si="5"/>
        <v>0.18987341772151889</v>
      </c>
      <c r="CV6" s="382">
        <f t="shared" si="5"/>
        <v>0.25707727620504972</v>
      </c>
      <c r="CW6" s="382">
        <f t="shared" si="5"/>
        <v>0.33815551537070521</v>
      </c>
      <c r="CX6" s="382">
        <f t="shared" si="5"/>
        <v>0.67378048780487809</v>
      </c>
      <c r="CY6" s="382">
        <f t="shared" si="5"/>
        <v>0.43698854337152215</v>
      </c>
      <c r="CZ6" s="382">
        <f t="shared" si="5"/>
        <v>6.0864272671941055E-3</v>
      </c>
      <c r="DA6" s="382">
        <f t="shared" si="5"/>
        <v>-4.1216216216216184E-2</v>
      </c>
      <c r="DB6" s="382">
        <f t="shared" si="5"/>
        <v>-0.22768670309653916</v>
      </c>
      <c r="DC6" s="382">
        <f t="shared" si="5"/>
        <v>-0.12813211845102501</v>
      </c>
      <c r="DD6" s="382">
        <f t="shared" si="5"/>
        <v>8.9534180278281861E-2</v>
      </c>
      <c r="DE6" s="382">
        <f t="shared" si="5"/>
        <v>0.49894291754756881</v>
      </c>
      <c r="DF6" s="382">
        <f t="shared" si="5"/>
        <v>0.40408805031446549</v>
      </c>
      <c r="DG6" s="382">
        <f t="shared" si="5"/>
        <v>0.26192031352057477</v>
      </c>
      <c r="DH6" s="382">
        <f t="shared" si="5"/>
        <v>0.55524708495280395</v>
      </c>
      <c r="DI6" s="382">
        <f t="shared" si="5"/>
        <v>0.5251527973671839</v>
      </c>
      <c r="DJ6" s="383">
        <f t="shared" si="5"/>
        <v>0.92889137737961924</v>
      </c>
      <c r="DK6" s="383">
        <f t="shared" si="5"/>
        <v>0.99275362318840576</v>
      </c>
      <c r="DL6" s="383">
        <f t="shared" si="5"/>
        <v>0.5398072117101036</v>
      </c>
      <c r="DM6" s="383">
        <f t="shared" si="5"/>
        <v>0.48766954377311955</v>
      </c>
      <c r="DN6" s="383">
        <f t="shared" si="5"/>
        <v>0.70885341074020314</v>
      </c>
      <c r="DO6" s="383">
        <f t="shared" si="5"/>
        <v>0.70129870129870131</v>
      </c>
      <c r="DP6" s="383">
        <f t="shared" si="5"/>
        <v>0.29028518432645489</v>
      </c>
      <c r="DQ6" s="383">
        <f t="shared" si="5"/>
        <v>0.16017405719021971</v>
      </c>
      <c r="DR6" s="383">
        <f t="shared" si="5"/>
        <v>-9.0708340411075228E-2</v>
      </c>
      <c r="DS6" s="383">
        <f t="shared" si="5"/>
        <v>-0.18183206106870231</v>
      </c>
      <c r="DT6" s="383">
        <f t="shared" si="5"/>
        <v>4.2228212039532753E-2</v>
      </c>
      <c r="DU6" s="383">
        <f t="shared" si="5"/>
        <v>0.10162529023039824</v>
      </c>
      <c r="DV6" s="382">
        <f t="shared" si="5"/>
        <v>2.2417336073230043E-2</v>
      </c>
      <c r="DW6" s="382">
        <f t="shared" si="5"/>
        <v>8.882254151894009E-2</v>
      </c>
      <c r="DX6" s="382">
        <f t="shared" si="5"/>
        <v>0.17568965517241386</v>
      </c>
      <c r="DY6" s="383">
        <f t="shared" si="5"/>
        <v>0.24156939040207526</v>
      </c>
      <c r="DZ6" s="383">
        <f t="shared" si="5"/>
        <v>0.35903526402338759</v>
      </c>
      <c r="EA6" s="383">
        <f t="shared" si="5"/>
        <v>0.31705227077977716</v>
      </c>
      <c r="EB6" s="383">
        <f t="shared" si="5"/>
        <v>0.35591728992520899</v>
      </c>
      <c r="EC6" s="383">
        <f t="shared" si="5"/>
        <v>0.34108122225124049</v>
      </c>
      <c r="ED6" s="383">
        <f t="shared" si="5"/>
        <v>0.37846195213767131</v>
      </c>
      <c r="EE6" s="384">
        <f t="shared" ref="EE6:EW6" si="6">EE4/EA4-1</f>
        <v>0.46031415866842118</v>
      </c>
      <c r="EF6" s="384">
        <f t="shared" si="6"/>
        <v>0.29716850897726199</v>
      </c>
      <c r="EG6" s="384">
        <f t="shared" si="6"/>
        <v>0.57658964511678445</v>
      </c>
      <c r="EH6" s="384">
        <f t="shared" si="6"/>
        <v>0.70046183145376539</v>
      </c>
      <c r="EI6" s="384">
        <f t="shared" si="6"/>
        <v>0.71187301736783093</v>
      </c>
      <c r="EJ6" s="384">
        <f t="shared" si="6"/>
        <v>0.84563385539417379</v>
      </c>
      <c r="EK6" s="384">
        <f t="shared" si="6"/>
        <v>0.51427559481427609</v>
      </c>
      <c r="EL6" s="384">
        <f t="shared" si="6"/>
        <v>0.37319727447621354</v>
      </c>
      <c r="EM6" s="384">
        <f t="shared" si="6"/>
        <v>0.30302487066297323</v>
      </c>
      <c r="EN6" s="384">
        <f t="shared" si="6"/>
        <v>0.21395619091599571</v>
      </c>
      <c r="EO6" s="384">
        <f t="shared" si="6"/>
        <v>0.17266863170780611</v>
      </c>
      <c r="EP6" s="384">
        <f t="shared" si="6"/>
        <v>0.17689377273647211</v>
      </c>
      <c r="EQ6" s="384">
        <f t="shared" si="6"/>
        <v>0.17357799834376197</v>
      </c>
      <c r="ER6" s="384">
        <f t="shared" si="6"/>
        <v>0.1802698721627185</v>
      </c>
      <c r="ES6" s="384">
        <f t="shared" si="6"/>
        <v>0.15171566714467444</v>
      </c>
      <c r="ET6" s="384">
        <f t="shared" si="6"/>
        <v>0.12553115290771455</v>
      </c>
      <c r="EU6" s="384">
        <f t="shared" si="6"/>
        <v>0.12514882553295559</v>
      </c>
      <c r="EV6" s="384">
        <f t="shared" si="6"/>
        <v>0.14520787029511917</v>
      </c>
      <c r="EW6" s="384">
        <f t="shared" si="6"/>
        <v>0.14745873068606907</v>
      </c>
      <c r="FA6" s="382">
        <f>FA4/EZ4-1</f>
        <v>0.29508275293032749</v>
      </c>
      <c r="FB6" s="382">
        <f t="shared" ref="FB6:GK6" si="7">FB4/FA4-1</f>
        <v>0.13822582435883213</v>
      </c>
      <c r="FC6" s="382">
        <f t="shared" si="7"/>
        <v>-0.19619718124363106</v>
      </c>
      <c r="FD6" s="382">
        <f t="shared" si="7"/>
        <v>0.20652948076798028</v>
      </c>
      <c r="FE6" s="382">
        <f t="shared" si="7"/>
        <v>7.8835499443000501E-2</v>
      </c>
      <c r="FF6" s="382">
        <f t="shared" si="7"/>
        <v>0.12409343148157403</v>
      </c>
      <c r="FG6" s="382">
        <f t="shared" si="7"/>
        <v>0.62520314221284656</v>
      </c>
      <c r="FH6" s="382">
        <f t="shared" si="7"/>
        <v>-0.1620160859155757</v>
      </c>
      <c r="FI6" s="382">
        <f t="shared" si="7"/>
        <v>-0.3069888281736205</v>
      </c>
      <c r="FJ6" s="382">
        <f t="shared" si="7"/>
        <v>0.30483135331507394</v>
      </c>
      <c r="FK6" s="382">
        <f t="shared" si="7"/>
        <v>0.42119813546838358</v>
      </c>
      <c r="FL6" s="382">
        <f t="shared" si="7"/>
        <v>0.16917984538437469</v>
      </c>
      <c r="FM6" s="382">
        <f t="shared" si="7"/>
        <v>-3.3933713057562209E-2</v>
      </c>
      <c r="FN6" s="382">
        <f t="shared" si="7"/>
        <v>6.4408485033227159E-2</v>
      </c>
      <c r="FO6" s="382">
        <f t="shared" si="7"/>
        <v>-6.5025777482122016E-2</v>
      </c>
      <c r="FP6" s="382">
        <f t="shared" si="7"/>
        <v>-3.8954108858057612E-2</v>
      </c>
      <c r="FQ6" s="382">
        <f t="shared" si="7"/>
        <v>0.20192485656116976</v>
      </c>
      <c r="FR6" s="382">
        <f t="shared" si="7"/>
        <v>1.1395133969818394E-2</v>
      </c>
      <c r="FS6" s="382">
        <f t="shared" si="7"/>
        <v>-0.17448233861144946</v>
      </c>
      <c r="FT6" s="382">
        <f t="shared" si="7"/>
        <v>-2.2685355957211328E-2</v>
      </c>
      <c r="FU6" s="382">
        <f t="shared" si="7"/>
        <v>3.9063974334780038E-2</v>
      </c>
      <c r="FV6" s="382">
        <f t="shared" si="7"/>
        <v>-0.27515437704322554</v>
      </c>
      <c r="FW6" s="382">
        <f t="shared" si="7"/>
        <v>7.0408418942620843E-2</v>
      </c>
      <c r="FX6" s="382">
        <f t="shared" si="7"/>
        <v>0.24742509363295873</v>
      </c>
      <c r="FY6" s="382">
        <f t="shared" si="7"/>
        <v>0.21504972790392185</v>
      </c>
      <c r="FZ6" s="382">
        <f>FZ4/FY4-1</f>
        <v>3.9536679536679609E-2</v>
      </c>
      <c r="GA6" s="382">
        <f>GA4/FZ4-1</f>
        <v>0.45045312732134901</v>
      </c>
      <c r="GB6" s="382">
        <f t="shared" si="7"/>
        <v>0.68329406944586712</v>
      </c>
      <c r="GC6" s="382">
        <f t="shared" si="7"/>
        <v>0.43610806863818907</v>
      </c>
      <c r="GD6" s="382">
        <f t="shared" si="7"/>
        <v>-3.9023770179229644E-2</v>
      </c>
      <c r="GE6" s="382">
        <f t="shared" si="7"/>
        <v>0.13690476190476186</v>
      </c>
      <c r="GF6" s="382">
        <f t="shared" si="7"/>
        <v>0.3433779329067288</v>
      </c>
      <c r="GG6" s="387">
        <f t="shared" si="7"/>
        <v>0.43366465540921961</v>
      </c>
      <c r="GH6" s="387">
        <f t="shared" si="7"/>
        <v>0.67739634880870092</v>
      </c>
      <c r="GI6" s="387">
        <f t="shared" si="7"/>
        <v>0.25567465948790269</v>
      </c>
      <c r="GJ6" s="387">
        <f t="shared" si="7"/>
        <v>0.17004659692266855</v>
      </c>
      <c r="GK6" s="387">
        <f t="shared" si="7"/>
        <v>0.13647162570011773</v>
      </c>
      <c r="GN6" s="70"/>
    </row>
    <row r="7" spans="1:196" s="382" customFormat="1" ht="12" hidden="1" customHeight="1" outlineLevel="1">
      <c r="A7" s="388"/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89"/>
      <c r="X7" s="389"/>
      <c r="Y7" s="389"/>
      <c r="Z7" s="389"/>
      <c r="AA7" s="389"/>
      <c r="AB7" s="389"/>
      <c r="AC7" s="389"/>
      <c r="AD7" s="389"/>
      <c r="AE7" s="389"/>
      <c r="AF7" s="389"/>
      <c r="AG7" s="389"/>
      <c r="AH7" s="389"/>
      <c r="AI7" s="389"/>
      <c r="AJ7" s="389"/>
      <c r="AK7" s="389"/>
      <c r="AL7" s="389"/>
      <c r="AM7" s="389"/>
      <c r="AN7" s="389"/>
      <c r="AO7" s="389"/>
      <c r="AP7" s="389"/>
      <c r="AQ7" s="389"/>
      <c r="AR7" s="389"/>
      <c r="AS7" s="389"/>
      <c r="AT7" s="389"/>
      <c r="AU7" s="389"/>
      <c r="AV7" s="389"/>
      <c r="AW7" s="389"/>
      <c r="AX7" s="389"/>
      <c r="AY7" s="389"/>
      <c r="AZ7" s="389"/>
      <c r="BA7" s="389"/>
      <c r="BB7" s="389"/>
      <c r="BC7" s="389"/>
      <c r="BD7" s="389"/>
      <c r="BE7" s="389"/>
      <c r="BF7" s="389"/>
      <c r="BG7" s="389"/>
      <c r="BH7" s="389"/>
      <c r="BI7" s="389"/>
      <c r="BJ7" s="389"/>
      <c r="BK7" s="389"/>
      <c r="BL7" s="389"/>
      <c r="BM7" s="389"/>
      <c r="BN7" s="389"/>
      <c r="BO7" s="389"/>
      <c r="BP7" s="389"/>
      <c r="BQ7" s="389"/>
      <c r="BR7" s="389"/>
      <c r="BS7" s="389"/>
      <c r="BT7" s="389"/>
      <c r="BU7" s="389"/>
      <c r="BV7" s="389"/>
      <c r="BW7" s="389"/>
      <c r="BX7" s="389"/>
      <c r="BY7" s="389"/>
      <c r="BZ7" s="389"/>
      <c r="CA7" s="389"/>
      <c r="CB7" s="389"/>
      <c r="CC7" s="389"/>
      <c r="CD7" s="389"/>
      <c r="CE7" s="389"/>
      <c r="CF7" s="389"/>
      <c r="CG7" s="389"/>
      <c r="CH7" s="389"/>
      <c r="CI7" s="389"/>
      <c r="CJ7" s="389"/>
      <c r="CK7" s="389"/>
      <c r="CL7" s="389"/>
      <c r="CM7" s="389"/>
      <c r="CN7" s="389"/>
      <c r="CO7" s="389"/>
      <c r="CP7" s="389"/>
      <c r="CQ7" s="389"/>
      <c r="CR7" s="389"/>
      <c r="CS7" s="389"/>
      <c r="CT7" s="390"/>
      <c r="CU7" s="390"/>
      <c r="CV7" s="390"/>
      <c r="CW7" s="390"/>
      <c r="CX7" s="390"/>
      <c r="CY7" s="390"/>
      <c r="CZ7" s="390"/>
      <c r="DA7" s="390"/>
      <c r="DB7" s="384"/>
      <c r="DC7" s="384"/>
      <c r="DD7" s="384"/>
      <c r="DE7" s="384"/>
      <c r="DF7" s="384"/>
      <c r="DG7" s="384"/>
      <c r="DH7" s="384"/>
      <c r="DI7" s="384"/>
      <c r="DJ7" s="391"/>
      <c r="DK7" s="391"/>
      <c r="DL7" s="391"/>
      <c r="DM7" s="391"/>
      <c r="DN7" s="391"/>
      <c r="DO7" s="391"/>
      <c r="DP7" s="391"/>
      <c r="DQ7" s="391"/>
      <c r="DR7" s="391"/>
      <c r="DS7" s="391"/>
      <c r="DT7" s="391"/>
      <c r="DU7" s="391"/>
      <c r="DV7" s="384"/>
      <c r="DW7" s="384"/>
      <c r="DX7" s="384"/>
      <c r="DY7" s="391"/>
      <c r="DZ7" s="391"/>
      <c r="EA7" s="391"/>
      <c r="EB7" s="391"/>
      <c r="EC7" s="391"/>
      <c r="ED7" s="391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FW7" s="390"/>
      <c r="FX7" s="390"/>
      <c r="FY7" s="390"/>
      <c r="FZ7" s="54"/>
      <c r="GA7" s="387"/>
      <c r="GB7" s="387"/>
      <c r="GC7" s="392"/>
      <c r="GD7" s="392"/>
      <c r="GE7" s="392"/>
      <c r="GF7" s="392"/>
      <c r="GG7" s="387"/>
      <c r="GH7" s="387"/>
      <c r="GI7" s="387"/>
      <c r="GJ7" s="387"/>
      <c r="GK7" s="387"/>
      <c r="GN7" s="70"/>
    </row>
    <row r="8" spans="1:196" s="382" customFormat="1" ht="11.25" hidden="1" customHeight="1" outlineLevel="1">
      <c r="A8" s="393"/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89"/>
      <c r="AP8" s="389"/>
      <c r="AQ8" s="389"/>
      <c r="AR8" s="389"/>
      <c r="AS8" s="389"/>
      <c r="AT8" s="389"/>
      <c r="AU8" s="389"/>
      <c r="AV8" s="389"/>
      <c r="AW8" s="389"/>
      <c r="AX8" s="389"/>
      <c r="AY8" s="389"/>
      <c r="AZ8" s="389"/>
      <c r="BA8" s="389"/>
      <c r="BB8" s="389"/>
      <c r="BC8" s="389"/>
      <c r="BD8" s="389"/>
      <c r="BE8" s="389"/>
      <c r="BF8" s="389"/>
      <c r="BG8" s="389"/>
      <c r="BH8" s="389"/>
      <c r="BI8" s="389"/>
      <c r="BJ8" s="389"/>
      <c r="BK8" s="389"/>
      <c r="BL8" s="389"/>
      <c r="BM8" s="389"/>
      <c r="BN8" s="389"/>
      <c r="BO8" s="389"/>
      <c r="BP8" s="389"/>
      <c r="BQ8" s="389"/>
      <c r="BR8" s="389"/>
      <c r="BS8" s="389"/>
      <c r="BT8" s="389"/>
      <c r="BU8" s="389"/>
      <c r="BV8" s="389"/>
      <c r="BW8" s="389"/>
      <c r="BX8" s="389"/>
      <c r="BY8" s="389"/>
      <c r="BZ8" s="389"/>
      <c r="CA8" s="389"/>
      <c r="CB8" s="389"/>
      <c r="CC8" s="389"/>
      <c r="CD8" s="389"/>
      <c r="CE8" s="389"/>
      <c r="CF8" s="389"/>
      <c r="CG8" s="389"/>
      <c r="CH8" s="389"/>
      <c r="CI8" s="389"/>
      <c r="CJ8" s="389"/>
      <c r="CK8" s="389"/>
      <c r="CL8" s="389"/>
      <c r="CM8" s="389"/>
      <c r="CN8" s="389"/>
      <c r="CO8" s="389"/>
      <c r="CP8" s="389"/>
      <c r="CQ8" s="389"/>
      <c r="CR8" s="389"/>
      <c r="CS8" s="389"/>
      <c r="CT8" s="389"/>
      <c r="CU8" s="389"/>
      <c r="CV8" s="389"/>
      <c r="CW8" s="389"/>
      <c r="CX8" s="389"/>
      <c r="CY8" s="389"/>
      <c r="CZ8" s="389"/>
      <c r="DA8" s="389"/>
      <c r="DB8" s="384"/>
      <c r="DC8" s="384"/>
      <c r="DD8" s="384"/>
      <c r="DE8" s="384"/>
      <c r="DF8" s="384"/>
      <c r="DG8" s="384"/>
      <c r="DH8" s="384"/>
      <c r="DI8" s="384"/>
      <c r="DJ8" s="391"/>
      <c r="DK8" s="391"/>
      <c r="DL8" s="391"/>
      <c r="DM8" s="391"/>
      <c r="DN8" s="391"/>
      <c r="DO8" s="391"/>
      <c r="DP8" s="391"/>
      <c r="DQ8" s="391"/>
      <c r="DR8" s="391"/>
      <c r="DS8" s="391"/>
      <c r="DT8" s="391"/>
      <c r="DU8" s="391"/>
      <c r="DV8" s="384"/>
      <c r="DW8" s="384"/>
      <c r="DX8" s="384"/>
      <c r="DY8" s="391"/>
      <c r="DZ8" s="391"/>
      <c r="EA8" s="391"/>
      <c r="EB8" s="391"/>
      <c r="EC8" s="391"/>
      <c r="ED8" s="391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FW8" s="390"/>
      <c r="FZ8" s="394"/>
      <c r="GA8" s="394"/>
      <c r="GB8" s="394"/>
      <c r="GC8" s="394"/>
      <c r="GD8" s="394"/>
      <c r="GE8" s="394"/>
      <c r="GF8" s="394"/>
      <c r="GG8" s="394"/>
      <c r="GH8" s="394"/>
      <c r="GI8" s="394"/>
      <c r="GJ8" s="394"/>
      <c r="GK8" s="394"/>
      <c r="GN8" s="70"/>
    </row>
    <row r="9" spans="1:196" s="382" customFormat="1" ht="12" hidden="1" customHeight="1" outlineLevel="1">
      <c r="A9" s="393"/>
      <c r="B9" s="389"/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  <c r="Z9" s="389"/>
      <c r="AA9" s="389"/>
      <c r="AB9" s="389"/>
      <c r="AC9" s="389"/>
      <c r="AD9" s="389"/>
      <c r="AE9" s="38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9"/>
      <c r="AQ9" s="389"/>
      <c r="AR9" s="389"/>
      <c r="AS9" s="389"/>
      <c r="AT9" s="389"/>
      <c r="AU9" s="389"/>
      <c r="AV9" s="389"/>
      <c r="AW9" s="389"/>
      <c r="AX9" s="389"/>
      <c r="AY9" s="389"/>
      <c r="AZ9" s="389"/>
      <c r="BA9" s="389"/>
      <c r="BB9" s="389"/>
      <c r="BC9" s="389"/>
      <c r="BD9" s="389"/>
      <c r="BE9" s="389"/>
      <c r="BF9" s="389"/>
      <c r="BG9" s="389"/>
      <c r="BH9" s="389"/>
      <c r="BI9" s="389"/>
      <c r="BJ9" s="389"/>
      <c r="BK9" s="389"/>
      <c r="BL9" s="389"/>
      <c r="BM9" s="389"/>
      <c r="BN9" s="389"/>
      <c r="BO9" s="389"/>
      <c r="BP9" s="389"/>
      <c r="BQ9" s="389"/>
      <c r="BR9" s="389"/>
      <c r="BS9" s="389"/>
      <c r="BT9" s="389"/>
      <c r="BU9" s="389"/>
      <c r="BV9" s="389"/>
      <c r="BW9" s="389"/>
      <c r="BX9" s="389"/>
      <c r="BY9" s="389"/>
      <c r="BZ9" s="389"/>
      <c r="CA9" s="389"/>
      <c r="CB9" s="389"/>
      <c r="CC9" s="389"/>
      <c r="CD9" s="389"/>
      <c r="CE9" s="389"/>
      <c r="CF9" s="389"/>
      <c r="CG9" s="389"/>
      <c r="CH9" s="389"/>
      <c r="CI9" s="389"/>
      <c r="CJ9" s="389"/>
      <c r="CK9" s="389"/>
      <c r="CL9" s="389"/>
      <c r="CM9" s="389"/>
      <c r="CN9" s="389"/>
      <c r="CO9" s="389"/>
      <c r="CP9" s="389"/>
      <c r="CQ9" s="389"/>
      <c r="CR9" s="389"/>
      <c r="CS9" s="389"/>
      <c r="CT9" s="389"/>
      <c r="CU9" s="389"/>
      <c r="CV9" s="389"/>
      <c r="CW9" s="389"/>
      <c r="CX9" s="389"/>
      <c r="CY9" s="389"/>
      <c r="CZ9" s="389"/>
      <c r="DA9" s="389"/>
      <c r="DB9" s="384"/>
      <c r="DC9" s="384"/>
      <c r="DD9" s="384"/>
      <c r="DE9" s="384"/>
      <c r="DF9" s="384"/>
      <c r="DG9" s="384"/>
      <c r="DH9" s="384"/>
      <c r="DI9" s="384"/>
      <c r="DJ9" s="391"/>
      <c r="DK9" s="391"/>
      <c r="DL9" s="391"/>
      <c r="DM9" s="391"/>
      <c r="DN9" s="391"/>
      <c r="DO9" s="391"/>
      <c r="DP9" s="391"/>
      <c r="DQ9" s="391"/>
      <c r="DR9" s="391"/>
      <c r="DS9" s="391"/>
      <c r="DT9" s="391"/>
      <c r="DU9" s="391"/>
      <c r="DV9" s="384"/>
      <c r="DW9" s="384"/>
      <c r="DX9" s="384"/>
      <c r="DY9" s="391"/>
      <c r="DZ9" s="391"/>
      <c r="EA9" s="391"/>
      <c r="EB9" s="391"/>
      <c r="EC9" s="391"/>
      <c r="ED9" s="391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FZ9" s="387"/>
      <c r="GA9" s="387"/>
      <c r="GB9" s="387"/>
      <c r="GC9" s="392"/>
      <c r="GD9" s="392"/>
      <c r="GE9" s="392"/>
      <c r="GF9" s="392"/>
      <c r="GG9" s="387"/>
      <c r="GH9" s="387"/>
      <c r="GI9" s="387"/>
      <c r="GJ9" s="387"/>
      <c r="GK9" s="387"/>
      <c r="GN9" s="70"/>
    </row>
    <row r="10" spans="1:196" s="379" customFormat="1" collapsed="1">
      <c r="A10" s="376" t="s">
        <v>201</v>
      </c>
      <c r="B10" s="377">
        <f>AMD!AF16</f>
        <v>194.08199999999999</v>
      </c>
      <c r="C10" s="377">
        <f>AMD!AG16</f>
        <v>186.93100000000001</v>
      </c>
      <c r="D10" s="377">
        <f>AMD!AH16</f>
        <v>199.99900000000002</v>
      </c>
      <c r="E10" s="377">
        <f>AMD!AI16</f>
        <v>208.55199999999999</v>
      </c>
      <c r="F10" s="377">
        <f>AMD!AK16</f>
        <v>230.43700000000001</v>
      </c>
      <c r="G10" s="377">
        <f>AMD!AL16</f>
        <v>235.62299999999999</v>
      </c>
      <c r="H10" s="377">
        <f>AMD!AM16</f>
        <v>252.40899999999999</v>
      </c>
      <c r="I10" s="377">
        <f>AMD!AN16</f>
        <v>263.83699999999999</v>
      </c>
      <c r="J10" s="377">
        <f>AMD!AP16</f>
        <v>290.77199999999999</v>
      </c>
      <c r="K10" s="377">
        <f>AMD!AQ16</f>
        <v>300.959</v>
      </c>
      <c r="L10" s="377">
        <f>AMD!AR16</f>
        <v>344.34399999999999</v>
      </c>
      <c r="M10" s="377">
        <f>AMD!AS16</f>
        <v>362.80100000000004</v>
      </c>
      <c r="N10" s="377">
        <f>AMD!AU16</f>
        <v>368.73500000000001</v>
      </c>
      <c r="O10" s="377">
        <f>AMD!AV16</f>
        <v>379.779</v>
      </c>
      <c r="P10" s="377">
        <f>AMD!AW16</f>
        <v>337.69200000000001</v>
      </c>
      <c r="Q10" s="377">
        <f>AMD!AX16</f>
        <v>354.62200000000001</v>
      </c>
      <c r="R10" s="377">
        <f>AMD!AZ16</f>
        <v>349.07600000000002</v>
      </c>
      <c r="S10" s="377">
        <f>AMD!BA16</f>
        <v>372.26600000000008</v>
      </c>
      <c r="T10" s="377">
        <f>AMD!BB16</f>
        <v>428.24</v>
      </c>
      <c r="U10" s="377">
        <f>AMD!BC16</f>
        <v>428.85599999999994</v>
      </c>
      <c r="V10" s="377">
        <f>AMD!BE16</f>
        <v>423.59100000000001</v>
      </c>
      <c r="W10" s="377">
        <f>AMD!BF16</f>
        <v>390.14</v>
      </c>
      <c r="X10" s="377">
        <f>AMD!BG16</f>
        <v>422.98500000000001</v>
      </c>
      <c r="Y10" s="377">
        <f>AMD!BH16</f>
        <v>481.98700000000002</v>
      </c>
      <c r="Z10" s="377">
        <f>AMD!BJ16</f>
        <v>450.43099999999993</v>
      </c>
      <c r="AA10" s="377">
        <f>AMD!BK16</f>
        <v>458.339</v>
      </c>
      <c r="AB10" s="377">
        <f>AMD!BL16</f>
        <v>474.11899999999991</v>
      </c>
      <c r="AC10" s="377">
        <f>AMD!BM16</f>
        <v>581.54500000000007</v>
      </c>
      <c r="AD10" s="377">
        <f>AMD!BO16</f>
        <v>605.75700000000006</v>
      </c>
      <c r="AE10" s="377">
        <f>AMD!BP16</f>
        <v>612.56700000000001</v>
      </c>
      <c r="AF10" s="377">
        <f>AMD!BQ16</f>
        <v>639.01</v>
      </c>
      <c r="AG10" s="377">
        <f>AMD!BR16</f>
        <v>657.303</v>
      </c>
      <c r="AH10" s="377">
        <f>AMD!BT16</f>
        <v>714.83</v>
      </c>
      <c r="AI10" s="377">
        <f>AMD!BU16</f>
        <v>636.19899999999996</v>
      </c>
      <c r="AJ10" s="377">
        <f>AMD!BV16</f>
        <v>587.15499999999997</v>
      </c>
      <c r="AK10" s="377">
        <f>AMD!BW16</f>
        <v>644.66200000000003</v>
      </c>
      <c r="AL10" s="377">
        <f>AMD!BY16</f>
        <v>586.87400000000002</v>
      </c>
      <c r="AM10" s="377">
        <f>AMD!BZ16</f>
        <v>558.29</v>
      </c>
      <c r="AN10" s="377">
        <f>AMD!CA16</f>
        <v>453.88400000000001</v>
      </c>
      <c r="AO10" s="377">
        <f>AMD!CB16</f>
        <v>506.61299999999994</v>
      </c>
      <c r="AP10" s="377">
        <f>AMD!CD16</f>
        <v>496.59199999999998</v>
      </c>
      <c r="AQ10" s="377">
        <f>AMD!CE16</f>
        <v>425.08499999999992</v>
      </c>
      <c r="AR10" s="377">
        <f>AMD!CF16</f>
        <v>626.88</v>
      </c>
      <c r="AS10" s="377">
        <f>AMD!CG16</f>
        <v>778.50800000000004</v>
      </c>
      <c r="AT10" s="377">
        <f>AMD!CI16</f>
        <v>768.84</v>
      </c>
      <c r="AU10" s="377">
        <f>AMD!CJ16</f>
        <v>783.06899999999996</v>
      </c>
      <c r="AV10" s="377">
        <f>AMD!CK16</f>
        <v>738.02600000000007</v>
      </c>
      <c r="AW10" s="377">
        <f>AMD!CL16</f>
        <v>742.64999999999986</v>
      </c>
      <c r="AX10" s="377">
        <f>AMD!CN16</f>
        <v>807.44899999999996</v>
      </c>
      <c r="AY10" s="377">
        <f>AMD!CO16</f>
        <v>765.95399999999995</v>
      </c>
      <c r="AZ10" s="377">
        <f>AMD!CP16</f>
        <v>896.26099999999997</v>
      </c>
      <c r="BA10" s="377">
        <f>AMD!CQ16</f>
        <v>986.14800000000014</v>
      </c>
      <c r="BB10" s="377">
        <f>AMD!CS16</f>
        <v>553.34</v>
      </c>
      <c r="BC10" s="377">
        <f>AMD!CT16</f>
        <v>526.05899999999997</v>
      </c>
      <c r="BD10" s="377">
        <f>AMD!CU16</f>
        <v>645.26400000000001</v>
      </c>
      <c r="BE10" s="377">
        <f>AMD!CV16</f>
        <v>1070</v>
      </c>
      <c r="BF10" s="377">
        <f>AMD!CX16</f>
        <v>857</v>
      </c>
      <c r="BG10" s="377">
        <f>AMD!CY16</f>
        <v>885</v>
      </c>
      <c r="BH10" s="377">
        <f>AMD!CZ16</f>
        <v>961</v>
      </c>
      <c r="BI10" s="377">
        <f>AMD!DA16</f>
        <v>985</v>
      </c>
      <c r="BJ10" s="377">
        <f>AMD!DC16</f>
        <v>877</v>
      </c>
      <c r="BK10" s="377">
        <f>AMD!DD16</f>
        <v>846</v>
      </c>
      <c r="BL10" s="377">
        <f>AMD!DE16</f>
        <v>881</v>
      </c>
      <c r="BM10" s="377">
        <f>AMD!DF16</f>
        <v>663</v>
      </c>
      <c r="BN10" s="377">
        <f>AMD!DH16</f>
        <v>765</v>
      </c>
      <c r="BO10" s="377">
        <f>AMD!DI16</f>
        <v>861</v>
      </c>
      <c r="BP10" s="377">
        <f>AMD!DJ16</f>
        <v>869</v>
      </c>
      <c r="BQ10" s="377">
        <f>AMD!DK16</f>
        <v>967</v>
      </c>
      <c r="BR10" s="377">
        <f>AMD!DM16</f>
        <v>902</v>
      </c>
      <c r="BS10" s="377">
        <f>AMD!DN16</f>
        <v>915</v>
      </c>
      <c r="BT10" s="377">
        <f>AMD!DO16</f>
        <v>879</v>
      </c>
      <c r="BU10" s="377">
        <f>AMD!DP16</f>
        <v>906</v>
      </c>
      <c r="BV10" s="377">
        <f>AMD!DR16</f>
        <v>893</v>
      </c>
      <c r="BW10" s="377">
        <f>AMD!DS16</f>
        <v>854</v>
      </c>
      <c r="BX10" s="377">
        <f>AMD!DT16</f>
        <v>934</v>
      </c>
      <c r="BY10" s="377">
        <f>AMD!DU16</f>
        <v>918</v>
      </c>
      <c r="BZ10" s="377">
        <f>AMD!DW16</f>
        <v>855</v>
      </c>
      <c r="CA10" s="377">
        <f>AMD!DX16</f>
        <v>770</v>
      </c>
      <c r="CB10" s="377">
        <f>AMD!DY16</f>
        <v>877</v>
      </c>
      <c r="CC10" s="377">
        <f>AMD!DZ16</f>
        <v>704</v>
      </c>
      <c r="CD10" s="377">
        <f>AMD!EB16</f>
        <v>643</v>
      </c>
      <c r="CE10" s="377">
        <f>AMD!EC16</f>
        <v>702</v>
      </c>
      <c r="CF10" s="377">
        <f>AMD!ED16</f>
        <v>940</v>
      </c>
      <c r="CG10" s="377">
        <f>AMD!EE16</f>
        <v>1036</v>
      </c>
      <c r="CH10" s="377">
        <f>AMD!EG16</f>
        <v>910</v>
      </c>
      <c r="CI10" s="377">
        <f>AMD!EH16</f>
        <v>943</v>
      </c>
      <c r="CJ10" s="377">
        <f>AMD!EI16</f>
        <v>935</v>
      </c>
      <c r="CK10" s="377">
        <f>AMD!EJ16</f>
        <v>821</v>
      </c>
      <c r="CL10" s="377">
        <f>AMD!EL16</f>
        <v>704</v>
      </c>
      <c r="CM10" s="377">
        <f>AMD!EM16</f>
        <v>677</v>
      </c>
      <c r="CN10" s="377">
        <f>AMD!EN16</f>
        <v>822</v>
      </c>
      <c r="CO10" s="377">
        <f>AMD!EO16</f>
        <v>675</v>
      </c>
      <c r="CP10" s="377">
        <f>AMD!EQ16</f>
        <v>563</v>
      </c>
      <c r="CQ10" s="377">
        <f>AMD!ER16</f>
        <v>708</v>
      </c>
      <c r="CR10" s="377">
        <f>AMD!ES16</f>
        <v>908</v>
      </c>
      <c r="CS10" s="377">
        <f>AMD!ET16</f>
        <v>755</v>
      </c>
      <c r="CT10" s="377">
        <f>AMD!EV16</f>
        <v>653</v>
      </c>
      <c r="CU10" s="377">
        <f>AMD!EW16</f>
        <v>818</v>
      </c>
      <c r="CV10" s="377">
        <f>AMD!EX16</f>
        <v>1070</v>
      </c>
      <c r="CW10" s="377">
        <f>AMD!EY16</f>
        <v>965</v>
      </c>
      <c r="CX10" s="377">
        <f>AMD!FA16</f>
        <v>1050</v>
      </c>
      <c r="CY10" s="377">
        <f>AMD!FB16</f>
        <v>1104</v>
      </c>
      <c r="CZ10" s="377">
        <f>AMD!FC16</f>
        <v>992</v>
      </c>
      <c r="DA10" s="377">
        <f>AMD!FD16</f>
        <v>882</v>
      </c>
      <c r="DB10" s="377">
        <f>AMD!FF16</f>
        <v>751</v>
      </c>
      <c r="DC10" s="377">
        <f>AMD!FG16</f>
        <v>910</v>
      </c>
      <c r="DD10" s="377">
        <f>AMD!FH16</f>
        <v>1024</v>
      </c>
      <c r="DE10" s="377">
        <f>AMD!FI16</f>
        <v>1178</v>
      </c>
      <c r="DF10" s="377">
        <f>AMD!FK16</f>
        <v>968</v>
      </c>
      <c r="DG10" s="377">
        <f>AMD!FL16</f>
        <v>1084</v>
      </c>
      <c r="DH10" s="377">
        <f>AMD!FM16</f>
        <v>1571</v>
      </c>
      <c r="DI10" s="377">
        <f>AMD!FN16</f>
        <v>1793</v>
      </c>
      <c r="DJ10" s="377">
        <f>AMD!FP16</f>
        <v>1858</v>
      </c>
      <c r="DK10" s="377">
        <f>AMD!FQ16</f>
        <v>2020</v>
      </c>
      <c r="DL10" s="377">
        <f>AMD!FR16</f>
        <v>2227</v>
      </c>
      <c r="DM10" s="377">
        <f>AMD!FS16</f>
        <v>2400</v>
      </c>
      <c r="DN10" s="377">
        <f>AMD!FU16</f>
        <v>2791</v>
      </c>
      <c r="DO10" s="377">
        <f>AMD!FV16</f>
        <v>3020</v>
      </c>
      <c r="DP10" s="377">
        <f>AMD!FW16</f>
        <v>2797</v>
      </c>
      <c r="DQ10" s="377">
        <f>AMD!FX16</f>
        <v>2749</v>
      </c>
      <c r="DR10" s="377">
        <f>AMD!FZ16</f>
        <v>2686</v>
      </c>
      <c r="DS10" s="377">
        <f>AMD!GA16</f>
        <v>2704</v>
      </c>
      <c r="DT10" s="377">
        <f>AMD!GB16</f>
        <v>2843</v>
      </c>
      <c r="DU10" s="377">
        <f>AMD!GC16</f>
        <v>3041</v>
      </c>
      <c r="DV10" s="377">
        <f>AMD!GE16</f>
        <v>2618</v>
      </c>
      <c r="DW10" s="377">
        <f>AMD!GF16</f>
        <v>2739</v>
      </c>
      <c r="DX10" s="377">
        <f>AMD!GG16</f>
        <v>3167</v>
      </c>
      <c r="DY10" s="377">
        <f>AMD!GH16</f>
        <v>3524</v>
      </c>
      <c r="DZ10" s="377">
        <f>AMD!GJ16</f>
        <v>3451</v>
      </c>
      <c r="EA10" s="377">
        <f>AMD!GK16</f>
        <v>4365</v>
      </c>
      <c r="EB10" s="377">
        <f>AMD!GL16</f>
        <v>4261</v>
      </c>
      <c r="EC10" s="377">
        <f>AMD!GM16</f>
        <v>4423</v>
      </c>
      <c r="ED10" s="377">
        <f>AMD!GO16</f>
        <v>4576</v>
      </c>
      <c r="EE10" s="380">
        <f t="shared" ref="EE10:EW10" si="8">EE4-EE26</f>
        <v>4932.0956111753521</v>
      </c>
      <c r="EF10" s="380">
        <f t="shared" si="8"/>
        <v>5255.7296596433252</v>
      </c>
      <c r="EG10" s="380">
        <f t="shared" si="8"/>
        <v>7406.7056891802495</v>
      </c>
      <c r="EH10" s="380">
        <f t="shared" si="8"/>
        <v>8003.0765242066664</v>
      </c>
      <c r="EI10" s="380">
        <f t="shared" si="8"/>
        <v>8842.2282189918187</v>
      </c>
      <c r="EJ10" s="380">
        <f t="shared" si="8"/>
        <v>10303.630741413259</v>
      </c>
      <c r="EK10" s="380">
        <f t="shared" si="8"/>
        <v>11473.397721487168</v>
      </c>
      <c r="EL10" s="380">
        <f t="shared" si="8"/>
        <v>11021.950027228679</v>
      </c>
      <c r="EM10" s="380">
        <f t="shared" si="8"/>
        <v>11485.49149802106</v>
      </c>
      <c r="EN10" s="380">
        <f t="shared" si="8"/>
        <v>12278.846924834137</v>
      </c>
      <c r="EO10" s="380">
        <f t="shared" si="8"/>
        <v>13161.04975174346</v>
      </c>
      <c r="EP10" s="380">
        <f t="shared" si="8"/>
        <v>12938.041773940249</v>
      </c>
      <c r="EQ10" s="380">
        <f t="shared" si="8"/>
        <v>13512.251633379112</v>
      </c>
      <c r="ER10" s="380">
        <f t="shared" si="8"/>
        <v>14546.069523710703</v>
      </c>
      <c r="ES10" s="380">
        <f t="shared" si="8"/>
        <v>15178.596723157341</v>
      </c>
      <c r="ET10" s="380">
        <f t="shared" si="8"/>
        <v>14492.8150062561</v>
      </c>
      <c r="EU10" s="380">
        <f t="shared" si="8"/>
        <v>15130.211908184483</v>
      </c>
      <c r="EV10" s="380">
        <f t="shared" si="8"/>
        <v>16601.053381511949</v>
      </c>
      <c r="EW10" s="380">
        <f t="shared" si="8"/>
        <v>17345.891360878482</v>
      </c>
      <c r="EZ10" s="376">
        <f>B10+C10+D10+E10</f>
        <v>789.56400000000008</v>
      </c>
      <c r="FA10" s="376">
        <f>F10+G10+H10+I10</f>
        <v>982.30600000000004</v>
      </c>
      <c r="FB10" s="376">
        <f>J10+K10+L10+M10</f>
        <v>1298.8760000000002</v>
      </c>
      <c r="FC10" s="376">
        <f>N10+O10+P10+Q10</f>
        <v>1440.8280000000002</v>
      </c>
      <c r="FD10" s="376">
        <f>R10+S10+T10+U10</f>
        <v>1578.4380000000001</v>
      </c>
      <c r="FE10" s="376">
        <f>V10+W10+X10+Y10</f>
        <v>1718.703</v>
      </c>
      <c r="FF10" s="376">
        <f>Z10+AA10+AB10+AC10</f>
        <v>1964.434</v>
      </c>
      <c r="FG10" s="376">
        <f>AD10+AE10+AF10+AG10</f>
        <v>2514.6370000000002</v>
      </c>
      <c r="FH10" s="376">
        <f>AH10+AI10+AJ10+AK10</f>
        <v>2582.846</v>
      </c>
      <c r="FI10" s="376">
        <f>AL10+AM10+AN10+AO10</f>
        <v>2105.6610000000001</v>
      </c>
      <c r="FJ10" s="376">
        <f>AP10+AQ10+AR10+AS10</f>
        <v>2327.0649999999996</v>
      </c>
      <c r="FK10" s="376">
        <f>AT10+AU10+AV10+AW10</f>
        <v>3032.585</v>
      </c>
      <c r="FL10" s="376">
        <f>AX10+AY10+AZ10+BA10</f>
        <v>3455.8119999999999</v>
      </c>
      <c r="FM10" s="376">
        <f>BB10+BC10+BD10+BE10</f>
        <v>2794.663</v>
      </c>
      <c r="FN10" s="376">
        <f>BF10+BG10+BH10+BI10</f>
        <v>3688</v>
      </c>
      <c r="FO10" s="376">
        <f>BJ10+BK10+BL10+BM10</f>
        <v>3267</v>
      </c>
      <c r="FP10" s="376">
        <f>BN10+BO10+BP10+BQ10</f>
        <v>3462</v>
      </c>
      <c r="FQ10" s="376">
        <f>BR10+BS10+BT10+BU10</f>
        <v>3602</v>
      </c>
      <c r="FR10" s="376">
        <f>BV10+BW10+BX10+BY10</f>
        <v>3599</v>
      </c>
      <c r="FS10" s="376">
        <f>BZ10+CA10+CB10+CC10</f>
        <v>3206</v>
      </c>
      <c r="FT10" s="376">
        <f>CD10+CE10+CF10+CG10</f>
        <v>3321</v>
      </c>
      <c r="FU10" s="376">
        <f>CH10+CI10+CJ10+CK10</f>
        <v>3609</v>
      </c>
      <c r="FV10" s="376">
        <f>CL10+CM10+CN10+CO10</f>
        <v>2878</v>
      </c>
      <c r="FW10" s="376">
        <f>CP10+CQ10+CR10+CS10</f>
        <v>2934</v>
      </c>
      <c r="FX10" s="376">
        <f>CT10+CU10+CV10+CW10</f>
        <v>3506</v>
      </c>
      <c r="FY10" s="376">
        <f>CX10+CY10+CZ10+DA10</f>
        <v>4028</v>
      </c>
      <c r="FZ10" s="376">
        <f>DB10+DC10+DD10+DE10</f>
        <v>3863</v>
      </c>
      <c r="GA10" s="376">
        <f>SUM(DF10:DI10)</f>
        <v>5416</v>
      </c>
      <c r="GB10" s="376">
        <f>SUM(DJ10:DM10)</f>
        <v>8505</v>
      </c>
      <c r="GC10" s="376">
        <f>SUM(DN10:DQ10)</f>
        <v>11357</v>
      </c>
      <c r="GD10" s="376">
        <f>SUM(DR10:DU10)</f>
        <v>11274</v>
      </c>
      <c r="GE10" s="376">
        <f>SUM(DV10:DY10)</f>
        <v>12048</v>
      </c>
      <c r="GF10" s="376">
        <f>SUM(DZ10:EC10)</f>
        <v>16500</v>
      </c>
      <c r="GG10" s="380">
        <f>SUM(ED10:EG10)</f>
        <v>22170.530959998927</v>
      </c>
      <c r="GH10" s="380">
        <f>SUM(EH10:EK10)</f>
        <v>38622.333206098912</v>
      </c>
      <c r="GI10" s="380">
        <f>SUM(EL10:EO10)</f>
        <v>47947.338201827341</v>
      </c>
      <c r="GJ10" s="380">
        <f>SUM(EP10:ES10)</f>
        <v>56174.959654187405</v>
      </c>
      <c r="GK10" s="380">
        <f>SUM(ET10:EW10)</f>
        <v>63569.97165683101</v>
      </c>
      <c r="GN10" s="70"/>
    </row>
    <row r="11" spans="1:196" s="382" customFormat="1">
      <c r="A11" s="381" t="s">
        <v>198</v>
      </c>
      <c r="C11" s="382">
        <f t="shared" ref="C11:BN11" si="9">C10/B10-1</f>
        <v>-3.6845250976391353E-2</v>
      </c>
      <c r="D11" s="382">
        <f t="shared" si="9"/>
        <v>6.9908147926240227E-2</v>
      </c>
      <c r="E11" s="382">
        <f t="shared" si="9"/>
        <v>4.2765213826069015E-2</v>
      </c>
      <c r="F11" s="382">
        <f t="shared" si="9"/>
        <v>0.10493785722505677</v>
      </c>
      <c r="G11" s="382">
        <f t="shared" si="9"/>
        <v>2.2505066460681178E-2</v>
      </c>
      <c r="H11" s="382">
        <f t="shared" si="9"/>
        <v>7.1240922999876943E-2</v>
      </c>
      <c r="I11" s="382">
        <f t="shared" si="9"/>
        <v>4.527572313190098E-2</v>
      </c>
      <c r="J11" s="382">
        <f t="shared" si="9"/>
        <v>0.10208954771317136</v>
      </c>
      <c r="K11" s="382">
        <f t="shared" si="9"/>
        <v>3.5034322424442488E-2</v>
      </c>
      <c r="L11" s="382">
        <f t="shared" si="9"/>
        <v>0.14415584847105412</v>
      </c>
      <c r="M11" s="382">
        <f t="shared" si="9"/>
        <v>5.3600469298143771E-2</v>
      </c>
      <c r="N11" s="382">
        <f t="shared" si="9"/>
        <v>1.6356073990975606E-2</v>
      </c>
      <c r="O11" s="382">
        <f t="shared" si="9"/>
        <v>2.9951048856224682E-2</v>
      </c>
      <c r="P11" s="382">
        <f t="shared" si="9"/>
        <v>-0.11081971357026055</v>
      </c>
      <c r="Q11" s="382">
        <f t="shared" si="9"/>
        <v>5.0134442035938198E-2</v>
      </c>
      <c r="R11" s="382">
        <f t="shared" si="9"/>
        <v>-1.5639187642052632E-2</v>
      </c>
      <c r="S11" s="382">
        <f t="shared" si="9"/>
        <v>6.6432524722410236E-2</v>
      </c>
      <c r="T11" s="382">
        <f t="shared" si="9"/>
        <v>0.15036022628980339</v>
      </c>
      <c r="U11" s="382">
        <f t="shared" si="9"/>
        <v>1.4384457313654231E-3</v>
      </c>
      <c r="V11" s="382">
        <f t="shared" si="9"/>
        <v>-1.2276848172813049E-2</v>
      </c>
      <c r="W11" s="382">
        <f t="shared" si="9"/>
        <v>-7.8970044217181234E-2</v>
      </c>
      <c r="X11" s="382">
        <f t="shared" si="9"/>
        <v>8.4187727482442298E-2</v>
      </c>
      <c r="Y11" s="382">
        <f t="shared" si="9"/>
        <v>0.13948958000874745</v>
      </c>
      <c r="Z11" s="382">
        <f t="shared" si="9"/>
        <v>-6.5470645473840738E-2</v>
      </c>
      <c r="AA11" s="382">
        <f t="shared" si="9"/>
        <v>1.7556518090451334E-2</v>
      </c>
      <c r="AB11" s="382">
        <f t="shared" si="9"/>
        <v>3.4428665245593182E-2</v>
      </c>
      <c r="AC11" s="382">
        <f t="shared" si="9"/>
        <v>0.22658024673130628</v>
      </c>
      <c r="AD11" s="382">
        <f t="shared" si="9"/>
        <v>4.1633923428109565E-2</v>
      </c>
      <c r="AE11" s="382">
        <f t="shared" si="9"/>
        <v>1.1242131745897943E-2</v>
      </c>
      <c r="AF11" s="382">
        <f t="shared" si="9"/>
        <v>4.3167522899535848E-2</v>
      </c>
      <c r="AG11" s="382">
        <f t="shared" si="9"/>
        <v>2.8627095037636385E-2</v>
      </c>
      <c r="AH11" s="382">
        <f t="shared" si="9"/>
        <v>8.7519758771829714E-2</v>
      </c>
      <c r="AI11" s="382">
        <f t="shared" si="9"/>
        <v>-0.1099995803197964</v>
      </c>
      <c r="AJ11" s="382">
        <f t="shared" si="9"/>
        <v>-7.708908690519789E-2</v>
      </c>
      <c r="AK11" s="382">
        <f t="shared" si="9"/>
        <v>9.7941770060716582E-2</v>
      </c>
      <c r="AL11" s="382">
        <f t="shared" si="9"/>
        <v>-8.9640772994220241E-2</v>
      </c>
      <c r="AM11" s="382">
        <f t="shared" si="9"/>
        <v>-4.8705514301195962E-2</v>
      </c>
      <c r="AN11" s="382">
        <f t="shared" si="9"/>
        <v>-0.1870103351304877</v>
      </c>
      <c r="AO11" s="382">
        <f t="shared" si="9"/>
        <v>0.11617285473821481</v>
      </c>
      <c r="AP11" s="382">
        <f t="shared" si="9"/>
        <v>-1.9780384632845927E-2</v>
      </c>
      <c r="AQ11" s="382">
        <f t="shared" si="9"/>
        <v>-0.1439954731449562</v>
      </c>
      <c r="AR11" s="382">
        <f t="shared" si="9"/>
        <v>0.47471682134161419</v>
      </c>
      <c r="AS11" s="382">
        <f t="shared" si="9"/>
        <v>0.24187723328228694</v>
      </c>
      <c r="AT11" s="382">
        <f t="shared" si="9"/>
        <v>-1.241862639818736E-2</v>
      </c>
      <c r="AU11" s="382">
        <f t="shared" si="9"/>
        <v>1.8507101607616594E-2</v>
      </c>
      <c r="AV11" s="382">
        <f t="shared" si="9"/>
        <v>-5.7521112443475464E-2</v>
      </c>
      <c r="AW11" s="382">
        <f t="shared" si="9"/>
        <v>6.2653619249184445E-3</v>
      </c>
      <c r="AX11" s="382">
        <f t="shared" si="9"/>
        <v>8.7253753450481586E-2</v>
      </c>
      <c r="AY11" s="382">
        <f t="shared" si="9"/>
        <v>-5.1390242603557623E-2</v>
      </c>
      <c r="AZ11" s="382">
        <f t="shared" si="9"/>
        <v>0.17012379333484784</v>
      </c>
      <c r="BA11" s="382">
        <f t="shared" si="9"/>
        <v>0.10029109824035642</v>
      </c>
      <c r="BB11" s="382">
        <f t="shared" si="9"/>
        <v>-0.4388874692236866</v>
      </c>
      <c r="BC11" s="382">
        <f t="shared" si="9"/>
        <v>-4.9302418043156271E-2</v>
      </c>
      <c r="BD11" s="382">
        <f t="shared" si="9"/>
        <v>0.22660005816838047</v>
      </c>
      <c r="BE11" s="382">
        <f t="shared" si="9"/>
        <v>0.65823600882739464</v>
      </c>
      <c r="BF11" s="382">
        <f t="shared" si="9"/>
        <v>-0.19906542056074772</v>
      </c>
      <c r="BG11" s="382">
        <f t="shared" si="9"/>
        <v>3.2672112018669708E-2</v>
      </c>
      <c r="BH11" s="382">
        <f t="shared" si="9"/>
        <v>8.5875706214689318E-2</v>
      </c>
      <c r="BI11" s="382">
        <f t="shared" si="9"/>
        <v>2.4973985431841816E-2</v>
      </c>
      <c r="BJ11" s="382">
        <f t="shared" si="9"/>
        <v>-0.10964467005076139</v>
      </c>
      <c r="BK11" s="382">
        <f t="shared" si="9"/>
        <v>-3.5347776510832429E-2</v>
      </c>
      <c r="BL11" s="382">
        <f t="shared" si="9"/>
        <v>4.1371158392434992E-2</v>
      </c>
      <c r="BM11" s="382">
        <f t="shared" si="9"/>
        <v>-0.24744608399545975</v>
      </c>
      <c r="BN11" s="382">
        <f t="shared" si="9"/>
        <v>0.15384615384615374</v>
      </c>
      <c r="BO11" s="382">
        <f t="shared" ref="BO11:DZ11" si="10">BO10/BN10-1</f>
        <v>0.12549019607843137</v>
      </c>
      <c r="BP11" s="382">
        <f t="shared" si="10"/>
        <v>9.2915214866433615E-3</v>
      </c>
      <c r="BQ11" s="382">
        <f t="shared" si="10"/>
        <v>0.11277330264672036</v>
      </c>
      <c r="BR11" s="382">
        <f t="shared" si="10"/>
        <v>-6.7218200620475677E-2</v>
      </c>
      <c r="BS11" s="382">
        <f t="shared" si="10"/>
        <v>1.4412416851441234E-2</v>
      </c>
      <c r="BT11" s="382">
        <f t="shared" si="10"/>
        <v>-3.9344262295081922E-2</v>
      </c>
      <c r="BU11" s="382">
        <f t="shared" si="10"/>
        <v>3.0716723549488067E-2</v>
      </c>
      <c r="BV11" s="382">
        <f t="shared" si="10"/>
        <v>-1.4348785871964642E-2</v>
      </c>
      <c r="BW11" s="382">
        <f t="shared" si="10"/>
        <v>-4.3673012318029114E-2</v>
      </c>
      <c r="BX11" s="382">
        <f t="shared" si="10"/>
        <v>9.3676814988290502E-2</v>
      </c>
      <c r="BY11" s="382">
        <f t="shared" si="10"/>
        <v>-1.7130620985010725E-2</v>
      </c>
      <c r="BZ11" s="382">
        <f t="shared" si="10"/>
        <v>-6.8627450980392135E-2</v>
      </c>
      <c r="CA11" s="382">
        <f t="shared" si="10"/>
        <v>-9.9415204678362623E-2</v>
      </c>
      <c r="CB11" s="382">
        <f t="shared" si="10"/>
        <v>0.13896103896103895</v>
      </c>
      <c r="CC11" s="382">
        <f t="shared" si="10"/>
        <v>-0.19726339794754844</v>
      </c>
      <c r="CD11" s="382">
        <f t="shared" si="10"/>
        <v>-8.6647727272727293E-2</v>
      </c>
      <c r="CE11" s="382">
        <f t="shared" si="10"/>
        <v>9.1757387247278333E-2</v>
      </c>
      <c r="CF11" s="382">
        <f t="shared" si="10"/>
        <v>0.33903133903133909</v>
      </c>
      <c r="CG11" s="382">
        <f t="shared" si="10"/>
        <v>0.10212765957446801</v>
      </c>
      <c r="CH11" s="382">
        <f t="shared" si="10"/>
        <v>-0.1216216216216216</v>
      </c>
      <c r="CI11" s="382">
        <f t="shared" si="10"/>
        <v>3.6263736263736357E-2</v>
      </c>
      <c r="CJ11" s="382">
        <f t="shared" si="10"/>
        <v>-8.4835630965005571E-3</v>
      </c>
      <c r="CK11" s="382">
        <f t="shared" si="10"/>
        <v>-0.12192513368983959</v>
      </c>
      <c r="CL11" s="382">
        <f t="shared" si="10"/>
        <v>-0.14250913520097441</v>
      </c>
      <c r="CM11" s="382">
        <f t="shared" si="10"/>
        <v>-3.8352272727272707E-2</v>
      </c>
      <c r="CN11" s="382">
        <f t="shared" si="10"/>
        <v>0.21418020679468253</v>
      </c>
      <c r="CO11" s="382">
        <f t="shared" si="10"/>
        <v>-0.17883211678832112</v>
      </c>
      <c r="CP11" s="382">
        <f t="shared" si="10"/>
        <v>-0.16592592592592592</v>
      </c>
      <c r="CQ11" s="382">
        <f t="shared" si="10"/>
        <v>0.25754884547069268</v>
      </c>
      <c r="CR11" s="382">
        <f t="shared" si="10"/>
        <v>0.28248587570621475</v>
      </c>
      <c r="CS11" s="382">
        <f t="shared" si="10"/>
        <v>-0.16850220264317184</v>
      </c>
      <c r="CT11" s="382">
        <f t="shared" si="10"/>
        <v>-0.13509933774834437</v>
      </c>
      <c r="CU11" s="382">
        <f t="shared" si="10"/>
        <v>0.25267993874425732</v>
      </c>
      <c r="CV11" s="382">
        <f t="shared" si="10"/>
        <v>0.30806845965770169</v>
      </c>
      <c r="CW11" s="382">
        <f t="shared" si="10"/>
        <v>-9.8130841121495282E-2</v>
      </c>
      <c r="CX11" s="382">
        <f t="shared" si="10"/>
        <v>8.8082901554404236E-2</v>
      </c>
      <c r="CY11" s="382">
        <f t="shared" si="10"/>
        <v>5.1428571428571379E-2</v>
      </c>
      <c r="CZ11" s="382">
        <f t="shared" si="10"/>
        <v>-0.10144927536231885</v>
      </c>
      <c r="DA11" s="382">
        <f t="shared" si="10"/>
        <v>-0.11088709677419351</v>
      </c>
      <c r="DB11" s="382">
        <f t="shared" si="10"/>
        <v>-0.14852607709750565</v>
      </c>
      <c r="DC11" s="382">
        <f t="shared" si="10"/>
        <v>0.21171770972037285</v>
      </c>
      <c r="DD11" s="382">
        <f t="shared" si="10"/>
        <v>0.12527472527472527</v>
      </c>
      <c r="DE11" s="382">
        <f t="shared" si="10"/>
        <v>0.150390625</v>
      </c>
      <c r="DF11" s="382">
        <f t="shared" si="10"/>
        <v>-0.17826825127334467</v>
      </c>
      <c r="DG11" s="382">
        <f t="shared" si="10"/>
        <v>0.11983471074380159</v>
      </c>
      <c r="DH11" s="382">
        <f t="shared" si="10"/>
        <v>0.44926199261992616</v>
      </c>
      <c r="DI11" s="382">
        <f t="shared" si="10"/>
        <v>0.14131126670910255</v>
      </c>
      <c r="DJ11" s="383">
        <f t="shared" si="10"/>
        <v>3.6252091466815406E-2</v>
      </c>
      <c r="DK11" s="383">
        <f t="shared" si="10"/>
        <v>8.7190527448869792E-2</v>
      </c>
      <c r="DL11" s="383">
        <f t="shared" si="10"/>
        <v>0.10247524752475257</v>
      </c>
      <c r="DM11" s="383">
        <f t="shared" si="10"/>
        <v>7.7682981589582312E-2</v>
      </c>
      <c r="DN11" s="383">
        <f t="shared" si="10"/>
        <v>0.1629166666666666</v>
      </c>
      <c r="DO11" s="383">
        <f t="shared" si="10"/>
        <v>8.2049444643496949E-2</v>
      </c>
      <c r="DP11" s="383">
        <f t="shared" si="10"/>
        <v>-7.3841059602648973E-2</v>
      </c>
      <c r="DQ11" s="383">
        <f t="shared" si="10"/>
        <v>-1.7161244190203817E-2</v>
      </c>
      <c r="DR11" s="383">
        <f t="shared" si="10"/>
        <v>-2.2917424518006602E-2</v>
      </c>
      <c r="DS11" s="383">
        <f t="shared" si="10"/>
        <v>6.7014147431123661E-3</v>
      </c>
      <c r="DT11" s="383">
        <f t="shared" si="10"/>
        <v>5.1405325443786953E-2</v>
      </c>
      <c r="DU11" s="383">
        <f t="shared" si="10"/>
        <v>6.9644741470277882E-2</v>
      </c>
      <c r="DV11" s="382">
        <f t="shared" si="10"/>
        <v>-0.13909898059848735</v>
      </c>
      <c r="DW11" s="382">
        <f t="shared" si="10"/>
        <v>4.6218487394958041E-2</v>
      </c>
      <c r="DX11" s="382">
        <f t="shared" si="10"/>
        <v>0.15626140927345755</v>
      </c>
      <c r="DY11" s="383">
        <f t="shared" si="10"/>
        <v>0.11272497631828227</v>
      </c>
      <c r="DZ11" s="383">
        <f t="shared" si="10"/>
        <v>-2.0715096481271233E-2</v>
      </c>
      <c r="EA11" s="383">
        <f t="shared" ref="EA11:EW11" si="11">EA10/DZ10-1</f>
        <v>0.26485076789336426</v>
      </c>
      <c r="EB11" s="383">
        <f t="shared" si="11"/>
        <v>-2.3825887743413543E-2</v>
      </c>
      <c r="EC11" s="383">
        <f t="shared" si="11"/>
        <v>3.8019244308847622E-2</v>
      </c>
      <c r="ED11" s="383">
        <f t="shared" si="11"/>
        <v>3.4591905946190327E-2</v>
      </c>
      <c r="EE11" s="384">
        <f t="shared" si="11"/>
        <v>7.7818096847760421E-2</v>
      </c>
      <c r="EF11" s="384">
        <f t="shared" si="11"/>
        <v>6.5617959176352825E-2</v>
      </c>
      <c r="EG11" s="384">
        <f t="shared" si="11"/>
        <v>0.40926306504183807</v>
      </c>
      <c r="EH11" s="384">
        <f t="shared" si="11"/>
        <v>8.0517690327239322E-2</v>
      </c>
      <c r="EI11" s="384">
        <f t="shared" si="11"/>
        <v>0.10485363875342135</v>
      </c>
      <c r="EJ11" s="384">
        <f t="shared" si="11"/>
        <v>0.16527536795335829</v>
      </c>
      <c r="EK11" s="384">
        <f t="shared" si="11"/>
        <v>0.11352959062986212</v>
      </c>
      <c r="EL11" s="384">
        <f t="shared" si="11"/>
        <v>-3.934734114664451E-2</v>
      </c>
      <c r="EM11" s="384">
        <f t="shared" si="11"/>
        <v>4.205621234420831E-2</v>
      </c>
      <c r="EN11" s="384">
        <f t="shared" si="11"/>
        <v>6.9074573513007387E-2</v>
      </c>
      <c r="EO11" s="384">
        <f t="shared" si="11"/>
        <v>7.184736745313236E-2</v>
      </c>
      <c r="EP11" s="384">
        <f t="shared" si="11"/>
        <v>-1.694454333125428E-2</v>
      </c>
      <c r="EQ11" s="384">
        <f t="shared" si="11"/>
        <v>4.4381512246732147E-2</v>
      </c>
      <c r="ER11" s="384">
        <f t="shared" si="11"/>
        <v>7.6509668290795085E-2</v>
      </c>
      <c r="ES11" s="384">
        <f t="shared" si="11"/>
        <v>4.3484406451900437E-2</v>
      </c>
      <c r="ET11" s="384">
        <f t="shared" si="11"/>
        <v>-4.5180837821125697E-2</v>
      </c>
      <c r="EU11" s="384">
        <f t="shared" si="11"/>
        <v>4.3980199957926569E-2</v>
      </c>
      <c r="EV11" s="384">
        <f t="shared" si="11"/>
        <v>9.7212218986294063E-2</v>
      </c>
      <c r="EW11" s="384">
        <f t="shared" si="11"/>
        <v>4.4866910686284234E-2</v>
      </c>
      <c r="FZ11" s="386" t="s">
        <v>199</v>
      </c>
      <c r="GA11" s="386" t="s">
        <v>199</v>
      </c>
      <c r="GB11" s="386" t="s">
        <v>199</v>
      </c>
      <c r="GC11" s="386" t="s">
        <v>199</v>
      </c>
      <c r="GD11" s="386" t="s">
        <v>199</v>
      </c>
      <c r="GE11" s="386" t="s">
        <v>199</v>
      </c>
      <c r="GF11" s="386" t="s">
        <v>199</v>
      </c>
      <c r="GG11" s="386" t="s">
        <v>199</v>
      </c>
      <c r="GH11" s="386" t="s">
        <v>199</v>
      </c>
      <c r="GI11" s="386" t="s">
        <v>199</v>
      </c>
      <c r="GJ11" s="386" t="s">
        <v>199</v>
      </c>
      <c r="GK11" s="386" t="s">
        <v>199</v>
      </c>
      <c r="GN11" s="70"/>
    </row>
    <row r="12" spans="1:196" s="382" customFormat="1">
      <c r="A12" s="381" t="s">
        <v>200</v>
      </c>
      <c r="F12" s="382">
        <f t="shared" ref="F12:BQ12" si="12">F10/B10-1</f>
        <v>0.18731773168042376</v>
      </c>
      <c r="G12" s="382">
        <f t="shared" si="12"/>
        <v>0.26048114009982282</v>
      </c>
      <c r="H12" s="382">
        <f t="shared" si="12"/>
        <v>0.26205131025655115</v>
      </c>
      <c r="I12" s="382">
        <f t="shared" si="12"/>
        <v>0.26508976178602928</v>
      </c>
      <c r="J12" s="382">
        <f t="shared" si="12"/>
        <v>0.26182861259259571</v>
      </c>
      <c r="K12" s="382">
        <f t="shared" si="12"/>
        <v>0.27729041731919213</v>
      </c>
      <c r="L12" s="382">
        <f t="shared" si="12"/>
        <v>0.36423027705034294</v>
      </c>
      <c r="M12" s="382">
        <f t="shared" si="12"/>
        <v>0.37509522925139405</v>
      </c>
      <c r="N12" s="382">
        <f t="shared" si="12"/>
        <v>0.26812416601323386</v>
      </c>
      <c r="O12" s="382">
        <f t="shared" si="12"/>
        <v>0.2618961386766967</v>
      </c>
      <c r="P12" s="382">
        <f t="shared" si="12"/>
        <v>-1.9317891410914667E-2</v>
      </c>
      <c r="Q12" s="382">
        <f t="shared" si="12"/>
        <v>-2.2544039294268847E-2</v>
      </c>
      <c r="R12" s="382">
        <f t="shared" si="12"/>
        <v>-5.3314711106892454E-2</v>
      </c>
      <c r="S12" s="382">
        <f t="shared" si="12"/>
        <v>-1.9782557750691598E-2</v>
      </c>
      <c r="T12" s="382">
        <f t="shared" si="12"/>
        <v>0.26813782973834144</v>
      </c>
      <c r="U12" s="382">
        <f t="shared" si="12"/>
        <v>0.20933275431304299</v>
      </c>
      <c r="V12" s="382">
        <f t="shared" si="12"/>
        <v>0.21346354375551457</v>
      </c>
      <c r="W12" s="382">
        <f t="shared" si="12"/>
        <v>4.801405446642959E-2</v>
      </c>
      <c r="X12" s="382">
        <f t="shared" si="12"/>
        <v>-1.2271156360919133E-2</v>
      </c>
      <c r="Y12" s="382">
        <f t="shared" si="12"/>
        <v>0.12389007032663657</v>
      </c>
      <c r="Z12" s="382">
        <f t="shared" si="12"/>
        <v>6.3363008184781799E-2</v>
      </c>
      <c r="AA12" s="382">
        <f t="shared" si="12"/>
        <v>0.17480647972522689</v>
      </c>
      <c r="AB12" s="382">
        <f t="shared" si="12"/>
        <v>0.12088844758088335</v>
      </c>
      <c r="AC12" s="382">
        <f t="shared" si="12"/>
        <v>0.2065574382711568</v>
      </c>
      <c r="AD12" s="382">
        <f t="shared" si="12"/>
        <v>0.34483861013118577</v>
      </c>
      <c r="AE12" s="382">
        <f t="shared" si="12"/>
        <v>0.33649329426472541</v>
      </c>
      <c r="AF12" s="382">
        <f t="shared" si="12"/>
        <v>0.34778399515733405</v>
      </c>
      <c r="AG12" s="382">
        <f t="shared" si="12"/>
        <v>0.13027022844319847</v>
      </c>
      <c r="AH12" s="382">
        <f t="shared" si="12"/>
        <v>0.18006065138331051</v>
      </c>
      <c r="AI12" s="382">
        <f t="shared" si="12"/>
        <v>3.8578637112348435E-2</v>
      </c>
      <c r="AJ12" s="382">
        <f t="shared" si="12"/>
        <v>-8.1148964804932611E-2</v>
      </c>
      <c r="AK12" s="382">
        <f t="shared" si="12"/>
        <v>-1.9231617686211622E-2</v>
      </c>
      <c r="AL12" s="382">
        <f t="shared" si="12"/>
        <v>-0.17900200047563752</v>
      </c>
      <c r="AM12" s="382">
        <f t="shared" si="12"/>
        <v>-0.12246011075151009</v>
      </c>
      <c r="AN12" s="382">
        <f t="shared" si="12"/>
        <v>-0.22697754426003347</v>
      </c>
      <c r="AO12" s="382">
        <f t="shared" si="12"/>
        <v>-0.21414167424169583</v>
      </c>
      <c r="AP12" s="382">
        <f t="shared" si="12"/>
        <v>-0.15383540589632538</v>
      </c>
      <c r="AQ12" s="382">
        <f t="shared" si="12"/>
        <v>-0.23859463719572271</v>
      </c>
      <c r="AR12" s="382">
        <f t="shared" si="12"/>
        <v>0.38114584343136126</v>
      </c>
      <c r="AS12" s="382">
        <f t="shared" si="12"/>
        <v>0.53669171537248372</v>
      </c>
      <c r="AT12" s="382">
        <f t="shared" si="12"/>
        <v>0.54823275445436104</v>
      </c>
      <c r="AU12" s="382">
        <f t="shared" si="12"/>
        <v>0.84214686474469835</v>
      </c>
      <c r="AV12" s="382">
        <f t="shared" si="12"/>
        <v>0.17730028075548754</v>
      </c>
      <c r="AW12" s="382">
        <f t="shared" si="12"/>
        <v>-4.6059899191787546E-2</v>
      </c>
      <c r="AX12" s="382">
        <f t="shared" si="12"/>
        <v>5.021721034285398E-2</v>
      </c>
      <c r="AY12" s="382">
        <f t="shared" si="12"/>
        <v>-2.1856311512778559E-2</v>
      </c>
      <c r="AZ12" s="382">
        <f t="shared" si="12"/>
        <v>0.21440301561191588</v>
      </c>
      <c r="BA12" s="382">
        <f t="shared" si="12"/>
        <v>0.32787719652595482</v>
      </c>
      <c r="BB12" s="382">
        <f t="shared" si="12"/>
        <v>-0.31470594427635668</v>
      </c>
      <c r="BC12" s="382">
        <f t="shared" si="12"/>
        <v>-0.3131976593894672</v>
      </c>
      <c r="BD12" s="382">
        <f t="shared" si="12"/>
        <v>-0.28004900358266172</v>
      </c>
      <c r="BE12" s="382">
        <f t="shared" si="12"/>
        <v>8.5029833250181319E-2</v>
      </c>
      <c r="BF12" s="382">
        <f t="shared" si="12"/>
        <v>0.54877652076480987</v>
      </c>
      <c r="BG12" s="382">
        <f t="shared" si="12"/>
        <v>0.68232080432042808</v>
      </c>
      <c r="BH12" s="382">
        <f t="shared" si="12"/>
        <v>0.48931290138609929</v>
      </c>
      <c r="BI12" s="382">
        <f t="shared" si="12"/>
        <v>-7.9439252336448551E-2</v>
      </c>
      <c r="BJ12" s="382">
        <f t="shared" si="12"/>
        <v>2.3337222870478458E-2</v>
      </c>
      <c r="BK12" s="382">
        <f t="shared" si="12"/>
        <v>-4.4067796610169463E-2</v>
      </c>
      <c r="BL12" s="382">
        <f t="shared" si="12"/>
        <v>-8.3246618106139425E-2</v>
      </c>
      <c r="BM12" s="382">
        <f t="shared" si="12"/>
        <v>-0.32690355329949239</v>
      </c>
      <c r="BN12" s="382">
        <f t="shared" si="12"/>
        <v>-0.12770809578107178</v>
      </c>
      <c r="BO12" s="382">
        <f t="shared" si="12"/>
        <v>1.7730496453900679E-2</v>
      </c>
      <c r="BP12" s="382">
        <f t="shared" si="12"/>
        <v>-1.362088535754824E-2</v>
      </c>
      <c r="BQ12" s="382">
        <f t="shared" si="12"/>
        <v>0.45852187028657609</v>
      </c>
      <c r="BR12" s="382">
        <f t="shared" ref="BR12:EC12" si="13">BR10/BN10-1</f>
        <v>0.17908496732026147</v>
      </c>
      <c r="BS12" s="382">
        <f t="shared" si="13"/>
        <v>6.2717770034843134E-2</v>
      </c>
      <c r="BT12" s="382">
        <f t="shared" si="13"/>
        <v>1.1507479861910141E-2</v>
      </c>
      <c r="BU12" s="382">
        <f t="shared" si="13"/>
        <v>-6.3081695966907936E-2</v>
      </c>
      <c r="BV12" s="382">
        <f t="shared" si="13"/>
        <v>-9.9778270509978118E-3</v>
      </c>
      <c r="BW12" s="382">
        <f t="shared" si="13"/>
        <v>-6.6666666666666652E-2</v>
      </c>
      <c r="BX12" s="382">
        <f t="shared" si="13"/>
        <v>6.2571103526734895E-2</v>
      </c>
      <c r="BY12" s="382">
        <f t="shared" si="13"/>
        <v>1.3245033112582849E-2</v>
      </c>
      <c r="BZ12" s="382">
        <f t="shared" si="13"/>
        <v>-4.2553191489361653E-2</v>
      </c>
      <c r="CA12" s="382">
        <f t="shared" si="13"/>
        <v>-9.8360655737704916E-2</v>
      </c>
      <c r="CB12" s="382">
        <f t="shared" si="13"/>
        <v>-6.1027837259100659E-2</v>
      </c>
      <c r="CC12" s="382">
        <f t="shared" si="13"/>
        <v>-0.23311546840958608</v>
      </c>
      <c r="CD12" s="382">
        <f t="shared" si="13"/>
        <v>-0.24795321637426904</v>
      </c>
      <c r="CE12" s="382">
        <f t="shared" si="13"/>
        <v>-8.8311688311688341E-2</v>
      </c>
      <c r="CF12" s="382">
        <f t="shared" si="13"/>
        <v>7.1835803876852955E-2</v>
      </c>
      <c r="CG12" s="382">
        <f t="shared" si="13"/>
        <v>0.47159090909090917</v>
      </c>
      <c r="CH12" s="382">
        <f t="shared" si="13"/>
        <v>0.4152410575427683</v>
      </c>
      <c r="CI12" s="382">
        <f t="shared" si="13"/>
        <v>0.34330484330484334</v>
      </c>
      <c r="CJ12" s="382">
        <f t="shared" si="13"/>
        <v>-5.3191489361702482E-3</v>
      </c>
      <c r="CK12" s="382">
        <f t="shared" si="13"/>
        <v>-0.2075289575289575</v>
      </c>
      <c r="CL12" s="382">
        <f t="shared" si="13"/>
        <v>-0.22637362637362635</v>
      </c>
      <c r="CM12" s="382">
        <f t="shared" si="13"/>
        <v>-0.28207847295864263</v>
      </c>
      <c r="CN12" s="382">
        <f t="shared" si="13"/>
        <v>-0.12085561497326203</v>
      </c>
      <c r="CO12" s="382">
        <f t="shared" si="13"/>
        <v>-0.17783191230207063</v>
      </c>
      <c r="CP12" s="382">
        <f t="shared" si="13"/>
        <v>-0.20028409090909094</v>
      </c>
      <c r="CQ12" s="382">
        <f t="shared" si="13"/>
        <v>4.579025110782875E-2</v>
      </c>
      <c r="CR12" s="382">
        <f t="shared" si="13"/>
        <v>0.10462287104622869</v>
      </c>
      <c r="CS12" s="382">
        <f t="shared" si="13"/>
        <v>0.11851851851851847</v>
      </c>
      <c r="CT12" s="382">
        <f t="shared" si="13"/>
        <v>0.15985790408525746</v>
      </c>
      <c r="CU12" s="382">
        <f t="shared" si="13"/>
        <v>0.15536723163841804</v>
      </c>
      <c r="CV12" s="382">
        <f t="shared" si="13"/>
        <v>0.1784140969162995</v>
      </c>
      <c r="CW12" s="382">
        <f t="shared" si="13"/>
        <v>0.2781456953642385</v>
      </c>
      <c r="CX12" s="382">
        <f t="shared" si="13"/>
        <v>0.60796324655436451</v>
      </c>
      <c r="CY12" s="382">
        <f t="shared" si="13"/>
        <v>0.34963325183374083</v>
      </c>
      <c r="CZ12" s="382">
        <f t="shared" si="13"/>
        <v>-7.2897196261682229E-2</v>
      </c>
      <c r="DA12" s="382">
        <f t="shared" si="13"/>
        <v>-8.6010362694300513E-2</v>
      </c>
      <c r="DB12" s="382">
        <f t="shared" si="13"/>
        <v>-0.28476190476190477</v>
      </c>
      <c r="DC12" s="382">
        <f t="shared" si="13"/>
        <v>-0.17572463768115942</v>
      </c>
      <c r="DD12" s="382">
        <f t="shared" si="13"/>
        <v>3.2258064516129004E-2</v>
      </c>
      <c r="DE12" s="382">
        <f t="shared" si="13"/>
        <v>0.33560090702947853</v>
      </c>
      <c r="DF12" s="382">
        <f t="shared" si="13"/>
        <v>0.28894806924101202</v>
      </c>
      <c r="DG12" s="382">
        <f t="shared" si="13"/>
        <v>0.1912087912087912</v>
      </c>
      <c r="DH12" s="382">
        <f t="shared" si="13"/>
        <v>0.5341796875</v>
      </c>
      <c r="DI12" s="382">
        <f t="shared" si="13"/>
        <v>0.52207130730050944</v>
      </c>
      <c r="DJ12" s="383">
        <f t="shared" si="13"/>
        <v>0.91942148760330578</v>
      </c>
      <c r="DK12" s="383">
        <f t="shared" si="13"/>
        <v>0.86346863468634694</v>
      </c>
      <c r="DL12" s="383">
        <f t="shared" si="13"/>
        <v>0.41756842775302361</v>
      </c>
      <c r="DM12" s="383">
        <f t="shared" si="13"/>
        <v>0.33853876185164533</v>
      </c>
      <c r="DN12" s="383">
        <f t="shared" si="13"/>
        <v>0.50215285252960173</v>
      </c>
      <c r="DO12" s="383">
        <f t="shared" si="13"/>
        <v>0.49504950495049505</v>
      </c>
      <c r="DP12" s="383">
        <f t="shared" si="13"/>
        <v>0.25594970812752571</v>
      </c>
      <c r="DQ12" s="383">
        <f t="shared" si="13"/>
        <v>0.14541666666666675</v>
      </c>
      <c r="DR12" s="383">
        <f t="shared" si="13"/>
        <v>-3.7620924399856648E-2</v>
      </c>
      <c r="DS12" s="383">
        <f t="shared" si="13"/>
        <v>-0.10463576158940402</v>
      </c>
      <c r="DT12" s="383">
        <f t="shared" si="13"/>
        <v>1.6446192348945399E-2</v>
      </c>
      <c r="DU12" s="383">
        <f t="shared" si="13"/>
        <v>0.10622044379774453</v>
      </c>
      <c r="DV12" s="382">
        <f t="shared" si="13"/>
        <v>-2.5316455696202556E-2</v>
      </c>
      <c r="DW12" s="382">
        <f t="shared" si="13"/>
        <v>1.2943786982248628E-2</v>
      </c>
      <c r="DX12" s="382">
        <f t="shared" si="13"/>
        <v>0.11396412240590914</v>
      </c>
      <c r="DY12" s="383">
        <f t="shared" si="13"/>
        <v>0.15882933245642872</v>
      </c>
      <c r="DZ12" s="383">
        <f t="shared" si="13"/>
        <v>0.31818181818181812</v>
      </c>
      <c r="EA12" s="383">
        <f t="shared" si="13"/>
        <v>0.5936473165388827</v>
      </c>
      <c r="EB12" s="383">
        <f t="shared" si="13"/>
        <v>0.34543732238711722</v>
      </c>
      <c r="EC12" s="383">
        <f t="shared" si="13"/>
        <v>0.25510783200908049</v>
      </c>
      <c r="ED12" s="383">
        <f t="shared" ref="ED12:EW12" si="14">ED10/DZ10-1</f>
        <v>0.32599246595189801</v>
      </c>
      <c r="EE12" s="384">
        <f t="shared" si="14"/>
        <v>0.12991881126583094</v>
      </c>
      <c r="EF12" s="384">
        <f t="shared" si="14"/>
        <v>0.23344981451380553</v>
      </c>
      <c r="EG12" s="384">
        <f t="shared" si="14"/>
        <v>0.67458867040023729</v>
      </c>
      <c r="EH12" s="384">
        <f t="shared" si="14"/>
        <v>0.74892406560460367</v>
      </c>
      <c r="EI12" s="384">
        <f t="shared" si="14"/>
        <v>0.79279335115822192</v>
      </c>
      <c r="EJ12" s="384">
        <f t="shared" si="14"/>
        <v>0.96045676027265525</v>
      </c>
      <c r="EK12" s="384">
        <f t="shared" si="14"/>
        <v>0.54905543745953911</v>
      </c>
      <c r="EL12" s="384">
        <f t="shared" si="14"/>
        <v>0.37721412432967694</v>
      </c>
      <c r="EM12" s="384">
        <f t="shared" si="14"/>
        <v>0.29893633296547306</v>
      </c>
      <c r="EN12" s="384">
        <f t="shared" si="14"/>
        <v>0.19170098705904848</v>
      </c>
      <c r="EO12" s="384">
        <f t="shared" si="14"/>
        <v>0.14709261120580597</v>
      </c>
      <c r="EP12" s="384">
        <f t="shared" si="14"/>
        <v>0.17384326203421785</v>
      </c>
      <c r="EQ12" s="384">
        <f t="shared" si="14"/>
        <v>0.17646263859994682</v>
      </c>
      <c r="ER12" s="384">
        <f t="shared" si="14"/>
        <v>0.18464458533896022</v>
      </c>
      <c r="ES12" s="384">
        <f t="shared" si="14"/>
        <v>0.15329681214422997</v>
      </c>
      <c r="ET12" s="384">
        <f t="shared" si="14"/>
        <v>0.12017067648115565</v>
      </c>
      <c r="EU12" s="384">
        <f t="shared" si="14"/>
        <v>0.11974024157517515</v>
      </c>
      <c r="EV12" s="384">
        <f t="shared" si="14"/>
        <v>0.14127416718664354</v>
      </c>
      <c r="EW12" s="384">
        <f t="shared" si="14"/>
        <v>0.14278623230134246</v>
      </c>
      <c r="FA12" s="382">
        <f>FA10/EZ10-1</f>
        <v>0.24411194026070082</v>
      </c>
      <c r="FB12" s="382">
        <f t="shared" ref="FB12:GK12" si="15">FB10/FA10-1</f>
        <v>0.32227228582539458</v>
      </c>
      <c r="FC12" s="382">
        <f t="shared" si="15"/>
        <v>0.10928833853270059</v>
      </c>
      <c r="FD12" s="382">
        <f t="shared" si="15"/>
        <v>9.5507583139694541E-2</v>
      </c>
      <c r="FE12" s="382">
        <f t="shared" si="15"/>
        <v>8.8863167257757336E-2</v>
      </c>
      <c r="FF12" s="382">
        <f t="shared" si="15"/>
        <v>0.14297467334379466</v>
      </c>
      <c r="FG12" s="382">
        <f t="shared" si="15"/>
        <v>0.28008220179451193</v>
      </c>
      <c r="FH12" s="382">
        <f t="shared" si="15"/>
        <v>2.7124789780791358E-2</v>
      </c>
      <c r="FI12" s="382">
        <f t="shared" si="15"/>
        <v>-0.18475162669396472</v>
      </c>
      <c r="FJ12" s="382">
        <f t="shared" si="15"/>
        <v>0.10514702984003566</v>
      </c>
      <c r="FK12" s="382">
        <f t="shared" si="15"/>
        <v>0.30318018620021392</v>
      </c>
      <c r="FL12" s="382">
        <f t="shared" si="15"/>
        <v>0.13955981448170451</v>
      </c>
      <c r="FM12" s="382">
        <f t="shared" si="15"/>
        <v>-0.1913150946868637</v>
      </c>
      <c r="FN12" s="382">
        <f t="shared" si="15"/>
        <v>0.31965821997142418</v>
      </c>
      <c r="FO12" s="382">
        <f t="shared" si="15"/>
        <v>-0.11415401301518435</v>
      </c>
      <c r="FP12" s="382">
        <f t="shared" si="15"/>
        <v>5.9687786960514133E-2</v>
      </c>
      <c r="FQ12" s="382">
        <f t="shared" si="15"/>
        <v>4.0439052570768297E-2</v>
      </c>
      <c r="FR12" s="382">
        <f t="shared" si="15"/>
        <v>-8.3287062742920526E-4</v>
      </c>
      <c r="FS12" s="382">
        <f t="shared" si="15"/>
        <v>-0.1091969991664351</v>
      </c>
      <c r="FT12" s="382">
        <f t="shared" si="15"/>
        <v>3.5870243293824045E-2</v>
      </c>
      <c r="FU12" s="382">
        <f t="shared" si="15"/>
        <v>8.6720867208672114E-2</v>
      </c>
      <c r="FV12" s="382">
        <f t="shared" si="15"/>
        <v>-0.20254918259905796</v>
      </c>
      <c r="FW12" s="382">
        <f t="shared" si="15"/>
        <v>1.94579569145239E-2</v>
      </c>
      <c r="FX12" s="382">
        <f t="shared" si="15"/>
        <v>0.19495569188820716</v>
      </c>
      <c r="FY12" s="382">
        <f t="shared" si="15"/>
        <v>0.14888762122076438</v>
      </c>
      <c r="FZ12" s="382">
        <f t="shared" si="15"/>
        <v>-4.0963257199602809E-2</v>
      </c>
      <c r="GA12" s="382">
        <f t="shared" si="15"/>
        <v>0.40201915609629824</v>
      </c>
      <c r="GB12" s="382">
        <f t="shared" si="15"/>
        <v>0.57034711964549478</v>
      </c>
      <c r="GC12" s="382">
        <f t="shared" si="15"/>
        <v>0.33533215755437973</v>
      </c>
      <c r="GD12" s="382">
        <f t="shared" si="15"/>
        <v>-7.3082680285286861E-3</v>
      </c>
      <c r="GE12" s="382">
        <f t="shared" si="15"/>
        <v>6.8653539116551254E-2</v>
      </c>
      <c r="GF12" s="382">
        <f t="shared" si="15"/>
        <v>0.3695219123505975</v>
      </c>
      <c r="GG12" s="384">
        <f t="shared" si="15"/>
        <v>0.34366854303023797</v>
      </c>
      <c r="GH12" s="384">
        <f t="shared" si="15"/>
        <v>0.74205720538597242</v>
      </c>
      <c r="GI12" s="384">
        <f t="shared" si="15"/>
        <v>0.24144074740300514</v>
      </c>
      <c r="GJ12" s="384">
        <f t="shared" si="15"/>
        <v>0.1715970429417184</v>
      </c>
      <c r="GK12" s="384">
        <f t="shared" si="15"/>
        <v>0.13164249779914816</v>
      </c>
      <c r="GN12" s="70"/>
    </row>
    <row r="13" spans="1:196" s="382" customFormat="1">
      <c r="A13" s="381" t="s">
        <v>202</v>
      </c>
      <c r="B13" s="382">
        <f t="shared" ref="B13:BM13" si="16">B10/B$4</f>
        <v>0.47635316726921972</v>
      </c>
      <c r="C13" s="382">
        <f t="shared" si="16"/>
        <v>0.45694122593450864</v>
      </c>
      <c r="D13" s="382">
        <f t="shared" si="16"/>
        <v>0.4780650697619942</v>
      </c>
      <c r="E13" s="382">
        <f t="shared" si="16"/>
        <v>0.50447504136389587</v>
      </c>
      <c r="F13" s="382">
        <f t="shared" si="16"/>
        <v>0.44912489280424106</v>
      </c>
      <c r="G13" s="382">
        <f t="shared" si="16"/>
        <v>0.44182322420714909</v>
      </c>
      <c r="H13" s="382">
        <f t="shared" si="16"/>
        <v>0.46474405005210689</v>
      </c>
      <c r="I13" s="382">
        <f t="shared" si="16"/>
        <v>0.48395540457253539</v>
      </c>
      <c r="J13" s="382">
        <f t="shared" si="16"/>
        <v>0.4689144906595108</v>
      </c>
      <c r="K13" s="382">
        <f t="shared" si="16"/>
        <v>0.48060088084903879</v>
      </c>
      <c r="L13" s="382">
        <f t="shared" si="16"/>
        <v>0.58325330081218185</v>
      </c>
      <c r="M13" s="382">
        <f t="shared" si="16"/>
        <v>0.61177615259962004</v>
      </c>
      <c r="N13" s="382">
        <f t="shared" si="16"/>
        <v>0.6775576429773692</v>
      </c>
      <c r="O13" s="382">
        <f t="shared" si="16"/>
        <v>0.83453789138980872</v>
      </c>
      <c r="P13" s="382">
        <f t="shared" si="16"/>
        <v>0.73915536857957109</v>
      </c>
      <c r="Q13" s="382">
        <f t="shared" si="16"/>
        <v>0.71371470893678002</v>
      </c>
      <c r="R13" s="382">
        <f t="shared" si="16"/>
        <v>0.63238520359638339</v>
      </c>
      <c r="S13" s="382">
        <f t="shared" si="16"/>
        <v>0.62611910300204698</v>
      </c>
      <c r="T13" s="382">
        <f t="shared" si="16"/>
        <v>0.71774793679312954</v>
      </c>
      <c r="U13" s="382">
        <f t="shared" si="16"/>
        <v>0.69940685387926027</v>
      </c>
      <c r="V13" s="382">
        <f t="shared" si="16"/>
        <v>0.78318628248554145</v>
      </c>
      <c r="W13" s="382">
        <f t="shared" si="16"/>
        <v>0.74095316957180679</v>
      </c>
      <c r="X13" s="382">
        <f t="shared" si="16"/>
        <v>0.61666183136106323</v>
      </c>
      <c r="Y13" s="382">
        <f t="shared" si="16"/>
        <v>0.61102279353971756</v>
      </c>
      <c r="Z13" s="382">
        <f t="shared" si="16"/>
        <v>0.71316654871095775</v>
      </c>
      <c r="AA13" s="382">
        <f t="shared" si="16"/>
        <v>0.77017655589144174</v>
      </c>
      <c r="AB13" s="382">
        <f t="shared" si="16"/>
        <v>0.71598418585546175</v>
      </c>
      <c r="AC13" s="382">
        <f t="shared" si="16"/>
        <v>0.60032930391964578</v>
      </c>
      <c r="AD13" s="382">
        <f t="shared" si="16"/>
        <v>0.55470779622152899</v>
      </c>
      <c r="AE13" s="382">
        <f t="shared" si="16"/>
        <v>0.52336605900189426</v>
      </c>
      <c r="AF13" s="382">
        <f t="shared" si="16"/>
        <v>0.5296179434071886</v>
      </c>
      <c r="AG13" s="382">
        <f t="shared" si="16"/>
        <v>0.5593249328608918</v>
      </c>
      <c r="AH13" s="382">
        <f t="shared" si="16"/>
        <v>0.60133064478816767</v>
      </c>
      <c r="AI13" s="382">
        <f t="shared" si="16"/>
        <v>0.64571424511602982</v>
      </c>
      <c r="AJ13" s="382">
        <f t="shared" si="16"/>
        <v>0.76665099821118465</v>
      </c>
      <c r="AK13" s="382">
        <f t="shared" si="16"/>
        <v>0.67725631465542147</v>
      </c>
      <c r="AL13" s="382">
        <f t="shared" si="16"/>
        <v>0.65058371107438095</v>
      </c>
      <c r="AM13" s="382">
        <f t="shared" si="16"/>
        <v>0.9300198734297408</v>
      </c>
      <c r="AN13" s="382">
        <f t="shared" si="16"/>
        <v>0.89307337075755522</v>
      </c>
      <c r="AO13" s="382">
        <f t="shared" si="16"/>
        <v>0.73804029544163274</v>
      </c>
      <c r="AP13" s="382">
        <f t="shared" si="16"/>
        <v>0.69496679751733603</v>
      </c>
      <c r="AQ13" s="382">
        <f t="shared" si="16"/>
        <v>0.65877993556095893</v>
      </c>
      <c r="AR13" s="382">
        <f t="shared" si="16"/>
        <v>0.657272958892131</v>
      </c>
      <c r="AS13" s="382">
        <f t="shared" si="16"/>
        <v>0.6457469477676131</v>
      </c>
      <c r="AT13" s="382">
        <f t="shared" si="16"/>
        <v>0.62182099636615973</v>
      </c>
      <c r="AU13" s="382">
        <f t="shared" si="16"/>
        <v>0.62057856918128096</v>
      </c>
      <c r="AV13" s="382">
        <f t="shared" si="16"/>
        <v>0.5954420436658252</v>
      </c>
      <c r="AW13" s="382">
        <f t="shared" si="16"/>
        <v>0.58767624748161351</v>
      </c>
      <c r="AX13" s="382">
        <f t="shared" si="16"/>
        <v>0.65826721711880054</v>
      </c>
      <c r="AY13" s="382">
        <f t="shared" si="16"/>
        <v>0.60793956432085261</v>
      </c>
      <c r="AZ13" s="382">
        <f t="shared" si="16"/>
        <v>0.58857859603153484</v>
      </c>
      <c r="BA13" s="382">
        <f t="shared" si="16"/>
        <v>0.53645263279289945</v>
      </c>
      <c r="BB13" s="382">
        <f t="shared" si="16"/>
        <v>0.4153711496684328</v>
      </c>
      <c r="BC13" s="382">
        <f t="shared" si="16"/>
        <v>0.4324837816218296</v>
      </c>
      <c r="BD13" s="382">
        <f t="shared" si="16"/>
        <v>0.48602990911569705</v>
      </c>
      <c r="BE13" s="382">
        <f t="shared" si="16"/>
        <v>0.60349689791314154</v>
      </c>
      <c r="BF13" s="382">
        <f t="shared" si="16"/>
        <v>0.69505271695052717</v>
      </c>
      <c r="BG13" s="382">
        <f t="shared" si="16"/>
        <v>0.64223512336719879</v>
      </c>
      <c r="BH13" s="382">
        <f t="shared" si="16"/>
        <v>0.58884803921568629</v>
      </c>
      <c r="BI13" s="382">
        <f t="shared" si="16"/>
        <v>0.55649717514124297</v>
      </c>
      <c r="BJ13" s="382">
        <f t="shared" si="16"/>
        <v>0.58272425249169435</v>
      </c>
      <c r="BK13" s="382">
        <f t="shared" si="16"/>
        <v>0.62713120830244629</v>
      </c>
      <c r="BL13" s="382">
        <f t="shared" si="16"/>
        <v>0.54856787048567868</v>
      </c>
      <c r="BM13" s="382">
        <f t="shared" si="16"/>
        <v>0.57056798623063687</v>
      </c>
      <c r="BN13" s="382">
        <f t="shared" ref="BN13:CT13" si="17">BN10/BN$4</f>
        <v>0.64995751911639765</v>
      </c>
      <c r="BO13" s="382">
        <f t="shared" si="17"/>
        <v>0.72719594594594594</v>
      </c>
      <c r="BP13" s="382">
        <f t="shared" si="17"/>
        <v>0.6224928366762178</v>
      </c>
      <c r="BQ13" s="382">
        <f t="shared" si="17"/>
        <v>0.5874848116646415</v>
      </c>
      <c r="BR13" s="382">
        <f t="shared" si="17"/>
        <v>0.57306226175349428</v>
      </c>
      <c r="BS13" s="382">
        <f t="shared" si="17"/>
        <v>0.55353901996370236</v>
      </c>
      <c r="BT13" s="382">
        <f t="shared" si="17"/>
        <v>0.54326328800988877</v>
      </c>
      <c r="BU13" s="382">
        <f t="shared" si="17"/>
        <v>0.54942389326864771</v>
      </c>
      <c r="BV13" s="382">
        <f t="shared" si="17"/>
        <v>0.5536267823930564</v>
      </c>
      <c r="BW13" s="382">
        <f t="shared" si="17"/>
        <v>0.54256670902160098</v>
      </c>
      <c r="BX13" s="382">
        <f t="shared" si="17"/>
        <v>0.55266272189349108</v>
      </c>
      <c r="BY13" s="382">
        <f t="shared" si="17"/>
        <v>0.54287403903015963</v>
      </c>
      <c r="BZ13" s="382">
        <f t="shared" si="17"/>
        <v>0.5394321766561514</v>
      </c>
      <c r="CA13" s="382">
        <f t="shared" si="17"/>
        <v>0.54493984430290165</v>
      </c>
      <c r="CB13" s="382">
        <f t="shared" si="17"/>
        <v>0.69109535066981875</v>
      </c>
      <c r="CC13" s="382">
        <f t="shared" si="17"/>
        <v>0.60952380952380958</v>
      </c>
      <c r="CD13" s="382">
        <f t="shared" si="17"/>
        <v>0.59099264705882348</v>
      </c>
      <c r="CE13" s="382">
        <f t="shared" si="17"/>
        <v>0.60465116279069764</v>
      </c>
      <c r="CF13" s="382">
        <f t="shared" si="17"/>
        <v>0.64339493497604383</v>
      </c>
      <c r="CG13" s="382">
        <f t="shared" si="17"/>
        <v>0.65198237885462551</v>
      </c>
      <c r="CH13" s="382">
        <f t="shared" si="17"/>
        <v>0.65139584824624197</v>
      </c>
      <c r="CI13" s="382">
        <f t="shared" si="17"/>
        <v>0.65440666204024978</v>
      </c>
      <c r="CJ13" s="382">
        <f t="shared" si="17"/>
        <v>0.6543037088873338</v>
      </c>
      <c r="CK13" s="382">
        <f t="shared" si="17"/>
        <v>0.66263115415657792</v>
      </c>
      <c r="CL13" s="382">
        <f t="shared" si="17"/>
        <v>0.68349514563106795</v>
      </c>
      <c r="CM13" s="382">
        <f t="shared" si="17"/>
        <v>0.71868365180467086</v>
      </c>
      <c r="CN13" s="382">
        <f t="shared" si="17"/>
        <v>0.77474081055607913</v>
      </c>
      <c r="CO13" s="382">
        <f t="shared" si="17"/>
        <v>0.70459290187891443</v>
      </c>
      <c r="CP13" s="382">
        <f t="shared" si="17"/>
        <v>0.67668269230769229</v>
      </c>
      <c r="CQ13" s="382">
        <f t="shared" si="17"/>
        <v>0.68938656280428434</v>
      </c>
      <c r="CR13" s="382">
        <f t="shared" si="17"/>
        <v>0.6947207345065034</v>
      </c>
      <c r="CS13" s="382">
        <f t="shared" si="17"/>
        <v>0.68264014466546108</v>
      </c>
      <c r="CT13" s="382">
        <f t="shared" si="17"/>
        <v>0.66361788617886175</v>
      </c>
      <c r="CU13" s="382">
        <f>CU10/CU$4</f>
        <v>0.66939443535188214</v>
      </c>
      <c r="CV13" s="382">
        <f>CV10/CV$4</f>
        <v>0.65124771758977484</v>
      </c>
      <c r="CW13" s="382">
        <f>CW10/CW$4</f>
        <v>0.65202702702702697</v>
      </c>
      <c r="CX13" s="382">
        <f>CX10/CX$4</f>
        <v>0.63752276867030966</v>
      </c>
      <c r="CY13" s="382">
        <f t="shared" ref="CY13:EW13" si="18">CY10/CY$4</f>
        <v>0.62870159453302965</v>
      </c>
      <c r="CZ13" s="382">
        <f t="shared" si="18"/>
        <v>0.60012099213551118</v>
      </c>
      <c r="DA13" s="382">
        <f t="shared" si="18"/>
        <v>0.62156448202959835</v>
      </c>
      <c r="DB13" s="382">
        <f t="shared" si="18"/>
        <v>0.59040880503144655</v>
      </c>
      <c r="DC13" s="382">
        <f t="shared" si="18"/>
        <v>0.59438275636838667</v>
      </c>
      <c r="DD13" s="382">
        <f t="shared" si="18"/>
        <v>0.56857301499167134</v>
      </c>
      <c r="DE13" s="382">
        <f t="shared" si="18"/>
        <v>0.55383168782322523</v>
      </c>
      <c r="DF13" s="382">
        <f t="shared" si="18"/>
        <v>0.54199328107502798</v>
      </c>
      <c r="DG13" s="382">
        <f t="shared" si="18"/>
        <v>0.56107660455486541</v>
      </c>
      <c r="DH13" s="382">
        <f t="shared" si="18"/>
        <v>0.56087111745805074</v>
      </c>
      <c r="DI13" s="382">
        <f t="shared" si="18"/>
        <v>0.55271270036991371</v>
      </c>
      <c r="DJ13" s="383">
        <f t="shared" si="18"/>
        <v>0.53933236574746013</v>
      </c>
      <c r="DK13" s="383">
        <f t="shared" si="18"/>
        <v>0.52467532467532463</v>
      </c>
      <c r="DL13" s="383">
        <f t="shared" si="18"/>
        <v>0.51634593090656156</v>
      </c>
      <c r="DM13" s="383">
        <f t="shared" si="18"/>
        <v>0.49730625777041026</v>
      </c>
      <c r="DN13" s="383">
        <f t="shared" si="18"/>
        <v>0.47409546458297946</v>
      </c>
      <c r="DO13" s="383">
        <f t="shared" si="18"/>
        <v>0.46106870229007635</v>
      </c>
      <c r="DP13" s="383">
        <f t="shared" si="18"/>
        <v>0.5026055705300988</v>
      </c>
      <c r="DQ13" s="383">
        <f t="shared" si="18"/>
        <v>0.49098053223789961</v>
      </c>
      <c r="DR13" s="383">
        <f t="shared" si="18"/>
        <v>0.50177470577246408</v>
      </c>
      <c r="DS13" s="383">
        <f t="shared" si="18"/>
        <v>0.50457174846053365</v>
      </c>
      <c r="DT13" s="383">
        <f>DT10/DT$4</f>
        <v>0.49017241379310345</v>
      </c>
      <c r="DU13" s="383">
        <f>DU10/DU$4</f>
        <v>0.49302853437094685</v>
      </c>
      <c r="DV13" s="382">
        <f>DV10/DV$4</f>
        <v>0.47834825507034534</v>
      </c>
      <c r="DW13" s="382">
        <f t="shared" si="18"/>
        <v>0.46940874035989716</v>
      </c>
      <c r="DX13" s="382">
        <f>DX10/DX$4</f>
        <v>0.46443760082123481</v>
      </c>
      <c r="DY13" s="383">
        <f t="shared" si="18"/>
        <v>0.46017236876469053</v>
      </c>
      <c r="DZ13" s="383">
        <f t="shared" si="18"/>
        <v>0.46396880881957514</v>
      </c>
      <c r="EA13" s="383">
        <f t="shared" si="18"/>
        <v>0.56798959011060512</v>
      </c>
      <c r="EB13" s="383">
        <f t="shared" si="18"/>
        <v>0.46084793424183429</v>
      </c>
      <c r="EC13" s="383">
        <f t="shared" si="18"/>
        <v>0.43067185978578382</v>
      </c>
      <c r="ED13" s="383">
        <f t="shared" si="18"/>
        <v>0.44630839754218277</v>
      </c>
      <c r="EE13" s="384">
        <f t="shared" si="18"/>
        <v>0.43948222966922862</v>
      </c>
      <c r="EF13" s="384">
        <f t="shared" si="18"/>
        <v>0.43821045228567523</v>
      </c>
      <c r="EG13" s="384">
        <f t="shared" si="18"/>
        <v>0.45744193442552455</v>
      </c>
      <c r="EH13" s="384">
        <f t="shared" si="18"/>
        <v>0.45902794329445845</v>
      </c>
      <c r="EI13" s="384">
        <f t="shared" si="18"/>
        <v>0.46025657937798264</v>
      </c>
      <c r="EJ13" s="384">
        <f t="shared" si="18"/>
        <v>0.4654729545054388</v>
      </c>
      <c r="EK13" s="384">
        <f t="shared" si="18"/>
        <v>0.46794844892866277</v>
      </c>
      <c r="EL13" s="384">
        <f t="shared" si="18"/>
        <v>0.46037068287094157</v>
      </c>
      <c r="EM13" s="384">
        <f t="shared" si="18"/>
        <v>0.45881241939479528</v>
      </c>
      <c r="EN13" s="384">
        <f t="shared" si="18"/>
        <v>0.45693953660293818</v>
      </c>
      <c r="EO13" s="384">
        <f t="shared" si="18"/>
        <v>0.45774244631200811</v>
      </c>
      <c r="EP13" s="384">
        <f t="shared" si="18"/>
        <v>0.45917740126164519</v>
      </c>
      <c r="EQ13" s="384">
        <f t="shared" si="18"/>
        <v>0.45994017466704107</v>
      </c>
      <c r="ER13" s="384">
        <f t="shared" si="18"/>
        <v>0.45863319960211291</v>
      </c>
      <c r="ES13" s="384">
        <f t="shared" si="18"/>
        <v>0.45837086285674861</v>
      </c>
      <c r="ET13" s="384">
        <f t="shared" si="18"/>
        <v>0.45699051409400637</v>
      </c>
      <c r="EU13" s="384">
        <f t="shared" si="18"/>
        <v>0.45772924488265054</v>
      </c>
      <c r="EV13" s="384">
        <f t="shared" si="18"/>
        <v>0.45705782897314573</v>
      </c>
      <c r="EW13" s="384">
        <f t="shared" si="18"/>
        <v>0.45650435815463764</v>
      </c>
      <c r="EZ13" s="382">
        <f t="shared" ref="EZ13:GG13" si="19">EZ10/EZ$4</f>
        <v>0.47902298153226397</v>
      </c>
      <c r="FA13" s="382">
        <f t="shared" si="19"/>
        <v>0.46016998499526152</v>
      </c>
      <c r="FB13" s="382">
        <f t="shared" si="19"/>
        <v>0.53457758988263693</v>
      </c>
      <c r="FC13" s="382">
        <f t="shared" si="19"/>
        <v>0.73774397484100263</v>
      </c>
      <c r="FD13" s="382">
        <f t="shared" si="19"/>
        <v>0.66985857514190228</v>
      </c>
      <c r="FE13" s="382">
        <f t="shared" si="19"/>
        <v>0.67608484344495445</v>
      </c>
      <c r="FF13" s="382">
        <f t="shared" si="19"/>
        <v>0.68744094703114911</v>
      </c>
      <c r="FG13" s="382">
        <f t="shared" si="19"/>
        <v>0.54145903254972294</v>
      </c>
      <c r="FH13" s="382">
        <f t="shared" si="19"/>
        <v>0.66367144480355134</v>
      </c>
      <c r="FI13" s="382">
        <f t="shared" si="19"/>
        <v>0.78073354049956467</v>
      </c>
      <c r="FJ13" s="382">
        <f t="shared" si="19"/>
        <v>0.6612543078363976</v>
      </c>
      <c r="FK13" s="382">
        <f t="shared" si="19"/>
        <v>0.60634297956486483</v>
      </c>
      <c r="FL13" s="382">
        <f t="shared" si="19"/>
        <v>0.59098187163674798</v>
      </c>
      <c r="FM13" s="382">
        <f t="shared" si="19"/>
        <v>0.4947053068365897</v>
      </c>
      <c r="FN13" s="382">
        <f t="shared" si="19"/>
        <v>0.61333776816896723</v>
      </c>
      <c r="FO13" s="382">
        <f t="shared" si="19"/>
        <v>0.58110992529348982</v>
      </c>
      <c r="FP13" s="382">
        <f t="shared" si="19"/>
        <v>0.6407551360355358</v>
      </c>
      <c r="FQ13" s="382">
        <f t="shared" si="19"/>
        <v>0.55466584539574992</v>
      </c>
      <c r="FR13" s="382">
        <f t="shared" si="19"/>
        <v>0.54795980511571252</v>
      </c>
      <c r="FS13" s="382">
        <f t="shared" si="19"/>
        <v>0.59129472519365545</v>
      </c>
      <c r="FT13" s="382">
        <f t="shared" si="19"/>
        <v>0.62672202302321189</v>
      </c>
      <c r="FU13" s="382">
        <f t="shared" si="19"/>
        <v>0.65546676353069377</v>
      </c>
      <c r="FV13" s="382">
        <f t="shared" si="19"/>
        <v>0.72112252568278623</v>
      </c>
      <c r="FW13" s="382">
        <f t="shared" si="19"/>
        <v>0.6867977528089888</v>
      </c>
      <c r="FX13" s="382">
        <f t="shared" si="19"/>
        <v>0.65790955151060238</v>
      </c>
      <c r="FY13" s="382">
        <f t="shared" si="19"/>
        <v>0.62208494208494214</v>
      </c>
      <c r="FZ13" s="382">
        <f t="shared" si="19"/>
        <v>0.57391175159708807</v>
      </c>
      <c r="GA13" s="382">
        <f t="shared" si="19"/>
        <v>0.55474751613233642</v>
      </c>
      <c r="GB13" s="382">
        <f t="shared" si="19"/>
        <v>0.51752464403066811</v>
      </c>
      <c r="GC13" s="382">
        <f t="shared" si="19"/>
        <v>0.48120842337189101</v>
      </c>
      <c r="GD13" s="382">
        <f t="shared" si="19"/>
        <v>0.49708994708994708</v>
      </c>
      <c r="GE13" s="382">
        <f t="shared" si="19"/>
        <v>0.46724840023269343</v>
      </c>
      <c r="GF13" s="382">
        <f t="shared" si="19"/>
        <v>0.47634169577643698</v>
      </c>
      <c r="GG13" s="384">
        <f t="shared" si="19"/>
        <v>0.44644007225370702</v>
      </c>
      <c r="GH13" s="384">
        <f>GH10/GH$4</f>
        <v>0.46364959909144299</v>
      </c>
      <c r="GI13" s="384">
        <f t="shared" ref="GI13:GK13" si="20">GI10/GI$4</f>
        <v>0.45839382078788388</v>
      </c>
      <c r="GJ13" s="384">
        <f t="shared" si="20"/>
        <v>0.45900124520710522</v>
      </c>
      <c r="GK13" s="384">
        <f t="shared" si="20"/>
        <v>0.45705084392150874</v>
      </c>
      <c r="GN13" s="70"/>
    </row>
    <row r="14" spans="1:196" s="379" customFormat="1">
      <c r="A14" s="395" t="s">
        <v>203</v>
      </c>
      <c r="B14" s="377">
        <f>AMD!AF14</f>
        <v>40.774999999999999</v>
      </c>
      <c r="C14" s="377">
        <f>AMD!AG14</f>
        <v>50.667999999999999</v>
      </c>
      <c r="D14" s="377">
        <f>AMD!AH14</f>
        <v>42.343000000000004</v>
      </c>
      <c r="E14" s="377">
        <f>AMD!AI14</f>
        <v>41.281000000000006</v>
      </c>
      <c r="F14" s="377">
        <f>AMD!AJ14</f>
        <v>175.06700000000001</v>
      </c>
      <c r="G14" s="377">
        <f>AMD!AK14</f>
        <v>50.972000000000001</v>
      </c>
      <c r="H14" s="377">
        <f>AMD!AL14</f>
        <v>53.615999999999993</v>
      </c>
      <c r="I14" s="377">
        <f>AMD!AM14</f>
        <v>54.44</v>
      </c>
      <c r="J14" s="377">
        <f>AMD!AN14</f>
        <v>56.956000000000017</v>
      </c>
      <c r="K14" s="377">
        <f>AMD!AO14</f>
        <v>215.98400000000001</v>
      </c>
      <c r="L14" s="377">
        <f>AMD!AP14</f>
        <v>57.482999999999997</v>
      </c>
      <c r="M14" s="377">
        <f>AMD!AQ14</f>
        <v>55.73</v>
      </c>
      <c r="N14" s="377">
        <f>AMD!AR14</f>
        <v>65.899000000000001</v>
      </c>
      <c r="O14" s="377">
        <f>AMD!AS14</f>
        <v>83.388999999999982</v>
      </c>
      <c r="P14" s="377">
        <f>AMD!AT14</f>
        <v>262.50099999999998</v>
      </c>
      <c r="Q14" s="377">
        <f>AMD!AU14</f>
        <v>75.807000000000002</v>
      </c>
      <c r="R14" s="377">
        <f>AMD!AV14</f>
        <v>87.998000000000005</v>
      </c>
      <c r="S14" s="377">
        <f>AMD!AW14</f>
        <v>84.651999999999987</v>
      </c>
      <c r="T14" s="377">
        <f>AMD!AX14</f>
        <v>84.182999999999993</v>
      </c>
      <c r="U14" s="377">
        <f>AMD!AY14</f>
        <v>332.64</v>
      </c>
      <c r="V14" s="377">
        <f>AMD!AZ14</f>
        <v>88.820999999999998</v>
      </c>
      <c r="W14" s="377">
        <f>AMD!BA14</f>
        <v>94.003999999999991</v>
      </c>
      <c r="X14" s="377">
        <f>AMD!BB14</f>
        <v>103.96500000000003</v>
      </c>
      <c r="Y14" s="377">
        <f>AMD!BC14</f>
        <v>107.67499999999995</v>
      </c>
      <c r="Z14" s="377">
        <f>AMD!BD14</f>
        <v>394.46499999999997</v>
      </c>
      <c r="AA14" s="377">
        <f>AMD!BE14</f>
        <v>112.16</v>
      </c>
      <c r="AB14" s="377">
        <f>AMD!BF14</f>
        <v>113.17400000000001</v>
      </c>
      <c r="AC14" s="377">
        <f>AMD!BG14</f>
        <v>117.08600000000001</v>
      </c>
      <c r="AD14" s="377">
        <f>AMD!BO14</f>
        <v>127.892</v>
      </c>
      <c r="AE14" s="377">
        <f>AMD!BP14</f>
        <v>147.81099999999998</v>
      </c>
      <c r="AF14" s="377">
        <f>AMD!BQ14</f>
        <v>153.75800000000004</v>
      </c>
      <c r="AG14" s="377">
        <f>AMD!BR14</f>
        <v>149.60900000000004</v>
      </c>
      <c r="AH14" s="377">
        <f>AMD!BT14</f>
        <v>152.93299999999999</v>
      </c>
      <c r="AI14" s="377">
        <f>AMD!BU14</f>
        <v>159.44299999999998</v>
      </c>
      <c r="AJ14" s="377">
        <f>AMD!BV14</f>
        <v>160.01300000000003</v>
      </c>
      <c r="AK14" s="377">
        <f>AMD!BW14</f>
        <v>150.47799999999995</v>
      </c>
      <c r="AL14" s="377">
        <f>AMD!BY14</f>
        <v>174.107</v>
      </c>
      <c r="AM14" s="377">
        <f>AMD!BZ14</f>
        <v>183.10799999999998</v>
      </c>
      <c r="AN14" s="377">
        <f>AMD!CA14</f>
        <v>199.08700000000005</v>
      </c>
      <c r="AO14" s="377">
        <f>AMD!CB14</f>
        <v>199.86699999999996</v>
      </c>
      <c r="AP14" s="377">
        <f>AMD!CD14</f>
        <v>209.75400000000002</v>
      </c>
      <c r="AQ14" s="377">
        <f>AMD!CE14</f>
        <v>213.56799999999998</v>
      </c>
      <c r="AR14" s="377">
        <f>AMD!CF14</f>
        <v>285.02999999999997</v>
      </c>
      <c r="AS14" s="377">
        <f>AMD!CG14</f>
        <v>287.31099999999992</v>
      </c>
      <c r="AT14" s="377">
        <f>AMD!CI14</f>
        <v>297.98</v>
      </c>
      <c r="AU14" s="377">
        <f>AMD!CJ14</f>
        <v>292.39300000000003</v>
      </c>
      <c r="AV14" s="377">
        <f>AMD!CK14</f>
        <v>304.73099999999999</v>
      </c>
      <c r="AW14" s="377">
        <f>AMD!CL14</f>
        <v>329.14799999999991</v>
      </c>
      <c r="AX14" s="377">
        <f>AMD!CN14</f>
        <v>332.88099999999997</v>
      </c>
      <c r="AY14" s="377">
        <f>AMD!CO14</f>
        <v>318.45499999999998</v>
      </c>
      <c r="AZ14" s="377">
        <f>AMD!CP14</f>
        <v>290.75</v>
      </c>
      <c r="BA14" s="377">
        <f>AMD!CQ14</f>
        <v>277.25799999999998</v>
      </c>
      <c r="BB14" s="377">
        <f>AMD!CS14</f>
        <v>174</v>
      </c>
      <c r="BC14" s="377">
        <f>AMD!CT14</f>
        <v>193</v>
      </c>
      <c r="BD14" s="377">
        <f>AMD!CU14</f>
        <v>200</v>
      </c>
      <c r="BE14" s="377">
        <f>AMD!CV14</f>
        <v>223</v>
      </c>
      <c r="BF14" s="377">
        <f>AMD!CX14</f>
        <v>243</v>
      </c>
      <c r="BG14" s="377">
        <f>AMD!CY14</f>
        <v>255</v>
      </c>
      <c r="BH14" s="377">
        <f>AMD!CZ14</f>
        <v>263</v>
      </c>
      <c r="BI14" s="377">
        <f>AMD!DA14</f>
        <v>273</v>
      </c>
      <c r="BJ14" s="377">
        <f>AMD!DC14</f>
        <v>267</v>
      </c>
      <c r="BK14" s="377">
        <f>AMD!DD14</f>
        <v>263</v>
      </c>
      <c r="BL14" s="377">
        <f>AMD!DE14</f>
        <v>266</v>
      </c>
      <c r="BM14" s="377">
        <f>AMD!DF14</f>
        <v>271</v>
      </c>
      <c r="BN14" s="377">
        <f>AMD!DH14</f>
        <v>105</v>
      </c>
      <c r="BO14" s="377">
        <f>AMD!DI14</f>
        <v>103</v>
      </c>
      <c r="BP14" s="377">
        <f>AMD!DJ14</f>
        <v>96</v>
      </c>
      <c r="BQ14" s="377">
        <f>AMD!DK14</f>
        <v>95</v>
      </c>
      <c r="BR14" s="377">
        <f>AMD!DM14</f>
        <v>100</v>
      </c>
      <c r="BS14" s="377">
        <f>AMD!DN14</f>
        <v>83</v>
      </c>
      <c r="BT14" s="377">
        <f>AMD!DO14</f>
        <v>79</v>
      </c>
      <c r="BU14" s="377">
        <f>AMD!DP14</f>
        <v>78</v>
      </c>
      <c r="BV14" s="377">
        <f>AMD!DR14</f>
        <v>79</v>
      </c>
      <c r="BW14" s="377">
        <f>AMD!DS14</f>
        <v>71</v>
      </c>
      <c r="BX14" s="377">
        <f>AMD!DT14</f>
        <v>79</v>
      </c>
      <c r="BY14" s="377">
        <f>AMD!DU14</f>
        <v>67</v>
      </c>
      <c r="BZ14" s="377">
        <f>AMD!DW14</f>
        <v>62</v>
      </c>
      <c r="CA14" s="377">
        <f>AMD!DX14</f>
        <v>61</v>
      </c>
      <c r="CB14" s="377">
        <f>AMD!DY14</f>
        <v>62</v>
      </c>
      <c r="CC14" s="377">
        <f>AMD!DZ14</f>
        <v>62</v>
      </c>
      <c r="CD14" s="377">
        <f>AMD!EB14</f>
        <v>62</v>
      </c>
      <c r="CE14" s="377">
        <f>AMD!EC14</f>
        <v>54</v>
      </c>
      <c r="CF14" s="377">
        <f>AMD!ED14</f>
        <v>52</v>
      </c>
      <c r="CG14" s="377">
        <f>AMD!EE14</f>
        <v>50</v>
      </c>
      <c r="CH14" s="377">
        <f>AMD!EG14</f>
        <v>50</v>
      </c>
      <c r="CI14" s="377">
        <f>AMD!EH14</f>
        <v>49</v>
      </c>
      <c r="CJ14" s="377">
        <f>AMD!EI14</f>
        <v>46</v>
      </c>
      <c r="CK14" s="377">
        <f>AMD!EJ14</f>
        <v>44</v>
      </c>
      <c r="CL14" s="377">
        <f>AMD!EL14</f>
        <v>43</v>
      </c>
      <c r="CM14" s="377">
        <f>AMD!EM14</f>
        <v>45</v>
      </c>
      <c r="CN14" s="377">
        <f>AMD!EN14</f>
        <v>42</v>
      </c>
      <c r="CO14" s="377">
        <f>AMD!EO14</f>
        <v>34</v>
      </c>
      <c r="CP14" s="377">
        <f>AMD!EQ14</f>
        <v>33</v>
      </c>
      <c r="CQ14" s="377">
        <f>AMD!ER14</f>
        <v>33</v>
      </c>
      <c r="CR14" s="377">
        <f>AMD!ES14</f>
        <v>33</v>
      </c>
      <c r="CS14" s="377">
        <f>AMD!ET14</f>
        <v>34</v>
      </c>
      <c r="CT14" s="377">
        <f>AMD!EV14</f>
        <v>34</v>
      </c>
      <c r="CU14" s="377">
        <f>AMD!EW14</f>
        <v>35</v>
      </c>
      <c r="CV14" s="377">
        <f>AMD!EX14</f>
        <v>36</v>
      </c>
      <c r="CW14" s="377">
        <f>AMD!EY14</f>
        <v>39</v>
      </c>
      <c r="CX14" s="377">
        <f>AMD!FA14</f>
        <v>44</v>
      </c>
      <c r="CY14" s="377">
        <f>AMD!FB14</f>
        <v>42</v>
      </c>
      <c r="CZ14" s="377">
        <f>AMD!FC14</f>
        <v>41</v>
      </c>
      <c r="DA14" s="377">
        <f>AMD!FD14</f>
        <v>43</v>
      </c>
      <c r="DB14" s="377">
        <f>AMD!FF14</f>
        <v>46</v>
      </c>
      <c r="DC14" s="377">
        <f>AMD!FG14</f>
        <v>52</v>
      </c>
      <c r="DD14" s="377">
        <f>AMD!FH14</f>
        <v>60</v>
      </c>
      <c r="DE14" s="377">
        <f>AMD!FI14</f>
        <v>64</v>
      </c>
      <c r="DF14" s="377">
        <f>AMD!FK14</f>
        <v>68</v>
      </c>
      <c r="DG14" s="377">
        <f>AMD!FL14</f>
        <v>72</v>
      </c>
      <c r="DH14" s="377">
        <f>AMD!FM14</f>
        <v>82</v>
      </c>
      <c r="DI14" s="377">
        <f>AMD!FN14</f>
        <v>80</v>
      </c>
      <c r="DJ14" s="377">
        <f>AMD!FP14</f>
        <v>95</v>
      </c>
      <c r="DK14" s="377">
        <f>AMD!FQ14</f>
        <v>97</v>
      </c>
      <c r="DL14" s="377">
        <f>AMD!FR14</f>
        <v>97</v>
      </c>
      <c r="DM14" s="377">
        <f>AMD!FS14</f>
        <v>118</v>
      </c>
      <c r="DN14" s="377">
        <f>AMD!FU14</f>
        <v>130</v>
      </c>
      <c r="DO14" s="377">
        <f>AMD!FV14</f>
        <v>157</v>
      </c>
      <c r="DP14" s="377">
        <f>AMD!FW14</f>
        <v>163</v>
      </c>
      <c r="DQ14" s="377">
        <f>AMD!FX14</f>
        <v>176</v>
      </c>
      <c r="DR14" s="377">
        <f>AMD!FZ14</f>
        <v>159</v>
      </c>
      <c r="DS14" s="377">
        <f>AMD!GA14</f>
        <v>156</v>
      </c>
      <c r="DT14" s="377">
        <f>AMD!GB14</f>
        <v>163</v>
      </c>
      <c r="DU14" s="377">
        <f>AMD!GC14</f>
        <v>164</v>
      </c>
      <c r="DV14" s="377">
        <f>AMD!GE14</f>
        <v>162</v>
      </c>
      <c r="DW14" s="377">
        <f>AMD!GF14</f>
        <v>166</v>
      </c>
      <c r="DX14" s="377">
        <f>AMD!GG14</f>
        <v>171</v>
      </c>
      <c r="DY14" s="377">
        <f>AMD!GH14</f>
        <v>172</v>
      </c>
      <c r="DZ14" s="377">
        <f>AMD!GJ14</f>
        <v>175</v>
      </c>
      <c r="EA14" s="377">
        <f>AMD!GK14</f>
        <v>189</v>
      </c>
      <c r="EB14" s="377">
        <f>AMD!GL14</f>
        <v>192</v>
      </c>
      <c r="EC14" s="377">
        <f>AMD!GM14</f>
        <v>194</v>
      </c>
      <c r="ED14" s="377">
        <f>AMD!GO14</f>
        <v>206</v>
      </c>
      <c r="EE14" s="380">
        <f t="shared" ref="EE14:EG14" si="21">ED14</f>
        <v>206</v>
      </c>
      <c r="EF14" s="380">
        <f t="shared" si="21"/>
        <v>206</v>
      </c>
      <c r="EG14" s="380">
        <f t="shared" si="21"/>
        <v>206</v>
      </c>
      <c r="EH14" s="380">
        <f t="shared" ref="EH14" si="22">EG14+5</f>
        <v>211</v>
      </c>
      <c r="EI14" s="380">
        <f t="shared" ref="EI14:EK14" si="23">EH14</f>
        <v>211</v>
      </c>
      <c r="EJ14" s="380">
        <f t="shared" si="23"/>
        <v>211</v>
      </c>
      <c r="EK14" s="380">
        <f t="shared" si="23"/>
        <v>211</v>
      </c>
      <c r="EL14" s="380">
        <f t="shared" ref="EL14" si="24">EK14+5</f>
        <v>216</v>
      </c>
      <c r="EM14" s="380">
        <f t="shared" ref="EM14:EO14" si="25">EL14</f>
        <v>216</v>
      </c>
      <c r="EN14" s="380">
        <f t="shared" si="25"/>
        <v>216</v>
      </c>
      <c r="EO14" s="380">
        <f t="shared" si="25"/>
        <v>216</v>
      </c>
      <c r="EP14" s="380">
        <f t="shared" ref="EP14" si="26">EO14+5</f>
        <v>221</v>
      </c>
      <c r="EQ14" s="380">
        <f t="shared" ref="EQ14:ES14" si="27">EP14</f>
        <v>221</v>
      </c>
      <c r="ER14" s="380">
        <f t="shared" si="27"/>
        <v>221</v>
      </c>
      <c r="ES14" s="380">
        <f t="shared" si="27"/>
        <v>221</v>
      </c>
      <c r="ET14" s="380">
        <f t="shared" ref="ET14" si="28">ES14+5</f>
        <v>226</v>
      </c>
      <c r="EU14" s="380">
        <f t="shared" ref="EU14:EW14" si="29">ET14</f>
        <v>226</v>
      </c>
      <c r="EV14" s="380">
        <f t="shared" si="29"/>
        <v>226</v>
      </c>
      <c r="EW14" s="380">
        <f t="shared" si="29"/>
        <v>226</v>
      </c>
      <c r="EZ14" s="376">
        <f>B14+C14+D14+E14</f>
        <v>175.06700000000001</v>
      </c>
      <c r="FA14" s="376">
        <f>F14+G14+H14+I14</f>
        <v>334.09500000000003</v>
      </c>
      <c r="FB14" s="376">
        <f>J14+K14+L14+M14</f>
        <v>386.15300000000008</v>
      </c>
      <c r="FC14" s="376">
        <f>N14+O14+P14+Q14</f>
        <v>487.596</v>
      </c>
      <c r="FD14" s="376">
        <f>R14+S14+T14+U14</f>
        <v>589.47299999999996</v>
      </c>
      <c r="FE14" s="376">
        <f>V14+W14+X14+Y14</f>
        <v>394.46499999999997</v>
      </c>
      <c r="FF14" s="376">
        <f>Z14+AA14+AB14+AC14</f>
        <v>736.88499999999999</v>
      </c>
      <c r="FG14" s="376">
        <f>AD14+AE14+AF14+AG14</f>
        <v>579.07000000000005</v>
      </c>
      <c r="FH14" s="376">
        <f>AH14+AI14+AJ14+AK14</f>
        <v>622.86699999999996</v>
      </c>
      <c r="FI14" s="376">
        <f>AL14+AM14+AN14+AO14</f>
        <v>756.16899999999998</v>
      </c>
      <c r="FJ14" s="376">
        <f>AP14+AQ14+AR14+AS14</f>
        <v>995.6629999999999</v>
      </c>
      <c r="FK14" s="376">
        <f>AT14+AU14+AV14+AW14</f>
        <v>1224.252</v>
      </c>
      <c r="FL14" s="376">
        <f>AX14+AY14+AZ14+BA14</f>
        <v>1219.3440000000001</v>
      </c>
      <c r="FM14" s="376">
        <f>BB14+BC14+BD14+BE14</f>
        <v>790</v>
      </c>
      <c r="FN14" s="376">
        <f>BF14+BG14+BH14+BI14</f>
        <v>1034</v>
      </c>
      <c r="FO14" s="376">
        <f>BJ14+BK14+BL14+BM14</f>
        <v>1067</v>
      </c>
      <c r="FP14" s="376">
        <f>BN14+BO14+BP14+BQ14</f>
        <v>399</v>
      </c>
      <c r="FQ14" s="376">
        <f>BR14+BS14+BT14+BU14</f>
        <v>340</v>
      </c>
      <c r="FR14" s="376">
        <f>BV14+BW14+BX14+BY14</f>
        <v>296</v>
      </c>
      <c r="FS14" s="376">
        <f>BZ14+CA14+CB14+CC14</f>
        <v>247</v>
      </c>
      <c r="FT14" s="376">
        <f>CD14+CE14+CF14+CG14</f>
        <v>218</v>
      </c>
      <c r="FU14" s="376">
        <f>CH14+CI14+CJ14+CK14</f>
        <v>189</v>
      </c>
      <c r="FV14" s="376">
        <f>CL14+CM14+CN14+CO14</f>
        <v>164</v>
      </c>
      <c r="FW14" s="376">
        <f>CP14+CQ14+CR14+CS14</f>
        <v>133</v>
      </c>
      <c r="FX14" s="376">
        <f>CT14+CU14+CV14+CW14</f>
        <v>144</v>
      </c>
      <c r="FY14" s="376">
        <f>CX14+CY14+CZ14+DA14</f>
        <v>170</v>
      </c>
      <c r="FZ14" s="376">
        <f>DB14+DC14+DD14+DE14</f>
        <v>222</v>
      </c>
      <c r="GA14" s="376">
        <f>SUM(DF14:DI14)</f>
        <v>302</v>
      </c>
      <c r="GB14" s="376">
        <f>SUM(DJ14:DM14)</f>
        <v>407</v>
      </c>
      <c r="GC14" s="376">
        <f>SUM(DN14:DQ14)</f>
        <v>626</v>
      </c>
      <c r="GD14" s="376">
        <f>SUM(DR14:DU14)</f>
        <v>642</v>
      </c>
      <c r="GE14" s="376">
        <f>SUM(DV14:DY14)</f>
        <v>671</v>
      </c>
      <c r="GF14" s="376">
        <f>SUM(DZ14:EC14)</f>
        <v>750</v>
      </c>
      <c r="GG14" s="380">
        <f>SUM(ED14:EG14)</f>
        <v>824</v>
      </c>
      <c r="GH14" s="380">
        <f>SUM(EH14:EK14)</f>
        <v>844</v>
      </c>
      <c r="GI14" s="380">
        <f>SUM(EL14:EO14)</f>
        <v>864</v>
      </c>
      <c r="GJ14" s="380">
        <f>SUM(EP14:ES14)</f>
        <v>884</v>
      </c>
      <c r="GK14" s="380">
        <f>SUM(ET14:EW14)</f>
        <v>904</v>
      </c>
      <c r="GN14" s="70"/>
    </row>
    <row r="15" spans="1:196" s="382" customFormat="1">
      <c r="A15" s="396" t="s">
        <v>198</v>
      </c>
      <c r="C15" s="382">
        <f t="shared" ref="C15:BN15" si="30">C14/B14-1</f>
        <v>0.24262415695892092</v>
      </c>
      <c r="D15" s="382">
        <f t="shared" si="30"/>
        <v>-0.1643048867135074</v>
      </c>
      <c r="E15" s="382">
        <f t="shared" si="30"/>
        <v>-2.5080887041541655E-2</v>
      </c>
      <c r="F15" s="382">
        <f t="shared" si="30"/>
        <v>3.2408614132409577</v>
      </c>
      <c r="G15" s="382">
        <f t="shared" si="30"/>
        <v>-0.70884290014680096</v>
      </c>
      <c r="H15" s="382">
        <f t="shared" si="30"/>
        <v>5.187161578906041E-2</v>
      </c>
      <c r="I15" s="382">
        <f t="shared" si="30"/>
        <v>1.5368546702476893E-2</v>
      </c>
      <c r="J15" s="382">
        <f t="shared" si="30"/>
        <v>4.6216017634092887E-2</v>
      </c>
      <c r="K15" s="382">
        <f t="shared" si="30"/>
        <v>2.7921202331624402</v>
      </c>
      <c r="L15" s="382">
        <f t="shared" si="30"/>
        <v>-0.73385528557670943</v>
      </c>
      <c r="M15" s="382">
        <f t="shared" si="30"/>
        <v>-3.0495972722370146E-2</v>
      </c>
      <c r="N15" s="382">
        <f t="shared" si="30"/>
        <v>0.18246904719181778</v>
      </c>
      <c r="O15" s="382">
        <f t="shared" si="30"/>
        <v>0.2654061518384192</v>
      </c>
      <c r="P15" s="382">
        <f t="shared" si="30"/>
        <v>2.1479091966566339</v>
      </c>
      <c r="Q15" s="382">
        <f t="shared" si="30"/>
        <v>-0.71121252871417628</v>
      </c>
      <c r="R15" s="382">
        <f t="shared" si="30"/>
        <v>0.16081628345667287</v>
      </c>
      <c r="S15" s="382">
        <f t="shared" si="30"/>
        <v>-3.8023591445260352E-2</v>
      </c>
      <c r="T15" s="382">
        <f t="shared" si="30"/>
        <v>-5.5403298209137919E-3</v>
      </c>
      <c r="U15" s="382">
        <f t="shared" si="30"/>
        <v>2.9513916111328893</v>
      </c>
      <c r="V15" s="382">
        <f t="shared" si="30"/>
        <v>-0.73298160173160176</v>
      </c>
      <c r="W15" s="382">
        <f t="shared" si="30"/>
        <v>5.8353317346123035E-2</v>
      </c>
      <c r="X15" s="382">
        <f t="shared" si="30"/>
        <v>0.10596357601804218</v>
      </c>
      <c r="Y15" s="382">
        <f t="shared" si="30"/>
        <v>3.5685086327128523E-2</v>
      </c>
      <c r="Z15" s="382">
        <f t="shared" si="30"/>
        <v>2.663478058973765</v>
      </c>
      <c r="AA15" s="382">
        <f t="shared" si="30"/>
        <v>-0.71566552165591368</v>
      </c>
      <c r="AB15" s="382">
        <f t="shared" si="30"/>
        <v>9.0406562054208273E-3</v>
      </c>
      <c r="AC15" s="382">
        <f t="shared" si="30"/>
        <v>3.4566243130047525E-2</v>
      </c>
      <c r="AD15" s="382">
        <f t="shared" si="30"/>
        <v>9.2291136429632825E-2</v>
      </c>
      <c r="AE15" s="382">
        <f t="shared" si="30"/>
        <v>0.15574860038157179</v>
      </c>
      <c r="AF15" s="382">
        <f t="shared" si="30"/>
        <v>4.0233812097882238E-2</v>
      </c>
      <c r="AG15" s="382">
        <f t="shared" si="30"/>
        <v>-2.6983961810117196E-2</v>
      </c>
      <c r="AH15" s="382">
        <f t="shared" si="30"/>
        <v>2.2217914697644892E-2</v>
      </c>
      <c r="AI15" s="382">
        <f t="shared" si="30"/>
        <v>4.2567660347995417E-2</v>
      </c>
      <c r="AJ15" s="382">
        <f t="shared" si="30"/>
        <v>3.5749452782503077E-3</v>
      </c>
      <c r="AK15" s="382">
        <f t="shared" si="30"/>
        <v>-5.9588908401192908E-2</v>
      </c>
      <c r="AL15" s="382">
        <f t="shared" si="30"/>
        <v>0.15702627626629839</v>
      </c>
      <c r="AM15" s="382">
        <f t="shared" si="30"/>
        <v>5.169809370099987E-2</v>
      </c>
      <c r="AN15" s="382">
        <f t="shared" si="30"/>
        <v>8.7265438975905329E-2</v>
      </c>
      <c r="AO15" s="382">
        <f t="shared" si="30"/>
        <v>3.9178851456895813E-3</v>
      </c>
      <c r="AP15" s="382">
        <f t="shared" si="30"/>
        <v>4.9467896150940716E-2</v>
      </c>
      <c r="AQ15" s="382">
        <f t="shared" si="30"/>
        <v>1.8183205087864751E-2</v>
      </c>
      <c r="AR15" s="382">
        <f t="shared" si="30"/>
        <v>0.33461005394066534</v>
      </c>
      <c r="AS15" s="382">
        <f t="shared" si="30"/>
        <v>8.0026663859942282E-3</v>
      </c>
      <c r="AT15" s="382">
        <f t="shared" si="30"/>
        <v>3.7133976770816535E-2</v>
      </c>
      <c r="AU15" s="382">
        <f t="shared" si="30"/>
        <v>-1.8749580508758967E-2</v>
      </c>
      <c r="AV15" s="382">
        <f t="shared" si="30"/>
        <v>4.2196632614323715E-2</v>
      </c>
      <c r="AW15" s="382">
        <f t="shared" si="30"/>
        <v>8.0126406568415742E-2</v>
      </c>
      <c r="AX15" s="382">
        <f t="shared" si="30"/>
        <v>1.1341402651694921E-2</v>
      </c>
      <c r="AY15" s="382">
        <f t="shared" si="30"/>
        <v>-4.3336808048521802E-2</v>
      </c>
      <c r="AZ15" s="382">
        <f t="shared" si="30"/>
        <v>-8.699816300576213E-2</v>
      </c>
      <c r="BA15" s="382">
        <f t="shared" si="30"/>
        <v>-4.6404127257093752E-2</v>
      </c>
      <c r="BB15" s="382">
        <f t="shared" si="30"/>
        <v>-0.37242568293791334</v>
      </c>
      <c r="BC15" s="382">
        <f t="shared" si="30"/>
        <v>0.10919540229885061</v>
      </c>
      <c r="BD15" s="382">
        <f t="shared" si="30"/>
        <v>3.6269430051813378E-2</v>
      </c>
      <c r="BE15" s="382">
        <f t="shared" si="30"/>
        <v>0.11499999999999999</v>
      </c>
      <c r="BF15" s="382">
        <f t="shared" si="30"/>
        <v>8.9686098654708557E-2</v>
      </c>
      <c r="BG15" s="382">
        <f t="shared" si="30"/>
        <v>4.9382716049382713E-2</v>
      </c>
      <c r="BH15" s="382">
        <f t="shared" si="30"/>
        <v>3.1372549019607954E-2</v>
      </c>
      <c r="BI15" s="382">
        <f t="shared" si="30"/>
        <v>3.8022813688213031E-2</v>
      </c>
      <c r="BJ15" s="382">
        <f t="shared" si="30"/>
        <v>-2.1978021978022011E-2</v>
      </c>
      <c r="BK15" s="382">
        <f t="shared" si="30"/>
        <v>-1.4981273408239737E-2</v>
      </c>
      <c r="BL15" s="382">
        <f t="shared" si="30"/>
        <v>1.1406844106463865E-2</v>
      </c>
      <c r="BM15" s="382">
        <f t="shared" si="30"/>
        <v>1.8796992481203034E-2</v>
      </c>
      <c r="BN15" s="382">
        <f t="shared" si="30"/>
        <v>-0.61254612546125453</v>
      </c>
      <c r="BO15" s="382">
        <f t="shared" ref="BO15:DZ15" si="31">BO14/BN14-1</f>
        <v>-1.9047619047619091E-2</v>
      </c>
      <c r="BP15" s="382">
        <f t="shared" si="31"/>
        <v>-6.7961165048543659E-2</v>
      </c>
      <c r="BQ15" s="382">
        <f t="shared" si="31"/>
        <v>-1.041666666666663E-2</v>
      </c>
      <c r="BR15" s="382">
        <f t="shared" si="31"/>
        <v>5.2631578947368363E-2</v>
      </c>
      <c r="BS15" s="382">
        <f t="shared" si="31"/>
        <v>-0.17000000000000004</v>
      </c>
      <c r="BT15" s="382">
        <f t="shared" si="31"/>
        <v>-4.8192771084337394E-2</v>
      </c>
      <c r="BU15" s="382">
        <f t="shared" si="31"/>
        <v>-1.2658227848101222E-2</v>
      </c>
      <c r="BV15" s="382">
        <f t="shared" si="31"/>
        <v>1.2820512820512775E-2</v>
      </c>
      <c r="BW15" s="382">
        <f t="shared" si="31"/>
        <v>-0.10126582278481011</v>
      </c>
      <c r="BX15" s="382">
        <f t="shared" si="31"/>
        <v>0.11267605633802824</v>
      </c>
      <c r="BY15" s="382">
        <f t="shared" si="31"/>
        <v>-0.15189873417721522</v>
      </c>
      <c r="BZ15" s="382">
        <f t="shared" si="31"/>
        <v>-7.4626865671641784E-2</v>
      </c>
      <c r="CA15" s="382">
        <f t="shared" si="31"/>
        <v>-1.6129032258064502E-2</v>
      </c>
      <c r="CB15" s="382">
        <f t="shared" si="31"/>
        <v>1.6393442622950838E-2</v>
      </c>
      <c r="CC15" s="382">
        <f t="shared" si="31"/>
        <v>0</v>
      </c>
      <c r="CD15" s="382">
        <f t="shared" si="31"/>
        <v>0</v>
      </c>
      <c r="CE15" s="382">
        <f t="shared" si="31"/>
        <v>-0.12903225806451613</v>
      </c>
      <c r="CF15" s="382">
        <f t="shared" si="31"/>
        <v>-3.703703703703709E-2</v>
      </c>
      <c r="CG15" s="382">
        <f t="shared" si="31"/>
        <v>-3.8461538461538436E-2</v>
      </c>
      <c r="CH15" s="382">
        <f t="shared" si="31"/>
        <v>0</v>
      </c>
      <c r="CI15" s="382">
        <f t="shared" si="31"/>
        <v>-2.0000000000000018E-2</v>
      </c>
      <c r="CJ15" s="382">
        <f t="shared" si="31"/>
        <v>-6.1224489795918324E-2</v>
      </c>
      <c r="CK15" s="382">
        <f t="shared" si="31"/>
        <v>-4.3478260869565188E-2</v>
      </c>
      <c r="CL15" s="382">
        <f t="shared" si="31"/>
        <v>-2.2727272727272707E-2</v>
      </c>
      <c r="CM15" s="382">
        <f t="shared" si="31"/>
        <v>4.6511627906976827E-2</v>
      </c>
      <c r="CN15" s="382">
        <f t="shared" si="31"/>
        <v>-6.6666666666666652E-2</v>
      </c>
      <c r="CO15" s="382">
        <f t="shared" si="31"/>
        <v>-0.19047619047619047</v>
      </c>
      <c r="CP15" s="382">
        <f t="shared" si="31"/>
        <v>-2.9411764705882359E-2</v>
      </c>
      <c r="CQ15" s="382">
        <f t="shared" si="31"/>
        <v>0</v>
      </c>
      <c r="CR15" s="382">
        <f t="shared" si="31"/>
        <v>0</v>
      </c>
      <c r="CS15" s="382">
        <f t="shared" si="31"/>
        <v>3.0303030303030276E-2</v>
      </c>
      <c r="CT15" s="382">
        <f t="shared" si="31"/>
        <v>0</v>
      </c>
      <c r="CU15" s="382">
        <f t="shared" si="31"/>
        <v>2.9411764705882248E-2</v>
      </c>
      <c r="CV15" s="382">
        <f t="shared" si="31"/>
        <v>2.857142857142847E-2</v>
      </c>
      <c r="CW15" s="382">
        <f t="shared" si="31"/>
        <v>8.3333333333333259E-2</v>
      </c>
      <c r="CX15" s="382">
        <f t="shared" si="31"/>
        <v>0.12820512820512819</v>
      </c>
      <c r="CY15" s="382">
        <f t="shared" si="31"/>
        <v>-4.5454545454545414E-2</v>
      </c>
      <c r="CZ15" s="382">
        <f t="shared" si="31"/>
        <v>-2.3809523809523836E-2</v>
      </c>
      <c r="DA15" s="382">
        <f t="shared" si="31"/>
        <v>4.8780487804878092E-2</v>
      </c>
      <c r="DB15" s="382">
        <f t="shared" si="31"/>
        <v>6.9767441860465018E-2</v>
      </c>
      <c r="DC15" s="382">
        <f t="shared" si="31"/>
        <v>0.13043478260869557</v>
      </c>
      <c r="DD15" s="382">
        <f t="shared" si="31"/>
        <v>0.15384615384615374</v>
      </c>
      <c r="DE15" s="382">
        <f t="shared" si="31"/>
        <v>6.6666666666666652E-2</v>
      </c>
      <c r="DF15" s="382">
        <f t="shared" si="31"/>
        <v>6.25E-2</v>
      </c>
      <c r="DG15" s="382">
        <f t="shared" si="31"/>
        <v>5.8823529411764719E-2</v>
      </c>
      <c r="DH15" s="382">
        <f t="shared" si="31"/>
        <v>0.13888888888888884</v>
      </c>
      <c r="DI15" s="382">
        <f t="shared" si="31"/>
        <v>-2.4390243902439046E-2</v>
      </c>
      <c r="DJ15" s="383">
        <f t="shared" si="31"/>
        <v>0.1875</v>
      </c>
      <c r="DK15" s="383">
        <f t="shared" si="31"/>
        <v>2.1052631578947434E-2</v>
      </c>
      <c r="DL15" s="383">
        <f t="shared" si="31"/>
        <v>0</v>
      </c>
      <c r="DM15" s="383">
        <f t="shared" si="31"/>
        <v>0.21649484536082464</v>
      </c>
      <c r="DN15" s="383">
        <f t="shared" si="31"/>
        <v>0.10169491525423724</v>
      </c>
      <c r="DO15" s="383">
        <f t="shared" si="31"/>
        <v>0.20769230769230762</v>
      </c>
      <c r="DP15" s="383">
        <f t="shared" si="31"/>
        <v>3.8216560509554132E-2</v>
      </c>
      <c r="DQ15" s="383">
        <f t="shared" si="31"/>
        <v>7.9754601226993849E-2</v>
      </c>
      <c r="DR15" s="383">
        <f t="shared" si="31"/>
        <v>-9.6590909090909061E-2</v>
      </c>
      <c r="DS15" s="383">
        <f t="shared" si="31"/>
        <v>-1.8867924528301883E-2</v>
      </c>
      <c r="DT15" s="383">
        <f t="shared" si="31"/>
        <v>4.4871794871794934E-2</v>
      </c>
      <c r="DU15" s="383">
        <f t="shared" si="31"/>
        <v>6.1349693251533388E-3</v>
      </c>
      <c r="DV15" s="382">
        <f t="shared" si="31"/>
        <v>-1.2195121951219523E-2</v>
      </c>
      <c r="DW15" s="382">
        <f t="shared" si="31"/>
        <v>2.4691358024691468E-2</v>
      </c>
      <c r="DX15" s="382">
        <f t="shared" si="31"/>
        <v>3.0120481927710774E-2</v>
      </c>
      <c r="DY15" s="383">
        <f t="shared" si="31"/>
        <v>5.8479532163742132E-3</v>
      </c>
      <c r="DZ15" s="383">
        <f t="shared" si="31"/>
        <v>1.744186046511631E-2</v>
      </c>
      <c r="EA15" s="383">
        <f t="shared" ref="EA15:EW15" si="32">EA14/DZ14-1</f>
        <v>8.0000000000000071E-2</v>
      </c>
      <c r="EB15" s="383">
        <f t="shared" si="32"/>
        <v>1.5873015873015817E-2</v>
      </c>
      <c r="EC15" s="383">
        <f t="shared" si="32"/>
        <v>1.0416666666666741E-2</v>
      </c>
      <c r="ED15" s="383">
        <f t="shared" si="32"/>
        <v>6.1855670103092786E-2</v>
      </c>
      <c r="EE15" s="384">
        <f t="shared" si="32"/>
        <v>0</v>
      </c>
      <c r="EF15" s="384">
        <f t="shared" si="32"/>
        <v>0</v>
      </c>
      <c r="EG15" s="384">
        <f t="shared" si="32"/>
        <v>0</v>
      </c>
      <c r="EH15" s="384">
        <f t="shared" si="32"/>
        <v>2.4271844660194164E-2</v>
      </c>
      <c r="EI15" s="384">
        <f t="shared" si="32"/>
        <v>0</v>
      </c>
      <c r="EJ15" s="384">
        <f t="shared" si="32"/>
        <v>0</v>
      </c>
      <c r="EK15" s="384">
        <f t="shared" si="32"/>
        <v>0</v>
      </c>
      <c r="EL15" s="384">
        <f t="shared" si="32"/>
        <v>2.3696682464454888E-2</v>
      </c>
      <c r="EM15" s="384">
        <f t="shared" si="32"/>
        <v>0</v>
      </c>
      <c r="EN15" s="384">
        <f t="shared" si="32"/>
        <v>0</v>
      </c>
      <c r="EO15" s="384">
        <f t="shared" si="32"/>
        <v>0</v>
      </c>
      <c r="EP15" s="384">
        <f t="shared" si="32"/>
        <v>2.314814814814814E-2</v>
      </c>
      <c r="EQ15" s="384">
        <f t="shared" si="32"/>
        <v>0</v>
      </c>
      <c r="ER15" s="384">
        <f t="shared" si="32"/>
        <v>0</v>
      </c>
      <c r="ES15" s="384">
        <f t="shared" si="32"/>
        <v>0</v>
      </c>
      <c r="ET15" s="384">
        <f t="shared" si="32"/>
        <v>2.2624434389140191E-2</v>
      </c>
      <c r="EU15" s="384">
        <f t="shared" si="32"/>
        <v>0</v>
      </c>
      <c r="EV15" s="384">
        <f t="shared" si="32"/>
        <v>0</v>
      </c>
      <c r="EW15" s="384">
        <f t="shared" si="32"/>
        <v>0</v>
      </c>
      <c r="FZ15" s="386" t="s">
        <v>199</v>
      </c>
      <c r="GA15" s="386" t="s">
        <v>199</v>
      </c>
      <c r="GB15" s="386" t="s">
        <v>199</v>
      </c>
      <c r="GC15" s="386" t="s">
        <v>199</v>
      </c>
      <c r="GD15" s="386" t="s">
        <v>199</v>
      </c>
      <c r="GE15" s="386" t="s">
        <v>199</v>
      </c>
      <c r="GF15" s="386" t="s">
        <v>199</v>
      </c>
      <c r="GG15" s="386" t="s">
        <v>199</v>
      </c>
      <c r="GH15" s="386" t="s">
        <v>199</v>
      </c>
      <c r="GI15" s="386" t="s">
        <v>199</v>
      </c>
      <c r="GJ15" s="386" t="s">
        <v>199</v>
      </c>
      <c r="GK15" s="386" t="s">
        <v>199</v>
      </c>
      <c r="GN15" s="70"/>
    </row>
    <row r="16" spans="1:196" s="382" customFormat="1">
      <c r="A16" s="396" t="s">
        <v>200</v>
      </c>
      <c r="F16" s="382">
        <f t="shared" ref="F16:BQ16" si="33">F14/B14-1</f>
        <v>3.293488657265482</v>
      </c>
      <c r="G16" s="382">
        <f t="shared" si="33"/>
        <v>5.9998421094182852E-3</v>
      </c>
      <c r="H16" s="382">
        <f t="shared" si="33"/>
        <v>0.26623054578088445</v>
      </c>
      <c r="I16" s="382">
        <f t="shared" si="33"/>
        <v>0.31876650274944862</v>
      </c>
      <c r="J16" s="382">
        <f t="shared" si="33"/>
        <v>-0.67466170094877953</v>
      </c>
      <c r="K16" s="382">
        <f t="shared" si="33"/>
        <v>3.2373067566507103</v>
      </c>
      <c r="L16" s="382">
        <f t="shared" si="33"/>
        <v>7.2123992837958895E-2</v>
      </c>
      <c r="M16" s="382">
        <f t="shared" si="33"/>
        <v>2.3695811903012398E-2</v>
      </c>
      <c r="N16" s="382">
        <f t="shared" si="33"/>
        <v>0.15701594213076731</v>
      </c>
      <c r="O16" s="382">
        <f t="shared" si="33"/>
        <v>-0.61391121564560347</v>
      </c>
      <c r="P16" s="382">
        <f t="shared" si="33"/>
        <v>3.5665849033627328</v>
      </c>
      <c r="Q16" s="382">
        <f t="shared" si="33"/>
        <v>0.36025479992822551</v>
      </c>
      <c r="R16" s="382">
        <f t="shared" si="33"/>
        <v>0.3353465151216255</v>
      </c>
      <c r="S16" s="382">
        <f t="shared" si="33"/>
        <v>1.5145882550456458E-2</v>
      </c>
      <c r="T16" s="382">
        <f t="shared" si="33"/>
        <v>-0.67930407884160449</v>
      </c>
      <c r="U16" s="382">
        <f t="shared" si="33"/>
        <v>3.3879852784043685</v>
      </c>
      <c r="V16" s="382">
        <f t="shared" si="33"/>
        <v>9.3524852837563177E-3</v>
      </c>
      <c r="W16" s="382">
        <f t="shared" si="33"/>
        <v>0.11047583045881959</v>
      </c>
      <c r="X16" s="382">
        <f t="shared" si="33"/>
        <v>0.23498806172267606</v>
      </c>
      <c r="Y16" s="382">
        <f t="shared" si="33"/>
        <v>-0.67630170755170771</v>
      </c>
      <c r="Z16" s="382">
        <f t="shared" si="33"/>
        <v>3.4411231578117789</v>
      </c>
      <c r="AA16" s="382">
        <f t="shared" si="33"/>
        <v>0.19314071741628025</v>
      </c>
      <c r="AB16" s="382">
        <f t="shared" si="33"/>
        <v>8.8577886788822946E-2</v>
      </c>
      <c r="AC16" s="382">
        <f t="shared" si="33"/>
        <v>8.7401903877409426E-2</v>
      </c>
      <c r="AD16" s="382">
        <f t="shared" si="33"/>
        <v>-0.6757836563446693</v>
      </c>
      <c r="AE16" s="382">
        <f t="shared" si="33"/>
        <v>0.31785841654778868</v>
      </c>
      <c r="AF16" s="382">
        <f t="shared" si="33"/>
        <v>0.3585982646190824</v>
      </c>
      <c r="AG16" s="382">
        <f t="shared" si="33"/>
        <v>0.27777018601711578</v>
      </c>
      <c r="AH16" s="382">
        <f t="shared" si="33"/>
        <v>0.19579801707690869</v>
      </c>
      <c r="AI16" s="382">
        <f t="shared" si="33"/>
        <v>7.8695090351868391E-2</v>
      </c>
      <c r="AJ16" s="382">
        <f t="shared" si="33"/>
        <v>4.0680810104189558E-2</v>
      </c>
      <c r="AK16" s="382">
        <f t="shared" si="33"/>
        <v>5.8084740891251041E-3</v>
      </c>
      <c r="AL16" s="382">
        <f t="shared" si="33"/>
        <v>0.13845278651435611</v>
      </c>
      <c r="AM16" s="382">
        <f t="shared" si="33"/>
        <v>0.14842294738558603</v>
      </c>
      <c r="AN16" s="382">
        <f t="shared" si="33"/>
        <v>0.24419265934642809</v>
      </c>
      <c r="AO16" s="382">
        <f t="shared" si="33"/>
        <v>0.32821409109637312</v>
      </c>
      <c r="AP16" s="382">
        <f t="shared" si="33"/>
        <v>0.20474191158310706</v>
      </c>
      <c r="AQ16" s="382">
        <f t="shared" si="33"/>
        <v>0.16634991371212626</v>
      </c>
      <c r="AR16" s="382">
        <f t="shared" si="33"/>
        <v>0.4316856449692843</v>
      </c>
      <c r="AS16" s="382">
        <f t="shared" si="33"/>
        <v>0.43751094477827746</v>
      </c>
      <c r="AT16" s="382">
        <f t="shared" si="33"/>
        <v>0.42061653174671276</v>
      </c>
      <c r="AU16" s="382">
        <f t="shared" si="33"/>
        <v>0.36908619268804332</v>
      </c>
      <c r="AV16" s="382">
        <f t="shared" si="33"/>
        <v>6.9119040101041973E-2</v>
      </c>
      <c r="AW16" s="382">
        <f t="shared" si="33"/>
        <v>0.14561572651238563</v>
      </c>
      <c r="AX16" s="382">
        <f t="shared" si="33"/>
        <v>0.11712531042351815</v>
      </c>
      <c r="AY16" s="382">
        <f t="shared" si="33"/>
        <v>8.9133460787364838E-2</v>
      </c>
      <c r="AZ16" s="382">
        <f t="shared" si="33"/>
        <v>-4.5879808749355933E-2</v>
      </c>
      <c r="BA16" s="382">
        <f t="shared" si="33"/>
        <v>-0.15764944644962131</v>
      </c>
      <c r="BB16" s="382">
        <f t="shared" si="33"/>
        <v>-0.47729068345745174</v>
      </c>
      <c r="BC16" s="382">
        <f t="shared" si="33"/>
        <v>-0.39394890957906137</v>
      </c>
      <c r="BD16" s="382">
        <f t="shared" si="33"/>
        <v>-0.31212381771281172</v>
      </c>
      <c r="BE16" s="382">
        <f t="shared" si="33"/>
        <v>-0.19569498445491196</v>
      </c>
      <c r="BF16" s="382">
        <f t="shared" si="33"/>
        <v>0.39655172413793105</v>
      </c>
      <c r="BG16" s="382">
        <f t="shared" si="33"/>
        <v>0.32124352331606221</v>
      </c>
      <c r="BH16" s="382">
        <f t="shared" si="33"/>
        <v>0.31499999999999995</v>
      </c>
      <c r="BI16" s="382">
        <f t="shared" si="33"/>
        <v>0.22421524663677128</v>
      </c>
      <c r="BJ16" s="382">
        <f t="shared" si="33"/>
        <v>9.8765432098765427E-2</v>
      </c>
      <c r="BK16" s="382">
        <f t="shared" si="33"/>
        <v>3.1372549019607954E-2</v>
      </c>
      <c r="BL16" s="382">
        <f t="shared" si="33"/>
        <v>1.1406844106463865E-2</v>
      </c>
      <c r="BM16" s="382">
        <f t="shared" si="33"/>
        <v>-7.3260073260073E-3</v>
      </c>
      <c r="BN16" s="382">
        <f t="shared" si="33"/>
        <v>-0.60674157303370779</v>
      </c>
      <c r="BO16" s="382">
        <f t="shared" si="33"/>
        <v>-0.60836501901140683</v>
      </c>
      <c r="BP16" s="382">
        <f t="shared" si="33"/>
        <v>-0.63909774436090228</v>
      </c>
      <c r="BQ16" s="382">
        <f t="shared" si="33"/>
        <v>-0.64944649446494462</v>
      </c>
      <c r="BR16" s="382">
        <f t="shared" ref="BR16:CW16" si="34">BR14/BN14-1</f>
        <v>-4.7619047619047672E-2</v>
      </c>
      <c r="BS16" s="382">
        <f t="shared" si="34"/>
        <v>-0.19417475728155342</v>
      </c>
      <c r="BT16" s="382">
        <f t="shared" si="34"/>
        <v>-0.17708333333333337</v>
      </c>
      <c r="BU16" s="382">
        <f t="shared" si="34"/>
        <v>-0.17894736842105263</v>
      </c>
      <c r="BV16" s="382">
        <f t="shared" si="34"/>
        <v>-0.20999999999999996</v>
      </c>
      <c r="BW16" s="382">
        <f t="shared" si="34"/>
        <v>-0.14457831325301207</v>
      </c>
      <c r="BX16" s="382">
        <f t="shared" si="34"/>
        <v>0</v>
      </c>
      <c r="BY16" s="382">
        <f t="shared" si="34"/>
        <v>-0.14102564102564108</v>
      </c>
      <c r="BZ16" s="382">
        <f t="shared" si="34"/>
        <v>-0.21518987341772156</v>
      </c>
      <c r="CA16" s="382">
        <f t="shared" si="34"/>
        <v>-0.14084507042253525</v>
      </c>
      <c r="CB16" s="382">
        <f t="shared" si="34"/>
        <v>-0.21518987341772156</v>
      </c>
      <c r="CC16" s="382">
        <f t="shared" si="34"/>
        <v>-7.4626865671641784E-2</v>
      </c>
      <c r="CD16" s="382">
        <f t="shared" si="34"/>
        <v>0</v>
      </c>
      <c r="CE16" s="382">
        <f t="shared" si="34"/>
        <v>-0.11475409836065575</v>
      </c>
      <c r="CF16" s="382">
        <f t="shared" si="34"/>
        <v>-0.16129032258064513</v>
      </c>
      <c r="CG16" s="382">
        <f t="shared" si="34"/>
        <v>-0.19354838709677424</v>
      </c>
      <c r="CH16" s="382">
        <f t="shared" si="34"/>
        <v>-0.19354838709677424</v>
      </c>
      <c r="CI16" s="382">
        <f t="shared" si="34"/>
        <v>-9.259259259259256E-2</v>
      </c>
      <c r="CJ16" s="382">
        <f t="shared" si="34"/>
        <v>-0.11538461538461542</v>
      </c>
      <c r="CK16" s="382">
        <f t="shared" si="34"/>
        <v>-0.12</v>
      </c>
      <c r="CL16" s="382">
        <f t="shared" si="34"/>
        <v>-0.14000000000000001</v>
      </c>
      <c r="CM16" s="382">
        <f t="shared" si="34"/>
        <v>-8.1632653061224469E-2</v>
      </c>
      <c r="CN16" s="382">
        <f t="shared" si="34"/>
        <v>-8.6956521739130488E-2</v>
      </c>
      <c r="CO16" s="382">
        <f t="shared" si="34"/>
        <v>-0.22727272727272729</v>
      </c>
      <c r="CP16" s="382">
        <f t="shared" si="34"/>
        <v>-0.23255813953488369</v>
      </c>
      <c r="CQ16" s="382">
        <f t="shared" si="34"/>
        <v>-0.26666666666666672</v>
      </c>
      <c r="CR16" s="382">
        <f t="shared" si="34"/>
        <v>-0.2142857142857143</v>
      </c>
      <c r="CS16" s="382">
        <f t="shared" si="34"/>
        <v>0</v>
      </c>
      <c r="CT16" s="382">
        <f t="shared" si="34"/>
        <v>3.0303030303030276E-2</v>
      </c>
      <c r="CU16" s="382">
        <f t="shared" si="34"/>
        <v>6.0606060606060552E-2</v>
      </c>
      <c r="CV16" s="382">
        <f t="shared" si="34"/>
        <v>9.0909090909090828E-2</v>
      </c>
      <c r="CW16" s="382">
        <f t="shared" si="34"/>
        <v>0.14705882352941169</v>
      </c>
      <c r="CX16" s="382" t="s">
        <v>204</v>
      </c>
      <c r="CY16" s="382">
        <f t="shared" ref="CY16:EW16" si="35">CY14/CU14-1</f>
        <v>0.19999999999999996</v>
      </c>
      <c r="CZ16" s="382">
        <f t="shared" si="35"/>
        <v>0.13888888888888884</v>
      </c>
      <c r="DA16" s="382">
        <f t="shared" si="35"/>
        <v>0.10256410256410264</v>
      </c>
      <c r="DB16" s="382">
        <f t="shared" si="35"/>
        <v>4.5454545454545414E-2</v>
      </c>
      <c r="DC16" s="382">
        <f t="shared" si="35"/>
        <v>0.23809523809523814</v>
      </c>
      <c r="DD16" s="382">
        <f t="shared" si="35"/>
        <v>0.46341463414634143</v>
      </c>
      <c r="DE16" s="382">
        <f t="shared" si="35"/>
        <v>0.48837209302325579</v>
      </c>
      <c r="DF16" s="382">
        <f t="shared" si="35"/>
        <v>0.47826086956521729</v>
      </c>
      <c r="DG16" s="382">
        <f t="shared" si="35"/>
        <v>0.38461538461538458</v>
      </c>
      <c r="DH16" s="382">
        <f t="shared" si="35"/>
        <v>0.3666666666666667</v>
      </c>
      <c r="DI16" s="382">
        <f t="shared" si="35"/>
        <v>0.25</v>
      </c>
      <c r="DJ16" s="383">
        <f t="shared" si="35"/>
        <v>0.39705882352941169</v>
      </c>
      <c r="DK16" s="383">
        <f t="shared" si="35"/>
        <v>0.34722222222222232</v>
      </c>
      <c r="DL16" s="383">
        <f t="shared" si="35"/>
        <v>0.18292682926829262</v>
      </c>
      <c r="DM16" s="383">
        <f t="shared" si="35"/>
        <v>0.47500000000000009</v>
      </c>
      <c r="DN16" s="383">
        <f t="shared" si="35"/>
        <v>0.36842105263157898</v>
      </c>
      <c r="DO16" s="383">
        <f t="shared" si="35"/>
        <v>0.61855670103092786</v>
      </c>
      <c r="DP16" s="383">
        <f t="shared" si="35"/>
        <v>0.68041237113402064</v>
      </c>
      <c r="DQ16" s="383">
        <f t="shared" si="35"/>
        <v>0.49152542372881358</v>
      </c>
      <c r="DR16" s="383">
        <f t="shared" si="35"/>
        <v>0.22307692307692317</v>
      </c>
      <c r="DS16" s="383">
        <f t="shared" si="35"/>
        <v>-6.3694267515923553E-3</v>
      </c>
      <c r="DT16" s="383">
        <f t="shared" si="35"/>
        <v>0</v>
      </c>
      <c r="DU16" s="383">
        <f t="shared" si="35"/>
        <v>-6.8181818181818232E-2</v>
      </c>
      <c r="DV16" s="382">
        <f t="shared" si="35"/>
        <v>1.8867924528301883E-2</v>
      </c>
      <c r="DW16" s="382">
        <f t="shared" si="35"/>
        <v>6.4102564102564097E-2</v>
      </c>
      <c r="DX16" s="382">
        <f t="shared" si="35"/>
        <v>4.9079754601226933E-2</v>
      </c>
      <c r="DY16" s="383">
        <f t="shared" si="35"/>
        <v>4.8780487804878092E-2</v>
      </c>
      <c r="DZ16" s="383">
        <f t="shared" si="35"/>
        <v>8.0246913580246826E-2</v>
      </c>
      <c r="EA16" s="383">
        <f t="shared" si="35"/>
        <v>0.13855421686746983</v>
      </c>
      <c r="EB16" s="383">
        <f t="shared" si="35"/>
        <v>0.12280701754385959</v>
      </c>
      <c r="EC16" s="383">
        <f t="shared" si="35"/>
        <v>0.12790697674418605</v>
      </c>
      <c r="ED16" s="383">
        <f t="shared" si="35"/>
        <v>0.17714285714285705</v>
      </c>
      <c r="EE16" s="384">
        <f t="shared" si="35"/>
        <v>8.9947089947089998E-2</v>
      </c>
      <c r="EF16" s="384">
        <f t="shared" si="35"/>
        <v>7.2916666666666741E-2</v>
      </c>
      <c r="EG16" s="384">
        <f t="shared" si="35"/>
        <v>6.1855670103092786E-2</v>
      </c>
      <c r="EH16" s="384">
        <f t="shared" si="35"/>
        <v>2.4271844660194164E-2</v>
      </c>
      <c r="EI16" s="384">
        <f t="shared" si="35"/>
        <v>2.4271844660194164E-2</v>
      </c>
      <c r="EJ16" s="384">
        <f t="shared" si="35"/>
        <v>2.4271844660194164E-2</v>
      </c>
      <c r="EK16" s="384">
        <f t="shared" si="35"/>
        <v>2.4271844660194164E-2</v>
      </c>
      <c r="EL16" s="384">
        <f t="shared" si="35"/>
        <v>2.3696682464454888E-2</v>
      </c>
      <c r="EM16" s="384">
        <f t="shared" si="35"/>
        <v>2.3696682464454888E-2</v>
      </c>
      <c r="EN16" s="384">
        <f t="shared" si="35"/>
        <v>2.3696682464454888E-2</v>
      </c>
      <c r="EO16" s="384">
        <f t="shared" si="35"/>
        <v>2.3696682464454888E-2</v>
      </c>
      <c r="EP16" s="384">
        <f t="shared" si="35"/>
        <v>2.314814814814814E-2</v>
      </c>
      <c r="EQ16" s="384">
        <f t="shared" si="35"/>
        <v>2.314814814814814E-2</v>
      </c>
      <c r="ER16" s="384">
        <f t="shared" si="35"/>
        <v>2.314814814814814E-2</v>
      </c>
      <c r="ES16" s="384">
        <f t="shared" si="35"/>
        <v>2.314814814814814E-2</v>
      </c>
      <c r="ET16" s="384">
        <f t="shared" si="35"/>
        <v>2.2624434389140191E-2</v>
      </c>
      <c r="EU16" s="384">
        <f t="shared" si="35"/>
        <v>2.2624434389140191E-2</v>
      </c>
      <c r="EV16" s="384">
        <f t="shared" si="35"/>
        <v>2.2624434389140191E-2</v>
      </c>
      <c r="EW16" s="384">
        <f t="shared" si="35"/>
        <v>2.2624434389140191E-2</v>
      </c>
      <c r="FA16" s="382">
        <f>FA14/EZ14-1</f>
        <v>0.90838364740356559</v>
      </c>
      <c r="FB16" s="382">
        <f t="shared" ref="FB16:GK16" si="36">FB14/FA14-1</f>
        <v>0.15581795597060721</v>
      </c>
      <c r="FC16" s="382">
        <f t="shared" si="36"/>
        <v>0.26270157165683017</v>
      </c>
      <c r="FD16" s="382">
        <f t="shared" si="36"/>
        <v>0.20893731695912177</v>
      </c>
      <c r="FE16" s="382">
        <f t="shared" si="36"/>
        <v>-0.33081752684177224</v>
      </c>
      <c r="FF16" s="382">
        <f t="shared" si="36"/>
        <v>0.86806180522986831</v>
      </c>
      <c r="FG16" s="382">
        <f t="shared" si="36"/>
        <v>-0.21416503253560593</v>
      </c>
      <c r="FH16" s="382">
        <f t="shared" si="36"/>
        <v>7.5633343119139163E-2</v>
      </c>
      <c r="FI16" s="382">
        <f t="shared" si="36"/>
        <v>0.21401358556481576</v>
      </c>
      <c r="FJ16" s="382">
        <f t="shared" si="36"/>
        <v>0.31672020408136259</v>
      </c>
      <c r="FK16" s="382">
        <f t="shared" si="36"/>
        <v>0.22958470888242322</v>
      </c>
      <c r="FL16" s="382">
        <f t="shared" si="36"/>
        <v>-4.0089785436331349E-3</v>
      </c>
      <c r="FM16" s="382">
        <f t="shared" si="36"/>
        <v>-0.35211064309989637</v>
      </c>
      <c r="FN16" s="382">
        <f t="shared" si="36"/>
        <v>0.30886075949367098</v>
      </c>
      <c r="FO16" s="382">
        <f t="shared" si="36"/>
        <v>3.1914893617021267E-2</v>
      </c>
      <c r="FP16" s="382">
        <f t="shared" si="36"/>
        <v>-0.62605435801312093</v>
      </c>
      <c r="FQ16" s="382">
        <f t="shared" si="36"/>
        <v>-0.14786967418546371</v>
      </c>
      <c r="FR16" s="382">
        <f t="shared" si="36"/>
        <v>-0.12941176470588234</v>
      </c>
      <c r="FS16" s="382">
        <f t="shared" si="36"/>
        <v>-0.16554054054054057</v>
      </c>
      <c r="FT16" s="382">
        <f t="shared" si="36"/>
        <v>-0.11740890688259109</v>
      </c>
      <c r="FU16" s="382">
        <f t="shared" si="36"/>
        <v>-0.1330275229357798</v>
      </c>
      <c r="FV16" s="382">
        <f t="shared" si="36"/>
        <v>-0.13227513227513232</v>
      </c>
      <c r="FW16" s="382">
        <f t="shared" si="36"/>
        <v>-0.18902439024390238</v>
      </c>
      <c r="FX16" s="382">
        <f t="shared" si="36"/>
        <v>8.2706766917293173E-2</v>
      </c>
      <c r="FY16" s="382">
        <f t="shared" si="36"/>
        <v>0.18055555555555558</v>
      </c>
      <c r="FZ16" s="382">
        <f t="shared" si="36"/>
        <v>0.30588235294117649</v>
      </c>
      <c r="GA16" s="382">
        <f t="shared" si="36"/>
        <v>0.36036036036036045</v>
      </c>
      <c r="GB16" s="382">
        <f t="shared" si="36"/>
        <v>0.34768211920529812</v>
      </c>
      <c r="GC16" s="382">
        <f t="shared" si="36"/>
        <v>0.53808353808353804</v>
      </c>
      <c r="GD16" s="382">
        <f t="shared" si="36"/>
        <v>2.5559105431310014E-2</v>
      </c>
      <c r="GE16" s="382">
        <f t="shared" si="36"/>
        <v>4.5171339563862878E-2</v>
      </c>
      <c r="GF16" s="382">
        <f t="shared" si="36"/>
        <v>0.11773472429210141</v>
      </c>
      <c r="GG16" s="384">
        <f t="shared" si="36"/>
        <v>9.866666666666668E-2</v>
      </c>
      <c r="GH16" s="384">
        <f t="shared" si="36"/>
        <v>2.4271844660194164E-2</v>
      </c>
      <c r="GI16" s="384">
        <f t="shared" si="36"/>
        <v>2.3696682464454888E-2</v>
      </c>
      <c r="GJ16" s="384">
        <f t="shared" si="36"/>
        <v>2.314814814814814E-2</v>
      </c>
      <c r="GK16" s="384">
        <f t="shared" si="36"/>
        <v>2.2624434389140191E-2</v>
      </c>
      <c r="GN16" s="70"/>
    </row>
    <row r="17" spans="1:240" s="382" customFormat="1">
      <c r="A17" s="396" t="s">
        <v>202</v>
      </c>
      <c r="B17" s="382">
        <f t="shared" ref="B17:BM17" si="37">B14/B$4</f>
        <v>0.10007780420339049</v>
      </c>
      <c r="C17" s="382">
        <f t="shared" si="37"/>
        <v>0.12385478083169556</v>
      </c>
      <c r="D17" s="382">
        <f t="shared" si="37"/>
        <v>0.10121405231492217</v>
      </c>
      <c r="E17" s="382">
        <f t="shared" si="37"/>
        <v>9.985631488809979E-2</v>
      </c>
      <c r="F17" s="382">
        <f t="shared" si="37"/>
        <v>0.34120799875263114</v>
      </c>
      <c r="G17" s="382">
        <f t="shared" si="37"/>
        <v>9.5579011320146179E-2</v>
      </c>
      <c r="H17" s="382">
        <f t="shared" si="37"/>
        <v>9.8719605828610543E-2</v>
      </c>
      <c r="I17" s="382">
        <f t="shared" si="37"/>
        <v>9.9859125994188946E-2</v>
      </c>
      <c r="J17" s="382">
        <f t="shared" si="37"/>
        <v>9.1850294148002914E-2</v>
      </c>
      <c r="K17" s="382">
        <f t="shared" si="37"/>
        <v>0.34490445758159349</v>
      </c>
      <c r="L17" s="382">
        <f t="shared" si="37"/>
        <v>9.7365278589395046E-2</v>
      </c>
      <c r="M17" s="382">
        <f t="shared" si="37"/>
        <v>9.3975168162096626E-2</v>
      </c>
      <c r="N17" s="382">
        <f t="shared" si="37"/>
        <v>0.12109067789758403</v>
      </c>
      <c r="O17" s="382">
        <f t="shared" si="37"/>
        <v>0.18324151736958796</v>
      </c>
      <c r="P17" s="382">
        <f t="shared" si="37"/>
        <v>0.57457394136522622</v>
      </c>
      <c r="Q17" s="382">
        <f t="shared" si="37"/>
        <v>0.15256969657937319</v>
      </c>
      <c r="R17" s="382">
        <f t="shared" si="37"/>
        <v>0.15941695546549903</v>
      </c>
      <c r="S17" s="382">
        <f t="shared" si="37"/>
        <v>0.14237731704568579</v>
      </c>
      <c r="T17" s="382">
        <f t="shared" si="37"/>
        <v>0.14109418681827018</v>
      </c>
      <c r="U17" s="382">
        <f t="shared" si="37"/>
        <v>0.54249140941107776</v>
      </c>
      <c r="V17" s="382">
        <f t="shared" si="37"/>
        <v>0.164223009451684</v>
      </c>
      <c r="W17" s="382">
        <f t="shared" si="37"/>
        <v>0.17853222369515589</v>
      </c>
      <c r="X17" s="382">
        <f t="shared" si="37"/>
        <v>0.15156860715498885</v>
      </c>
      <c r="Y17" s="382">
        <f t="shared" si="37"/>
        <v>0.13650135645647923</v>
      </c>
      <c r="Z17" s="382">
        <f t="shared" si="37"/>
        <v>0.62455568696929831</v>
      </c>
      <c r="AA17" s="382">
        <f t="shared" si="37"/>
        <v>0.18846967530317973</v>
      </c>
      <c r="AB17" s="382">
        <f t="shared" si="37"/>
        <v>0.17090813540483726</v>
      </c>
      <c r="AC17" s="382">
        <f t="shared" si="37"/>
        <v>0.12086795841892828</v>
      </c>
      <c r="AD17" s="382">
        <f t="shared" si="37"/>
        <v>0.11711410594407291</v>
      </c>
      <c r="AE17" s="382">
        <f t="shared" si="37"/>
        <v>0.12628701929279404</v>
      </c>
      <c r="AF17" s="382">
        <f t="shared" si="37"/>
        <v>0.12743618369415585</v>
      </c>
      <c r="AG17" s="382">
        <f t="shared" si="37"/>
        <v>0.12730817276109371</v>
      </c>
      <c r="AH17" s="382">
        <f t="shared" si="37"/>
        <v>0.12865058755143019</v>
      </c>
      <c r="AI17" s="382">
        <f t="shared" si="37"/>
        <v>0.16182769288231375</v>
      </c>
      <c r="AJ17" s="382">
        <f t="shared" si="37"/>
        <v>0.20892971392011703</v>
      </c>
      <c r="AK17" s="382">
        <f t="shared" si="37"/>
        <v>0.15808621528292108</v>
      </c>
      <c r="AL17" s="382">
        <f t="shared" si="37"/>
        <v>0.19300766124249369</v>
      </c>
      <c r="AM17" s="382">
        <f t="shared" si="37"/>
        <v>0.30502799438279921</v>
      </c>
      <c r="AN17" s="382">
        <f t="shared" si="37"/>
        <v>0.39172849927296277</v>
      </c>
      <c r="AO17" s="382">
        <f t="shared" si="37"/>
        <v>0.29116880089739666</v>
      </c>
      <c r="AP17" s="382">
        <f t="shared" si="37"/>
        <v>0.2935449335600479</v>
      </c>
      <c r="AQ17" s="382">
        <f t="shared" si="37"/>
        <v>0.33097924715735183</v>
      </c>
      <c r="AR17" s="382">
        <f t="shared" si="37"/>
        <v>0.29884908032322627</v>
      </c>
      <c r="AS17" s="382">
        <f t="shared" si="37"/>
        <v>0.23831508643464247</v>
      </c>
      <c r="AT17" s="382">
        <f t="shared" si="37"/>
        <v>0.24099971450131144</v>
      </c>
      <c r="AU17" s="382">
        <f t="shared" si="37"/>
        <v>0.2317201033096985</v>
      </c>
      <c r="AV17" s="382">
        <f t="shared" si="37"/>
        <v>0.24585807194913262</v>
      </c>
      <c r="AW17" s="382">
        <f t="shared" si="37"/>
        <v>0.2604624809884577</v>
      </c>
      <c r="AX17" s="382">
        <f t="shared" si="37"/>
        <v>0.27137893477076996</v>
      </c>
      <c r="AY17" s="382">
        <f t="shared" si="37"/>
        <v>0.25275851285559853</v>
      </c>
      <c r="AZ17" s="382">
        <f t="shared" si="37"/>
        <v>0.19093682174742488</v>
      </c>
      <c r="BA17" s="382">
        <f t="shared" si="37"/>
        <v>0.15082501213093136</v>
      </c>
      <c r="BB17" s="382">
        <f t="shared" si="37"/>
        <v>0.13061513724348014</v>
      </c>
      <c r="BC17" s="382">
        <f t="shared" si="37"/>
        <v>0.15866921743190995</v>
      </c>
      <c r="BD17" s="382">
        <f t="shared" si="37"/>
        <v>0.15064528909584204</v>
      </c>
      <c r="BE17" s="382">
        <f t="shared" si="37"/>
        <v>0.12577552171460801</v>
      </c>
      <c r="BF17" s="382">
        <f t="shared" si="37"/>
        <v>0.19708029197080293</v>
      </c>
      <c r="BG17" s="382">
        <f t="shared" si="37"/>
        <v>0.18505079825834542</v>
      </c>
      <c r="BH17" s="382">
        <f t="shared" si="37"/>
        <v>0.16115196078431374</v>
      </c>
      <c r="BI17" s="382">
        <f t="shared" si="37"/>
        <v>0.15423728813559323</v>
      </c>
      <c r="BJ17" s="382">
        <f t="shared" si="37"/>
        <v>0.17740863787375416</v>
      </c>
      <c r="BK17" s="382">
        <f t="shared" si="37"/>
        <v>0.19495922905856189</v>
      </c>
      <c r="BL17" s="382">
        <f t="shared" si="37"/>
        <v>0.16562889165628891</v>
      </c>
      <c r="BM17" s="382">
        <f t="shared" si="37"/>
        <v>0.23321858864027539</v>
      </c>
      <c r="BN17" s="382">
        <f t="shared" ref="BN17:CT17" si="38">BN14/BN$4</f>
        <v>8.9209855564995749E-2</v>
      </c>
      <c r="BO17" s="382">
        <f t="shared" si="38"/>
        <v>8.6993243243243243E-2</v>
      </c>
      <c r="BP17" s="382">
        <f t="shared" si="38"/>
        <v>6.8767908309455589E-2</v>
      </c>
      <c r="BQ17" s="382">
        <f t="shared" si="38"/>
        <v>5.7715674362089915E-2</v>
      </c>
      <c r="BR17" s="382">
        <f t="shared" si="38"/>
        <v>6.353240152477764E-2</v>
      </c>
      <c r="BS17" s="382">
        <f t="shared" si="38"/>
        <v>5.0211736237144589E-2</v>
      </c>
      <c r="BT17" s="382">
        <f t="shared" si="38"/>
        <v>4.8825710754017308E-2</v>
      </c>
      <c r="BU17" s="382">
        <f t="shared" si="38"/>
        <v>4.7301394784718009E-2</v>
      </c>
      <c r="BV17" s="382">
        <f t="shared" si="38"/>
        <v>4.8977061376317424E-2</v>
      </c>
      <c r="BW17" s="382">
        <f t="shared" si="38"/>
        <v>4.510800508259212E-2</v>
      </c>
      <c r="BX17" s="382">
        <f t="shared" si="38"/>
        <v>4.6745562130177512E-2</v>
      </c>
      <c r="BY17" s="382">
        <f t="shared" si="38"/>
        <v>3.9621525724423415E-2</v>
      </c>
      <c r="BZ17" s="382">
        <f t="shared" si="38"/>
        <v>3.9116719242902206E-2</v>
      </c>
      <c r="CA17" s="382">
        <f t="shared" si="38"/>
        <v>4.3170559094125975E-2</v>
      </c>
      <c r="CB17" s="382">
        <f t="shared" si="38"/>
        <v>4.8857368006304178E-2</v>
      </c>
      <c r="CC17" s="382">
        <f t="shared" si="38"/>
        <v>5.3679653679653681E-2</v>
      </c>
      <c r="CD17" s="382">
        <f t="shared" si="38"/>
        <v>5.6985294117647058E-2</v>
      </c>
      <c r="CE17" s="382">
        <f t="shared" si="38"/>
        <v>4.6511627906976744E-2</v>
      </c>
      <c r="CF17" s="382">
        <f t="shared" si="38"/>
        <v>3.5592060232717319E-2</v>
      </c>
      <c r="CG17" s="382">
        <f t="shared" si="38"/>
        <v>3.1466331025802388E-2</v>
      </c>
      <c r="CH17" s="382">
        <f t="shared" si="38"/>
        <v>3.579098067287044E-2</v>
      </c>
      <c r="CI17" s="382">
        <f t="shared" si="38"/>
        <v>3.4004163775156145E-2</v>
      </c>
      <c r="CJ17" s="382">
        <f t="shared" si="38"/>
        <v>3.2190342897130859E-2</v>
      </c>
      <c r="CK17" s="382">
        <f t="shared" si="38"/>
        <v>3.5512510088781278E-2</v>
      </c>
      <c r="CL17" s="382">
        <f t="shared" si="38"/>
        <v>4.1747572815533977E-2</v>
      </c>
      <c r="CM17" s="382">
        <f t="shared" si="38"/>
        <v>4.7770700636942678E-2</v>
      </c>
      <c r="CN17" s="382">
        <f t="shared" si="38"/>
        <v>3.9585296889726673E-2</v>
      </c>
      <c r="CO17" s="382">
        <f t="shared" si="38"/>
        <v>3.5490605427974949E-2</v>
      </c>
      <c r="CP17" s="382">
        <f t="shared" si="38"/>
        <v>3.9663461538461536E-2</v>
      </c>
      <c r="CQ17" s="382">
        <f t="shared" si="38"/>
        <v>3.2132424537487832E-2</v>
      </c>
      <c r="CR17" s="382">
        <f t="shared" si="38"/>
        <v>2.5248661055853099E-2</v>
      </c>
      <c r="CS17" s="382">
        <f t="shared" si="38"/>
        <v>3.074141048824593E-2</v>
      </c>
      <c r="CT17" s="382">
        <f t="shared" si="38"/>
        <v>3.4552845528455285E-2</v>
      </c>
      <c r="CU17" s="382">
        <f>CU14/CU$4</f>
        <v>2.8641571194762683E-2</v>
      </c>
      <c r="CV17" s="382">
        <f>CV14/CV$4</f>
        <v>2.1911138161898967E-2</v>
      </c>
      <c r="CW17" s="382">
        <f>CW14/CW$4</f>
        <v>2.6351351351351353E-2</v>
      </c>
      <c r="CX17" s="382">
        <f>CX14/CX$4</f>
        <v>2.6715239829993929E-2</v>
      </c>
      <c r="CY17" s="382">
        <f t="shared" ref="CY17:EW17" si="39">CY14/CY$4</f>
        <v>2.3917995444191344E-2</v>
      </c>
      <c r="CZ17" s="382">
        <f t="shared" si="39"/>
        <v>2.4803387779794312E-2</v>
      </c>
      <c r="DA17" s="382">
        <f t="shared" si="39"/>
        <v>3.0303030303030304E-2</v>
      </c>
      <c r="DB17" s="382">
        <f t="shared" si="39"/>
        <v>3.6163522012578615E-2</v>
      </c>
      <c r="DC17" s="382">
        <f t="shared" si="39"/>
        <v>3.3964728935336384E-2</v>
      </c>
      <c r="DD17" s="382">
        <f t="shared" si="39"/>
        <v>3.3314825097168238E-2</v>
      </c>
      <c r="DE17" s="382">
        <f t="shared" si="39"/>
        <v>3.0089327691584389E-2</v>
      </c>
      <c r="DF17" s="382">
        <f t="shared" si="39"/>
        <v>3.8073908174692049E-2</v>
      </c>
      <c r="DG17" s="382">
        <f t="shared" si="39"/>
        <v>3.7267080745341616E-2</v>
      </c>
      <c r="DH17" s="382">
        <f t="shared" si="39"/>
        <v>2.9275258836129952E-2</v>
      </c>
      <c r="DI17" s="382">
        <f t="shared" si="39"/>
        <v>2.4660912453760789E-2</v>
      </c>
      <c r="DJ17" s="383">
        <f t="shared" si="39"/>
        <v>2.7576197387518143E-2</v>
      </c>
      <c r="DK17" s="383">
        <f t="shared" si="39"/>
        <v>2.5194805194805193E-2</v>
      </c>
      <c r="DL17" s="383">
        <f t="shared" si="39"/>
        <v>2.2490146070020867E-2</v>
      </c>
      <c r="DM17" s="383">
        <f t="shared" si="39"/>
        <v>2.4450891007045172E-2</v>
      </c>
      <c r="DN17" s="383">
        <f t="shared" si="39"/>
        <v>2.2082554781722438E-2</v>
      </c>
      <c r="DO17" s="383">
        <f t="shared" si="39"/>
        <v>2.3969465648854962E-2</v>
      </c>
      <c r="DP17" s="383">
        <f t="shared" si="39"/>
        <v>2.9290206648697213E-2</v>
      </c>
      <c r="DQ17" s="383">
        <f t="shared" si="39"/>
        <v>3.1434184675834968E-2</v>
      </c>
      <c r="DR17" s="383">
        <f t="shared" si="39"/>
        <v>2.9702970297029702E-2</v>
      </c>
      <c r="DS17" s="383">
        <f t="shared" si="39"/>
        <v>2.910990856503079E-2</v>
      </c>
      <c r="DT17" s="383">
        <f>DT14/DT$4</f>
        <v>2.8103448275862069E-2</v>
      </c>
      <c r="DU17" s="383">
        <f>DU14/DU$4</f>
        <v>2.6588845654993514E-2</v>
      </c>
      <c r="DV17" s="382">
        <f>DV14/DV$4</f>
        <v>2.9599853827882331E-2</v>
      </c>
      <c r="DW17" s="382">
        <f t="shared" si="39"/>
        <v>2.8449014567266496E-2</v>
      </c>
      <c r="DX17" s="382">
        <f>DX14/DX$4</f>
        <v>2.5076990761108666E-2</v>
      </c>
      <c r="DY17" s="383">
        <f t="shared" si="39"/>
        <v>2.2460172368764689E-2</v>
      </c>
      <c r="DZ17" s="383">
        <f t="shared" si="39"/>
        <v>2.3527830061844581E-2</v>
      </c>
      <c r="EA17" s="383">
        <f t="shared" si="39"/>
        <v>2.4593363695510736E-2</v>
      </c>
      <c r="EB17" s="383">
        <f t="shared" si="39"/>
        <v>2.0765736534717714E-2</v>
      </c>
      <c r="EC17" s="383">
        <f t="shared" si="39"/>
        <v>1.8889970788704965E-2</v>
      </c>
      <c r="ED17" s="383">
        <f t="shared" si="39"/>
        <v>2.0091680483760851E-2</v>
      </c>
      <c r="EE17" s="384">
        <f t="shared" si="39"/>
        <v>1.8355957882634472E-2</v>
      </c>
      <c r="EF17" s="384">
        <f t="shared" si="39"/>
        <v>1.717579841748848E-2</v>
      </c>
      <c r="EG17" s="384">
        <f t="shared" si="39"/>
        <v>1.2722665439415816E-2</v>
      </c>
      <c r="EH17" s="384">
        <f t="shared" si="39"/>
        <v>1.2102207912441749E-2</v>
      </c>
      <c r="EI17" s="384">
        <f t="shared" si="39"/>
        <v>1.0982993861226892E-2</v>
      </c>
      <c r="EJ17" s="384">
        <f t="shared" si="39"/>
        <v>9.532056792941352E-3</v>
      </c>
      <c r="EK17" s="384">
        <f t="shared" si="39"/>
        <v>8.6057439235314552E-3</v>
      </c>
      <c r="EL17" s="384">
        <f t="shared" si="39"/>
        <v>9.0220031169136287E-3</v>
      </c>
      <c r="EM17" s="384">
        <f t="shared" si="39"/>
        <v>8.6285800312813112E-3</v>
      </c>
      <c r="EN17" s="384">
        <f t="shared" si="39"/>
        <v>8.0381277257080778E-3</v>
      </c>
      <c r="EO17" s="384">
        <f t="shared" si="39"/>
        <v>7.5124986432253257E-3</v>
      </c>
      <c r="EP17" s="384">
        <f t="shared" si="39"/>
        <v>7.843397590756012E-3</v>
      </c>
      <c r="EQ17" s="384">
        <f t="shared" si="39"/>
        <v>7.5225640669923264E-3</v>
      </c>
      <c r="ER17" s="384">
        <f t="shared" si="39"/>
        <v>6.9680635684333326E-3</v>
      </c>
      <c r="ES17" s="384">
        <f t="shared" si="39"/>
        <v>6.6738686414134973E-3</v>
      </c>
      <c r="ET17" s="384">
        <f t="shared" si="39"/>
        <v>7.1262798939103773E-3</v>
      </c>
      <c r="EU17" s="384">
        <f t="shared" si="39"/>
        <v>6.8371024788833838E-3</v>
      </c>
      <c r="EV17" s="384">
        <f t="shared" si="39"/>
        <v>6.2221996986629342E-3</v>
      </c>
      <c r="EW17" s="384">
        <f t="shared" si="39"/>
        <v>5.9478053215319491E-3</v>
      </c>
      <c r="EZ17" s="382">
        <f t="shared" ref="EZ17:GG17" si="40">EZ14/EZ$4</f>
        <v>0.10621193001189119</v>
      </c>
      <c r="FA17" s="382">
        <f t="shared" si="40"/>
        <v>0.15650977509756828</v>
      </c>
      <c r="FB17" s="382">
        <f t="shared" si="40"/>
        <v>0.15892875075522983</v>
      </c>
      <c r="FC17" s="382">
        <f t="shared" si="40"/>
        <v>0.24966270169414634</v>
      </c>
      <c r="FD17" s="382">
        <f t="shared" si="40"/>
        <v>0.25016094636889286</v>
      </c>
      <c r="FE17" s="382">
        <f t="shared" si="40"/>
        <v>0.15517038590699728</v>
      </c>
      <c r="FF17" s="382">
        <f t="shared" si="40"/>
        <v>0.25786813008380444</v>
      </c>
      <c r="FG17" s="382">
        <f t="shared" si="40"/>
        <v>0.12468705502168627</v>
      </c>
      <c r="FH17" s="382">
        <f t="shared" si="40"/>
        <v>0.16004788586328941</v>
      </c>
      <c r="FI17" s="382">
        <f t="shared" si="40"/>
        <v>0.28037110464885623</v>
      </c>
      <c r="FJ17" s="382">
        <f t="shared" si="40"/>
        <v>0.28292568016076525</v>
      </c>
      <c r="FK17" s="382">
        <f t="shared" si="40"/>
        <v>0.24478014809749599</v>
      </c>
      <c r="FL17" s="382">
        <f t="shared" si="40"/>
        <v>0.20852123879685552</v>
      </c>
      <c r="FM17" s="382">
        <f t="shared" si="40"/>
        <v>0.13984412159924323</v>
      </c>
      <c r="FN17" s="382">
        <f t="shared" si="40"/>
        <v>0.17196075170463995</v>
      </c>
      <c r="FO17" s="382">
        <f t="shared" si="40"/>
        <v>0.18979011028103879</v>
      </c>
      <c r="FP17" s="382">
        <f t="shared" si="40"/>
        <v>7.3847862298722936E-2</v>
      </c>
      <c r="FQ17" s="382">
        <f t="shared" si="40"/>
        <v>5.2356020942408377E-2</v>
      </c>
      <c r="FR17" s="382">
        <f t="shared" si="40"/>
        <v>4.5066991473812421E-2</v>
      </c>
      <c r="FS17" s="382">
        <f t="shared" si="40"/>
        <v>4.5555145702692736E-2</v>
      </c>
      <c r="FT17" s="382">
        <f t="shared" si="40"/>
        <v>4.1139837705227403E-2</v>
      </c>
      <c r="FU17" s="382">
        <f t="shared" si="40"/>
        <v>3.4326189611333088E-2</v>
      </c>
      <c r="FV17" s="382">
        <f t="shared" si="40"/>
        <v>4.1092458030568782E-2</v>
      </c>
      <c r="FW17" s="382">
        <f t="shared" si="40"/>
        <v>3.1132958801498127E-2</v>
      </c>
      <c r="FX17" s="382">
        <f t="shared" si="40"/>
        <v>2.7021955338712704E-2</v>
      </c>
      <c r="FY17" s="382">
        <f t="shared" si="40"/>
        <v>2.6254826254826256E-2</v>
      </c>
      <c r="FZ17" s="382">
        <f t="shared" si="40"/>
        <v>3.2981726340811174E-2</v>
      </c>
      <c r="GA17" s="382">
        <f t="shared" si="40"/>
        <v>3.0933114821263957E-2</v>
      </c>
      <c r="GB17" s="382">
        <f t="shared" si="40"/>
        <v>2.4765729585006693E-2</v>
      </c>
      <c r="GC17" s="382">
        <f t="shared" si="40"/>
        <v>2.6524299817804329E-2</v>
      </c>
      <c r="GD17" s="382">
        <f t="shared" si="40"/>
        <v>2.8306878306878308E-2</v>
      </c>
      <c r="GE17" s="382">
        <f t="shared" si="40"/>
        <v>2.6022881520263719E-2</v>
      </c>
      <c r="GF17" s="382">
        <f t="shared" si="40"/>
        <v>2.1651895262565318E-2</v>
      </c>
      <c r="GG17" s="384">
        <f t="shared" si="40"/>
        <v>1.6592594024959356E-2</v>
      </c>
      <c r="GH17" s="384">
        <f>GH14/GH$4</f>
        <v>1.0131968453200127E-2</v>
      </c>
      <c r="GI17" s="384">
        <f t="shared" ref="GI17:GK17" si="41">GI14/GI$4</f>
        <v>8.2601511577891414E-3</v>
      </c>
      <c r="GJ17" s="384">
        <f t="shared" si="41"/>
        <v>7.2230955440096166E-3</v>
      </c>
      <c r="GK17" s="384">
        <f t="shared" si="41"/>
        <v>6.4995146629209747E-3</v>
      </c>
      <c r="GN17" s="70"/>
    </row>
    <row r="18" spans="1:240" s="379" customFormat="1" ht="12" hidden="1" customHeight="1" outlineLevel="1">
      <c r="A18" s="395" t="s">
        <v>205</v>
      </c>
      <c r="B18" s="377">
        <f>AMD!AF12</f>
        <v>153.30699999999999</v>
      </c>
      <c r="C18" s="377">
        <f>AMD!AG12</f>
        <v>136.26300000000001</v>
      </c>
      <c r="D18" s="377">
        <f>AMD!AH12</f>
        <v>157.65600000000001</v>
      </c>
      <c r="E18" s="377">
        <f>AMD!AI12</f>
        <v>167.27099999999999</v>
      </c>
      <c r="F18" s="377">
        <f>AMD!AK12</f>
        <v>179.465</v>
      </c>
      <c r="G18" s="377">
        <f>AMD!AL12</f>
        <v>182.00700000000001</v>
      </c>
      <c r="H18" s="377">
        <f>AMD!AM12</f>
        <v>197.96899999999999</v>
      </c>
      <c r="I18" s="377">
        <f>AMD!AN12</f>
        <v>206.88099999999997</v>
      </c>
      <c r="J18" s="377">
        <f>AMD!AP12</f>
        <v>233.28899999999999</v>
      </c>
      <c r="K18" s="377">
        <f>AMD!AQ12</f>
        <v>245.22900000000001</v>
      </c>
      <c r="L18" s="377">
        <f>AMD!AR12</f>
        <v>278.44499999999999</v>
      </c>
      <c r="M18" s="377">
        <f>AMD!AS12</f>
        <v>279.41200000000003</v>
      </c>
      <c r="N18" s="377">
        <f>AMD!AU12</f>
        <v>292.928</v>
      </c>
      <c r="O18" s="377">
        <f>AMD!AV12</f>
        <v>291.78100000000001</v>
      </c>
      <c r="P18" s="377">
        <f>AMD!AW12</f>
        <v>253.04</v>
      </c>
      <c r="Q18" s="377">
        <f>AMD!AX12</f>
        <v>270.43900000000002</v>
      </c>
      <c r="R18" s="377">
        <f>AMD!AZ12</f>
        <v>260.255</v>
      </c>
      <c r="S18" s="377">
        <f>AMD!BA12</f>
        <v>278.26200000000006</v>
      </c>
      <c r="T18" s="377">
        <f>AMD!BB12</f>
        <v>324.27499999999998</v>
      </c>
      <c r="U18" s="377">
        <f>AMD!BC12</f>
        <v>321.18099999999998</v>
      </c>
      <c r="V18" s="377">
        <f>AMD!BE12</f>
        <v>311.43100000000004</v>
      </c>
      <c r="W18" s="377">
        <f>AMD!BF12</f>
        <v>276.96600000000001</v>
      </c>
      <c r="X18" s="377">
        <f>AMD!BG12</f>
        <v>305.899</v>
      </c>
      <c r="Y18" s="377">
        <f>AMD!BH12</f>
        <v>356.88600000000002</v>
      </c>
      <c r="Z18" s="377">
        <f>AMD!BJ12</f>
        <v>322.94399999999996</v>
      </c>
      <c r="AA18" s="377">
        <f>AMD!BK12</f>
        <v>330.45499999999998</v>
      </c>
      <c r="AB18" s="377">
        <f>AMD!BL12</f>
        <v>343.9</v>
      </c>
      <c r="AC18" s="377">
        <f>AMD!BM12</f>
        <v>451.61500000000001</v>
      </c>
      <c r="AD18" s="377">
        <f>AMD!BO12</f>
        <v>477.86500000000001</v>
      </c>
      <c r="AE18" s="377">
        <f>AMD!BP12</f>
        <v>464.75600000000003</v>
      </c>
      <c r="AF18" s="377">
        <f>AMD!BQ12</f>
        <v>485.25199999999995</v>
      </c>
      <c r="AG18" s="377">
        <f>AMD!BR12</f>
        <v>507.69399999999996</v>
      </c>
      <c r="AH18" s="377">
        <f>AMD!BT12</f>
        <v>561.89700000000005</v>
      </c>
      <c r="AI18" s="377">
        <f>AMD!BU12</f>
        <v>476.75599999999997</v>
      </c>
      <c r="AJ18" s="377">
        <f>AMD!BV12</f>
        <v>427.142</v>
      </c>
      <c r="AK18" s="377">
        <f>AMD!BW12</f>
        <v>494.18400000000008</v>
      </c>
      <c r="AL18" s="377">
        <f>AMD!BY12</f>
        <v>412.76700000000005</v>
      </c>
      <c r="AM18" s="377">
        <f>AMD!BZ12</f>
        <v>375.18200000000002</v>
      </c>
      <c r="AN18" s="377">
        <f>AMD!CA12</f>
        <v>254.79699999999997</v>
      </c>
      <c r="AO18" s="377">
        <f>AMD!CB12</f>
        <v>306.74599999999998</v>
      </c>
      <c r="AP18" s="377">
        <f>AMD!CD12</f>
        <v>286.83799999999997</v>
      </c>
      <c r="AQ18" s="377">
        <f>AMD!CE12</f>
        <v>211.51699999999997</v>
      </c>
      <c r="AR18" s="377">
        <f>AMD!CF12</f>
        <v>341.85</v>
      </c>
      <c r="AS18" s="377">
        <f>AMD!CG12</f>
        <v>491.19700000000012</v>
      </c>
      <c r="AT18" s="377">
        <f>AMD!CI12</f>
        <v>470.86</v>
      </c>
      <c r="AU18" s="377">
        <f>AMD!CJ12</f>
        <v>490.67599999999999</v>
      </c>
      <c r="AV18" s="377">
        <f>AMD!CK12</f>
        <v>433.29500000000002</v>
      </c>
      <c r="AW18" s="377">
        <f>AMD!CL12</f>
        <v>413.50199999999995</v>
      </c>
      <c r="AX18" s="377">
        <f>AMD!CN12</f>
        <v>474.56799999999998</v>
      </c>
      <c r="AY18" s="377">
        <f>AMD!CO12</f>
        <v>447.49899999999997</v>
      </c>
      <c r="AZ18" s="377">
        <f>AMD!CP12</f>
        <v>605.51099999999997</v>
      </c>
      <c r="BA18" s="377">
        <f>AMD!CQ12</f>
        <v>708.8900000000001</v>
      </c>
      <c r="BB18" s="377">
        <f>AMD!CS12</f>
        <v>379.34000000000003</v>
      </c>
      <c r="BC18" s="377">
        <f>AMD!CT12</f>
        <v>333.05899999999997</v>
      </c>
      <c r="BD18" s="377">
        <f>AMD!CU12</f>
        <v>445.26400000000001</v>
      </c>
      <c r="BE18" s="377">
        <f>AMD!CV12</f>
        <v>847</v>
      </c>
      <c r="BF18" s="377">
        <f>AMD!CX12</f>
        <v>614</v>
      </c>
      <c r="BG18" s="377">
        <f>AMD!CY12</f>
        <v>630</v>
      </c>
      <c r="BH18" s="377">
        <f>AMD!CZ12</f>
        <v>698</v>
      </c>
      <c r="BI18" s="377">
        <f>AMD!DA12</f>
        <v>712</v>
      </c>
      <c r="BJ18" s="377">
        <f>AMD!DC12</f>
        <v>610</v>
      </c>
      <c r="BK18" s="377">
        <f>AMD!DD12</f>
        <v>583</v>
      </c>
      <c r="BL18" s="377">
        <f>AMD!DE12</f>
        <v>615</v>
      </c>
      <c r="BM18" s="377">
        <f>AMD!DF12</f>
        <v>392</v>
      </c>
      <c r="BN18" s="377">
        <f>AMD!DH12</f>
        <v>660</v>
      </c>
      <c r="BO18" s="377">
        <f>AMD!DI12</f>
        <v>758</v>
      </c>
      <c r="BP18" s="377">
        <f>AMD!DJ12</f>
        <v>773</v>
      </c>
      <c r="BQ18" s="377">
        <f>AMD!DK12</f>
        <v>872</v>
      </c>
      <c r="BR18" s="377">
        <f>AMD!DM12</f>
        <v>802</v>
      </c>
      <c r="BS18" s="377">
        <f>AMD!DN12</f>
        <v>832</v>
      </c>
      <c r="BT18" s="377">
        <f>AMD!DO12</f>
        <v>800</v>
      </c>
      <c r="BU18" s="377">
        <f>AMD!DP12</f>
        <v>828</v>
      </c>
      <c r="BV18" s="377">
        <f>AMD!DR12</f>
        <v>814</v>
      </c>
      <c r="BW18" s="377">
        <f>AMD!DS12</f>
        <v>783</v>
      </c>
      <c r="BX18" s="377">
        <f>AMD!DT12</f>
        <v>855</v>
      </c>
      <c r="BY18" s="377">
        <f>AMD!DU12</f>
        <v>851</v>
      </c>
      <c r="BZ18" s="377">
        <f>AMD!DW12</f>
        <v>793</v>
      </c>
      <c r="CA18" s="377">
        <f>AMD!DX12</f>
        <v>709</v>
      </c>
      <c r="CB18" s="377">
        <f>AMD!DY12</f>
        <v>815</v>
      </c>
      <c r="CC18" s="377">
        <f>AMD!DZ12</f>
        <v>642</v>
      </c>
      <c r="CD18" s="377">
        <f>AMD!EB12</f>
        <v>581</v>
      </c>
      <c r="CE18" s="377">
        <f>AMD!EC12</f>
        <v>648</v>
      </c>
      <c r="CF18" s="377">
        <f>AMD!ED12</f>
        <v>888</v>
      </c>
      <c r="CG18" s="377">
        <f>AMD!EE12</f>
        <v>986</v>
      </c>
      <c r="CH18" s="377">
        <f>AMD!EG12</f>
        <v>860</v>
      </c>
      <c r="CI18" s="377">
        <f>AMD!EH12</f>
        <v>894</v>
      </c>
      <c r="CJ18" s="377">
        <f>AMD!EI12</f>
        <v>889</v>
      </c>
      <c r="CK18" s="377">
        <f>AMD!EJ12</f>
        <v>777</v>
      </c>
      <c r="CL18" s="377">
        <f>AMD!EL12</f>
        <v>661</v>
      </c>
      <c r="CM18" s="377">
        <f>AMD!EM12</f>
        <v>632</v>
      </c>
      <c r="CN18" s="377">
        <f>AMD!EN12</f>
        <v>780</v>
      </c>
      <c r="CO18" s="377">
        <f>AMD!EO12</f>
        <v>641</v>
      </c>
      <c r="CP18" s="377">
        <f>AMD!EQ12</f>
        <v>530</v>
      </c>
      <c r="CQ18" s="377">
        <f>AMD!ER12</f>
        <v>675</v>
      </c>
      <c r="CR18" s="377">
        <f>AMD!ES12</f>
        <v>875</v>
      </c>
      <c r="CS18" s="377">
        <f>AMD!ET12</f>
        <v>721</v>
      </c>
      <c r="CT18" s="377">
        <f>AMD!EV12</f>
        <v>619</v>
      </c>
      <c r="CU18" s="377">
        <f>AMD!EW12</f>
        <v>783</v>
      </c>
      <c r="CV18" s="377">
        <f>AMD!EX12</f>
        <v>1034</v>
      </c>
      <c r="CW18" s="377">
        <f>AMD!EY12</f>
        <v>926</v>
      </c>
      <c r="CX18" s="377">
        <f>AMD!FA12</f>
        <v>1006</v>
      </c>
      <c r="CY18" s="377">
        <f>AMD!FB12</f>
        <v>1062</v>
      </c>
      <c r="CZ18" s="377">
        <f>AMD!FC12</f>
        <v>951</v>
      </c>
      <c r="DA18" s="377">
        <f>AMD!FD12</f>
        <v>839</v>
      </c>
      <c r="DB18" s="377">
        <f>AMD!FF12</f>
        <v>705</v>
      </c>
      <c r="DC18" s="377">
        <f>AMD!FG12</f>
        <v>858</v>
      </c>
      <c r="DD18" s="377">
        <f>AMD!FH12</f>
        <v>964</v>
      </c>
      <c r="DE18" s="377">
        <f>AMD!FI12</f>
        <v>1114</v>
      </c>
      <c r="DF18" s="376">
        <f t="shared" ref="DF18:EW18" si="42">DF10-DF14</f>
        <v>900</v>
      </c>
      <c r="DG18" s="376">
        <f t="shared" si="42"/>
        <v>1012</v>
      </c>
      <c r="DH18" s="376">
        <f t="shared" si="42"/>
        <v>1489</v>
      </c>
      <c r="DI18" s="376">
        <f t="shared" si="42"/>
        <v>1713</v>
      </c>
      <c r="DJ18" s="397">
        <f t="shared" si="42"/>
        <v>1763</v>
      </c>
      <c r="DK18" s="397">
        <f t="shared" si="42"/>
        <v>1923</v>
      </c>
      <c r="DL18" s="397">
        <f t="shared" si="42"/>
        <v>2130</v>
      </c>
      <c r="DM18" s="397">
        <f t="shared" si="42"/>
        <v>2282</v>
      </c>
      <c r="DN18" s="397">
        <f t="shared" si="42"/>
        <v>2661</v>
      </c>
      <c r="DO18" s="397">
        <f t="shared" si="42"/>
        <v>2863</v>
      </c>
      <c r="DP18" s="397">
        <f t="shared" si="42"/>
        <v>2634</v>
      </c>
      <c r="DQ18" s="397">
        <f t="shared" si="42"/>
        <v>2573</v>
      </c>
      <c r="DR18" s="397">
        <f t="shared" si="42"/>
        <v>2527</v>
      </c>
      <c r="DS18" s="397">
        <f t="shared" si="42"/>
        <v>2548</v>
      </c>
      <c r="DT18" s="397">
        <f>DT10-DT14</f>
        <v>2680</v>
      </c>
      <c r="DU18" s="397">
        <f>DU10-DU14</f>
        <v>2877</v>
      </c>
      <c r="DV18" s="376">
        <f>DV10-DV14</f>
        <v>2456</v>
      </c>
      <c r="DW18" s="376">
        <f t="shared" si="42"/>
        <v>2573</v>
      </c>
      <c r="DX18" s="376">
        <f>DX10-DX14</f>
        <v>2996</v>
      </c>
      <c r="DY18" s="397">
        <f t="shared" si="42"/>
        <v>3352</v>
      </c>
      <c r="DZ18" s="397">
        <f t="shared" si="42"/>
        <v>3276</v>
      </c>
      <c r="EA18" s="397">
        <f t="shared" si="42"/>
        <v>4176</v>
      </c>
      <c r="EB18" s="397">
        <f t="shared" si="42"/>
        <v>4069</v>
      </c>
      <c r="EC18" s="397">
        <f t="shared" si="42"/>
        <v>4229</v>
      </c>
      <c r="ED18" s="397">
        <f t="shared" si="42"/>
        <v>4370</v>
      </c>
      <c r="EE18" s="380">
        <f t="shared" si="42"/>
        <v>4726.0956111753521</v>
      </c>
      <c r="EF18" s="380">
        <f t="shared" si="42"/>
        <v>5049.7296596433252</v>
      </c>
      <c r="EG18" s="380">
        <f t="shared" si="42"/>
        <v>7200.7056891802495</v>
      </c>
      <c r="EH18" s="380">
        <f t="shared" si="42"/>
        <v>7792.0765242066664</v>
      </c>
      <c r="EI18" s="380">
        <f t="shared" si="42"/>
        <v>8631.2282189918187</v>
      </c>
      <c r="EJ18" s="380">
        <f t="shared" si="42"/>
        <v>10092.630741413259</v>
      </c>
      <c r="EK18" s="380">
        <f t="shared" si="42"/>
        <v>11262.397721487168</v>
      </c>
      <c r="EL18" s="380">
        <f t="shared" si="42"/>
        <v>10805.950027228679</v>
      </c>
      <c r="EM18" s="380">
        <f t="shared" si="42"/>
        <v>11269.49149802106</v>
      </c>
      <c r="EN18" s="380">
        <f t="shared" si="42"/>
        <v>12062.846924834137</v>
      </c>
      <c r="EO18" s="380">
        <f t="shared" si="42"/>
        <v>12945.04975174346</v>
      </c>
      <c r="EP18" s="380">
        <f t="shared" si="42"/>
        <v>12717.041773940249</v>
      </c>
      <c r="EQ18" s="380">
        <f t="shared" si="42"/>
        <v>13291.251633379112</v>
      </c>
      <c r="ER18" s="380">
        <f t="shared" si="42"/>
        <v>14325.069523710703</v>
      </c>
      <c r="ES18" s="380">
        <f t="shared" si="42"/>
        <v>14957.596723157341</v>
      </c>
      <c r="ET18" s="380">
        <f t="shared" si="42"/>
        <v>14266.8150062561</v>
      </c>
      <c r="EU18" s="380">
        <f t="shared" si="42"/>
        <v>14904.211908184483</v>
      </c>
      <c r="EV18" s="380">
        <f t="shared" si="42"/>
        <v>16375.053381511949</v>
      </c>
      <c r="EW18" s="380">
        <f t="shared" si="42"/>
        <v>17119.891360878482</v>
      </c>
      <c r="EZ18" s="376">
        <f>B18+C18+D18+E18</f>
        <v>614.49699999999996</v>
      </c>
      <c r="FA18" s="376">
        <f>F18+G18+H18+I18</f>
        <v>766.322</v>
      </c>
      <c r="FB18" s="376">
        <f>J18+K18+L18+M18</f>
        <v>1036.375</v>
      </c>
      <c r="FC18" s="376">
        <f>N18+O18+P18+Q18</f>
        <v>1108.1880000000001</v>
      </c>
      <c r="FD18" s="376">
        <f>R18+S18+T18+U18</f>
        <v>1183.973</v>
      </c>
      <c r="FE18" s="376">
        <f>V18+W18+X18+Y18</f>
        <v>1251.182</v>
      </c>
      <c r="FF18" s="376">
        <f>Z18+AA18+AB18+AC18</f>
        <v>1448.9139999999998</v>
      </c>
      <c r="FG18" s="376">
        <f>AD18+AE18+AF18+AG18</f>
        <v>1935.567</v>
      </c>
      <c r="FH18" s="376">
        <f>AH18+AI18+AJ18+AK18</f>
        <v>1959.9790000000003</v>
      </c>
      <c r="FI18" s="376">
        <f>AL18+AM18+AN18+AO18</f>
        <v>1349.4920000000002</v>
      </c>
      <c r="FJ18" s="376">
        <f>AP18+AQ18+AR18+AS18</f>
        <v>1331.402</v>
      </c>
      <c r="FK18" s="376">
        <f>AT18+AU18+AV18+AW18</f>
        <v>1808.3330000000001</v>
      </c>
      <c r="FL18" s="376">
        <f>AX18+AY18+AZ18+BA18</f>
        <v>2236.4679999999998</v>
      </c>
      <c r="FM18" s="376">
        <f>BB18+BC18+BD18+BE18</f>
        <v>2004.663</v>
      </c>
      <c r="FN18" s="376">
        <f>BF18+BG18+BH18+BI18</f>
        <v>2654</v>
      </c>
      <c r="FO18" s="376">
        <f>BJ18+BK18+BL18+BM18</f>
        <v>2200</v>
      </c>
      <c r="FP18" s="376">
        <f>BN18+BO18+BP18+BQ18</f>
        <v>3063</v>
      </c>
      <c r="FQ18" s="376">
        <f>BR18+BS18+BT18+BU18</f>
        <v>3262</v>
      </c>
      <c r="FR18" s="376">
        <f>BV18+BW18+BX18+BY18</f>
        <v>3303</v>
      </c>
      <c r="FS18" s="376">
        <f>BZ18+CA18+CB18+CC18</f>
        <v>2959</v>
      </c>
      <c r="FT18" s="376">
        <f>CD18+CE18+CF18+CG18</f>
        <v>3103</v>
      </c>
      <c r="FU18" s="376">
        <f>CH18+CI18+CJ18+CK18</f>
        <v>3420</v>
      </c>
      <c r="FV18" s="376">
        <f>CL18+CM18+CN18+CO18</f>
        <v>2714</v>
      </c>
      <c r="FW18" s="376">
        <f>CP18+CQ18+CR18+CS18</f>
        <v>2801</v>
      </c>
      <c r="FX18" s="376">
        <f>CT18+CU18+CV18+CW18</f>
        <v>3362</v>
      </c>
      <c r="FY18" s="376">
        <f>CX18+CY18+CZ18+DA18</f>
        <v>3858</v>
      </c>
      <c r="FZ18" s="376">
        <f>DB18+DC18+DD18+DE18</f>
        <v>3641</v>
      </c>
      <c r="GA18" s="376">
        <f>SUM(DF18:DI18)</f>
        <v>5114</v>
      </c>
      <c r="GB18" s="376">
        <f>SUM(DJ18:DM18)</f>
        <v>8098</v>
      </c>
      <c r="GC18" s="376">
        <f>SUM(DN18:DQ18)</f>
        <v>10731</v>
      </c>
      <c r="GD18" s="376">
        <f>SUM(DR18:DU18)</f>
        <v>10632</v>
      </c>
      <c r="GE18" s="376">
        <f>SUM(DV18:DY18)</f>
        <v>11377</v>
      </c>
      <c r="GF18" s="376"/>
      <c r="GG18" s="380"/>
      <c r="GH18" s="380"/>
      <c r="GI18" s="380"/>
      <c r="GJ18" s="380"/>
      <c r="GK18" s="380"/>
      <c r="GN18" s="70"/>
    </row>
    <row r="19" spans="1:240" s="382" customFormat="1" ht="12" hidden="1" customHeight="1" outlineLevel="1">
      <c r="A19" s="396" t="s">
        <v>198</v>
      </c>
      <c r="C19" s="382">
        <f t="shared" ref="C19:BN19" si="43">C18/B18-1</f>
        <v>-0.11117561494256611</v>
      </c>
      <c r="D19" s="382">
        <f t="shared" si="43"/>
        <v>0.15699786442394492</v>
      </c>
      <c r="E19" s="382">
        <f t="shared" si="43"/>
        <v>6.0987212665550183E-2</v>
      </c>
      <c r="F19" s="382">
        <f t="shared" si="43"/>
        <v>7.2899665811766656E-2</v>
      </c>
      <c r="G19" s="382">
        <f t="shared" si="43"/>
        <v>1.4164321734042806E-2</v>
      </c>
      <c r="H19" s="382">
        <f t="shared" si="43"/>
        <v>8.7699923629311005E-2</v>
      </c>
      <c r="I19" s="382">
        <f t="shared" si="43"/>
        <v>4.5017149149614299E-2</v>
      </c>
      <c r="J19" s="382">
        <f t="shared" si="43"/>
        <v>0.12764826156099418</v>
      </c>
      <c r="K19" s="382">
        <f t="shared" si="43"/>
        <v>5.1181152990496859E-2</v>
      </c>
      <c r="L19" s="382">
        <f t="shared" si="43"/>
        <v>0.13544890694004375</v>
      </c>
      <c r="M19" s="382">
        <f t="shared" si="43"/>
        <v>3.4728581946166237E-3</v>
      </c>
      <c r="N19" s="382">
        <f t="shared" si="43"/>
        <v>4.8373011896410967E-2</v>
      </c>
      <c r="O19" s="382">
        <f t="shared" si="43"/>
        <v>-3.9156379724710755E-3</v>
      </c>
      <c r="P19" s="382">
        <f t="shared" si="43"/>
        <v>-0.13277423821290635</v>
      </c>
      <c r="Q19" s="382">
        <f t="shared" si="43"/>
        <v>6.8759879860891715E-2</v>
      </c>
      <c r="R19" s="382">
        <f t="shared" si="43"/>
        <v>-3.7657290553507528E-2</v>
      </c>
      <c r="S19" s="382">
        <f t="shared" si="43"/>
        <v>6.9189833048356686E-2</v>
      </c>
      <c r="T19" s="382">
        <f t="shared" si="43"/>
        <v>0.16535854698090247</v>
      </c>
      <c r="U19" s="382">
        <f t="shared" si="43"/>
        <v>-9.5412844036697475E-3</v>
      </c>
      <c r="V19" s="382">
        <f t="shared" si="43"/>
        <v>-3.0356714749626978E-2</v>
      </c>
      <c r="W19" s="382">
        <f t="shared" si="43"/>
        <v>-0.11066656819648668</v>
      </c>
      <c r="X19" s="382">
        <f t="shared" si="43"/>
        <v>0.10446408584447187</v>
      </c>
      <c r="Y19" s="382">
        <f t="shared" si="43"/>
        <v>0.16667919803595321</v>
      </c>
      <c r="Z19" s="382">
        <f t="shared" si="43"/>
        <v>-9.5106000235369414E-2</v>
      </c>
      <c r="AA19" s="382">
        <f t="shared" si="43"/>
        <v>2.3257902298850608E-2</v>
      </c>
      <c r="AB19" s="382">
        <f t="shared" si="43"/>
        <v>4.0686326428711839E-2</v>
      </c>
      <c r="AC19" s="382">
        <f t="shared" si="43"/>
        <v>0.31321605117766804</v>
      </c>
      <c r="AD19" s="382">
        <f t="shared" si="43"/>
        <v>5.812473013518149E-2</v>
      </c>
      <c r="AE19" s="382">
        <f t="shared" si="43"/>
        <v>-2.7432433846379167E-2</v>
      </c>
      <c r="AF19" s="382">
        <f t="shared" si="43"/>
        <v>4.4100560294003666E-2</v>
      </c>
      <c r="AG19" s="382">
        <f t="shared" si="43"/>
        <v>4.6248134989654854E-2</v>
      </c>
      <c r="AH19" s="382">
        <f t="shared" si="43"/>
        <v>0.1067631289713884</v>
      </c>
      <c r="AI19" s="382">
        <f t="shared" si="43"/>
        <v>-0.15152421173275543</v>
      </c>
      <c r="AJ19" s="382">
        <f t="shared" si="43"/>
        <v>-0.10406581144233107</v>
      </c>
      <c r="AK19" s="382">
        <f t="shared" si="43"/>
        <v>0.15695483000969257</v>
      </c>
      <c r="AL19" s="382">
        <f t="shared" si="43"/>
        <v>-0.16475037637802925</v>
      </c>
      <c r="AM19" s="382">
        <f t="shared" si="43"/>
        <v>-9.1056213311626277E-2</v>
      </c>
      <c r="AN19" s="382">
        <f t="shared" si="43"/>
        <v>-0.32087093730509475</v>
      </c>
      <c r="AO19" s="382">
        <f t="shared" si="43"/>
        <v>0.20388387618378556</v>
      </c>
      <c r="AP19" s="382">
        <f t="shared" si="43"/>
        <v>-6.4900601800838564E-2</v>
      </c>
      <c r="AQ19" s="382">
        <f t="shared" si="43"/>
        <v>-0.26259073065632865</v>
      </c>
      <c r="AR19" s="382">
        <f t="shared" si="43"/>
        <v>0.61618215084366779</v>
      </c>
      <c r="AS19" s="382">
        <f t="shared" si="43"/>
        <v>0.43687874798888426</v>
      </c>
      <c r="AT19" s="382">
        <f t="shared" si="43"/>
        <v>-4.140294016453705E-2</v>
      </c>
      <c r="AU19" s="382">
        <f t="shared" si="43"/>
        <v>4.2084696088009022E-2</v>
      </c>
      <c r="AV19" s="382">
        <f t="shared" si="43"/>
        <v>-0.11694274837163421</v>
      </c>
      <c r="AW19" s="382">
        <f t="shared" si="43"/>
        <v>-4.5680194786462014E-2</v>
      </c>
      <c r="AX19" s="382">
        <f t="shared" si="43"/>
        <v>0.14768005958858743</v>
      </c>
      <c r="AY19" s="382">
        <f t="shared" si="43"/>
        <v>-5.7039244112540244E-2</v>
      </c>
      <c r="AZ19" s="382">
        <f t="shared" si="43"/>
        <v>0.35310023039157623</v>
      </c>
      <c r="BA19" s="382">
        <f t="shared" si="43"/>
        <v>0.170730176660705</v>
      </c>
      <c r="BB19" s="382">
        <f t="shared" si="43"/>
        <v>-0.4648817164863378</v>
      </c>
      <c r="BC19" s="382">
        <f t="shared" si="43"/>
        <v>-0.12200400695945601</v>
      </c>
      <c r="BD19" s="382">
        <f t="shared" si="43"/>
        <v>0.33689226233189928</v>
      </c>
      <c r="BE19" s="382">
        <f t="shared" si="43"/>
        <v>0.90224226526285523</v>
      </c>
      <c r="BF19" s="382">
        <f t="shared" si="43"/>
        <v>-0.27508854781582059</v>
      </c>
      <c r="BG19" s="382">
        <f t="shared" si="43"/>
        <v>2.6058631921824116E-2</v>
      </c>
      <c r="BH19" s="382">
        <f t="shared" si="43"/>
        <v>0.107936507936508</v>
      </c>
      <c r="BI19" s="382">
        <f t="shared" si="43"/>
        <v>2.005730659025784E-2</v>
      </c>
      <c r="BJ19" s="382">
        <f t="shared" si="43"/>
        <v>-0.1432584269662921</v>
      </c>
      <c r="BK19" s="382">
        <f t="shared" si="43"/>
        <v>-4.4262295081967218E-2</v>
      </c>
      <c r="BL19" s="382">
        <f t="shared" si="43"/>
        <v>5.4888507718696466E-2</v>
      </c>
      <c r="BM19" s="382">
        <f t="shared" si="43"/>
        <v>-0.36260162601626011</v>
      </c>
      <c r="BN19" s="382">
        <f t="shared" si="43"/>
        <v>0.68367346938775508</v>
      </c>
      <c r="BO19" s="382">
        <f t="shared" ref="BO19:DZ19" si="44">BO18/BN18-1</f>
        <v>0.14848484848484844</v>
      </c>
      <c r="BP19" s="382">
        <f t="shared" si="44"/>
        <v>1.978891820580464E-2</v>
      </c>
      <c r="BQ19" s="382">
        <f t="shared" si="44"/>
        <v>0.12807244501940485</v>
      </c>
      <c r="BR19" s="382">
        <f t="shared" si="44"/>
        <v>-8.0275229357798183E-2</v>
      </c>
      <c r="BS19" s="382">
        <f t="shared" si="44"/>
        <v>3.7406483790523692E-2</v>
      </c>
      <c r="BT19" s="382">
        <f t="shared" si="44"/>
        <v>-3.8461538461538436E-2</v>
      </c>
      <c r="BU19" s="382">
        <f t="shared" si="44"/>
        <v>3.499999999999992E-2</v>
      </c>
      <c r="BV19" s="382">
        <f t="shared" si="44"/>
        <v>-1.6908212560386437E-2</v>
      </c>
      <c r="BW19" s="382">
        <f t="shared" si="44"/>
        <v>-3.8083538083538038E-2</v>
      </c>
      <c r="BX19" s="382">
        <f t="shared" si="44"/>
        <v>9.1954022988505857E-2</v>
      </c>
      <c r="BY19" s="382">
        <f t="shared" si="44"/>
        <v>-4.6783625730993927E-3</v>
      </c>
      <c r="BZ19" s="382">
        <f t="shared" si="44"/>
        <v>-6.8155111633372512E-2</v>
      </c>
      <c r="CA19" s="382">
        <f t="shared" si="44"/>
        <v>-0.10592686002522067</v>
      </c>
      <c r="CB19" s="382">
        <f t="shared" si="44"/>
        <v>0.14950634696755993</v>
      </c>
      <c r="CC19" s="382">
        <f t="shared" si="44"/>
        <v>-0.21226993865030674</v>
      </c>
      <c r="CD19" s="382">
        <f t="shared" si="44"/>
        <v>-9.5015576323987494E-2</v>
      </c>
      <c r="CE19" s="382">
        <f t="shared" si="44"/>
        <v>0.11531841652323571</v>
      </c>
      <c r="CF19" s="382">
        <f t="shared" si="44"/>
        <v>0.37037037037037046</v>
      </c>
      <c r="CG19" s="382">
        <f t="shared" si="44"/>
        <v>0.11036036036036045</v>
      </c>
      <c r="CH19" s="382">
        <f t="shared" si="44"/>
        <v>-0.12778904665314406</v>
      </c>
      <c r="CI19" s="382">
        <f t="shared" si="44"/>
        <v>3.953488372093017E-2</v>
      </c>
      <c r="CJ19" s="382">
        <f t="shared" si="44"/>
        <v>-5.5928411633109354E-3</v>
      </c>
      <c r="CK19" s="382">
        <f t="shared" si="44"/>
        <v>-0.12598425196850394</v>
      </c>
      <c r="CL19" s="382">
        <f t="shared" si="44"/>
        <v>-0.14929214929214929</v>
      </c>
      <c r="CM19" s="382">
        <f t="shared" si="44"/>
        <v>-4.3872919818456868E-2</v>
      </c>
      <c r="CN19" s="382">
        <f t="shared" si="44"/>
        <v>0.23417721518987333</v>
      </c>
      <c r="CO19" s="382">
        <f t="shared" si="44"/>
        <v>-0.17820512820512824</v>
      </c>
      <c r="CP19" s="382">
        <f t="shared" si="44"/>
        <v>-0.17316692667706712</v>
      </c>
      <c r="CQ19" s="382">
        <f t="shared" si="44"/>
        <v>0.27358490566037741</v>
      </c>
      <c r="CR19" s="382">
        <f t="shared" si="44"/>
        <v>0.29629629629629628</v>
      </c>
      <c r="CS19" s="382">
        <f t="shared" si="44"/>
        <v>-0.17600000000000005</v>
      </c>
      <c r="CT19" s="382">
        <f t="shared" si="44"/>
        <v>-0.14147018030513181</v>
      </c>
      <c r="CU19" s="382">
        <f t="shared" si="44"/>
        <v>0.26494345718901458</v>
      </c>
      <c r="CV19" s="382">
        <f t="shared" si="44"/>
        <v>0.32056194125159632</v>
      </c>
      <c r="CW19" s="382">
        <f t="shared" si="44"/>
        <v>-0.10444874274661509</v>
      </c>
      <c r="CX19" s="382">
        <f t="shared" si="44"/>
        <v>8.6393088552915831E-2</v>
      </c>
      <c r="CY19" s="382">
        <f t="shared" si="44"/>
        <v>5.5666003976143186E-2</v>
      </c>
      <c r="CZ19" s="382">
        <f t="shared" si="44"/>
        <v>-0.10451977401129942</v>
      </c>
      <c r="DA19" s="382">
        <f t="shared" si="44"/>
        <v>-0.11777076761303895</v>
      </c>
      <c r="DB19" s="382">
        <f t="shared" si="44"/>
        <v>-0.15971394517282478</v>
      </c>
      <c r="DC19" s="382">
        <f t="shared" si="44"/>
        <v>0.21702127659574466</v>
      </c>
      <c r="DD19" s="382">
        <f t="shared" si="44"/>
        <v>0.12354312354312347</v>
      </c>
      <c r="DE19" s="382">
        <f t="shared" si="44"/>
        <v>0.15560165975103724</v>
      </c>
      <c r="DF19" s="382">
        <f t="shared" si="44"/>
        <v>-0.19210053859964094</v>
      </c>
      <c r="DG19" s="382">
        <f t="shared" si="44"/>
        <v>0.12444444444444436</v>
      </c>
      <c r="DH19" s="382">
        <f t="shared" si="44"/>
        <v>0.47134387351778662</v>
      </c>
      <c r="DI19" s="382">
        <f t="shared" si="44"/>
        <v>0.15043653458697115</v>
      </c>
      <c r="DJ19" s="383">
        <f t="shared" si="44"/>
        <v>2.9188558085230687E-2</v>
      </c>
      <c r="DK19" s="383">
        <f t="shared" si="44"/>
        <v>9.0754395916052166E-2</v>
      </c>
      <c r="DL19" s="383">
        <f t="shared" si="44"/>
        <v>0.10764430577223094</v>
      </c>
      <c r="DM19" s="383">
        <f t="shared" si="44"/>
        <v>7.1361502347417893E-2</v>
      </c>
      <c r="DN19" s="383">
        <f t="shared" si="44"/>
        <v>0.16608238387379481</v>
      </c>
      <c r="DO19" s="383">
        <f t="shared" si="44"/>
        <v>7.5911311537016246E-2</v>
      </c>
      <c r="DP19" s="383">
        <f t="shared" si="44"/>
        <v>-7.9986028641285345E-2</v>
      </c>
      <c r="DQ19" s="383">
        <f t="shared" si="44"/>
        <v>-2.3158694001518598E-2</v>
      </c>
      <c r="DR19" s="383">
        <f t="shared" si="44"/>
        <v>-1.7877963466770286E-2</v>
      </c>
      <c r="DS19" s="383">
        <f t="shared" si="44"/>
        <v>8.310249307479145E-3</v>
      </c>
      <c r="DT19" s="383">
        <f t="shared" si="44"/>
        <v>5.180533751962324E-2</v>
      </c>
      <c r="DU19" s="383">
        <f t="shared" si="44"/>
        <v>7.3507462686567271E-2</v>
      </c>
      <c r="DV19" s="382">
        <f t="shared" si="44"/>
        <v>-0.14633298574904419</v>
      </c>
      <c r="DW19" s="382">
        <f t="shared" si="44"/>
        <v>4.7638436482084767E-2</v>
      </c>
      <c r="DX19" s="382">
        <f t="shared" si="44"/>
        <v>0.16439953361834436</v>
      </c>
      <c r="DY19" s="383">
        <f t="shared" si="44"/>
        <v>0.11882510013351144</v>
      </c>
      <c r="DZ19" s="383">
        <f t="shared" si="44"/>
        <v>-2.2673031026252954E-2</v>
      </c>
      <c r="EA19" s="383">
        <f t="shared" ref="EA19:EW19" si="45">EA18/DZ18-1</f>
        <v>0.27472527472527464</v>
      </c>
      <c r="EB19" s="383">
        <f t="shared" si="45"/>
        <v>-2.5622605363984641E-2</v>
      </c>
      <c r="EC19" s="383">
        <f t="shared" si="45"/>
        <v>3.9321700663553782E-2</v>
      </c>
      <c r="ED19" s="383">
        <f t="shared" si="45"/>
        <v>3.334121541735624E-2</v>
      </c>
      <c r="EE19" s="384">
        <f t="shared" si="45"/>
        <v>8.1486409879943267E-2</v>
      </c>
      <c r="EF19" s="384">
        <f t="shared" si="45"/>
        <v>6.8478100126181607E-2</v>
      </c>
      <c r="EG19" s="384">
        <f t="shared" si="45"/>
        <v>0.42595865016838408</v>
      </c>
      <c r="EH19" s="384">
        <f t="shared" si="45"/>
        <v>8.2126788755580993E-2</v>
      </c>
      <c r="EI19" s="384">
        <f t="shared" si="45"/>
        <v>0.10769294836597987</v>
      </c>
      <c r="EJ19" s="384">
        <f t="shared" si="45"/>
        <v>0.16931570865034318</v>
      </c>
      <c r="EK19" s="384">
        <f t="shared" si="45"/>
        <v>0.1159030791916309</v>
      </c>
      <c r="EL19" s="384">
        <f t="shared" si="45"/>
        <v>-4.0528465211954634E-2</v>
      </c>
      <c r="EM19" s="384">
        <f t="shared" si="45"/>
        <v>4.2896873446976569E-2</v>
      </c>
      <c r="EN19" s="384">
        <f t="shared" si="45"/>
        <v>7.0398511499156102E-2</v>
      </c>
      <c r="EO19" s="384">
        <f t="shared" si="45"/>
        <v>7.3133882275593365E-2</v>
      </c>
      <c r="EP19" s="384">
        <f t="shared" si="45"/>
        <v>-1.7613526573932448E-2</v>
      </c>
      <c r="EQ19" s="384">
        <f t="shared" si="45"/>
        <v>4.5152785502013071E-2</v>
      </c>
      <c r="ER19" s="384">
        <f t="shared" si="45"/>
        <v>7.7781831150897984E-2</v>
      </c>
      <c r="ES19" s="384">
        <f t="shared" si="45"/>
        <v>4.4155262101847725E-2</v>
      </c>
      <c r="ET19" s="384">
        <f t="shared" si="45"/>
        <v>-4.6182667555929813E-2</v>
      </c>
      <c r="EU19" s="384">
        <f t="shared" si="45"/>
        <v>4.4676888404936888E-2</v>
      </c>
      <c r="EV19" s="384">
        <f t="shared" si="45"/>
        <v>9.8686296356251368E-2</v>
      </c>
      <c r="EW19" s="384">
        <f t="shared" si="45"/>
        <v>4.5486140534203301E-2</v>
      </c>
      <c r="GG19" s="384"/>
      <c r="GH19" s="384"/>
      <c r="GI19" s="384"/>
      <c r="GJ19" s="384"/>
      <c r="GK19" s="384"/>
      <c r="GN19" s="70"/>
    </row>
    <row r="20" spans="1:240" s="382" customFormat="1" ht="12" hidden="1" customHeight="1" outlineLevel="1">
      <c r="A20" s="396" t="s">
        <v>200</v>
      </c>
      <c r="F20" s="382">
        <f t="shared" ref="F20:BQ20" si="46">F18/B18-1</f>
        <v>0.17062495515534204</v>
      </c>
      <c r="G20" s="382">
        <f t="shared" si="46"/>
        <v>0.33570374936703296</v>
      </c>
      <c r="H20" s="382">
        <f t="shared" si="46"/>
        <v>0.25570228852691934</v>
      </c>
      <c r="I20" s="382">
        <f t="shared" si="46"/>
        <v>0.23680135827489512</v>
      </c>
      <c r="J20" s="382">
        <f t="shared" si="46"/>
        <v>0.29991363218454836</v>
      </c>
      <c r="K20" s="382">
        <f t="shared" si="46"/>
        <v>0.34736026636338169</v>
      </c>
      <c r="L20" s="382">
        <f t="shared" si="46"/>
        <v>0.40650808965039986</v>
      </c>
      <c r="M20" s="382">
        <f t="shared" si="46"/>
        <v>0.35059285289610975</v>
      </c>
      <c r="N20" s="382">
        <f t="shared" si="46"/>
        <v>0.25564428670018735</v>
      </c>
      <c r="O20" s="382">
        <f t="shared" si="46"/>
        <v>0.18983072964453629</v>
      </c>
      <c r="P20" s="382">
        <f t="shared" si="46"/>
        <v>-9.1238844296001043E-2</v>
      </c>
      <c r="Q20" s="382">
        <f t="shared" si="46"/>
        <v>-3.2113867693585152E-2</v>
      </c>
      <c r="R20" s="382">
        <f t="shared" si="46"/>
        <v>-0.1115393543805987</v>
      </c>
      <c r="S20" s="382">
        <f t="shared" si="46"/>
        <v>-4.6332694726524126E-2</v>
      </c>
      <c r="T20" s="382">
        <f t="shared" si="46"/>
        <v>0.28151675624407213</v>
      </c>
      <c r="U20" s="382">
        <f t="shared" si="46"/>
        <v>0.18762826367498753</v>
      </c>
      <c r="V20" s="382">
        <f t="shared" si="46"/>
        <v>0.19663791281627652</v>
      </c>
      <c r="W20" s="382">
        <f t="shared" si="46"/>
        <v>-4.6574810789833387E-3</v>
      </c>
      <c r="X20" s="382">
        <f t="shared" si="46"/>
        <v>-5.6667951584303378E-2</v>
      </c>
      <c r="Y20" s="382">
        <f t="shared" si="46"/>
        <v>0.11116784616773723</v>
      </c>
      <c r="Z20" s="382">
        <f t="shared" si="46"/>
        <v>3.6968060340813569E-2</v>
      </c>
      <c r="AA20" s="382">
        <f t="shared" si="46"/>
        <v>0.19312478788010079</v>
      </c>
      <c r="AB20" s="382">
        <f t="shared" si="46"/>
        <v>0.12422727763085195</v>
      </c>
      <c r="AC20" s="382">
        <f t="shared" si="46"/>
        <v>0.26543209876543195</v>
      </c>
      <c r="AD20" s="382">
        <f t="shared" si="46"/>
        <v>0.47971474930638158</v>
      </c>
      <c r="AE20" s="382">
        <f t="shared" si="46"/>
        <v>0.40641237082204862</v>
      </c>
      <c r="AF20" s="382">
        <f t="shared" si="46"/>
        <v>0.41102646118057562</v>
      </c>
      <c r="AG20" s="382">
        <f t="shared" si="46"/>
        <v>0.12417435204765104</v>
      </c>
      <c r="AH20" s="382">
        <f t="shared" si="46"/>
        <v>0.17584882759775256</v>
      </c>
      <c r="AI20" s="382">
        <f t="shared" si="46"/>
        <v>2.5820000172133151E-2</v>
      </c>
      <c r="AJ20" s="382">
        <f t="shared" si="46"/>
        <v>-0.11975221122221025</v>
      </c>
      <c r="AK20" s="382">
        <f t="shared" si="46"/>
        <v>-2.6610517358881314E-2</v>
      </c>
      <c r="AL20" s="382">
        <f t="shared" si="46"/>
        <v>-0.26540451363862061</v>
      </c>
      <c r="AM20" s="382">
        <f t="shared" si="46"/>
        <v>-0.21305237899470586</v>
      </c>
      <c r="AN20" s="382">
        <f t="shared" si="46"/>
        <v>-0.40348408725903806</v>
      </c>
      <c r="AO20" s="382">
        <f t="shared" si="46"/>
        <v>-0.37928787658038321</v>
      </c>
      <c r="AP20" s="382">
        <f t="shared" si="46"/>
        <v>-0.30508495107409284</v>
      </c>
      <c r="AQ20" s="382">
        <f t="shared" si="46"/>
        <v>-0.43622828387289381</v>
      </c>
      <c r="AR20" s="382">
        <f t="shared" si="46"/>
        <v>0.3416562989360159</v>
      </c>
      <c r="AS20" s="382">
        <f t="shared" si="46"/>
        <v>0.60131509457336074</v>
      </c>
      <c r="AT20" s="382">
        <f t="shared" si="46"/>
        <v>0.64155376902641925</v>
      </c>
      <c r="AU20" s="382">
        <f t="shared" si="46"/>
        <v>1.319794626436646</v>
      </c>
      <c r="AV20" s="382">
        <f t="shared" si="46"/>
        <v>0.26750036565745217</v>
      </c>
      <c r="AW20" s="382">
        <f t="shared" si="46"/>
        <v>-0.15817482598631538</v>
      </c>
      <c r="AX20" s="382">
        <f t="shared" si="46"/>
        <v>7.8749522150958207E-3</v>
      </c>
      <c r="AY20" s="382">
        <f t="shared" si="46"/>
        <v>-8.7994929444276893E-2</v>
      </c>
      <c r="AZ20" s="382">
        <f t="shared" si="46"/>
        <v>0.39745669809252338</v>
      </c>
      <c r="BA20" s="382">
        <f t="shared" si="46"/>
        <v>0.71435688340080628</v>
      </c>
      <c r="BB20" s="382">
        <f t="shared" si="46"/>
        <v>-0.20066249726066643</v>
      </c>
      <c r="BC20" s="382">
        <f t="shared" si="46"/>
        <v>-0.25573241504450295</v>
      </c>
      <c r="BD20" s="382">
        <f t="shared" si="46"/>
        <v>-0.26464754562675152</v>
      </c>
      <c r="BE20" s="382">
        <f t="shared" si="46"/>
        <v>0.19482571343932054</v>
      </c>
      <c r="BF20" s="382">
        <f t="shared" si="46"/>
        <v>0.61860072757948004</v>
      </c>
      <c r="BG20" s="382">
        <f t="shared" si="46"/>
        <v>0.891556751206243</v>
      </c>
      <c r="BH20" s="382">
        <f t="shared" si="46"/>
        <v>0.56760932839843314</v>
      </c>
      <c r="BI20" s="382">
        <f t="shared" si="46"/>
        <v>-0.15938606847697756</v>
      </c>
      <c r="BJ20" s="382">
        <f t="shared" si="46"/>
        <v>-6.514657980456029E-3</v>
      </c>
      <c r="BK20" s="382">
        <f t="shared" si="46"/>
        <v>-7.460317460317456E-2</v>
      </c>
      <c r="BL20" s="382">
        <f t="shared" si="46"/>
        <v>-0.11891117478510027</v>
      </c>
      <c r="BM20" s="382">
        <f t="shared" si="46"/>
        <v>-0.449438202247191</v>
      </c>
      <c r="BN20" s="382">
        <f t="shared" si="46"/>
        <v>8.1967213114754189E-2</v>
      </c>
      <c r="BO20" s="382">
        <f t="shared" si="46"/>
        <v>0.30017152658662094</v>
      </c>
      <c r="BP20" s="382">
        <f t="shared" si="46"/>
        <v>0.25691056910569099</v>
      </c>
      <c r="BQ20" s="382">
        <f t="shared" si="46"/>
        <v>1.2244897959183674</v>
      </c>
      <c r="BR20" s="382">
        <f t="shared" ref="BR20:EC20" si="47">BR18/BN18-1</f>
        <v>0.21515151515151509</v>
      </c>
      <c r="BS20" s="382">
        <f t="shared" si="47"/>
        <v>9.7625329815303363E-2</v>
      </c>
      <c r="BT20" s="382">
        <f t="shared" si="47"/>
        <v>3.4928848641655907E-2</v>
      </c>
      <c r="BU20" s="382">
        <f t="shared" si="47"/>
        <v>-5.0458715596330306E-2</v>
      </c>
      <c r="BV20" s="382">
        <f t="shared" si="47"/>
        <v>1.4962593516209433E-2</v>
      </c>
      <c r="BW20" s="382">
        <f t="shared" si="47"/>
        <v>-5.8894230769230727E-2</v>
      </c>
      <c r="BX20" s="382">
        <f t="shared" si="47"/>
        <v>6.8750000000000089E-2</v>
      </c>
      <c r="BY20" s="382">
        <f t="shared" si="47"/>
        <v>2.7777777777777679E-2</v>
      </c>
      <c r="BZ20" s="382">
        <f t="shared" si="47"/>
        <v>-2.5798525798525818E-2</v>
      </c>
      <c r="CA20" s="382">
        <f t="shared" si="47"/>
        <v>-9.4508301404853112E-2</v>
      </c>
      <c r="CB20" s="382">
        <f t="shared" si="47"/>
        <v>-4.6783625730994149E-2</v>
      </c>
      <c r="CC20" s="382">
        <f t="shared" si="47"/>
        <v>-0.24559341950646296</v>
      </c>
      <c r="CD20" s="382">
        <f t="shared" si="47"/>
        <v>-0.26733921815889028</v>
      </c>
      <c r="CE20" s="382">
        <f t="shared" si="47"/>
        <v>-8.6036671368124096E-2</v>
      </c>
      <c r="CF20" s="382">
        <f t="shared" si="47"/>
        <v>8.9570552147239191E-2</v>
      </c>
      <c r="CG20" s="382">
        <f t="shared" si="47"/>
        <v>0.53582554517133962</v>
      </c>
      <c r="CH20" s="382">
        <f t="shared" si="47"/>
        <v>0.48020654044750422</v>
      </c>
      <c r="CI20" s="382">
        <f t="shared" si="47"/>
        <v>0.37962962962962954</v>
      </c>
      <c r="CJ20" s="382">
        <f t="shared" si="47"/>
        <v>1.1261261261261701E-3</v>
      </c>
      <c r="CK20" s="382">
        <f t="shared" si="47"/>
        <v>-0.21196754563894527</v>
      </c>
      <c r="CL20" s="382">
        <f t="shared" si="47"/>
        <v>-0.23139534883720925</v>
      </c>
      <c r="CM20" s="382">
        <f t="shared" si="47"/>
        <v>-0.29306487695749439</v>
      </c>
      <c r="CN20" s="382">
        <f t="shared" si="47"/>
        <v>-0.12260967379077614</v>
      </c>
      <c r="CO20" s="382">
        <f t="shared" si="47"/>
        <v>-0.17503217503217505</v>
      </c>
      <c r="CP20" s="382">
        <f t="shared" si="47"/>
        <v>-0.19818456883509838</v>
      </c>
      <c r="CQ20" s="382">
        <f t="shared" si="47"/>
        <v>6.8037974683544222E-2</v>
      </c>
      <c r="CR20" s="382">
        <f t="shared" si="47"/>
        <v>0.12179487179487181</v>
      </c>
      <c r="CS20" s="382">
        <f t="shared" si="47"/>
        <v>0.12480499219968788</v>
      </c>
      <c r="CT20" s="382">
        <f t="shared" si="47"/>
        <v>0.16792452830188687</v>
      </c>
      <c r="CU20" s="382">
        <f t="shared" si="47"/>
        <v>0.15999999999999992</v>
      </c>
      <c r="CV20" s="382">
        <f t="shared" si="47"/>
        <v>0.18171428571428572</v>
      </c>
      <c r="CW20" s="382">
        <f t="shared" si="47"/>
        <v>0.28432732316227471</v>
      </c>
      <c r="CX20" s="382">
        <f t="shared" si="47"/>
        <v>0.62520193861066242</v>
      </c>
      <c r="CY20" s="382">
        <f t="shared" si="47"/>
        <v>0.35632183908045967</v>
      </c>
      <c r="CZ20" s="382">
        <f t="shared" si="47"/>
        <v>-8.0270793036750443E-2</v>
      </c>
      <c r="DA20" s="382">
        <f t="shared" si="47"/>
        <v>-9.395248380129595E-2</v>
      </c>
      <c r="DB20" s="382">
        <f t="shared" si="47"/>
        <v>-0.29920477137176937</v>
      </c>
      <c r="DC20" s="382">
        <f t="shared" si="47"/>
        <v>-0.19209039548022599</v>
      </c>
      <c r="DD20" s="382">
        <f t="shared" si="47"/>
        <v>1.3669821240799074E-2</v>
      </c>
      <c r="DE20" s="382">
        <f t="shared" si="47"/>
        <v>0.32777115613825991</v>
      </c>
      <c r="DF20" s="382">
        <f t="shared" si="47"/>
        <v>0.27659574468085113</v>
      </c>
      <c r="DG20" s="382">
        <f t="shared" si="47"/>
        <v>0.17948717948717952</v>
      </c>
      <c r="DH20" s="382">
        <f t="shared" si="47"/>
        <v>0.54460580912863077</v>
      </c>
      <c r="DI20" s="382">
        <f t="shared" si="47"/>
        <v>0.53770197486534999</v>
      </c>
      <c r="DJ20" s="383">
        <f t="shared" si="47"/>
        <v>0.9588888888888889</v>
      </c>
      <c r="DK20" s="383">
        <f t="shared" si="47"/>
        <v>0.90019762845849804</v>
      </c>
      <c r="DL20" s="383">
        <f t="shared" si="47"/>
        <v>0.43049026192075224</v>
      </c>
      <c r="DM20" s="383">
        <f t="shared" si="47"/>
        <v>0.33216579100992405</v>
      </c>
      <c r="DN20" s="383">
        <f t="shared" si="47"/>
        <v>0.50935904707884294</v>
      </c>
      <c r="DO20" s="383">
        <f t="shared" si="47"/>
        <v>0.48881955278211131</v>
      </c>
      <c r="DP20" s="383">
        <f t="shared" si="47"/>
        <v>0.23661971830985906</v>
      </c>
      <c r="DQ20" s="383">
        <f t="shared" si="47"/>
        <v>0.12751971954425945</v>
      </c>
      <c r="DR20" s="383">
        <f t="shared" si="47"/>
        <v>-5.0357008643367118E-2</v>
      </c>
      <c r="DS20" s="383">
        <f t="shared" si="47"/>
        <v>-0.11002444987775062</v>
      </c>
      <c r="DT20" s="383">
        <f t="shared" si="47"/>
        <v>1.746393318147299E-2</v>
      </c>
      <c r="DU20" s="383">
        <f t="shared" si="47"/>
        <v>0.11815001943256909</v>
      </c>
      <c r="DV20" s="382">
        <f t="shared" si="47"/>
        <v>-2.809655718242976E-2</v>
      </c>
      <c r="DW20" s="382">
        <f t="shared" si="47"/>
        <v>9.8116169544741894E-3</v>
      </c>
      <c r="DX20" s="382">
        <f t="shared" si="47"/>
        <v>0.11791044776119408</v>
      </c>
      <c r="DY20" s="383">
        <f t="shared" si="47"/>
        <v>0.165102537365311</v>
      </c>
      <c r="DZ20" s="383">
        <f t="shared" si="47"/>
        <v>0.33387622149837126</v>
      </c>
      <c r="EA20" s="383">
        <f t="shared" si="47"/>
        <v>0.62300816167897399</v>
      </c>
      <c r="EB20" s="383">
        <f t="shared" si="47"/>
        <v>0.35814419225634175</v>
      </c>
      <c r="EC20" s="383">
        <f t="shared" si="47"/>
        <v>0.26163484486873512</v>
      </c>
      <c r="ED20" s="383">
        <f t="shared" ref="ED20:EW20" si="48">ED18/DZ18-1</f>
        <v>0.33394383394383387</v>
      </c>
      <c r="EE20" s="384">
        <f t="shared" si="48"/>
        <v>0.13172787623930837</v>
      </c>
      <c r="EF20" s="384">
        <f t="shared" si="48"/>
        <v>0.24102473817727343</v>
      </c>
      <c r="EG20" s="384">
        <f t="shared" si="48"/>
        <v>0.70269701801377371</v>
      </c>
      <c r="EH20" s="384">
        <f t="shared" si="48"/>
        <v>0.78308387281617087</v>
      </c>
      <c r="EI20" s="384">
        <f t="shared" si="48"/>
        <v>0.82629149494613863</v>
      </c>
      <c r="EJ20" s="384">
        <f t="shared" si="48"/>
        <v>0.99864773397119366</v>
      </c>
      <c r="EK20" s="384">
        <f t="shared" si="48"/>
        <v>0.56406860766577371</v>
      </c>
      <c r="EL20" s="384">
        <f t="shared" si="48"/>
        <v>0.3867869487240263</v>
      </c>
      <c r="EM20" s="384">
        <f t="shared" si="48"/>
        <v>0.30566487318967073</v>
      </c>
      <c r="EN20" s="384">
        <f t="shared" si="48"/>
        <v>0.19521334267550849</v>
      </c>
      <c r="EO20" s="384">
        <f t="shared" si="48"/>
        <v>0.14940442274081778</v>
      </c>
      <c r="EP20" s="384">
        <f t="shared" si="48"/>
        <v>0.17685550478172019</v>
      </c>
      <c r="EQ20" s="384">
        <f t="shared" si="48"/>
        <v>0.17940118555598339</v>
      </c>
      <c r="ER20" s="384">
        <f t="shared" si="48"/>
        <v>0.18753637619484853</v>
      </c>
      <c r="ES20" s="384">
        <f t="shared" si="48"/>
        <v>0.15546846169075779</v>
      </c>
      <c r="ET20" s="384">
        <f t="shared" si="48"/>
        <v>0.1218658599904614</v>
      </c>
      <c r="EU20" s="384">
        <f t="shared" si="48"/>
        <v>0.12135503256552971</v>
      </c>
      <c r="EV20" s="384">
        <f t="shared" si="48"/>
        <v>0.14310463585591227</v>
      </c>
      <c r="EW20" s="384">
        <f t="shared" si="48"/>
        <v>0.14456163498334451</v>
      </c>
      <c r="FA20" s="382">
        <f>FA18/EZ18-1</f>
        <v>0.24707199546946534</v>
      </c>
      <c r="FB20" s="382">
        <f t="shared" ref="FB20:GE20" si="49">FB18/FA18-1</f>
        <v>0.35240147092214502</v>
      </c>
      <c r="FC20" s="382">
        <f t="shared" si="49"/>
        <v>6.92924858280064E-2</v>
      </c>
      <c r="FD20" s="382">
        <f t="shared" si="49"/>
        <v>6.8386410969979661E-2</v>
      </c>
      <c r="FE20" s="382">
        <f t="shared" si="49"/>
        <v>5.6765652595118343E-2</v>
      </c>
      <c r="FF20" s="382">
        <f t="shared" si="49"/>
        <v>0.15803616100615248</v>
      </c>
      <c r="FG20" s="382">
        <f t="shared" si="49"/>
        <v>0.33587431690217651</v>
      </c>
      <c r="FH20" s="382">
        <f t="shared" si="49"/>
        <v>1.2612324967309352E-2</v>
      </c>
      <c r="FI20" s="382">
        <f t="shared" si="49"/>
        <v>-0.31147629642970664</v>
      </c>
      <c r="FJ20" s="382">
        <f t="shared" si="49"/>
        <v>-1.340504426851008E-2</v>
      </c>
      <c r="FK20" s="382">
        <f t="shared" si="49"/>
        <v>0.35821712750919699</v>
      </c>
      <c r="FL20" s="382">
        <f t="shared" si="49"/>
        <v>0.23675672566944228</v>
      </c>
      <c r="FM20" s="382">
        <f t="shared" si="49"/>
        <v>-0.10364780537883833</v>
      </c>
      <c r="FN20" s="382">
        <f t="shared" si="49"/>
        <v>0.32391329615002618</v>
      </c>
      <c r="FO20" s="382">
        <f t="shared" si="49"/>
        <v>-0.17106254709871893</v>
      </c>
      <c r="FP20" s="382">
        <f t="shared" si="49"/>
        <v>0.39227272727272733</v>
      </c>
      <c r="FQ20" s="382">
        <f t="shared" si="49"/>
        <v>6.4968984655566331E-2</v>
      </c>
      <c r="FR20" s="382">
        <f t="shared" si="49"/>
        <v>1.2568976088289441E-2</v>
      </c>
      <c r="FS20" s="382">
        <f t="shared" si="49"/>
        <v>-0.10414774447471997</v>
      </c>
      <c r="FT20" s="382">
        <f t="shared" si="49"/>
        <v>4.8665089557282881E-2</v>
      </c>
      <c r="FU20" s="382">
        <f t="shared" si="49"/>
        <v>0.10215920077344509</v>
      </c>
      <c r="FV20" s="382">
        <f t="shared" si="49"/>
        <v>-0.20643274853801175</v>
      </c>
      <c r="FW20" s="382">
        <f t="shared" si="49"/>
        <v>3.2056005895357398E-2</v>
      </c>
      <c r="FX20" s="382">
        <f t="shared" si="49"/>
        <v>0.20028561228132813</v>
      </c>
      <c r="FY20" s="382">
        <f t="shared" si="49"/>
        <v>0.14753123140987512</v>
      </c>
      <c r="FZ20" s="382">
        <f t="shared" si="49"/>
        <v>-5.6246759979263872E-2</v>
      </c>
      <c r="GA20" s="382">
        <f t="shared" si="49"/>
        <v>0.40455918703652838</v>
      </c>
      <c r="GB20" s="382">
        <f t="shared" si="49"/>
        <v>0.5834962847086429</v>
      </c>
      <c r="GC20" s="382">
        <f t="shared" si="49"/>
        <v>0.32514201037293167</v>
      </c>
      <c r="GD20" s="382">
        <f t="shared" si="49"/>
        <v>-9.2256080514397931E-3</v>
      </c>
      <c r="GE20" s="382">
        <f t="shared" si="49"/>
        <v>7.0071482317531908E-2</v>
      </c>
      <c r="GG20" s="384"/>
      <c r="GH20" s="384"/>
      <c r="GI20" s="384"/>
      <c r="GJ20" s="384"/>
      <c r="GK20" s="384"/>
      <c r="GN20" s="70"/>
    </row>
    <row r="21" spans="1:240" s="382" customFormat="1" ht="12" hidden="1" customHeight="1" outlineLevel="1">
      <c r="A21" s="396" t="s">
        <v>202</v>
      </c>
      <c r="B21" s="382">
        <f>B18/B$4</f>
        <v>0.3762753630658292</v>
      </c>
      <c r="C21" s="382">
        <f>C18/C$4</f>
        <v>0.3330864451028131</v>
      </c>
      <c r="D21" s="382">
        <f t="shared" ref="D21:BO21" si="50">D18/D$4</f>
        <v>0.37685101744707195</v>
      </c>
      <c r="E21" s="382">
        <f t="shared" si="50"/>
        <v>0.40461872647579605</v>
      </c>
      <c r="F21" s="382">
        <f t="shared" si="50"/>
        <v>0.34977976144071099</v>
      </c>
      <c r="G21" s="382">
        <f t="shared" si="50"/>
        <v>0.34128637513430604</v>
      </c>
      <c r="H21" s="382">
        <f t="shared" si="50"/>
        <v>0.36450726735086919</v>
      </c>
      <c r="I21" s="382">
        <f t="shared" si="50"/>
        <v>0.37948118745047393</v>
      </c>
      <c r="J21" s="382">
        <f t="shared" si="50"/>
        <v>0.37621432810403549</v>
      </c>
      <c r="K21" s="382">
        <f t="shared" si="50"/>
        <v>0.39160574500091022</v>
      </c>
      <c r="L21" s="382">
        <f t="shared" si="50"/>
        <v>0.47163291750298536</v>
      </c>
      <c r="M21" s="382">
        <f t="shared" si="50"/>
        <v>0.4711607695407814</v>
      </c>
      <c r="N21" s="382">
        <f t="shared" si="50"/>
        <v>0.53826082482561943</v>
      </c>
      <c r="O21" s="382">
        <f t="shared" si="50"/>
        <v>0.64116841765239729</v>
      </c>
      <c r="P21" s="382">
        <f t="shared" si="50"/>
        <v>0.55386528098200327</v>
      </c>
      <c r="Q21" s="382">
        <f t="shared" si="50"/>
        <v>0.54428741637618039</v>
      </c>
      <c r="R21" s="382">
        <f t="shared" si="50"/>
        <v>0.47147730340091193</v>
      </c>
      <c r="S21" s="382">
        <f t="shared" si="50"/>
        <v>0.46801253361724038</v>
      </c>
      <c r="T21" s="382">
        <f t="shared" si="50"/>
        <v>0.54349830049409698</v>
      </c>
      <c r="U21" s="382">
        <f t="shared" si="50"/>
        <v>0.52380331098502697</v>
      </c>
      <c r="V21" s="382">
        <f t="shared" si="50"/>
        <v>0.57581130652151413</v>
      </c>
      <c r="W21" s="382">
        <f t="shared" si="50"/>
        <v>0.52601331717748767</v>
      </c>
      <c r="X21" s="382">
        <f t="shared" si="50"/>
        <v>0.44596436647048443</v>
      </c>
      <c r="Y21" s="382">
        <f t="shared" si="50"/>
        <v>0.45243021221571461</v>
      </c>
      <c r="Z21" s="382">
        <f t="shared" si="50"/>
        <v>0.5113166232051336</v>
      </c>
      <c r="AA21" s="382">
        <f t="shared" si="50"/>
        <v>0.55528483017396801</v>
      </c>
      <c r="AB21" s="382">
        <f t="shared" si="50"/>
        <v>0.5193357817672215</v>
      </c>
      <c r="AC21" s="382">
        <f t="shared" si="50"/>
        <v>0.46620247545705112</v>
      </c>
      <c r="AD21" s="382">
        <f t="shared" si="50"/>
        <v>0.43759369027745604</v>
      </c>
      <c r="AE21" s="382">
        <f t="shared" si="50"/>
        <v>0.39707903970910019</v>
      </c>
      <c r="AF21" s="382">
        <f t="shared" si="50"/>
        <v>0.40218175971303277</v>
      </c>
      <c r="AG21" s="382">
        <f t="shared" si="50"/>
        <v>0.43201676009979811</v>
      </c>
      <c r="AH21" s="382">
        <f t="shared" si="50"/>
        <v>0.47268005723673751</v>
      </c>
      <c r="AI21" s="382">
        <f t="shared" si="50"/>
        <v>0.48388655223371602</v>
      </c>
      <c r="AJ21" s="382">
        <f t="shared" si="50"/>
        <v>0.55772128429106771</v>
      </c>
      <c r="AK21" s="382">
        <f t="shared" si="50"/>
        <v>0.51917009937250036</v>
      </c>
      <c r="AL21" s="382">
        <f t="shared" si="50"/>
        <v>0.45757604983188727</v>
      </c>
      <c r="AM21" s="382">
        <f t="shared" si="50"/>
        <v>0.62499187904694165</v>
      </c>
      <c r="AN21" s="382">
        <f t="shared" si="50"/>
        <v>0.5013448714845925</v>
      </c>
      <c r="AO21" s="382">
        <f t="shared" si="50"/>
        <v>0.44687149454423614</v>
      </c>
      <c r="AP21" s="382">
        <f t="shared" si="50"/>
        <v>0.40142186395728807</v>
      </c>
      <c r="AQ21" s="382">
        <f t="shared" si="50"/>
        <v>0.32780068840360721</v>
      </c>
      <c r="AR21" s="382">
        <f t="shared" si="50"/>
        <v>0.35842387856890473</v>
      </c>
      <c r="AS21" s="382">
        <f t="shared" si="50"/>
        <v>0.40743186133297066</v>
      </c>
      <c r="AT21" s="382">
        <f t="shared" si="50"/>
        <v>0.38082128186484832</v>
      </c>
      <c r="AU21" s="382">
        <f t="shared" si="50"/>
        <v>0.38885846587158246</v>
      </c>
      <c r="AV21" s="382">
        <f t="shared" si="50"/>
        <v>0.34958397171669253</v>
      </c>
      <c r="AW21" s="382">
        <f t="shared" si="50"/>
        <v>0.32721376649315581</v>
      </c>
      <c r="AX21" s="382">
        <f t="shared" si="50"/>
        <v>0.38688828234803052</v>
      </c>
      <c r="AY21" s="382">
        <f t="shared" si="50"/>
        <v>0.35518105146525408</v>
      </c>
      <c r="AZ21" s="382">
        <f t="shared" si="50"/>
        <v>0.39764177428411002</v>
      </c>
      <c r="BA21" s="382">
        <f t="shared" si="50"/>
        <v>0.3856276206619681</v>
      </c>
      <c r="BB21" s="382">
        <f t="shared" si="50"/>
        <v>0.28475601242495263</v>
      </c>
      <c r="BC21" s="382">
        <f t="shared" si="50"/>
        <v>0.27381456418991962</v>
      </c>
      <c r="BD21" s="382">
        <f t="shared" si="50"/>
        <v>0.33538462001985503</v>
      </c>
      <c r="BE21" s="382">
        <f t="shared" si="50"/>
        <v>0.47772137619853355</v>
      </c>
      <c r="BF21" s="382">
        <f t="shared" si="50"/>
        <v>0.49797242497972427</v>
      </c>
      <c r="BG21" s="382">
        <f t="shared" si="50"/>
        <v>0.45718432510885343</v>
      </c>
      <c r="BH21" s="382">
        <f t="shared" si="50"/>
        <v>0.42769607843137253</v>
      </c>
      <c r="BI21" s="382">
        <f t="shared" si="50"/>
        <v>0.40225988700564974</v>
      </c>
      <c r="BJ21" s="382">
        <f t="shared" si="50"/>
        <v>0.40531561461794019</v>
      </c>
      <c r="BK21" s="382">
        <f t="shared" si="50"/>
        <v>0.43217197924388434</v>
      </c>
      <c r="BL21" s="382">
        <f t="shared" si="50"/>
        <v>0.38293897882938976</v>
      </c>
      <c r="BM21" s="382">
        <f t="shared" si="50"/>
        <v>0.33734939759036142</v>
      </c>
      <c r="BN21" s="382">
        <f t="shared" si="50"/>
        <v>0.56074766355140182</v>
      </c>
      <c r="BO21" s="382">
        <f t="shared" si="50"/>
        <v>0.64020270270270274</v>
      </c>
      <c r="BP21" s="382">
        <f t="shared" ref="BP21:EA21" si="51">BP18/BP$4</f>
        <v>0.55372492836676213</v>
      </c>
      <c r="BQ21" s="382">
        <f t="shared" si="51"/>
        <v>0.5297691373025516</v>
      </c>
      <c r="BR21" s="382">
        <f t="shared" si="51"/>
        <v>0.5095298602287166</v>
      </c>
      <c r="BS21" s="382">
        <f t="shared" si="51"/>
        <v>0.50332728372655777</v>
      </c>
      <c r="BT21" s="382">
        <f t="shared" si="51"/>
        <v>0.49443757725587145</v>
      </c>
      <c r="BU21" s="382">
        <f t="shared" si="51"/>
        <v>0.50212249848392965</v>
      </c>
      <c r="BV21" s="382">
        <f t="shared" si="51"/>
        <v>0.50464972101673899</v>
      </c>
      <c r="BW21" s="382">
        <f t="shared" si="51"/>
        <v>0.49745870393900887</v>
      </c>
      <c r="BX21" s="382">
        <f t="shared" si="51"/>
        <v>0.50591715976331364</v>
      </c>
      <c r="BY21" s="382">
        <f t="shared" si="51"/>
        <v>0.50325251330573628</v>
      </c>
      <c r="BZ21" s="382">
        <f t="shared" si="51"/>
        <v>0.50031545741324923</v>
      </c>
      <c r="CA21" s="382">
        <f t="shared" si="51"/>
        <v>0.50176928520877562</v>
      </c>
      <c r="CB21" s="382">
        <f t="shared" si="51"/>
        <v>0.64223798266351462</v>
      </c>
      <c r="CC21" s="382">
        <f t="shared" si="51"/>
        <v>0.55584415584415581</v>
      </c>
      <c r="CD21" s="382">
        <f t="shared" si="51"/>
        <v>0.53400735294117652</v>
      </c>
      <c r="CE21" s="382">
        <f t="shared" si="51"/>
        <v>0.55813953488372092</v>
      </c>
      <c r="CF21" s="382">
        <f t="shared" si="51"/>
        <v>0.6078028747433265</v>
      </c>
      <c r="CG21" s="382">
        <f t="shared" si="51"/>
        <v>0.62051604782882319</v>
      </c>
      <c r="CH21" s="382">
        <f t="shared" si="51"/>
        <v>0.61560486757337152</v>
      </c>
      <c r="CI21" s="382">
        <f t="shared" si="51"/>
        <v>0.62040249826509364</v>
      </c>
      <c r="CJ21" s="382">
        <f t="shared" si="51"/>
        <v>0.62211336599020295</v>
      </c>
      <c r="CK21" s="382">
        <f t="shared" si="51"/>
        <v>0.6271186440677966</v>
      </c>
      <c r="CL21" s="382">
        <f t="shared" si="51"/>
        <v>0.64174757281553396</v>
      </c>
      <c r="CM21" s="382">
        <f t="shared" si="51"/>
        <v>0.6709129511677282</v>
      </c>
      <c r="CN21" s="382">
        <f t="shared" si="51"/>
        <v>0.73515551366635246</v>
      </c>
      <c r="CO21" s="382">
        <f t="shared" si="51"/>
        <v>0.66910229645093944</v>
      </c>
      <c r="CP21" s="382">
        <f t="shared" si="51"/>
        <v>0.63701923076923073</v>
      </c>
      <c r="CQ21" s="382">
        <f t="shared" si="51"/>
        <v>0.65725413826679646</v>
      </c>
      <c r="CR21" s="382">
        <f t="shared" si="51"/>
        <v>0.6694720734506503</v>
      </c>
      <c r="CS21" s="382">
        <f t="shared" si="51"/>
        <v>0.65189873417721522</v>
      </c>
      <c r="CT21" s="382">
        <f>CT18/CT$4</f>
        <v>0.62906504065040647</v>
      </c>
      <c r="CU21" s="382">
        <f t="shared" si="51"/>
        <v>0.64075286415711952</v>
      </c>
      <c r="CV21" s="382">
        <f t="shared" si="51"/>
        <v>0.6293365794278758</v>
      </c>
      <c r="CW21" s="382">
        <f>CW18/CW$4</f>
        <v>0.62567567567567572</v>
      </c>
      <c r="CX21" s="382">
        <f t="shared" si="51"/>
        <v>0.61080752884031575</v>
      </c>
      <c r="CY21" s="382">
        <f t="shared" si="51"/>
        <v>0.60478359908883828</v>
      </c>
      <c r="CZ21" s="382">
        <f t="shared" si="51"/>
        <v>0.57531760435571688</v>
      </c>
      <c r="DA21" s="382">
        <f t="shared" si="51"/>
        <v>0.59126145172656797</v>
      </c>
      <c r="DB21" s="382">
        <f t="shared" si="51"/>
        <v>0.55424528301886788</v>
      </c>
      <c r="DC21" s="382">
        <f t="shared" si="51"/>
        <v>0.56041802743305025</v>
      </c>
      <c r="DD21" s="382">
        <f t="shared" si="51"/>
        <v>0.53525818989450302</v>
      </c>
      <c r="DE21" s="382">
        <f t="shared" si="51"/>
        <v>0.52374236013164077</v>
      </c>
      <c r="DF21" s="382">
        <f t="shared" si="51"/>
        <v>0.50391937290033595</v>
      </c>
      <c r="DG21" s="382">
        <f t="shared" si="51"/>
        <v>0.52380952380952384</v>
      </c>
      <c r="DH21" s="382">
        <f t="shared" si="51"/>
        <v>0.53159585862192071</v>
      </c>
      <c r="DI21" s="382">
        <f t="shared" si="51"/>
        <v>0.52805178791615293</v>
      </c>
      <c r="DJ21" s="383">
        <f t="shared" si="51"/>
        <v>0.51175616835994198</v>
      </c>
      <c r="DK21" s="383">
        <f t="shared" si="51"/>
        <v>0.49948051948051947</v>
      </c>
      <c r="DL21" s="383">
        <f t="shared" si="51"/>
        <v>0.49385578483654069</v>
      </c>
      <c r="DM21" s="383">
        <f t="shared" si="51"/>
        <v>0.47285536676336509</v>
      </c>
      <c r="DN21" s="383">
        <f t="shared" si="51"/>
        <v>0.45201290980125702</v>
      </c>
      <c r="DO21" s="383">
        <f t="shared" si="51"/>
        <v>0.43709923664122136</v>
      </c>
      <c r="DP21" s="383">
        <f t="shared" si="51"/>
        <v>0.47331536388140161</v>
      </c>
      <c r="DQ21" s="383">
        <f t="shared" si="51"/>
        <v>0.45954634756206464</v>
      </c>
      <c r="DR21" s="383">
        <f t="shared" si="51"/>
        <v>0.47207173547543435</v>
      </c>
      <c r="DS21" s="383">
        <f t="shared" si="51"/>
        <v>0.47546183989550289</v>
      </c>
      <c r="DT21" s="383">
        <f>DT18/DT$4</f>
        <v>0.46206896551724136</v>
      </c>
      <c r="DU21" s="383">
        <f>DU18/DU$4</f>
        <v>0.46643968871595332</v>
      </c>
      <c r="DV21" s="382">
        <f>DV18/DV$4</f>
        <v>0.44874840124246301</v>
      </c>
      <c r="DW21" s="382">
        <f t="shared" si="51"/>
        <v>0.44095972579263065</v>
      </c>
      <c r="DX21" s="382">
        <f>DX18/DX$4</f>
        <v>0.43936061006012611</v>
      </c>
      <c r="DY21" s="383">
        <f t="shared" si="51"/>
        <v>0.43771219639592585</v>
      </c>
      <c r="DZ21" s="383">
        <f t="shared" si="51"/>
        <v>0.44044097875773058</v>
      </c>
      <c r="EA21" s="383">
        <f t="shared" si="51"/>
        <v>0.54339622641509433</v>
      </c>
      <c r="EB21" s="383">
        <f t="shared" ref="EB21:EW21" si="52">EB18/EB$4</f>
        <v>0.4400821977071166</v>
      </c>
      <c r="EC21" s="383">
        <f t="shared" si="52"/>
        <v>0.41178188899707885</v>
      </c>
      <c r="ED21" s="383">
        <f t="shared" si="52"/>
        <v>0.4262167170584219</v>
      </c>
      <c r="EE21" s="384">
        <f t="shared" si="52"/>
        <v>0.42112627178659412</v>
      </c>
      <c r="EF21" s="384">
        <f t="shared" si="52"/>
        <v>0.42103465386818673</v>
      </c>
      <c r="EG21" s="384">
        <f t="shared" si="52"/>
        <v>0.44471926898610875</v>
      </c>
      <c r="EH21" s="384">
        <f t="shared" si="52"/>
        <v>0.44692573538201669</v>
      </c>
      <c r="EI21" s="384">
        <f t="shared" si="52"/>
        <v>0.44927358551675572</v>
      </c>
      <c r="EJ21" s="384">
        <f t="shared" si="52"/>
        <v>0.45594089771249746</v>
      </c>
      <c r="EK21" s="384">
        <f t="shared" si="52"/>
        <v>0.4593427050051313</v>
      </c>
      <c r="EL21" s="384">
        <f t="shared" si="52"/>
        <v>0.45134867975402798</v>
      </c>
      <c r="EM21" s="384">
        <f t="shared" si="52"/>
        <v>0.45018383936351397</v>
      </c>
      <c r="EN21" s="384">
        <f t="shared" si="52"/>
        <v>0.44890140887723012</v>
      </c>
      <c r="EO21" s="384">
        <f t="shared" si="52"/>
        <v>0.45022994766878277</v>
      </c>
      <c r="EP21" s="384">
        <f t="shared" si="52"/>
        <v>0.45133400367088922</v>
      </c>
      <c r="EQ21" s="384">
        <f t="shared" si="52"/>
        <v>0.45241761060004876</v>
      </c>
      <c r="ER21" s="384">
        <f t="shared" si="52"/>
        <v>0.45166513603367958</v>
      </c>
      <c r="ES21" s="384">
        <f t="shared" si="52"/>
        <v>0.4516969942153351</v>
      </c>
      <c r="ET21" s="384">
        <f t="shared" si="52"/>
        <v>0.44986423420009597</v>
      </c>
      <c r="EU21" s="384">
        <f t="shared" si="52"/>
        <v>0.45089214240376713</v>
      </c>
      <c r="EV21" s="384">
        <f t="shared" si="52"/>
        <v>0.45083562927448284</v>
      </c>
      <c r="EW21" s="384">
        <f t="shared" si="52"/>
        <v>0.45055655283310564</v>
      </c>
      <c r="EZ21" s="382">
        <f t="shared" ref="EZ21:FZ21" si="53">EZ18/EZ$4</f>
        <v>0.37281105152037275</v>
      </c>
      <c r="FA21" s="382">
        <f t="shared" si="53"/>
        <v>0.35899035864744672</v>
      </c>
      <c r="FB21" s="382">
        <f t="shared" si="53"/>
        <v>0.42654021609038717</v>
      </c>
      <c r="FC21" s="382">
        <f t="shared" si="53"/>
        <v>0.56742305118383385</v>
      </c>
      <c r="FD21" s="382">
        <f t="shared" si="53"/>
        <v>0.50245525436316374</v>
      </c>
      <c r="FE21" s="382">
        <f t="shared" si="53"/>
        <v>0.49217647644249474</v>
      </c>
      <c r="FF21" s="382">
        <f t="shared" si="53"/>
        <v>0.50703806405646112</v>
      </c>
      <c r="FG21" s="382">
        <f t="shared" si="53"/>
        <v>0.41677197752803669</v>
      </c>
      <c r="FH21" s="382">
        <f t="shared" si="53"/>
        <v>0.50362355894026201</v>
      </c>
      <c r="FI21" s="382">
        <f t="shared" si="53"/>
        <v>0.5003624358507085</v>
      </c>
      <c r="FJ21" s="382">
        <f t="shared" si="53"/>
        <v>0.37832862767563247</v>
      </c>
      <c r="FK21" s="382">
        <f t="shared" si="53"/>
        <v>0.36156283146736884</v>
      </c>
      <c r="FL21" s="382">
        <f t="shared" si="53"/>
        <v>0.38246063283989246</v>
      </c>
      <c r="FM21" s="382">
        <f t="shared" si="53"/>
        <v>0.35486118523734644</v>
      </c>
      <c r="FN21" s="382">
        <f t="shared" si="53"/>
        <v>0.44137701646432731</v>
      </c>
      <c r="FO21" s="382">
        <f t="shared" si="53"/>
        <v>0.39131981501245111</v>
      </c>
      <c r="FP21" s="382">
        <f t="shared" si="53"/>
        <v>0.56690727373681293</v>
      </c>
      <c r="FQ21" s="382">
        <f t="shared" si="53"/>
        <v>0.50230982445334149</v>
      </c>
      <c r="FR21" s="382">
        <f t="shared" si="53"/>
        <v>0.50289281364190008</v>
      </c>
      <c r="FS21" s="382">
        <f t="shared" si="53"/>
        <v>0.54573957949096275</v>
      </c>
      <c r="FT21" s="382">
        <f t="shared" si="53"/>
        <v>0.58558218531798456</v>
      </c>
      <c r="FU21" s="382">
        <f t="shared" si="53"/>
        <v>0.62114057391936073</v>
      </c>
      <c r="FV21" s="382">
        <f t="shared" si="53"/>
        <v>0.68003006765221752</v>
      </c>
      <c r="FW21" s="382">
        <f t="shared" si="53"/>
        <v>0.65566479400749067</v>
      </c>
      <c r="FX21" s="382">
        <f t="shared" si="53"/>
        <v>0.63088759617188961</v>
      </c>
      <c r="FY21" s="382">
        <f t="shared" si="53"/>
        <v>0.5958301158301158</v>
      </c>
      <c r="FZ21" s="382">
        <f t="shared" si="53"/>
        <v>0.54093002525627698</v>
      </c>
      <c r="GA21" s="382">
        <f>GA18/GA$4</f>
        <v>0.52381440131107238</v>
      </c>
      <c r="GB21" s="382">
        <f>GB18/GB$4</f>
        <v>0.49275891444566144</v>
      </c>
      <c r="GC21" s="382">
        <f>GC18/GC$4</f>
        <v>0.45468412355408672</v>
      </c>
      <c r="GD21" s="382">
        <f>GD18/GD$4</f>
        <v>0.4687830687830688</v>
      </c>
      <c r="GE21" s="382">
        <f>GE18/GE$4</f>
        <v>0.44122551871242971</v>
      </c>
      <c r="GG21" s="384"/>
      <c r="GH21" s="384"/>
      <c r="GI21" s="384"/>
      <c r="GJ21" s="384"/>
      <c r="GK21" s="384"/>
      <c r="GN21" s="70"/>
      <c r="IF21" s="394"/>
    </row>
    <row r="22" spans="1:240" s="376" customFormat="1" ht="12" hidden="1" customHeight="1" outlineLevel="1">
      <c r="A22" s="395" t="s">
        <v>206</v>
      </c>
      <c r="CD22" s="376">
        <v>269</v>
      </c>
      <c r="CF22" s="376">
        <v>221</v>
      </c>
      <c r="CH22" s="376">
        <v>260</v>
      </c>
      <c r="CJ22" s="376">
        <v>290</v>
      </c>
      <c r="CM22" s="376">
        <v>246</v>
      </c>
      <c r="CN22" s="376">
        <v>288</v>
      </c>
      <c r="CP22" s="376">
        <v>208</v>
      </c>
      <c r="CQ22" s="376">
        <v>85</v>
      </c>
      <c r="CR22" s="376">
        <v>186</v>
      </c>
      <c r="CT22" s="376">
        <v>176</v>
      </c>
      <c r="CX22" s="376">
        <v>398</v>
      </c>
      <c r="DB22" s="376">
        <v>378</v>
      </c>
      <c r="DJ22" s="397"/>
      <c r="DK22" s="397"/>
      <c r="DL22" s="397"/>
      <c r="DM22" s="397"/>
      <c r="DN22" s="397"/>
      <c r="DO22" s="397"/>
      <c r="DP22" s="397"/>
      <c r="DQ22" s="397"/>
      <c r="DR22" s="397"/>
      <c r="DS22" s="397"/>
      <c r="DT22" s="397"/>
      <c r="DU22" s="397"/>
      <c r="DY22" s="397"/>
      <c r="DZ22" s="397"/>
      <c r="EA22" s="397"/>
      <c r="EB22" s="397"/>
      <c r="EC22" s="397"/>
      <c r="ED22" s="397"/>
      <c r="EE22" s="380"/>
      <c r="EF22" s="380"/>
      <c r="EG22" s="380"/>
      <c r="EH22" s="380"/>
      <c r="EI22" s="380"/>
      <c r="EJ22" s="380"/>
      <c r="EK22" s="380"/>
      <c r="EL22" s="380"/>
      <c r="EM22" s="380"/>
      <c r="EN22" s="380"/>
      <c r="EO22" s="380"/>
      <c r="EP22" s="380"/>
      <c r="EQ22" s="380"/>
      <c r="ER22" s="380"/>
      <c r="ES22" s="380"/>
      <c r="ET22" s="380"/>
      <c r="EU22" s="380"/>
      <c r="EV22" s="380"/>
      <c r="EW22" s="380"/>
      <c r="FT22" s="376">
        <v>1000</v>
      </c>
      <c r="FU22" s="376">
        <v>1000</v>
      </c>
      <c r="FV22" s="376">
        <v>900</v>
      </c>
      <c r="FW22" s="376">
        <v>700</v>
      </c>
      <c r="FX22" s="376">
        <v>1100</v>
      </c>
      <c r="FY22" s="376">
        <v>1600</v>
      </c>
      <c r="FZ22" s="376">
        <v>500</v>
      </c>
      <c r="GG22" s="380"/>
      <c r="GH22" s="380"/>
      <c r="GI22" s="380"/>
      <c r="GJ22" s="380"/>
      <c r="GK22" s="380"/>
      <c r="GN22" s="70"/>
    </row>
    <row r="23" spans="1:240" s="382" customFormat="1" ht="12" hidden="1" customHeight="1" outlineLevel="1">
      <c r="A23" s="396" t="s">
        <v>198</v>
      </c>
      <c r="CN23" s="382">
        <f>CN22/CM22-1</f>
        <v>0.1707317073170731</v>
      </c>
      <c r="CQ23" s="382">
        <f>CQ22/CP22-1</f>
        <v>-0.59134615384615385</v>
      </c>
      <c r="CR23" s="382">
        <f>CR22/CQ22-1</f>
        <v>1.1882352941176473</v>
      </c>
      <c r="DJ23" s="383"/>
      <c r="DK23" s="383"/>
      <c r="DL23" s="383"/>
      <c r="DM23" s="383"/>
      <c r="DN23" s="383"/>
      <c r="DO23" s="383"/>
      <c r="DP23" s="383"/>
      <c r="DQ23" s="383"/>
      <c r="DR23" s="383"/>
      <c r="DS23" s="383"/>
      <c r="DT23" s="383"/>
      <c r="DU23" s="383"/>
      <c r="DY23" s="383"/>
      <c r="DZ23" s="383"/>
      <c r="EA23" s="383"/>
      <c r="EB23" s="383"/>
      <c r="EC23" s="383"/>
      <c r="ED23" s="383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384"/>
      <c r="EQ23" s="384"/>
      <c r="ER23" s="384"/>
      <c r="ES23" s="384"/>
      <c r="ET23" s="384"/>
      <c r="EU23" s="384"/>
      <c r="EV23" s="384"/>
      <c r="EW23" s="384"/>
      <c r="GG23" s="384"/>
      <c r="GH23" s="384"/>
      <c r="GI23" s="384"/>
      <c r="GJ23" s="384"/>
      <c r="GK23" s="384"/>
      <c r="GN23" s="70"/>
      <c r="IF23" s="394"/>
    </row>
    <row r="24" spans="1:240" s="382" customFormat="1" ht="12" hidden="1" customHeight="1" outlineLevel="1">
      <c r="A24" s="396" t="s">
        <v>200</v>
      </c>
      <c r="CH24" s="382">
        <f>CH22/CD22-1</f>
        <v>-3.3457249070631967E-2</v>
      </c>
      <c r="CJ24" s="382">
        <f>CJ22/CF22-1</f>
        <v>0.31221719457013575</v>
      </c>
      <c r="CQ24" s="382">
        <f>CQ22/CM22-1</f>
        <v>-0.65447154471544722</v>
      </c>
      <c r="CR24" s="382">
        <f>CR22/CN22-1</f>
        <v>-0.35416666666666663</v>
      </c>
      <c r="CT24" s="382">
        <f>CT22/CP22-1</f>
        <v>-0.15384615384615385</v>
      </c>
      <c r="CX24" s="382">
        <f>CX22/CT22-1</f>
        <v>1.2613636363636362</v>
      </c>
      <c r="DB24" s="382">
        <f>DB22/CX22-1</f>
        <v>-5.0251256281407031E-2</v>
      </c>
      <c r="DJ24" s="383"/>
      <c r="DK24" s="383"/>
      <c r="DL24" s="383"/>
      <c r="DM24" s="383"/>
      <c r="DN24" s="383"/>
      <c r="DO24" s="383"/>
      <c r="DP24" s="383"/>
      <c r="DQ24" s="383"/>
      <c r="DR24" s="383"/>
      <c r="DS24" s="383"/>
      <c r="DT24" s="383"/>
      <c r="DU24" s="383"/>
      <c r="DY24" s="383"/>
      <c r="DZ24" s="383"/>
      <c r="EA24" s="383"/>
      <c r="EB24" s="383"/>
      <c r="EC24" s="383"/>
      <c r="ED24" s="383"/>
      <c r="EE24" s="398"/>
      <c r="EF24" s="398"/>
      <c r="EG24" s="398"/>
      <c r="EH24" s="398"/>
      <c r="EI24" s="398"/>
      <c r="EJ24" s="398"/>
      <c r="EK24" s="398"/>
      <c r="EL24" s="398"/>
      <c r="EM24" s="398"/>
      <c r="EN24" s="398"/>
      <c r="EO24" s="398"/>
      <c r="EP24" s="398"/>
      <c r="EQ24" s="398"/>
      <c r="ER24" s="398"/>
      <c r="ES24" s="398"/>
      <c r="ET24" s="398"/>
      <c r="EU24" s="398"/>
      <c r="EV24" s="398"/>
      <c r="EW24" s="398"/>
      <c r="FU24" s="382">
        <f t="shared" ref="FU24:FZ24" si="54">FU22/FT22-1</f>
        <v>0</v>
      </c>
      <c r="FV24" s="382">
        <f t="shared" si="54"/>
        <v>-9.9999999999999978E-2</v>
      </c>
      <c r="FW24" s="382">
        <f t="shared" si="54"/>
        <v>-0.22222222222222221</v>
      </c>
      <c r="FX24" s="382">
        <f t="shared" si="54"/>
        <v>0.5714285714285714</v>
      </c>
      <c r="FY24" s="382">
        <f t="shared" si="54"/>
        <v>0.45454545454545459</v>
      </c>
      <c r="FZ24" s="382">
        <f t="shared" si="54"/>
        <v>-0.6875</v>
      </c>
      <c r="GG24" s="384"/>
      <c r="GH24" s="384"/>
      <c r="GI24" s="384"/>
      <c r="GJ24" s="384"/>
      <c r="GK24" s="384"/>
      <c r="GN24" s="70"/>
      <c r="IF24" s="394"/>
    </row>
    <row r="25" spans="1:240" s="382" customFormat="1" ht="12" hidden="1" customHeight="1" outlineLevel="1">
      <c r="A25" s="396" t="s">
        <v>207</v>
      </c>
      <c r="CD25" s="382">
        <f>CD22/CD10</f>
        <v>0.41835147744945567</v>
      </c>
      <c r="CF25" s="382">
        <f>CF22/CF10</f>
        <v>0.23510638297872341</v>
      </c>
      <c r="CH25" s="382">
        <f>CH22/CH10</f>
        <v>0.2857142857142857</v>
      </c>
      <c r="CJ25" s="382">
        <f>CJ22/CJ10</f>
        <v>0.31016042780748665</v>
      </c>
      <c r="CM25" s="382">
        <f>CM22/CM10</f>
        <v>0.36336779911373707</v>
      </c>
      <c r="CN25" s="382">
        <f>CN22/CN10</f>
        <v>0.35036496350364965</v>
      </c>
      <c r="CP25" s="382">
        <f>CP22/CP10</f>
        <v>0.369449378330373</v>
      </c>
      <c r="CQ25" s="382">
        <f>CQ22/CQ10</f>
        <v>0.12005649717514125</v>
      </c>
      <c r="CR25" s="382">
        <f>CR22/CR10</f>
        <v>0.20484581497797358</v>
      </c>
      <c r="CT25" s="382">
        <f>CT22/CT10</f>
        <v>0.26952526799387444</v>
      </c>
      <c r="CX25" s="382">
        <f>CX22/CX10</f>
        <v>0.37904761904761902</v>
      </c>
      <c r="DB25" s="382">
        <f>DB22/DB10</f>
        <v>0.50332889480692411</v>
      </c>
      <c r="DJ25" s="383"/>
      <c r="DK25" s="383"/>
      <c r="DL25" s="383"/>
      <c r="DM25" s="383"/>
      <c r="DN25" s="383"/>
      <c r="DO25" s="383"/>
      <c r="DP25" s="383"/>
      <c r="DQ25" s="383"/>
      <c r="DR25" s="383"/>
      <c r="DS25" s="383"/>
      <c r="DT25" s="383"/>
      <c r="DU25" s="383"/>
      <c r="DY25" s="383"/>
      <c r="DZ25" s="383"/>
      <c r="EA25" s="383"/>
      <c r="EB25" s="383"/>
      <c r="EC25" s="383"/>
      <c r="ED25" s="383"/>
      <c r="EE25" s="384"/>
      <c r="EF25" s="384"/>
      <c r="EG25" s="384"/>
      <c r="EH25" s="384"/>
      <c r="EI25" s="384"/>
      <c r="EJ25" s="384"/>
      <c r="EK25" s="384"/>
      <c r="EL25" s="384"/>
      <c r="EM25" s="384"/>
      <c r="EN25" s="384"/>
      <c r="EO25" s="384"/>
      <c r="EP25" s="384"/>
      <c r="EQ25" s="384"/>
      <c r="ER25" s="384"/>
      <c r="ES25" s="384"/>
      <c r="ET25" s="384"/>
      <c r="EU25" s="384"/>
      <c r="EV25" s="384"/>
      <c r="EW25" s="384"/>
      <c r="FT25" s="382">
        <f t="shared" ref="FT25:FZ25" si="55">FT22/FT10</f>
        <v>0.30111412225233364</v>
      </c>
      <c r="FU25" s="382">
        <f t="shared" si="55"/>
        <v>0.27708506511499031</v>
      </c>
      <c r="FV25" s="382">
        <f t="shared" si="55"/>
        <v>0.31271716469770672</v>
      </c>
      <c r="FW25" s="382">
        <f t="shared" si="55"/>
        <v>0.23858214042263123</v>
      </c>
      <c r="FX25" s="382">
        <f t="shared" si="55"/>
        <v>0.31374786081003991</v>
      </c>
      <c r="FY25" s="382">
        <f t="shared" si="55"/>
        <v>0.39721946375372391</v>
      </c>
      <c r="FZ25" s="382">
        <f t="shared" si="55"/>
        <v>0.12943308309603935</v>
      </c>
      <c r="GG25" s="384"/>
      <c r="GH25" s="384"/>
      <c r="GI25" s="384"/>
      <c r="GJ25" s="384"/>
      <c r="GK25" s="384"/>
      <c r="GN25" s="70"/>
      <c r="IF25" s="394"/>
    </row>
    <row r="26" spans="1:240" s="379" customFormat="1" collapsed="1">
      <c r="A26" s="376" t="s">
        <v>208</v>
      </c>
      <c r="B26" s="377">
        <f>AMD!AF18</f>
        <v>213.351</v>
      </c>
      <c r="C26" s="377">
        <f>AMD!AG18</f>
        <v>222.16099999999997</v>
      </c>
      <c r="D26" s="377">
        <f>AMD!AH18</f>
        <v>218.35199999999998</v>
      </c>
      <c r="E26" s="377">
        <f>AMD!AI18</f>
        <v>204.852</v>
      </c>
      <c r="F26" s="377">
        <f>AMD!AK18</f>
        <v>282.64300000000003</v>
      </c>
      <c r="G26" s="377">
        <f>AMD!AL18</f>
        <v>297.67400000000004</v>
      </c>
      <c r="H26" s="377">
        <f>AMD!AM18</f>
        <v>290.70500000000004</v>
      </c>
      <c r="I26" s="377">
        <f>AMD!AN18</f>
        <v>281.33100000000002</v>
      </c>
      <c r="J26" s="377">
        <f>AMD!AP18</f>
        <v>329.32400000000001</v>
      </c>
      <c r="K26" s="377">
        <f>AMD!AQ18</f>
        <v>325.25500000000005</v>
      </c>
      <c r="L26" s="377">
        <f>AMD!AR18</f>
        <v>246.041</v>
      </c>
      <c r="M26" s="377">
        <f>AMD!AS18</f>
        <v>230.22799999999995</v>
      </c>
      <c r="N26" s="377">
        <f>AMD!AU18</f>
        <v>175.47699999999998</v>
      </c>
      <c r="O26" s="377">
        <f>AMD!AV18</f>
        <v>75.298000000000002</v>
      </c>
      <c r="P26" s="377">
        <f>AMD!AW18</f>
        <v>119.17000000000002</v>
      </c>
      <c r="Q26" s="377">
        <f>AMD!AX18</f>
        <v>142.24599999999998</v>
      </c>
      <c r="R26" s="377">
        <f>AMD!AZ18</f>
        <v>202.923</v>
      </c>
      <c r="S26" s="377">
        <f>AMD!BA18</f>
        <v>222.29499999999996</v>
      </c>
      <c r="T26" s="377">
        <f>AMD!BB18</f>
        <v>168.404</v>
      </c>
      <c r="U26" s="377">
        <f>AMD!BC18</f>
        <v>184.31500000000011</v>
      </c>
      <c r="V26" s="377">
        <f>AMD!BE18</f>
        <v>117.26499999999999</v>
      </c>
      <c r="W26" s="377">
        <f>AMD!BF18</f>
        <v>136.39800000000002</v>
      </c>
      <c r="X26" s="377">
        <f>AMD!BG18</f>
        <v>262.94200000000001</v>
      </c>
      <c r="Y26" s="377">
        <f>AMD!BH18</f>
        <v>306.83300000000003</v>
      </c>
      <c r="Z26" s="377">
        <f>AMD!BJ18</f>
        <v>181.16200000000003</v>
      </c>
      <c r="AA26" s="377">
        <f>AMD!BK18</f>
        <v>136.77000000000004</v>
      </c>
      <c r="AB26" s="377">
        <f>AMD!BL18</f>
        <v>188.07300000000009</v>
      </c>
      <c r="AC26" s="377">
        <f>AMD!BM18</f>
        <v>387.16499999999996</v>
      </c>
      <c r="AD26" s="377">
        <f>AMD!BO18</f>
        <v>486.27199999999993</v>
      </c>
      <c r="AE26" s="377">
        <f>AMD!BP18</f>
        <v>557.86999999999989</v>
      </c>
      <c r="AF26" s="377">
        <f>AMD!BQ18</f>
        <v>567.53899999999999</v>
      </c>
      <c r="AG26" s="377">
        <f>AMD!BR18</f>
        <v>517.86900000000003</v>
      </c>
      <c r="AH26" s="377">
        <f>AMD!BT18</f>
        <v>473.91700000000003</v>
      </c>
      <c r="AI26" s="377">
        <f>AMD!BU18</f>
        <v>349.06500000000005</v>
      </c>
      <c r="AJ26" s="377">
        <f>AMD!BV18</f>
        <v>178.71500000000003</v>
      </c>
      <c r="AK26" s="377">
        <f>AMD!BW18</f>
        <v>307.21100000000001</v>
      </c>
      <c r="AL26" s="377">
        <f>AMD!BY18</f>
        <v>315.19899999999996</v>
      </c>
      <c r="AM26" s="377">
        <f>AMD!BZ18</f>
        <v>42.009000000000015</v>
      </c>
      <c r="AN26" s="377">
        <f>AMD!CA18</f>
        <v>54.342999999999961</v>
      </c>
      <c r="AO26" s="377">
        <f>AMD!CB18</f>
        <v>179.81700000000001</v>
      </c>
      <c r="AP26" s="377">
        <f>AMD!CD18</f>
        <v>217.96299999999997</v>
      </c>
      <c r="AQ26" s="377">
        <f>AMD!CE18</f>
        <v>220.17600000000004</v>
      </c>
      <c r="AR26" s="377">
        <f>AMD!CF18</f>
        <v>326.87900000000002</v>
      </c>
      <c r="AS26" s="377">
        <f>AMD!CG18</f>
        <v>427.08500000000004</v>
      </c>
      <c r="AT26" s="377">
        <f>AMD!CI18</f>
        <v>467.59299999999996</v>
      </c>
      <c r="AU26" s="377">
        <f>AMD!CJ18</f>
        <v>478.76800000000003</v>
      </c>
      <c r="AV26" s="377">
        <f>AMD!CK18</f>
        <v>501.43299999999999</v>
      </c>
      <c r="AW26" s="377">
        <f>AMD!CL18</f>
        <v>521.05600000000004</v>
      </c>
      <c r="AX26" s="377">
        <f>AMD!CN18</f>
        <v>419.17899999999997</v>
      </c>
      <c r="AY26" s="377">
        <f>AMD!CO18</f>
        <v>493.96399999999994</v>
      </c>
      <c r="AZ26" s="377">
        <f>AMD!CP18</f>
        <v>626.49400000000014</v>
      </c>
      <c r="BA26" s="377">
        <f>AMD!CQ18</f>
        <v>852.12799999999993</v>
      </c>
      <c r="BB26" s="377">
        <f>AMD!CS18</f>
        <v>778.81799999999987</v>
      </c>
      <c r="BC26" s="377">
        <f>AMD!CT18</f>
        <v>690.30799999999999</v>
      </c>
      <c r="BD26" s="377">
        <f>AMD!CU18</f>
        <v>682.35800000000006</v>
      </c>
      <c r="BE26" s="377">
        <f>AMD!CV18</f>
        <v>703</v>
      </c>
      <c r="BF26" s="377">
        <f>AMD!CX18</f>
        <v>376</v>
      </c>
      <c r="BG26" s="377">
        <f>AMD!CY18</f>
        <v>493</v>
      </c>
      <c r="BH26" s="377">
        <f>AMD!CZ18</f>
        <v>671</v>
      </c>
      <c r="BI26" s="377">
        <f>AMD!DA18</f>
        <v>785</v>
      </c>
      <c r="BJ26" s="377">
        <f>AMD!DC18</f>
        <v>628</v>
      </c>
      <c r="BK26" s="377">
        <f>AMD!DD18</f>
        <v>503</v>
      </c>
      <c r="BL26" s="377">
        <f>AMD!DE18</f>
        <v>725</v>
      </c>
      <c r="BM26" s="377">
        <f>AMD!DF18</f>
        <v>499</v>
      </c>
      <c r="BN26" s="377">
        <f>AMD!DH18</f>
        <v>412</v>
      </c>
      <c r="BO26" s="377">
        <f>AMD!DI18</f>
        <v>323</v>
      </c>
      <c r="BP26" s="377">
        <f>AMD!DJ18</f>
        <v>527</v>
      </c>
      <c r="BQ26" s="377">
        <f>AMD!DK18</f>
        <v>679</v>
      </c>
      <c r="BR26" s="377">
        <f>AMD!DM18</f>
        <v>672</v>
      </c>
      <c r="BS26" s="377">
        <f>AMD!DN18</f>
        <v>738</v>
      </c>
      <c r="BT26" s="377">
        <f>AMD!DO18</f>
        <v>739</v>
      </c>
      <c r="BU26" s="377">
        <f>AMD!DP18</f>
        <v>743</v>
      </c>
      <c r="BV26" s="377">
        <f>AMD!DR18</f>
        <v>720</v>
      </c>
      <c r="BW26" s="377">
        <f>AMD!DS18</f>
        <v>720</v>
      </c>
      <c r="BX26" s="377">
        <f>AMD!DT18</f>
        <v>756</v>
      </c>
      <c r="BY26" s="377">
        <f>AMD!DU18</f>
        <v>773</v>
      </c>
      <c r="BZ26" s="377">
        <f>AMD!DW18</f>
        <v>730</v>
      </c>
      <c r="CA26" s="377">
        <f>AMD!DX18</f>
        <v>643</v>
      </c>
      <c r="CB26" s="377">
        <f>AMD!DY18</f>
        <v>392</v>
      </c>
      <c r="CC26" s="377">
        <f>AMD!DZ18</f>
        <v>451</v>
      </c>
      <c r="CD26" s="377">
        <f>AMD!EB18</f>
        <v>445</v>
      </c>
      <c r="CE26" s="377">
        <f>AMD!EC18</f>
        <v>459</v>
      </c>
      <c r="CF26" s="377">
        <f>AMD!ED18</f>
        <v>521</v>
      </c>
      <c r="CG26" s="377">
        <f>AMD!EE18</f>
        <v>553</v>
      </c>
      <c r="CH26" s="377">
        <f>AMD!EG18</f>
        <v>487</v>
      </c>
      <c r="CI26" s="377">
        <f>AMD!EH18</f>
        <v>498</v>
      </c>
      <c r="CJ26" s="377">
        <f>AMD!EI18</f>
        <v>494</v>
      </c>
      <c r="CK26" s="377">
        <f>AMD!EJ18</f>
        <v>418</v>
      </c>
      <c r="CL26" s="377">
        <f>AMD!EL18</f>
        <v>326</v>
      </c>
      <c r="CM26" s="377">
        <f>AMD!EM18</f>
        <v>265</v>
      </c>
      <c r="CN26" s="377">
        <f>AMD!EN18</f>
        <v>239</v>
      </c>
      <c r="CO26" s="377">
        <f>AMD!EO18</f>
        <v>283</v>
      </c>
      <c r="CP26" s="377">
        <f>AMD!EQ18</f>
        <v>269</v>
      </c>
      <c r="CQ26" s="377">
        <f>AMD!ER18</f>
        <v>319</v>
      </c>
      <c r="CR26" s="377">
        <f>AMD!ES18</f>
        <v>399</v>
      </c>
      <c r="CS26" s="377">
        <f>AMD!ET18</f>
        <v>351</v>
      </c>
      <c r="CT26" s="377">
        <f>AMD!EV18</f>
        <v>331</v>
      </c>
      <c r="CU26" s="377">
        <f>AMD!EW18</f>
        <v>404</v>
      </c>
      <c r="CV26" s="377">
        <f>AMD!EX18</f>
        <v>573</v>
      </c>
      <c r="CW26" s="377">
        <f>AMD!EY18</f>
        <v>515</v>
      </c>
      <c r="CX26" s="377">
        <f>AMD!FA18</f>
        <v>597</v>
      </c>
      <c r="CY26" s="377">
        <f>AMD!FB18</f>
        <v>652</v>
      </c>
      <c r="CZ26" s="377">
        <f>AMD!FC18</f>
        <v>661</v>
      </c>
      <c r="DA26" s="377">
        <f>AMD!FD18</f>
        <v>537</v>
      </c>
      <c r="DB26" s="377">
        <f>AMD!FF18</f>
        <v>521</v>
      </c>
      <c r="DC26" s="377">
        <f>AMD!FG18</f>
        <v>621</v>
      </c>
      <c r="DD26" s="377">
        <f>AMD!FH18</f>
        <v>777</v>
      </c>
      <c r="DE26" s="377">
        <f>AMD!FI18</f>
        <v>949</v>
      </c>
      <c r="DF26" s="377">
        <f>AMD!FK18</f>
        <v>818</v>
      </c>
      <c r="DG26" s="377">
        <f>AMD!FL18</f>
        <v>848</v>
      </c>
      <c r="DH26" s="377">
        <f>AMD!FM18</f>
        <v>1230</v>
      </c>
      <c r="DI26" s="377">
        <f>AMD!FN18</f>
        <v>1451</v>
      </c>
      <c r="DJ26" s="377">
        <f>AMD!FP18</f>
        <v>1587</v>
      </c>
      <c r="DK26" s="377">
        <f>AMD!FQ18</f>
        <v>1830</v>
      </c>
      <c r="DL26" s="377">
        <f>AMD!FR18</f>
        <v>2086</v>
      </c>
      <c r="DM26" s="377">
        <f>AMD!FS18</f>
        <v>2426</v>
      </c>
      <c r="DN26" s="377">
        <f>AMD!FU18</f>
        <v>3096</v>
      </c>
      <c r="DO26" s="377">
        <f>AMD!FV18</f>
        <v>3530</v>
      </c>
      <c r="DP26" s="377">
        <f>AMD!FW18</f>
        <v>2768</v>
      </c>
      <c r="DQ26" s="377">
        <f>AMD!FX18</f>
        <v>2850</v>
      </c>
      <c r="DR26" s="377">
        <f>AMD!FZ18</f>
        <v>2667</v>
      </c>
      <c r="DS26" s="377">
        <f>AMD!GA18</f>
        <v>2655</v>
      </c>
      <c r="DT26" s="377">
        <f>AMD!GB18</f>
        <v>2957</v>
      </c>
      <c r="DU26" s="377">
        <f>AMD!GC18</f>
        <v>3127</v>
      </c>
      <c r="DV26" s="377">
        <f>AMD!GE18</f>
        <v>2855</v>
      </c>
      <c r="DW26" s="377">
        <f>AMD!GF18</f>
        <v>3096</v>
      </c>
      <c r="DX26" s="377">
        <f>AMD!GG18</f>
        <v>3652</v>
      </c>
      <c r="DY26" s="377">
        <f>AMD!GH18</f>
        <v>4134</v>
      </c>
      <c r="DZ26" s="377">
        <f>AMD!GJ18</f>
        <v>3987</v>
      </c>
      <c r="EA26" s="377">
        <f>AMD!GK18</f>
        <v>3320</v>
      </c>
      <c r="EB26" s="377">
        <f>AMD!GL18</f>
        <v>4985</v>
      </c>
      <c r="EC26" s="377">
        <f>AMD!GM18</f>
        <v>5847</v>
      </c>
      <c r="ED26" s="377">
        <f>AMD!GO18</f>
        <v>5677</v>
      </c>
      <c r="EE26" s="380">
        <f t="shared" ref="EE26:EW26" si="56">EE4*EE29</f>
        <v>6290.4186981914654</v>
      </c>
      <c r="EF26" s="380">
        <f t="shared" si="56"/>
        <v>6737.8903743604396</v>
      </c>
      <c r="EG26" s="380">
        <f t="shared" si="56"/>
        <v>8784.869966169128</v>
      </c>
      <c r="EH26" s="380">
        <f t="shared" si="56"/>
        <v>9431.7586336887907</v>
      </c>
      <c r="EI26" s="380">
        <f t="shared" si="56"/>
        <v>10369.291214237615</v>
      </c>
      <c r="EJ26" s="380">
        <f t="shared" si="56"/>
        <v>11832.20044207791</v>
      </c>
      <c r="EK26" s="380">
        <f t="shared" si="56"/>
        <v>13045.110134997363</v>
      </c>
      <c r="EL26" s="380">
        <f t="shared" si="56"/>
        <v>12919.518092535425</v>
      </c>
      <c r="EM26" s="380">
        <f t="shared" si="56"/>
        <v>13547.596126701919</v>
      </c>
      <c r="EN26" s="380">
        <f t="shared" si="56"/>
        <v>14593.082381436319</v>
      </c>
      <c r="EO26" s="380">
        <f t="shared" si="56"/>
        <v>15591.035307837352</v>
      </c>
      <c r="EP26" s="380">
        <f t="shared" si="56"/>
        <v>15238.522966378898</v>
      </c>
      <c r="EQ26" s="380">
        <f t="shared" si="56"/>
        <v>15866.02923360728</v>
      </c>
      <c r="ER26" s="380">
        <f t="shared" si="56"/>
        <v>17170.059043366738</v>
      </c>
      <c r="ES26" s="380">
        <f t="shared" si="56"/>
        <v>17935.630103038198</v>
      </c>
      <c r="ET26" s="380">
        <f t="shared" si="56"/>
        <v>17220.786390894169</v>
      </c>
      <c r="EU26" s="380">
        <f t="shared" si="56"/>
        <v>17924.726305482556</v>
      </c>
      <c r="EV26" s="380">
        <f t="shared" si="56"/>
        <v>19720.506668796996</v>
      </c>
      <c r="EW26" s="380">
        <f t="shared" si="56"/>
        <v>20651.31732075843</v>
      </c>
      <c r="EZ26" s="376">
        <f>B26+C26+D26+E26</f>
        <v>858.71599999999989</v>
      </c>
      <c r="FA26" s="376">
        <f>F26+G26+H26+I26</f>
        <v>1152.3530000000001</v>
      </c>
      <c r="FB26" s="376">
        <f>J26+K26+L26+M26</f>
        <v>1130.848</v>
      </c>
      <c r="FC26" s="376">
        <f>N26+O26+P26+Q26</f>
        <v>512.19100000000003</v>
      </c>
      <c r="FD26" s="376">
        <f>R26+S26+T26+U26</f>
        <v>777.93700000000013</v>
      </c>
      <c r="FE26" s="376">
        <f>V26+W26+X26+Y26</f>
        <v>823.4380000000001</v>
      </c>
      <c r="FF26" s="376">
        <f>Z26+AA26+AB26+AC26</f>
        <v>893.17000000000007</v>
      </c>
      <c r="FG26" s="376">
        <f>AD26+AE26+AF26+AG26</f>
        <v>2129.5499999999997</v>
      </c>
      <c r="FH26" s="376">
        <f>AH26+AI26+AJ26+AK26</f>
        <v>1308.9080000000001</v>
      </c>
      <c r="FI26" s="376">
        <f>AL26+AM26+AN26+AO26</f>
        <v>591.36799999999994</v>
      </c>
      <c r="FJ26" s="376">
        <f>AP26+AQ26+AR26+AS26</f>
        <v>1192.1030000000001</v>
      </c>
      <c r="FK26" s="376">
        <f>AT26+AU26+AV26+AW26</f>
        <v>1968.85</v>
      </c>
      <c r="FL26" s="376">
        <f>AX26+AY26+AZ26+BA26</f>
        <v>2391.7650000000003</v>
      </c>
      <c r="FM26" s="376">
        <f>BB26+BC26+BD26+BE26</f>
        <v>2854.4839999999999</v>
      </c>
      <c r="FN26" s="376">
        <f>BF26+BG26+BH26+BI26</f>
        <v>2325</v>
      </c>
      <c r="FO26" s="376">
        <f>BJ26+BK26+BL26+BM26</f>
        <v>2355</v>
      </c>
      <c r="FP26" s="376">
        <f>BN26+BO26+BP26+BQ26</f>
        <v>1941</v>
      </c>
      <c r="FQ26" s="376">
        <f>BR26+BS26+BT26+BU26</f>
        <v>2892</v>
      </c>
      <c r="FR26" s="376">
        <f>BV26+BW26+BX26+BY26</f>
        <v>2969</v>
      </c>
      <c r="FS26" s="376">
        <f>BZ26+CA26+CB26+CC26</f>
        <v>2216</v>
      </c>
      <c r="FT26" s="376">
        <f>CD26+CE26+CF26+CG26</f>
        <v>1978</v>
      </c>
      <c r="FU26" s="376">
        <f>CH26+CI26+CJ26+CK26</f>
        <v>1897</v>
      </c>
      <c r="FV26" s="376">
        <f>CL26+CM26+CN26+CO26</f>
        <v>1113</v>
      </c>
      <c r="FW26" s="376">
        <f>CP26+CQ26+CR26+CS26</f>
        <v>1338</v>
      </c>
      <c r="FX26" s="376">
        <f>CT26+CU26+CV26+CW26</f>
        <v>1823</v>
      </c>
      <c r="FY26" s="376">
        <f>CX26+CY26+CZ26+DA26</f>
        <v>2447</v>
      </c>
      <c r="FZ26" s="376">
        <f>DB26+DC26+DD26+DE26</f>
        <v>2868</v>
      </c>
      <c r="GA26" s="376">
        <f>SUM(DF26:DI26)</f>
        <v>4347</v>
      </c>
      <c r="GB26" s="376">
        <f>SUM(DJ26:DM26)</f>
        <v>7929</v>
      </c>
      <c r="GC26" s="376">
        <f>SUM(DN26:DQ26)</f>
        <v>12244</v>
      </c>
      <c r="GD26" s="376">
        <f>SUM(DR26:DU26)</f>
        <v>11406</v>
      </c>
      <c r="GE26" s="376">
        <f>SUM(DV26:DY26)</f>
        <v>13737</v>
      </c>
      <c r="GF26" s="376">
        <f>SUM(DZ26:EC26)</f>
        <v>18139</v>
      </c>
      <c r="GG26" s="380">
        <f>SUM(ED26:EG26)</f>
        <v>27490.179038721031</v>
      </c>
      <c r="GH26" s="380">
        <f>SUM(EH26:EK26)</f>
        <v>44678.36042500168</v>
      </c>
      <c r="GI26" s="380">
        <f>SUM(EL26:EO26)</f>
        <v>56651.231908511014</v>
      </c>
      <c r="GJ26" s="380">
        <f>SUM(EP26:ES26)</f>
        <v>66210.241346391122</v>
      </c>
      <c r="GK26" s="380">
        <f>SUM(ET26:EW26)</f>
        <v>75517.336685932154</v>
      </c>
      <c r="GN26" s="70"/>
      <c r="IF26" s="394"/>
    </row>
    <row r="27" spans="1:240" s="382" customFormat="1">
      <c r="A27" s="381" t="s">
        <v>198</v>
      </c>
      <c r="C27" s="382">
        <f t="shared" ref="C27:BN27" si="57">C26/B26-1</f>
        <v>4.1293455385725819E-2</v>
      </c>
      <c r="D27" s="382">
        <f t="shared" si="57"/>
        <v>-1.7145223509076768E-2</v>
      </c>
      <c r="E27" s="382">
        <f t="shared" si="57"/>
        <v>-6.1826775115409904E-2</v>
      </c>
      <c r="F27" s="382">
        <f t="shared" si="57"/>
        <v>0.37974244820651015</v>
      </c>
      <c r="G27" s="382">
        <f t="shared" si="57"/>
        <v>5.3180160131331755E-2</v>
      </c>
      <c r="H27" s="382">
        <f t="shared" si="57"/>
        <v>-2.3411517297446172E-2</v>
      </c>
      <c r="I27" s="382">
        <f t="shared" si="57"/>
        <v>-3.2245747407165459E-2</v>
      </c>
      <c r="J27" s="382">
        <f t="shared" si="57"/>
        <v>0.17059264709541422</v>
      </c>
      <c r="K27" s="382">
        <f t="shared" si="57"/>
        <v>-1.2355613316976433E-2</v>
      </c>
      <c r="L27" s="382">
        <f t="shared" si="57"/>
        <v>-0.24354429601389693</v>
      </c>
      <c r="M27" s="382">
        <f t="shared" si="57"/>
        <v>-6.4269776175515658E-2</v>
      </c>
      <c r="N27" s="382">
        <f t="shared" si="57"/>
        <v>-0.23781208193616754</v>
      </c>
      <c r="O27" s="382">
        <f t="shared" si="57"/>
        <v>-0.57089533101204137</v>
      </c>
      <c r="P27" s="382">
        <f t="shared" si="57"/>
        <v>0.58264495736938571</v>
      </c>
      <c r="Q27" s="382">
        <f t="shared" si="57"/>
        <v>0.19363933875975459</v>
      </c>
      <c r="R27" s="382">
        <f t="shared" si="57"/>
        <v>0.4265638401079821</v>
      </c>
      <c r="S27" s="382">
        <f t="shared" si="57"/>
        <v>9.5464782208029453E-2</v>
      </c>
      <c r="T27" s="382">
        <f t="shared" si="57"/>
        <v>-0.24243010414089372</v>
      </c>
      <c r="U27" s="382">
        <f t="shared" si="57"/>
        <v>9.4481128714283047E-2</v>
      </c>
      <c r="V27" s="382">
        <f t="shared" si="57"/>
        <v>-0.3637793993977706</v>
      </c>
      <c r="W27" s="382">
        <f t="shared" si="57"/>
        <v>0.16316036327975136</v>
      </c>
      <c r="X27" s="382">
        <f t="shared" si="57"/>
        <v>0.92775553893752072</v>
      </c>
      <c r="Y27" s="382">
        <f t="shared" si="57"/>
        <v>0.16692274341870084</v>
      </c>
      <c r="Z27" s="382">
        <f t="shared" si="57"/>
        <v>-0.40957458943464353</v>
      </c>
      <c r="AA27" s="382">
        <f t="shared" si="57"/>
        <v>-0.24504035062540708</v>
      </c>
      <c r="AB27" s="382">
        <f t="shared" si="57"/>
        <v>0.37510418951524493</v>
      </c>
      <c r="AC27" s="382">
        <f t="shared" si="57"/>
        <v>1.0585889521621912</v>
      </c>
      <c r="AD27" s="382">
        <f t="shared" si="57"/>
        <v>0.25598129996254815</v>
      </c>
      <c r="AE27" s="382">
        <f t="shared" si="57"/>
        <v>0.14723858252171618</v>
      </c>
      <c r="AF27" s="382">
        <f t="shared" si="57"/>
        <v>1.7331994909208337E-2</v>
      </c>
      <c r="AG27" s="382">
        <f t="shared" si="57"/>
        <v>-8.7518214607278044E-2</v>
      </c>
      <c r="AH27" s="382">
        <f t="shared" si="57"/>
        <v>-8.487088433561385E-2</v>
      </c>
      <c r="AI27" s="382">
        <f t="shared" si="57"/>
        <v>-0.2634469748922279</v>
      </c>
      <c r="AJ27" s="382">
        <f t="shared" si="57"/>
        <v>-0.48801799091859677</v>
      </c>
      <c r="AK27" s="382">
        <f t="shared" si="57"/>
        <v>0.71899952438239634</v>
      </c>
      <c r="AL27" s="382">
        <f t="shared" si="57"/>
        <v>2.6001673117173274E-2</v>
      </c>
      <c r="AM27" s="382">
        <f t="shared" si="57"/>
        <v>-0.86672229290067537</v>
      </c>
      <c r="AN27" s="382">
        <f t="shared" si="57"/>
        <v>0.29360375157704155</v>
      </c>
      <c r="AO27" s="382">
        <f t="shared" si="57"/>
        <v>2.3089266326849849</v>
      </c>
      <c r="AP27" s="382">
        <f t="shared" si="57"/>
        <v>0.21213789574956743</v>
      </c>
      <c r="AQ27" s="382">
        <f t="shared" si="57"/>
        <v>1.0153099379252906E-2</v>
      </c>
      <c r="AR27" s="382">
        <f t="shared" si="57"/>
        <v>0.48462593561514411</v>
      </c>
      <c r="AS27" s="382">
        <f t="shared" si="57"/>
        <v>0.30655380125367504</v>
      </c>
      <c r="AT27" s="382">
        <f t="shared" si="57"/>
        <v>9.4847629862907734E-2</v>
      </c>
      <c r="AU27" s="382">
        <f t="shared" si="57"/>
        <v>2.3898989078108723E-2</v>
      </c>
      <c r="AV27" s="382">
        <f t="shared" si="57"/>
        <v>4.7340256658757296E-2</v>
      </c>
      <c r="AW27" s="382">
        <f t="shared" si="57"/>
        <v>3.9133842407659714E-2</v>
      </c>
      <c r="AX27" s="382">
        <f t="shared" si="57"/>
        <v>-0.19552025118221472</v>
      </c>
      <c r="AY27" s="382">
        <f t="shared" si="57"/>
        <v>0.17840826949823341</v>
      </c>
      <c r="AZ27" s="382">
        <f t="shared" si="57"/>
        <v>0.2682989043735986</v>
      </c>
      <c r="BA27" s="382">
        <f t="shared" si="57"/>
        <v>0.36015348909965583</v>
      </c>
      <c r="BB27" s="382">
        <f t="shared" si="57"/>
        <v>-8.6031675992339296E-2</v>
      </c>
      <c r="BC27" s="382">
        <f t="shared" si="57"/>
        <v>-0.11364657724911331</v>
      </c>
      <c r="BD27" s="382">
        <f t="shared" si="57"/>
        <v>-1.1516598387965815E-2</v>
      </c>
      <c r="BE27" s="382">
        <f t="shared" si="57"/>
        <v>3.0250982622025191E-2</v>
      </c>
      <c r="BF27" s="382">
        <f t="shared" si="57"/>
        <v>-0.46514935988620199</v>
      </c>
      <c r="BG27" s="382">
        <f t="shared" si="57"/>
        <v>0.31117021276595747</v>
      </c>
      <c r="BH27" s="382">
        <f t="shared" si="57"/>
        <v>0.36105476673427983</v>
      </c>
      <c r="BI27" s="382">
        <f t="shared" si="57"/>
        <v>0.16989567809239947</v>
      </c>
      <c r="BJ27" s="382">
        <f t="shared" si="57"/>
        <v>-0.19999999999999996</v>
      </c>
      <c r="BK27" s="382">
        <f t="shared" si="57"/>
        <v>-0.19904458598726116</v>
      </c>
      <c r="BL27" s="382">
        <f t="shared" si="57"/>
        <v>0.44135188866799213</v>
      </c>
      <c r="BM27" s="382">
        <f t="shared" si="57"/>
        <v>-0.31172413793103448</v>
      </c>
      <c r="BN27" s="382">
        <f t="shared" si="57"/>
        <v>-0.17434869739478953</v>
      </c>
      <c r="BO27" s="382">
        <f t="shared" ref="BO27:DZ27" si="58">BO26/BN26-1</f>
        <v>-0.21601941747572817</v>
      </c>
      <c r="BP27" s="382">
        <f t="shared" si="58"/>
        <v>0.63157894736842102</v>
      </c>
      <c r="BQ27" s="382">
        <f t="shared" si="58"/>
        <v>0.28842504743833008</v>
      </c>
      <c r="BR27" s="382">
        <f t="shared" si="58"/>
        <v>-1.0309278350515427E-2</v>
      </c>
      <c r="BS27" s="382">
        <f t="shared" si="58"/>
        <v>9.8214285714285809E-2</v>
      </c>
      <c r="BT27" s="382">
        <f t="shared" si="58"/>
        <v>1.3550135501354532E-3</v>
      </c>
      <c r="BU27" s="382">
        <f t="shared" si="58"/>
        <v>5.412719891745521E-3</v>
      </c>
      <c r="BV27" s="382">
        <f t="shared" si="58"/>
        <v>-3.0955585464333746E-2</v>
      </c>
      <c r="BW27" s="382">
        <f t="shared" si="58"/>
        <v>0</v>
      </c>
      <c r="BX27" s="382">
        <f t="shared" si="58"/>
        <v>5.0000000000000044E-2</v>
      </c>
      <c r="BY27" s="382">
        <f t="shared" si="58"/>
        <v>2.2486772486772555E-2</v>
      </c>
      <c r="BZ27" s="382">
        <f t="shared" si="58"/>
        <v>-5.5627425614488968E-2</v>
      </c>
      <c r="CA27" s="382">
        <f t="shared" si="58"/>
        <v>-0.11917808219178083</v>
      </c>
      <c r="CB27" s="382">
        <f t="shared" si="58"/>
        <v>-0.39035769828926903</v>
      </c>
      <c r="CC27" s="382">
        <f t="shared" si="58"/>
        <v>0.15051020408163263</v>
      </c>
      <c r="CD27" s="382">
        <f t="shared" si="58"/>
        <v>-1.3303769401330379E-2</v>
      </c>
      <c r="CE27" s="382">
        <f t="shared" si="58"/>
        <v>3.1460674157303359E-2</v>
      </c>
      <c r="CF27" s="382">
        <f t="shared" si="58"/>
        <v>0.13507625272331159</v>
      </c>
      <c r="CG27" s="382">
        <f t="shared" si="58"/>
        <v>6.1420345489443307E-2</v>
      </c>
      <c r="CH27" s="382">
        <f t="shared" si="58"/>
        <v>-0.11934900542495475</v>
      </c>
      <c r="CI27" s="382">
        <f t="shared" si="58"/>
        <v>2.2587268993839782E-2</v>
      </c>
      <c r="CJ27" s="382">
        <f t="shared" si="58"/>
        <v>-8.0321285140562138E-3</v>
      </c>
      <c r="CK27" s="382">
        <f t="shared" si="58"/>
        <v>-0.15384615384615385</v>
      </c>
      <c r="CL27" s="382">
        <f t="shared" si="58"/>
        <v>-0.22009569377990434</v>
      </c>
      <c r="CM27" s="382">
        <f t="shared" si="58"/>
        <v>-0.18711656441717794</v>
      </c>
      <c r="CN27" s="382">
        <f t="shared" si="58"/>
        <v>-9.811320754716979E-2</v>
      </c>
      <c r="CO27" s="382">
        <f t="shared" si="58"/>
        <v>0.18410041841004188</v>
      </c>
      <c r="CP27" s="382">
        <f t="shared" si="58"/>
        <v>-4.9469964664310973E-2</v>
      </c>
      <c r="CQ27" s="382">
        <f t="shared" si="58"/>
        <v>0.18587360594795532</v>
      </c>
      <c r="CR27" s="382">
        <f t="shared" si="58"/>
        <v>0.2507836990595611</v>
      </c>
      <c r="CS27" s="382">
        <f t="shared" si="58"/>
        <v>-0.12030075187969924</v>
      </c>
      <c r="CT27" s="382">
        <f t="shared" si="58"/>
        <v>-5.6980056980056926E-2</v>
      </c>
      <c r="CU27" s="382">
        <f t="shared" si="58"/>
        <v>0.22054380664652573</v>
      </c>
      <c r="CV27" s="382">
        <f t="shared" si="58"/>
        <v>0.41831683168316824</v>
      </c>
      <c r="CW27" s="382">
        <f t="shared" si="58"/>
        <v>-0.10122164048865623</v>
      </c>
      <c r="CX27" s="382">
        <f t="shared" si="58"/>
        <v>0.15922330097087389</v>
      </c>
      <c r="CY27" s="382">
        <f t="shared" si="58"/>
        <v>9.2127303182579556E-2</v>
      </c>
      <c r="CZ27" s="382">
        <f t="shared" si="58"/>
        <v>1.3803680981595123E-2</v>
      </c>
      <c r="DA27" s="382">
        <f t="shared" si="58"/>
        <v>-0.18759455370650524</v>
      </c>
      <c r="DB27" s="382">
        <f t="shared" si="58"/>
        <v>-2.9795158286778367E-2</v>
      </c>
      <c r="DC27" s="382">
        <f t="shared" si="58"/>
        <v>0.19193857965451055</v>
      </c>
      <c r="DD27" s="382">
        <f t="shared" si="58"/>
        <v>0.25120772946859904</v>
      </c>
      <c r="DE27" s="382">
        <f t="shared" si="58"/>
        <v>0.22136422136422129</v>
      </c>
      <c r="DF27" s="382">
        <f t="shared" si="58"/>
        <v>-0.13804004214963117</v>
      </c>
      <c r="DG27" s="382">
        <f t="shared" si="58"/>
        <v>3.6674816625916762E-2</v>
      </c>
      <c r="DH27" s="382">
        <f t="shared" si="58"/>
        <v>0.45047169811320753</v>
      </c>
      <c r="DI27" s="382">
        <f t="shared" si="58"/>
        <v>0.17967479674796749</v>
      </c>
      <c r="DJ27" s="383">
        <f t="shared" si="58"/>
        <v>9.3728463128876616E-2</v>
      </c>
      <c r="DK27" s="383">
        <f t="shared" si="58"/>
        <v>0.15311909262759915</v>
      </c>
      <c r="DL27" s="383">
        <f t="shared" si="58"/>
        <v>0.13989071038251377</v>
      </c>
      <c r="DM27" s="383">
        <f t="shared" si="58"/>
        <v>0.16299137104506234</v>
      </c>
      <c r="DN27" s="383">
        <f t="shared" si="58"/>
        <v>0.27617477328936513</v>
      </c>
      <c r="DO27" s="383">
        <f t="shared" si="58"/>
        <v>0.14018087855297168</v>
      </c>
      <c r="DP27" s="383">
        <f t="shared" si="58"/>
        <v>-0.21586402266288951</v>
      </c>
      <c r="DQ27" s="383">
        <f t="shared" si="58"/>
        <v>2.9624277456647308E-2</v>
      </c>
      <c r="DR27" s="383">
        <f t="shared" si="58"/>
        <v>-6.4210526315789496E-2</v>
      </c>
      <c r="DS27" s="383">
        <f t="shared" si="58"/>
        <v>-4.4994375703036882E-3</v>
      </c>
      <c r="DT27" s="383">
        <f t="shared" si="58"/>
        <v>0.11374764595103581</v>
      </c>
      <c r="DU27" s="383">
        <f t="shared" si="58"/>
        <v>5.7490700033818065E-2</v>
      </c>
      <c r="DV27" s="382">
        <f t="shared" si="58"/>
        <v>-8.6984330028781587E-2</v>
      </c>
      <c r="DW27" s="382">
        <f t="shared" si="58"/>
        <v>8.4413309982486862E-2</v>
      </c>
      <c r="DX27" s="382">
        <f t="shared" si="58"/>
        <v>0.17958656330749356</v>
      </c>
      <c r="DY27" s="383">
        <f t="shared" si="58"/>
        <v>0.1319824753559693</v>
      </c>
      <c r="DZ27" s="383">
        <f t="shared" si="58"/>
        <v>-3.5558780841799753E-2</v>
      </c>
      <c r="EA27" s="383">
        <f t="shared" ref="EA27:EW27" si="59">EA26/DZ26-1</f>
        <v>-0.16729370453975423</v>
      </c>
      <c r="EB27" s="383">
        <f t="shared" si="59"/>
        <v>0.50150602409638556</v>
      </c>
      <c r="EC27" s="383">
        <f t="shared" si="59"/>
        <v>0.17291875626880637</v>
      </c>
      <c r="ED27" s="383">
        <f t="shared" si="59"/>
        <v>-2.9074739182486709E-2</v>
      </c>
      <c r="EE27" s="384">
        <f t="shared" si="59"/>
        <v>0.1080533200971403</v>
      </c>
      <c r="EF27" s="384">
        <f t="shared" si="59"/>
        <v>7.1135435912656364E-2</v>
      </c>
      <c r="EG27" s="384">
        <f t="shared" si="59"/>
        <v>0.30380126094037085</v>
      </c>
      <c r="EH27" s="384">
        <f t="shared" si="59"/>
        <v>7.3636681022127393E-2</v>
      </c>
      <c r="EI27" s="384">
        <f t="shared" si="59"/>
        <v>9.9401672260791551E-2</v>
      </c>
      <c r="EJ27" s="384">
        <f t="shared" si="59"/>
        <v>0.14108092806108474</v>
      </c>
      <c r="EK27" s="384">
        <f t="shared" si="59"/>
        <v>0.10250922462453205</v>
      </c>
      <c r="EL27" s="384">
        <f t="shared" si="59"/>
        <v>-9.6275187531763562E-3</v>
      </c>
      <c r="EM27" s="384">
        <f t="shared" si="59"/>
        <v>4.8614664236538596E-2</v>
      </c>
      <c r="EN27" s="384">
        <f t="shared" si="59"/>
        <v>7.7171347961412673E-2</v>
      </c>
      <c r="EO27" s="384">
        <f t="shared" si="59"/>
        <v>6.8385341788415932E-2</v>
      </c>
      <c r="EP27" s="384">
        <f t="shared" si="59"/>
        <v>-2.2609937986687312E-2</v>
      </c>
      <c r="EQ27" s="384">
        <f t="shared" si="59"/>
        <v>4.1178942907581284E-2</v>
      </c>
      <c r="ER27" s="384">
        <f t="shared" si="59"/>
        <v>8.2190054648158206E-2</v>
      </c>
      <c r="ES27" s="384">
        <f t="shared" si="59"/>
        <v>4.4587561273833787E-2</v>
      </c>
      <c r="ET27" s="384">
        <f t="shared" si="59"/>
        <v>-3.985606906684247E-2</v>
      </c>
      <c r="EU27" s="384">
        <f t="shared" si="59"/>
        <v>4.0877338502997018E-2</v>
      </c>
      <c r="EV27" s="384">
        <f t="shared" si="59"/>
        <v>0.10018453463164856</v>
      </c>
      <c r="EW27" s="384">
        <f t="shared" si="59"/>
        <v>4.7200138799385893E-2</v>
      </c>
      <c r="FX27" s="385"/>
      <c r="FY27" s="385"/>
      <c r="FZ27" s="386" t="s">
        <v>199</v>
      </c>
      <c r="GA27" s="386" t="s">
        <v>199</v>
      </c>
      <c r="GB27" s="386" t="s">
        <v>199</v>
      </c>
      <c r="GC27" s="386" t="s">
        <v>199</v>
      </c>
      <c r="GD27" s="386" t="s">
        <v>199</v>
      </c>
      <c r="GE27" s="386" t="s">
        <v>199</v>
      </c>
      <c r="GF27" s="386" t="s">
        <v>199</v>
      </c>
      <c r="GG27" s="386" t="s">
        <v>199</v>
      </c>
      <c r="GH27" s="386" t="s">
        <v>199</v>
      </c>
      <c r="GI27" s="386" t="s">
        <v>199</v>
      </c>
      <c r="GJ27" s="386" t="s">
        <v>199</v>
      </c>
      <c r="GK27" s="386" t="s">
        <v>199</v>
      </c>
      <c r="GN27" s="70"/>
      <c r="IF27" s="394"/>
    </row>
    <row r="28" spans="1:240" s="382" customFormat="1">
      <c r="A28" s="381" t="s">
        <v>200</v>
      </c>
      <c r="F28" s="382">
        <f t="shared" ref="F28:BQ28" si="60">F26/B26-1</f>
        <v>0.3247793542097297</v>
      </c>
      <c r="G28" s="382">
        <f t="shared" si="60"/>
        <v>0.33990214304040789</v>
      </c>
      <c r="H28" s="382">
        <f t="shared" si="60"/>
        <v>0.33135945629076025</v>
      </c>
      <c r="I28" s="382">
        <f t="shared" si="60"/>
        <v>0.37333782438052854</v>
      </c>
      <c r="J28" s="382">
        <f t="shared" si="60"/>
        <v>0.16515887533036366</v>
      </c>
      <c r="K28" s="382">
        <f t="shared" si="60"/>
        <v>9.2655052171167096E-2</v>
      </c>
      <c r="L28" s="382">
        <f t="shared" si="60"/>
        <v>-0.15364028826473586</v>
      </c>
      <c r="M28" s="382">
        <f t="shared" si="60"/>
        <v>-0.18164724115010455</v>
      </c>
      <c r="N28" s="382">
        <f t="shared" si="60"/>
        <v>-0.46716000048584383</v>
      </c>
      <c r="O28" s="382">
        <f t="shared" si="60"/>
        <v>-0.76849548815544733</v>
      </c>
      <c r="P28" s="382">
        <f t="shared" si="60"/>
        <v>-0.51564983071927029</v>
      </c>
      <c r="Q28" s="382">
        <f t="shared" si="60"/>
        <v>-0.38215160623382038</v>
      </c>
      <c r="R28" s="382">
        <f t="shared" si="60"/>
        <v>0.15640796229705334</v>
      </c>
      <c r="S28" s="382">
        <f t="shared" si="60"/>
        <v>1.9522032457701393</v>
      </c>
      <c r="T28" s="382">
        <f t="shared" si="60"/>
        <v>0.41314089116388342</v>
      </c>
      <c r="U28" s="382">
        <f t="shared" si="60"/>
        <v>0.29574821084600011</v>
      </c>
      <c r="V28" s="382">
        <f t="shared" si="60"/>
        <v>-0.42212070588351258</v>
      </c>
      <c r="W28" s="382">
        <f t="shared" si="60"/>
        <v>-0.38640995074113205</v>
      </c>
      <c r="X28" s="382">
        <f t="shared" si="60"/>
        <v>0.56137621434170226</v>
      </c>
      <c r="Y28" s="382">
        <f t="shared" si="60"/>
        <v>0.66472072267585292</v>
      </c>
      <c r="Z28" s="382">
        <f t="shared" si="60"/>
        <v>0.54489404340596126</v>
      </c>
      <c r="AA28" s="382">
        <f t="shared" si="60"/>
        <v>2.7273127171953959E-3</v>
      </c>
      <c r="AB28" s="382">
        <f t="shared" si="60"/>
        <v>-0.28473579724806197</v>
      </c>
      <c r="AC28" s="382">
        <f t="shared" si="60"/>
        <v>0.26181017035325382</v>
      </c>
      <c r="AD28" s="382">
        <f t="shared" si="60"/>
        <v>1.6841832172309856</v>
      </c>
      <c r="AE28" s="382">
        <f t="shared" si="60"/>
        <v>3.078891569788694</v>
      </c>
      <c r="AF28" s="382">
        <f t="shared" si="60"/>
        <v>2.017652719954484</v>
      </c>
      <c r="AG28" s="382">
        <f t="shared" si="60"/>
        <v>0.33759249932199475</v>
      </c>
      <c r="AH28" s="382">
        <f t="shared" si="60"/>
        <v>-2.5407590813371739E-2</v>
      </c>
      <c r="AI28" s="382">
        <f t="shared" si="60"/>
        <v>-0.37428970907200576</v>
      </c>
      <c r="AJ28" s="382">
        <f t="shared" si="60"/>
        <v>-0.68510534077834295</v>
      </c>
      <c r="AK28" s="382">
        <f t="shared" si="60"/>
        <v>-0.40677854824289539</v>
      </c>
      <c r="AL28" s="382">
        <f t="shared" si="60"/>
        <v>-0.33490674527396158</v>
      </c>
      <c r="AM28" s="382">
        <f t="shared" si="60"/>
        <v>-0.87965278673026515</v>
      </c>
      <c r="AN28" s="382">
        <f t="shared" si="60"/>
        <v>-0.69592367736340011</v>
      </c>
      <c r="AO28" s="382">
        <f t="shared" si="60"/>
        <v>-0.41467916187896914</v>
      </c>
      <c r="AP28" s="382">
        <f t="shared" si="60"/>
        <v>-0.30849082643028691</v>
      </c>
      <c r="AQ28" s="382">
        <f t="shared" si="60"/>
        <v>4.2411626080125684</v>
      </c>
      <c r="AR28" s="382">
        <f t="shared" si="60"/>
        <v>5.0151077415674559</v>
      </c>
      <c r="AS28" s="382">
        <f t="shared" si="60"/>
        <v>1.3751091387354921</v>
      </c>
      <c r="AT28" s="382">
        <f t="shared" si="60"/>
        <v>1.1452861265444136</v>
      </c>
      <c r="AU28" s="382">
        <f t="shared" si="60"/>
        <v>1.1744785989390305</v>
      </c>
      <c r="AV28" s="382">
        <f t="shared" si="60"/>
        <v>0.53400187837089552</v>
      </c>
      <c r="AW28" s="382">
        <f t="shared" si="60"/>
        <v>0.22002879988761026</v>
      </c>
      <c r="AX28" s="382">
        <f t="shared" si="60"/>
        <v>-0.10353876127315853</v>
      </c>
      <c r="AY28" s="382">
        <f t="shared" si="60"/>
        <v>3.1739798816963427E-2</v>
      </c>
      <c r="AZ28" s="382">
        <f t="shared" si="60"/>
        <v>0.24940719896775865</v>
      </c>
      <c r="BA28" s="382">
        <f t="shared" si="60"/>
        <v>0.63538659952097243</v>
      </c>
      <c r="BB28" s="382">
        <f t="shared" si="60"/>
        <v>0.85796044172060126</v>
      </c>
      <c r="BC28" s="382">
        <f t="shared" si="60"/>
        <v>0.39748645650290326</v>
      </c>
      <c r="BD28" s="382">
        <f t="shared" si="60"/>
        <v>8.9169249825217678E-2</v>
      </c>
      <c r="BE28" s="382">
        <f t="shared" si="60"/>
        <v>-0.17500657178264289</v>
      </c>
      <c r="BF28" s="382">
        <f t="shared" si="60"/>
        <v>-0.51721711619402733</v>
      </c>
      <c r="BG28" s="382">
        <f t="shared" si="60"/>
        <v>-0.28582603707330645</v>
      </c>
      <c r="BH28" s="382">
        <f t="shared" si="60"/>
        <v>-1.6645221423358447E-2</v>
      </c>
      <c r="BI28" s="382">
        <f t="shared" si="60"/>
        <v>0.11664295874822184</v>
      </c>
      <c r="BJ28" s="382">
        <f t="shared" si="60"/>
        <v>0.67021276595744683</v>
      </c>
      <c r="BK28" s="382">
        <f t="shared" si="60"/>
        <v>2.0283975659229236E-2</v>
      </c>
      <c r="BL28" s="382">
        <f t="shared" si="60"/>
        <v>8.0476900149031305E-2</v>
      </c>
      <c r="BM28" s="382">
        <f t="shared" si="60"/>
        <v>-0.36433121019108283</v>
      </c>
      <c r="BN28" s="382">
        <f t="shared" si="60"/>
        <v>-0.3439490445859873</v>
      </c>
      <c r="BO28" s="382">
        <f t="shared" si="60"/>
        <v>-0.35785288270377735</v>
      </c>
      <c r="BP28" s="382">
        <f t="shared" si="60"/>
        <v>-0.27310344827586208</v>
      </c>
      <c r="BQ28" s="382">
        <f t="shared" si="60"/>
        <v>0.36072144288577146</v>
      </c>
      <c r="BR28" s="382">
        <f t="shared" ref="BR28:EC28" si="61">BR26/BN26-1</f>
        <v>0.63106796116504849</v>
      </c>
      <c r="BS28" s="382">
        <f t="shared" si="61"/>
        <v>1.2848297213622293</v>
      </c>
      <c r="BT28" s="382">
        <f t="shared" si="61"/>
        <v>0.4022770398481974</v>
      </c>
      <c r="BU28" s="382">
        <f t="shared" si="61"/>
        <v>9.4256259204712922E-2</v>
      </c>
      <c r="BV28" s="382">
        <f t="shared" si="61"/>
        <v>7.1428571428571397E-2</v>
      </c>
      <c r="BW28" s="382">
        <f t="shared" si="61"/>
        <v>-2.4390243902439046E-2</v>
      </c>
      <c r="BX28" s="382">
        <f t="shared" si="61"/>
        <v>2.3004059539918797E-2</v>
      </c>
      <c r="BY28" s="382">
        <f t="shared" si="61"/>
        <v>4.037685060565277E-2</v>
      </c>
      <c r="BZ28" s="382">
        <f t="shared" si="61"/>
        <v>1.388888888888884E-2</v>
      </c>
      <c r="CA28" s="382">
        <f t="shared" si="61"/>
        <v>-0.1069444444444444</v>
      </c>
      <c r="CB28" s="382">
        <f t="shared" si="61"/>
        <v>-0.48148148148148151</v>
      </c>
      <c r="CC28" s="382">
        <f t="shared" si="61"/>
        <v>-0.41655886157826649</v>
      </c>
      <c r="CD28" s="382">
        <f t="shared" si="61"/>
        <v>-0.3904109589041096</v>
      </c>
      <c r="CE28" s="382">
        <f t="shared" si="61"/>
        <v>-0.286158631415241</v>
      </c>
      <c r="CF28" s="382">
        <f t="shared" si="61"/>
        <v>0.32908163265306123</v>
      </c>
      <c r="CG28" s="382">
        <f t="shared" si="61"/>
        <v>0.22616407982261633</v>
      </c>
      <c r="CH28" s="382">
        <f t="shared" si="61"/>
        <v>9.4382022471910076E-2</v>
      </c>
      <c r="CI28" s="382">
        <f t="shared" si="61"/>
        <v>8.4967320261437829E-2</v>
      </c>
      <c r="CJ28" s="382">
        <f t="shared" si="61"/>
        <v>-5.1823416506717845E-2</v>
      </c>
      <c r="CK28" s="382">
        <f t="shared" si="61"/>
        <v>-0.24412296564195302</v>
      </c>
      <c r="CL28" s="382">
        <f t="shared" si="61"/>
        <v>-0.33059548254620119</v>
      </c>
      <c r="CM28" s="382">
        <f t="shared" si="61"/>
        <v>-0.46787148594377514</v>
      </c>
      <c r="CN28" s="382">
        <f t="shared" si="61"/>
        <v>-0.5161943319838056</v>
      </c>
      <c r="CO28" s="382">
        <f t="shared" si="61"/>
        <v>-0.32296650717703346</v>
      </c>
      <c r="CP28" s="382">
        <f t="shared" si="61"/>
        <v>-0.17484662576687116</v>
      </c>
      <c r="CQ28" s="382">
        <f t="shared" si="61"/>
        <v>0.20377358490566033</v>
      </c>
      <c r="CR28" s="382">
        <f t="shared" si="61"/>
        <v>0.66945606694560666</v>
      </c>
      <c r="CS28" s="382">
        <f t="shared" si="61"/>
        <v>0.24028268551236742</v>
      </c>
      <c r="CT28" s="382">
        <f t="shared" si="61"/>
        <v>0.23048327137546476</v>
      </c>
      <c r="CU28" s="382">
        <f t="shared" si="61"/>
        <v>0.26645768025078365</v>
      </c>
      <c r="CV28" s="382">
        <f t="shared" si="61"/>
        <v>0.43609022556390986</v>
      </c>
      <c r="CW28" s="382">
        <f t="shared" si="61"/>
        <v>0.46723646723646728</v>
      </c>
      <c r="CX28" s="382">
        <f t="shared" si="61"/>
        <v>0.8036253776435045</v>
      </c>
      <c r="CY28" s="382">
        <f t="shared" si="61"/>
        <v>0.61386138613861396</v>
      </c>
      <c r="CZ28" s="382">
        <f t="shared" si="61"/>
        <v>0.15357766143106466</v>
      </c>
      <c r="DA28" s="382">
        <f t="shared" si="61"/>
        <v>4.2718446601941684E-2</v>
      </c>
      <c r="DB28" s="382">
        <f t="shared" si="61"/>
        <v>-0.12730318257956452</v>
      </c>
      <c r="DC28" s="382">
        <f t="shared" si="61"/>
        <v>-4.7546012269938598E-2</v>
      </c>
      <c r="DD28" s="382">
        <f t="shared" si="61"/>
        <v>0.17549167927382747</v>
      </c>
      <c r="DE28" s="382">
        <f t="shared" si="61"/>
        <v>0.76722532588454384</v>
      </c>
      <c r="DF28" s="382">
        <f t="shared" si="61"/>
        <v>0.57005758157389641</v>
      </c>
      <c r="DG28" s="382">
        <f t="shared" si="61"/>
        <v>0.3655394524959743</v>
      </c>
      <c r="DH28" s="382">
        <f t="shared" si="61"/>
        <v>0.58301158301158296</v>
      </c>
      <c r="DI28" s="382">
        <f t="shared" si="61"/>
        <v>0.52897787144362485</v>
      </c>
      <c r="DJ28" s="383">
        <f t="shared" si="61"/>
        <v>0.94009779951100247</v>
      </c>
      <c r="DK28" s="383">
        <f t="shared" si="61"/>
        <v>1.1580188679245285</v>
      </c>
      <c r="DL28" s="383">
        <f t="shared" si="61"/>
        <v>0.6959349593495936</v>
      </c>
      <c r="DM28" s="383">
        <f t="shared" si="61"/>
        <v>0.67195037904893185</v>
      </c>
      <c r="DN28" s="383">
        <f t="shared" si="61"/>
        <v>0.95085066162570886</v>
      </c>
      <c r="DO28" s="383">
        <f t="shared" si="61"/>
        <v>0.9289617486338797</v>
      </c>
      <c r="DP28" s="383">
        <f t="shared" si="61"/>
        <v>0.326941514860978</v>
      </c>
      <c r="DQ28" s="383">
        <f t="shared" si="61"/>
        <v>0.1747732893652103</v>
      </c>
      <c r="DR28" s="383">
        <f t="shared" si="61"/>
        <v>-0.13856589147286824</v>
      </c>
      <c r="DS28" s="383">
        <f t="shared" si="61"/>
        <v>-0.24787535410764872</v>
      </c>
      <c r="DT28" s="383">
        <f t="shared" si="61"/>
        <v>6.8280346820809301E-2</v>
      </c>
      <c r="DU28" s="383">
        <f t="shared" si="61"/>
        <v>9.7192982456140387E-2</v>
      </c>
      <c r="DV28" s="382">
        <f t="shared" si="61"/>
        <v>7.0491188601424781E-2</v>
      </c>
      <c r="DW28" s="382">
        <f t="shared" si="61"/>
        <v>0.16610169491525428</v>
      </c>
      <c r="DX28" s="382">
        <f t="shared" si="61"/>
        <v>0.23503550896178549</v>
      </c>
      <c r="DY28" s="383">
        <f t="shared" si="61"/>
        <v>0.32203389830508478</v>
      </c>
      <c r="DZ28" s="383">
        <f t="shared" si="61"/>
        <v>0.39649737302977228</v>
      </c>
      <c r="EA28" s="383">
        <f t="shared" si="61"/>
        <v>7.2351421188630471E-2</v>
      </c>
      <c r="EB28" s="383">
        <f t="shared" si="61"/>
        <v>0.36500547645125958</v>
      </c>
      <c r="EC28" s="383">
        <f t="shared" si="61"/>
        <v>0.41436865021770686</v>
      </c>
      <c r="ED28" s="383">
        <f t="shared" ref="ED28:EW28" si="62">ED26/DZ26-1</f>
        <v>0.4238776022071733</v>
      </c>
      <c r="EE28" s="384">
        <f t="shared" si="62"/>
        <v>0.89470442716610399</v>
      </c>
      <c r="EF28" s="384">
        <f t="shared" si="62"/>
        <v>0.35163297379346825</v>
      </c>
      <c r="EG28" s="384">
        <f t="shared" si="62"/>
        <v>0.50245766481428555</v>
      </c>
      <c r="EH28" s="384">
        <f t="shared" si="62"/>
        <v>0.6613983853600125</v>
      </c>
      <c r="EI28" s="384">
        <f t="shared" si="62"/>
        <v>0.64842623547759248</v>
      </c>
      <c r="EJ28" s="384">
        <f t="shared" si="62"/>
        <v>0.75606900449178394</v>
      </c>
      <c r="EK28" s="384">
        <f t="shared" si="62"/>
        <v>0.48495198964066444</v>
      </c>
      <c r="EL28" s="384">
        <f t="shared" si="62"/>
        <v>0.36978887970997198</v>
      </c>
      <c r="EM28" s="384">
        <f t="shared" si="62"/>
        <v>0.30651129829397727</v>
      </c>
      <c r="EN28" s="384">
        <f t="shared" si="62"/>
        <v>0.23333630569172104</v>
      </c>
      <c r="EO28" s="384">
        <f t="shared" si="62"/>
        <v>0.19516317965072538</v>
      </c>
      <c r="EP28" s="384">
        <f t="shared" si="62"/>
        <v>0.17949623641019063</v>
      </c>
      <c r="EQ28" s="384">
        <f t="shared" si="62"/>
        <v>0.17113243450886428</v>
      </c>
      <c r="ER28" s="384">
        <f t="shared" si="62"/>
        <v>0.17658892032354734</v>
      </c>
      <c r="ES28" s="384">
        <f t="shared" si="62"/>
        <v>0.15038095603710544</v>
      </c>
      <c r="ET28" s="384">
        <f t="shared" si="62"/>
        <v>0.13008238586435072</v>
      </c>
      <c r="EU28" s="384">
        <f t="shared" si="62"/>
        <v>0.12975502827856666</v>
      </c>
      <c r="EV28" s="384">
        <f t="shared" si="62"/>
        <v>0.14854041089716374</v>
      </c>
      <c r="EW28" s="384">
        <f t="shared" si="62"/>
        <v>0.15141298087209143</v>
      </c>
      <c r="FA28" s="382">
        <f>FA26/EZ26-1</f>
        <v>0.34194890976760672</v>
      </c>
      <c r="FB28" s="382">
        <f t="shared" ref="FB28:GK28" si="63">FB26/FA26-1</f>
        <v>-1.8661816301081435E-2</v>
      </c>
      <c r="FC28" s="382">
        <f t="shared" si="63"/>
        <v>-0.54707352358583994</v>
      </c>
      <c r="FD28" s="382">
        <f t="shared" si="63"/>
        <v>0.51884160401100377</v>
      </c>
      <c r="FE28" s="382">
        <f t="shared" si="63"/>
        <v>5.8489312116533743E-2</v>
      </c>
      <c r="FF28" s="382">
        <f t="shared" si="63"/>
        <v>8.4683971349391207E-2</v>
      </c>
      <c r="FG28" s="382">
        <f t="shared" si="63"/>
        <v>1.3842605551014922</v>
      </c>
      <c r="FH28" s="382">
        <f t="shared" si="63"/>
        <v>-0.38535934821910722</v>
      </c>
      <c r="FI28" s="382">
        <f t="shared" si="63"/>
        <v>-0.5481974286962874</v>
      </c>
      <c r="FJ28" s="382">
        <f t="shared" si="63"/>
        <v>1.0158395449195767</v>
      </c>
      <c r="FK28" s="382">
        <f t="shared" si="63"/>
        <v>0.65157708687923765</v>
      </c>
      <c r="FL28" s="382">
        <f t="shared" si="63"/>
        <v>0.21480305762247021</v>
      </c>
      <c r="FM28" s="382">
        <f t="shared" si="63"/>
        <v>0.19346340464050593</v>
      </c>
      <c r="FN28" s="382">
        <f t="shared" si="63"/>
        <v>-0.18549201887276301</v>
      </c>
      <c r="FO28" s="382">
        <f t="shared" si="63"/>
        <v>1.2903225806451646E-2</v>
      </c>
      <c r="FP28" s="382">
        <f t="shared" si="63"/>
        <v>-0.17579617834394901</v>
      </c>
      <c r="FQ28" s="382">
        <f t="shared" si="63"/>
        <v>0.48995363214837706</v>
      </c>
      <c r="FR28" s="382">
        <f t="shared" si="63"/>
        <v>2.6625172890732962E-2</v>
      </c>
      <c r="FS28" s="382">
        <f t="shared" si="63"/>
        <v>-0.25362074772650722</v>
      </c>
      <c r="FT28" s="382">
        <f t="shared" si="63"/>
        <v>-0.10740072202166062</v>
      </c>
      <c r="FU28" s="382">
        <f t="shared" si="63"/>
        <v>-4.0950455005055564E-2</v>
      </c>
      <c r="FV28" s="382">
        <f t="shared" si="63"/>
        <v>-0.41328413284132837</v>
      </c>
      <c r="FW28" s="382">
        <f t="shared" si="63"/>
        <v>0.20215633423180601</v>
      </c>
      <c r="FX28" s="382">
        <f t="shared" si="63"/>
        <v>0.3624813153961135</v>
      </c>
      <c r="FY28" s="382">
        <f t="shared" si="63"/>
        <v>0.34229292375205711</v>
      </c>
      <c r="FZ28" s="382">
        <f t="shared" si="63"/>
        <v>0.17204740498569682</v>
      </c>
      <c r="GA28" s="382">
        <f t="shared" si="63"/>
        <v>0.51569037656903771</v>
      </c>
      <c r="GB28" s="382">
        <f t="shared" si="63"/>
        <v>0.824016563146998</v>
      </c>
      <c r="GC28" s="382">
        <f t="shared" si="63"/>
        <v>0.54420481775759866</v>
      </c>
      <c r="GD28" s="382">
        <f t="shared" si="63"/>
        <v>-6.844168572361975E-2</v>
      </c>
      <c r="GE28" s="382">
        <f t="shared" si="63"/>
        <v>0.20436612309310886</v>
      </c>
      <c r="GF28" s="382">
        <f t="shared" si="63"/>
        <v>0.32044842396447559</v>
      </c>
      <c r="GG28" s="384">
        <f t="shared" si="63"/>
        <v>0.51552891773091303</v>
      </c>
      <c r="GH28" s="384">
        <f t="shared" si="63"/>
        <v>0.62524806994055582</v>
      </c>
      <c r="GI28" s="384">
        <f t="shared" si="63"/>
        <v>0.26797920446537704</v>
      </c>
      <c r="GJ28" s="384">
        <f t="shared" si="63"/>
        <v>0.16873436138718834</v>
      </c>
      <c r="GK28" s="384">
        <f t="shared" si="63"/>
        <v>0.14056881760707141</v>
      </c>
      <c r="GN28" s="70"/>
      <c r="IF28" s="394"/>
    </row>
    <row r="29" spans="1:240" s="382" customFormat="1">
      <c r="A29" s="381" t="s">
        <v>209</v>
      </c>
      <c r="B29" s="382">
        <f>B26/B$4</f>
        <v>0.52364683273078028</v>
      </c>
      <c r="C29" s="382">
        <f>C26/C$4</f>
        <v>0.5430587740654913</v>
      </c>
      <c r="D29" s="382">
        <f t="shared" ref="D29:BO29" si="64">D26/D$4</f>
        <v>0.52193493023800586</v>
      </c>
      <c r="E29" s="382">
        <f t="shared" si="64"/>
        <v>0.49552495863610418</v>
      </c>
      <c r="F29" s="382">
        <f t="shared" si="64"/>
        <v>0.55087510719575894</v>
      </c>
      <c r="G29" s="382">
        <f t="shared" si="64"/>
        <v>0.55817677579285097</v>
      </c>
      <c r="H29" s="382">
        <f t="shared" si="64"/>
        <v>0.53525594994789316</v>
      </c>
      <c r="I29" s="382">
        <f t="shared" si="64"/>
        <v>0.51604459542746461</v>
      </c>
      <c r="J29" s="382">
        <f t="shared" si="64"/>
        <v>0.53108550934048926</v>
      </c>
      <c r="K29" s="382">
        <f t="shared" si="64"/>
        <v>0.51939911915096126</v>
      </c>
      <c r="L29" s="382">
        <f t="shared" si="64"/>
        <v>0.41674669918781809</v>
      </c>
      <c r="M29" s="382">
        <f t="shared" si="64"/>
        <v>0.38822384740038002</v>
      </c>
      <c r="N29" s="382">
        <f t="shared" si="64"/>
        <v>0.32244235702263085</v>
      </c>
      <c r="O29" s="382">
        <f t="shared" si="64"/>
        <v>0.16546210861019126</v>
      </c>
      <c r="P29" s="382">
        <f t="shared" si="64"/>
        <v>0.26084463142042896</v>
      </c>
      <c r="Q29" s="382">
        <f t="shared" si="64"/>
        <v>0.28628529106321998</v>
      </c>
      <c r="R29" s="382">
        <f t="shared" si="64"/>
        <v>0.36761479640361666</v>
      </c>
      <c r="S29" s="382">
        <f t="shared" si="64"/>
        <v>0.37388089699795302</v>
      </c>
      <c r="T29" s="382">
        <f t="shared" si="64"/>
        <v>0.28225206320687041</v>
      </c>
      <c r="U29" s="382">
        <f t="shared" si="64"/>
        <v>0.30059314612073973</v>
      </c>
      <c r="V29" s="382">
        <f t="shared" si="64"/>
        <v>0.21681371751445855</v>
      </c>
      <c r="W29" s="382">
        <f t="shared" si="64"/>
        <v>0.25904683042819326</v>
      </c>
      <c r="X29" s="382">
        <f t="shared" si="64"/>
        <v>0.38333816863893677</v>
      </c>
      <c r="Y29" s="382">
        <f t="shared" si="64"/>
        <v>0.38897720646028244</v>
      </c>
      <c r="Z29" s="382">
        <f t="shared" si="64"/>
        <v>0.28683345128904225</v>
      </c>
      <c r="AA29" s="382">
        <f t="shared" si="64"/>
        <v>0.22982344410855832</v>
      </c>
      <c r="AB29" s="382">
        <f t="shared" si="64"/>
        <v>0.2840158141445383</v>
      </c>
      <c r="AC29" s="382">
        <f t="shared" si="64"/>
        <v>0.39967069608035422</v>
      </c>
      <c r="AD29" s="382">
        <f t="shared" si="64"/>
        <v>0.44529220377847101</v>
      </c>
      <c r="AE29" s="382">
        <f t="shared" si="64"/>
        <v>0.4766339409981058</v>
      </c>
      <c r="AF29" s="382">
        <f t="shared" si="64"/>
        <v>0.4703820565928114</v>
      </c>
      <c r="AG29" s="382">
        <f t="shared" si="64"/>
        <v>0.44067506713910815</v>
      </c>
      <c r="AH29" s="382">
        <f t="shared" si="64"/>
        <v>0.39866935521183228</v>
      </c>
      <c r="AI29" s="382">
        <f t="shared" si="64"/>
        <v>0.35428575488397024</v>
      </c>
      <c r="AJ29" s="382">
        <f t="shared" si="64"/>
        <v>0.23334900178881537</v>
      </c>
      <c r="AK29" s="382">
        <f t="shared" si="64"/>
        <v>0.32274368534457853</v>
      </c>
      <c r="AL29" s="382">
        <f t="shared" si="64"/>
        <v>0.34941628892561905</v>
      </c>
      <c r="AM29" s="382">
        <f t="shared" si="64"/>
        <v>6.9980126570259177E-2</v>
      </c>
      <c r="AN29" s="382">
        <f t="shared" si="64"/>
        <v>0.10692662924244474</v>
      </c>
      <c r="AO29" s="382">
        <f t="shared" si="64"/>
        <v>0.26195970455836726</v>
      </c>
      <c r="AP29" s="382">
        <f t="shared" si="64"/>
        <v>0.30503320248266402</v>
      </c>
      <c r="AQ29" s="382">
        <f t="shared" si="64"/>
        <v>0.34122006443904102</v>
      </c>
      <c r="AR29" s="382">
        <f t="shared" si="64"/>
        <v>0.342727041107869</v>
      </c>
      <c r="AS29" s="382">
        <f t="shared" si="64"/>
        <v>0.3542530522323869</v>
      </c>
      <c r="AT29" s="382">
        <f t="shared" si="64"/>
        <v>0.37817900363384022</v>
      </c>
      <c r="AU29" s="382">
        <f t="shared" si="64"/>
        <v>0.3794214308187191</v>
      </c>
      <c r="AV29" s="382">
        <f t="shared" si="64"/>
        <v>0.4045579563341748</v>
      </c>
      <c r="AW29" s="382">
        <f t="shared" si="64"/>
        <v>0.41232375251838643</v>
      </c>
      <c r="AX29" s="382">
        <f t="shared" si="64"/>
        <v>0.34173278288119951</v>
      </c>
      <c r="AY29" s="382">
        <f t="shared" si="64"/>
        <v>0.39206043567914733</v>
      </c>
      <c r="AZ29" s="382">
        <f t="shared" si="64"/>
        <v>0.4114214039684651</v>
      </c>
      <c r="BA29" s="382">
        <f t="shared" si="64"/>
        <v>0.46354736720710049</v>
      </c>
      <c r="BB29" s="382">
        <f t="shared" si="64"/>
        <v>0.5846288503315672</v>
      </c>
      <c r="BC29" s="382">
        <f t="shared" si="64"/>
        <v>0.56751621837817046</v>
      </c>
      <c r="BD29" s="382">
        <f t="shared" si="64"/>
        <v>0.5139700908843029</v>
      </c>
      <c r="BE29" s="382">
        <f t="shared" si="64"/>
        <v>0.39650310208685841</v>
      </c>
      <c r="BF29" s="382">
        <f t="shared" si="64"/>
        <v>0.30494728304947283</v>
      </c>
      <c r="BG29" s="382">
        <f t="shared" si="64"/>
        <v>0.35776487663280115</v>
      </c>
      <c r="BH29" s="382">
        <f t="shared" si="64"/>
        <v>0.41115196078431371</v>
      </c>
      <c r="BI29" s="382">
        <f t="shared" si="64"/>
        <v>0.44350282485875708</v>
      </c>
      <c r="BJ29" s="382">
        <f t="shared" si="64"/>
        <v>0.41727574750830565</v>
      </c>
      <c r="BK29" s="382">
        <f t="shared" si="64"/>
        <v>0.37286879169755377</v>
      </c>
      <c r="BL29" s="382">
        <f t="shared" si="64"/>
        <v>0.45143212951432127</v>
      </c>
      <c r="BM29" s="382">
        <f t="shared" si="64"/>
        <v>0.42943201376936319</v>
      </c>
      <c r="BN29" s="382">
        <f t="shared" si="64"/>
        <v>0.3500424808836024</v>
      </c>
      <c r="BO29" s="382">
        <f t="shared" si="64"/>
        <v>0.27280405405405406</v>
      </c>
      <c r="BP29" s="382">
        <f t="shared" ref="BP29:CT29" si="65">BP26/BP$4</f>
        <v>0.37750716332378226</v>
      </c>
      <c r="BQ29" s="382">
        <f t="shared" si="65"/>
        <v>0.41251518833535844</v>
      </c>
      <c r="BR29" s="382">
        <f t="shared" si="65"/>
        <v>0.42693773824650572</v>
      </c>
      <c r="BS29" s="382">
        <f t="shared" si="65"/>
        <v>0.44646098003629764</v>
      </c>
      <c r="BT29" s="382">
        <f t="shared" si="65"/>
        <v>0.45673671199011123</v>
      </c>
      <c r="BU29" s="382">
        <f t="shared" si="65"/>
        <v>0.45057610673135234</v>
      </c>
      <c r="BV29" s="382">
        <f t="shared" si="65"/>
        <v>0.4463732176069436</v>
      </c>
      <c r="BW29" s="382">
        <f t="shared" si="65"/>
        <v>0.45743329097839897</v>
      </c>
      <c r="BX29" s="382">
        <f t="shared" si="65"/>
        <v>0.44733727810650886</v>
      </c>
      <c r="BY29" s="382">
        <f t="shared" si="65"/>
        <v>0.45712596096984032</v>
      </c>
      <c r="BZ29" s="382">
        <f t="shared" si="65"/>
        <v>0.4605678233438486</v>
      </c>
      <c r="CA29" s="382">
        <f t="shared" si="65"/>
        <v>0.45506015569709835</v>
      </c>
      <c r="CB29" s="382">
        <f t="shared" si="65"/>
        <v>0.30890464933018125</v>
      </c>
      <c r="CC29" s="382">
        <f t="shared" si="65"/>
        <v>0.39047619047619048</v>
      </c>
      <c r="CD29" s="382">
        <f t="shared" si="65"/>
        <v>0.40900735294117646</v>
      </c>
      <c r="CE29" s="382">
        <f t="shared" si="65"/>
        <v>0.39534883720930231</v>
      </c>
      <c r="CF29" s="382">
        <f t="shared" si="65"/>
        <v>0.35660506502395617</v>
      </c>
      <c r="CG29" s="382">
        <f t="shared" si="65"/>
        <v>0.34801762114537443</v>
      </c>
      <c r="CH29" s="382">
        <f t="shared" si="65"/>
        <v>0.34860415175375803</v>
      </c>
      <c r="CI29" s="382">
        <f t="shared" si="65"/>
        <v>0.34559333795975017</v>
      </c>
      <c r="CJ29" s="382">
        <f t="shared" si="65"/>
        <v>0.3456962911126662</v>
      </c>
      <c r="CK29" s="382">
        <f t="shared" si="65"/>
        <v>0.33736884584342214</v>
      </c>
      <c r="CL29" s="382">
        <f t="shared" si="65"/>
        <v>0.31650485436893205</v>
      </c>
      <c r="CM29" s="382">
        <f t="shared" si="65"/>
        <v>0.28131634819532908</v>
      </c>
      <c r="CN29" s="382">
        <f t="shared" si="65"/>
        <v>0.22525918944392084</v>
      </c>
      <c r="CO29" s="382">
        <f t="shared" si="65"/>
        <v>0.29540709812108562</v>
      </c>
      <c r="CP29" s="382">
        <f t="shared" si="65"/>
        <v>0.32331730769230771</v>
      </c>
      <c r="CQ29" s="382">
        <f t="shared" si="65"/>
        <v>0.31061343719571566</v>
      </c>
      <c r="CR29" s="382">
        <f t="shared" si="65"/>
        <v>0.30527926549349654</v>
      </c>
      <c r="CS29" s="382">
        <f t="shared" si="65"/>
        <v>0.31735985533453887</v>
      </c>
      <c r="CT29" s="382">
        <f t="shared" si="65"/>
        <v>0.3363821138211382</v>
      </c>
      <c r="CU29" s="382">
        <f>CU26/CU$4</f>
        <v>0.33060556464811786</v>
      </c>
      <c r="CV29" s="382">
        <f t="shared" ref="CV29:DV29" si="66">CV26/CV4</f>
        <v>0.34875228241022521</v>
      </c>
      <c r="CW29" s="382">
        <f t="shared" si="66"/>
        <v>0.34797297297297297</v>
      </c>
      <c r="CX29" s="382">
        <f t="shared" si="66"/>
        <v>0.36247723132969034</v>
      </c>
      <c r="CY29" s="382">
        <f t="shared" si="66"/>
        <v>0.3712984054669704</v>
      </c>
      <c r="CZ29" s="382">
        <f t="shared" si="66"/>
        <v>0.39987900786448882</v>
      </c>
      <c r="DA29" s="382">
        <f t="shared" si="66"/>
        <v>0.3784355179704017</v>
      </c>
      <c r="DB29" s="382">
        <f t="shared" si="66"/>
        <v>0.40959119496855345</v>
      </c>
      <c r="DC29" s="382">
        <f t="shared" si="66"/>
        <v>0.40561724363161333</v>
      </c>
      <c r="DD29" s="382">
        <f t="shared" si="66"/>
        <v>0.43142698500832871</v>
      </c>
      <c r="DE29" s="382">
        <f t="shared" si="66"/>
        <v>0.44616831217677477</v>
      </c>
      <c r="DF29" s="382">
        <f t="shared" si="66"/>
        <v>0.45800671892497202</v>
      </c>
      <c r="DG29" s="382">
        <f t="shared" si="66"/>
        <v>0.43892339544513459</v>
      </c>
      <c r="DH29" s="382">
        <f t="shared" si="66"/>
        <v>0.43912888254194932</v>
      </c>
      <c r="DI29" s="382">
        <f t="shared" si="66"/>
        <v>0.44728729963008629</v>
      </c>
      <c r="DJ29" s="383">
        <f t="shared" si="66"/>
        <v>0.46066763425253993</v>
      </c>
      <c r="DK29" s="383">
        <f t="shared" si="66"/>
        <v>0.47532467532467532</v>
      </c>
      <c r="DL29" s="383">
        <f t="shared" si="66"/>
        <v>0.48365406909343844</v>
      </c>
      <c r="DM29" s="383">
        <f t="shared" si="66"/>
        <v>0.50269374222958974</v>
      </c>
      <c r="DN29" s="383">
        <f t="shared" si="66"/>
        <v>0.52590453541702054</v>
      </c>
      <c r="DO29" s="383">
        <f t="shared" si="66"/>
        <v>0.53893129770992365</v>
      </c>
      <c r="DP29" s="383">
        <f t="shared" si="66"/>
        <v>0.49739442946990114</v>
      </c>
      <c r="DQ29" s="383">
        <f t="shared" si="66"/>
        <v>0.50901946776210039</v>
      </c>
      <c r="DR29" s="383">
        <f t="shared" si="66"/>
        <v>0.49822529422753598</v>
      </c>
      <c r="DS29" s="383">
        <f t="shared" si="66"/>
        <v>0.49542825153946629</v>
      </c>
      <c r="DT29" s="383">
        <f t="shared" si="66"/>
        <v>0.5098275862068965</v>
      </c>
      <c r="DU29" s="383">
        <f t="shared" si="66"/>
        <v>0.50697146562905315</v>
      </c>
      <c r="DV29" s="382">
        <f t="shared" si="66"/>
        <v>0.52165174492965471</v>
      </c>
      <c r="DW29" s="382">
        <f>DW26/DW4</f>
        <v>0.53059125964010279</v>
      </c>
      <c r="DX29" s="382">
        <f>DX26/DX4</f>
        <v>0.53556239917876525</v>
      </c>
      <c r="DY29" s="382">
        <f>DY26/DY4</f>
        <v>0.53982763123530952</v>
      </c>
      <c r="DZ29" s="382">
        <f t="shared" ref="DZ29:ED29" si="67">DZ26/DZ4</f>
        <v>0.53603119118042486</v>
      </c>
      <c r="EA29" s="382">
        <f t="shared" si="67"/>
        <v>0.43201040988939493</v>
      </c>
      <c r="EB29" s="382">
        <f t="shared" si="67"/>
        <v>0.53915206575816566</v>
      </c>
      <c r="EC29" s="382">
        <f t="shared" si="67"/>
        <v>0.56932814021421618</v>
      </c>
      <c r="ED29" s="382">
        <f t="shared" si="67"/>
        <v>0.55369160245781723</v>
      </c>
      <c r="EE29" s="384">
        <f t="shared" ref="EE29:EW29" si="68">EE460</f>
        <v>0.56051777033077144</v>
      </c>
      <c r="EF29" s="384">
        <f t="shared" si="68"/>
        <v>0.56178954771432477</v>
      </c>
      <c r="EG29" s="384">
        <f t="shared" si="68"/>
        <v>0.5425580655744755</v>
      </c>
      <c r="EH29" s="384">
        <f t="shared" si="68"/>
        <v>0.5409720567055416</v>
      </c>
      <c r="EI29" s="384">
        <f t="shared" si="68"/>
        <v>0.53974342062201741</v>
      </c>
      <c r="EJ29" s="384">
        <f t="shared" si="68"/>
        <v>0.5345270454945612</v>
      </c>
      <c r="EK29" s="384">
        <f t="shared" si="68"/>
        <v>0.53205155107133728</v>
      </c>
      <c r="EL29" s="384">
        <f t="shared" si="68"/>
        <v>0.53962931712905837</v>
      </c>
      <c r="EM29" s="384">
        <f t="shared" si="68"/>
        <v>0.54118758060520467</v>
      </c>
      <c r="EN29" s="384">
        <f t="shared" si="68"/>
        <v>0.54306046339706182</v>
      </c>
      <c r="EO29" s="384">
        <f t="shared" si="68"/>
        <v>0.54225755368799189</v>
      </c>
      <c r="EP29" s="384">
        <f t="shared" si="68"/>
        <v>0.54082259873835481</v>
      </c>
      <c r="EQ29" s="384">
        <f t="shared" si="68"/>
        <v>0.54005982533295893</v>
      </c>
      <c r="ER29" s="384">
        <f t="shared" si="68"/>
        <v>0.54136680039788709</v>
      </c>
      <c r="ES29" s="384">
        <f t="shared" si="68"/>
        <v>0.54162913714325145</v>
      </c>
      <c r="ET29" s="384">
        <f t="shared" si="68"/>
        <v>0.54300948590599363</v>
      </c>
      <c r="EU29" s="384">
        <f t="shared" si="68"/>
        <v>0.54227075511734946</v>
      </c>
      <c r="EV29" s="384">
        <f t="shared" si="68"/>
        <v>0.54294217102685427</v>
      </c>
      <c r="EW29" s="384">
        <f t="shared" si="68"/>
        <v>0.54349564184536236</v>
      </c>
      <c r="EZ29" s="382">
        <f t="shared" ref="EZ29:GF29" si="69">EZ26/EZ$4</f>
        <v>0.52097701846773603</v>
      </c>
      <c r="FA29" s="382">
        <f t="shared" si="69"/>
        <v>0.53983001500473848</v>
      </c>
      <c r="FB29" s="382">
        <f t="shared" si="69"/>
        <v>0.46542241011736307</v>
      </c>
      <c r="FC29" s="382">
        <f t="shared" si="69"/>
        <v>0.26225602515899743</v>
      </c>
      <c r="FD29" s="382">
        <f t="shared" si="69"/>
        <v>0.33014142485809778</v>
      </c>
      <c r="FE29" s="382">
        <f t="shared" si="69"/>
        <v>0.32391515655504555</v>
      </c>
      <c r="FF29" s="382">
        <f t="shared" si="69"/>
        <v>0.31255905296885084</v>
      </c>
      <c r="FG29" s="382">
        <f t="shared" si="69"/>
        <v>0.45854096745027706</v>
      </c>
      <c r="FH29" s="382">
        <f t="shared" si="69"/>
        <v>0.33632855519644872</v>
      </c>
      <c r="FI29" s="382">
        <f t="shared" si="69"/>
        <v>0.2192664595004355</v>
      </c>
      <c r="FJ29" s="382">
        <f t="shared" si="69"/>
        <v>0.33874569216360234</v>
      </c>
      <c r="FK29" s="382">
        <f t="shared" si="69"/>
        <v>0.39365702043513506</v>
      </c>
      <c r="FL29" s="382">
        <f t="shared" si="69"/>
        <v>0.40901812836325202</v>
      </c>
      <c r="FM29" s="382">
        <f t="shared" si="69"/>
        <v>0.50529469316341036</v>
      </c>
      <c r="FN29" s="382">
        <f t="shared" si="69"/>
        <v>0.38666223183103277</v>
      </c>
      <c r="FO29" s="382">
        <f t="shared" si="69"/>
        <v>0.41889007470651013</v>
      </c>
      <c r="FP29" s="382">
        <f t="shared" si="69"/>
        <v>0.3592448639644642</v>
      </c>
      <c r="FQ29" s="382">
        <f t="shared" si="69"/>
        <v>0.44533415460425008</v>
      </c>
      <c r="FR29" s="382">
        <f t="shared" si="69"/>
        <v>0.45204019488428743</v>
      </c>
      <c r="FS29" s="382">
        <f t="shared" si="69"/>
        <v>0.4087052748063445</v>
      </c>
      <c r="FT29" s="382">
        <f t="shared" si="69"/>
        <v>0.37327797697678805</v>
      </c>
      <c r="FU29" s="382">
        <f t="shared" si="69"/>
        <v>0.34453323646930623</v>
      </c>
      <c r="FV29" s="382">
        <f t="shared" si="69"/>
        <v>0.27887747431721371</v>
      </c>
      <c r="FW29" s="382">
        <f t="shared" si="69"/>
        <v>0.31320224719101125</v>
      </c>
      <c r="FX29" s="382">
        <f t="shared" si="69"/>
        <v>0.34209044848939762</v>
      </c>
      <c r="FY29" s="382">
        <f t="shared" si="69"/>
        <v>0.37791505791505792</v>
      </c>
      <c r="FZ29" s="382">
        <f t="shared" si="69"/>
        <v>0.42608824840291187</v>
      </c>
      <c r="GA29" s="382">
        <f t="shared" si="69"/>
        <v>0.44525248386766364</v>
      </c>
      <c r="GB29" s="382">
        <f t="shared" si="69"/>
        <v>0.48247535596933189</v>
      </c>
      <c r="GC29" s="382">
        <f t="shared" si="69"/>
        <v>0.51879157662810893</v>
      </c>
      <c r="GD29" s="382">
        <f t="shared" si="69"/>
        <v>0.50291005291005286</v>
      </c>
      <c r="GE29" s="382">
        <f t="shared" si="69"/>
        <v>0.53275159976730657</v>
      </c>
      <c r="GF29" s="382">
        <f t="shared" si="69"/>
        <v>0.52365830422356308</v>
      </c>
      <c r="GG29" s="387">
        <f>GG26/GG$4</f>
        <v>0.55355992774629303</v>
      </c>
      <c r="GH29" s="387">
        <f>GH26/GH$4</f>
        <v>0.5363504009085569</v>
      </c>
      <c r="GI29" s="387">
        <f t="shared" ref="GI29:GK29" si="70">GI26/GI$4</f>
        <v>0.54160617921211618</v>
      </c>
      <c r="GJ29" s="387">
        <f t="shared" si="70"/>
        <v>0.54099875479289472</v>
      </c>
      <c r="GK29" s="387">
        <f t="shared" si="70"/>
        <v>0.54294915607849126</v>
      </c>
      <c r="GN29" s="70"/>
      <c r="IF29" s="394"/>
    </row>
    <row r="30" spans="1:240" s="402" customFormat="1">
      <c r="A30" s="399" t="s">
        <v>210</v>
      </c>
      <c r="B30" s="400"/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0"/>
      <c r="Z30" s="400"/>
      <c r="AA30" s="400"/>
      <c r="AB30" s="400"/>
      <c r="AC30" s="400"/>
      <c r="AD30" s="400"/>
      <c r="AE30" s="400"/>
      <c r="AF30" s="400"/>
      <c r="AG30" s="400"/>
      <c r="AH30" s="400"/>
      <c r="AI30" s="400"/>
      <c r="AJ30" s="400"/>
      <c r="AK30" s="400"/>
      <c r="AL30" s="400"/>
      <c r="AM30" s="400"/>
      <c r="AN30" s="400"/>
      <c r="AO30" s="400"/>
      <c r="AP30" s="400"/>
      <c r="AQ30" s="400"/>
      <c r="AR30" s="400"/>
      <c r="AS30" s="400"/>
      <c r="AT30" s="400"/>
      <c r="AU30" s="400"/>
      <c r="AV30" s="400"/>
      <c r="AW30" s="400"/>
      <c r="AX30" s="400"/>
      <c r="AY30" s="400"/>
      <c r="AZ30" s="400"/>
      <c r="BA30" s="400"/>
      <c r="BB30" s="400"/>
      <c r="BC30" s="400"/>
      <c r="BD30" s="400"/>
      <c r="BE30" s="400"/>
      <c r="BF30" s="400"/>
      <c r="BG30" s="400"/>
      <c r="BH30" s="400"/>
      <c r="BI30" s="400"/>
      <c r="BJ30" s="400"/>
      <c r="BK30" s="400"/>
      <c r="BL30" s="400"/>
      <c r="BM30" s="400"/>
      <c r="BN30" s="400"/>
      <c r="BO30" s="400"/>
      <c r="BP30" s="400"/>
      <c r="BQ30" s="400"/>
      <c r="BR30" s="400"/>
      <c r="BS30" s="400"/>
      <c r="BT30" s="400"/>
      <c r="BU30" s="400"/>
      <c r="BV30" s="400"/>
      <c r="BW30" s="400"/>
      <c r="BX30" s="400"/>
      <c r="BY30" s="400"/>
      <c r="BZ30" s="400"/>
      <c r="CA30" s="400"/>
      <c r="CB30" s="400"/>
      <c r="CC30" s="400"/>
      <c r="CD30" s="400"/>
      <c r="CE30" s="400"/>
      <c r="CF30" s="400"/>
      <c r="CG30" s="400"/>
      <c r="CH30" s="400"/>
      <c r="CI30" s="400"/>
      <c r="CJ30" s="400"/>
      <c r="CK30" s="400"/>
      <c r="CL30" s="400">
        <v>1</v>
      </c>
      <c r="CM30" s="400">
        <v>1</v>
      </c>
      <c r="CN30" s="400">
        <v>0</v>
      </c>
      <c r="CO30" s="400">
        <v>1</v>
      </c>
      <c r="CP30" s="400">
        <v>1</v>
      </c>
      <c r="CQ30" s="400">
        <v>0</v>
      </c>
      <c r="CR30" s="400">
        <v>0</v>
      </c>
      <c r="CS30" s="400">
        <v>1</v>
      </c>
      <c r="CT30" s="400">
        <v>0</v>
      </c>
      <c r="CU30" s="400">
        <v>1</v>
      </c>
      <c r="CV30" s="400">
        <v>1</v>
      </c>
      <c r="CW30" s="400">
        <v>0</v>
      </c>
      <c r="CX30" s="400">
        <v>1</v>
      </c>
      <c r="CY30" s="400">
        <v>1</v>
      </c>
      <c r="CZ30" s="400">
        <v>1</v>
      </c>
      <c r="DA30" s="400">
        <v>1</v>
      </c>
      <c r="DB30" s="400">
        <v>1</v>
      </c>
      <c r="DC30" s="400">
        <v>2</v>
      </c>
      <c r="DD30" s="400">
        <v>2</v>
      </c>
      <c r="DE30" s="400">
        <v>1</v>
      </c>
      <c r="DF30" s="400">
        <v>2</v>
      </c>
      <c r="DG30" s="400">
        <v>2</v>
      </c>
      <c r="DH30" s="400">
        <v>1</v>
      </c>
      <c r="DI30" s="400">
        <v>1</v>
      </c>
      <c r="DJ30" s="401">
        <v>1</v>
      </c>
      <c r="DK30" s="401">
        <v>2</v>
      </c>
      <c r="DL30" s="401">
        <v>1</v>
      </c>
      <c r="DM30" s="401">
        <v>1</v>
      </c>
      <c r="DN30" s="401">
        <v>4</v>
      </c>
      <c r="DO30" s="401">
        <v>8</v>
      </c>
      <c r="DP30" s="401">
        <v>8</v>
      </c>
      <c r="DQ30" s="401">
        <v>9</v>
      </c>
      <c r="DR30" s="401">
        <v>8</v>
      </c>
      <c r="DS30" s="401">
        <v>10</v>
      </c>
      <c r="DT30" s="401">
        <v>6</v>
      </c>
      <c r="DU30" s="401">
        <v>6</v>
      </c>
      <c r="DV30" s="400">
        <v>6</v>
      </c>
      <c r="DW30" s="400">
        <v>5</v>
      </c>
      <c r="DX30" s="400">
        <v>5</v>
      </c>
      <c r="DY30" s="401">
        <v>6</v>
      </c>
      <c r="DZ30" s="401">
        <v>5</v>
      </c>
      <c r="EA30" s="401">
        <v>6</v>
      </c>
      <c r="EB30" s="401">
        <v>7</v>
      </c>
      <c r="EC30" s="401">
        <v>8</v>
      </c>
      <c r="ED30" s="401">
        <v>8</v>
      </c>
      <c r="EE30" s="400">
        <f t="shared" ref="EE30:EW30" si="71">ED30</f>
        <v>8</v>
      </c>
      <c r="EF30" s="400">
        <f t="shared" si="71"/>
        <v>8</v>
      </c>
      <c r="EG30" s="400">
        <f t="shared" si="71"/>
        <v>8</v>
      </c>
      <c r="EH30" s="400">
        <f t="shared" si="71"/>
        <v>8</v>
      </c>
      <c r="EI30" s="400">
        <f t="shared" si="71"/>
        <v>8</v>
      </c>
      <c r="EJ30" s="400">
        <f t="shared" si="71"/>
        <v>8</v>
      </c>
      <c r="EK30" s="400">
        <f t="shared" si="71"/>
        <v>8</v>
      </c>
      <c r="EL30" s="400">
        <f t="shared" si="71"/>
        <v>8</v>
      </c>
      <c r="EM30" s="400">
        <f t="shared" si="71"/>
        <v>8</v>
      </c>
      <c r="EN30" s="400">
        <f t="shared" si="71"/>
        <v>8</v>
      </c>
      <c r="EO30" s="400">
        <f t="shared" si="71"/>
        <v>8</v>
      </c>
      <c r="EP30" s="400">
        <f t="shared" si="71"/>
        <v>8</v>
      </c>
      <c r="EQ30" s="400">
        <f t="shared" si="71"/>
        <v>8</v>
      </c>
      <c r="ER30" s="400">
        <f t="shared" si="71"/>
        <v>8</v>
      </c>
      <c r="ES30" s="400">
        <f t="shared" si="71"/>
        <v>8</v>
      </c>
      <c r="ET30" s="400">
        <f t="shared" si="71"/>
        <v>8</v>
      </c>
      <c r="EU30" s="400">
        <f t="shared" si="71"/>
        <v>8</v>
      </c>
      <c r="EV30" s="400">
        <f t="shared" si="71"/>
        <v>8</v>
      </c>
      <c r="EW30" s="400">
        <f t="shared" si="71"/>
        <v>8</v>
      </c>
      <c r="FU30" s="400"/>
      <c r="FV30" s="400">
        <f>CL30+CM30+CN30+CO30</f>
        <v>3</v>
      </c>
      <c r="FW30" s="400">
        <f>CP30+CQ30+CR30+CS30</f>
        <v>2</v>
      </c>
      <c r="FX30" s="400">
        <f>CT30+CU30+CV30+CW30</f>
        <v>2</v>
      </c>
      <c r="FY30" s="400">
        <f>CX30+CY30+CZ30+DA30</f>
        <v>4</v>
      </c>
      <c r="FZ30" s="400">
        <f>DB30+DC30+DD30+DE30</f>
        <v>6</v>
      </c>
      <c r="GA30" s="403">
        <f>SUM(DF30:DI30)</f>
        <v>6</v>
      </c>
      <c r="GB30" s="403">
        <f>SUM(DJ30:DM30)</f>
        <v>5</v>
      </c>
      <c r="GC30" s="403">
        <f>SUM(DN30:DQ30)</f>
        <v>29</v>
      </c>
      <c r="GD30" s="403">
        <f>SUM(DR30:DU30)</f>
        <v>30</v>
      </c>
      <c r="GE30" s="403">
        <f>SUM(DV30:DY30)</f>
        <v>22</v>
      </c>
      <c r="GF30" s="403">
        <f>SUM(DZ30:EC30)</f>
        <v>26</v>
      </c>
      <c r="GG30" s="403">
        <f>SUM(ED30:EG30)</f>
        <v>32</v>
      </c>
      <c r="GH30" s="403">
        <f>SUM(EH30:EK30)</f>
        <v>32</v>
      </c>
      <c r="GI30" s="403">
        <f>SUM(EL30:EO30)</f>
        <v>32</v>
      </c>
      <c r="GJ30" s="403">
        <f>SUM(EP30:ES30)</f>
        <v>32</v>
      </c>
      <c r="GK30" s="403">
        <f>SUM(ET30:EW30)</f>
        <v>32</v>
      </c>
      <c r="GN30" s="404"/>
    </row>
    <row r="31" spans="1:240" s="382" customFormat="1" ht="11.25" customHeight="1">
      <c r="A31" s="381" t="s">
        <v>211</v>
      </c>
      <c r="CL31" s="382">
        <f t="shared" ref="CL31:EW31" si="72">(CL26+CL30)/CL4</f>
        <v>0.31747572815533981</v>
      </c>
      <c r="CM31" s="382">
        <f t="shared" si="72"/>
        <v>0.28237791932059447</v>
      </c>
      <c r="CN31" s="382">
        <f t="shared" si="72"/>
        <v>0.22525918944392084</v>
      </c>
      <c r="CO31" s="382">
        <f t="shared" si="72"/>
        <v>0.29645093945720252</v>
      </c>
      <c r="CP31" s="382">
        <f t="shared" si="72"/>
        <v>0.32451923076923078</v>
      </c>
      <c r="CQ31" s="382">
        <f t="shared" si="72"/>
        <v>0.31061343719571566</v>
      </c>
      <c r="CR31" s="382">
        <f t="shared" si="72"/>
        <v>0.30527926549349654</v>
      </c>
      <c r="CS31" s="382">
        <f t="shared" si="72"/>
        <v>0.31826401446654612</v>
      </c>
      <c r="CT31" s="382">
        <f t="shared" si="72"/>
        <v>0.3363821138211382</v>
      </c>
      <c r="CU31" s="382">
        <f t="shared" si="72"/>
        <v>0.33142389525368249</v>
      </c>
      <c r="CV31" s="382">
        <f t="shared" si="72"/>
        <v>0.34936092513694461</v>
      </c>
      <c r="CW31" s="382">
        <f t="shared" si="72"/>
        <v>0.34797297297297297</v>
      </c>
      <c r="CX31" s="382">
        <f t="shared" si="72"/>
        <v>0.36308439587128111</v>
      </c>
      <c r="CY31" s="382">
        <f t="shared" si="72"/>
        <v>0.37186788154897493</v>
      </c>
      <c r="CZ31" s="382">
        <f t="shared" si="72"/>
        <v>0.40048396854204477</v>
      </c>
      <c r="DA31" s="382">
        <f t="shared" si="72"/>
        <v>0.37914023960535587</v>
      </c>
      <c r="DB31" s="382">
        <f t="shared" si="72"/>
        <v>0.41037735849056606</v>
      </c>
      <c r="DC31" s="382">
        <f t="shared" si="72"/>
        <v>0.40692357935989548</v>
      </c>
      <c r="DD31" s="382">
        <f t="shared" si="72"/>
        <v>0.43253747917823432</v>
      </c>
      <c r="DE31" s="382">
        <f t="shared" si="72"/>
        <v>0.44663845792195583</v>
      </c>
      <c r="DF31" s="382">
        <f t="shared" si="72"/>
        <v>0.45912653975363943</v>
      </c>
      <c r="DG31" s="382">
        <f t="shared" si="72"/>
        <v>0.43995859213250516</v>
      </c>
      <c r="DH31" s="382">
        <f t="shared" si="72"/>
        <v>0.43948589789360942</v>
      </c>
      <c r="DI31" s="382">
        <f t="shared" si="72"/>
        <v>0.44759556103575832</v>
      </c>
      <c r="DJ31" s="383">
        <f t="shared" si="72"/>
        <v>0.46095791001451381</v>
      </c>
      <c r="DK31" s="383">
        <f t="shared" si="72"/>
        <v>0.47584415584415585</v>
      </c>
      <c r="DL31" s="383">
        <f t="shared" si="72"/>
        <v>0.48388592626941807</v>
      </c>
      <c r="DM31" s="383">
        <f t="shared" si="72"/>
        <v>0.50290095317032735</v>
      </c>
      <c r="DN31" s="383">
        <f t="shared" si="72"/>
        <v>0.52658399864107353</v>
      </c>
      <c r="DO31" s="383">
        <f t="shared" si="72"/>
        <v>0.54015267175572523</v>
      </c>
      <c r="DP31" s="383">
        <f t="shared" si="72"/>
        <v>0.49883198562443848</v>
      </c>
      <c r="DQ31" s="383">
        <f t="shared" si="72"/>
        <v>0.51062689766029645</v>
      </c>
      <c r="DR31" s="383">
        <f t="shared" si="72"/>
        <v>0.49971978329908462</v>
      </c>
      <c r="DS31" s="383">
        <f t="shared" si="72"/>
        <v>0.497294271319276</v>
      </c>
      <c r="DT31" s="383">
        <f t="shared" si="72"/>
        <v>0.51086206896551722</v>
      </c>
      <c r="DU31" s="383">
        <f t="shared" si="72"/>
        <v>0.50794422827496755</v>
      </c>
      <c r="DV31" s="382">
        <f t="shared" si="72"/>
        <v>0.52274803581216878</v>
      </c>
      <c r="DW31" s="382">
        <f t="shared" si="72"/>
        <v>0.53144815766923736</v>
      </c>
      <c r="DX31" s="382">
        <f t="shared" si="72"/>
        <v>0.53629564452265732</v>
      </c>
      <c r="DY31" s="383">
        <f t="shared" si="72"/>
        <v>0.54061112562026636</v>
      </c>
      <c r="DZ31" s="383">
        <f t="shared" si="72"/>
        <v>0.53670341489647755</v>
      </c>
      <c r="EA31" s="383">
        <f t="shared" si="72"/>
        <v>0.43279115159401432</v>
      </c>
      <c r="EB31" s="383">
        <f t="shared" si="72"/>
        <v>0.53990914990266059</v>
      </c>
      <c r="EC31" s="383">
        <f t="shared" si="72"/>
        <v>0.57010710808179166</v>
      </c>
      <c r="ED31" s="383">
        <f t="shared" si="72"/>
        <v>0.55447186189407982</v>
      </c>
      <c r="EE31" s="384">
        <f t="shared" si="72"/>
        <v>0.56123062306407756</v>
      </c>
      <c r="EF31" s="384">
        <f t="shared" si="72"/>
        <v>0.56245656901209129</v>
      </c>
      <c r="EG31" s="384">
        <f t="shared" si="72"/>
        <v>0.54305214966921</v>
      </c>
      <c r="EH31" s="384">
        <f t="shared" si="72"/>
        <v>0.54143090819037343</v>
      </c>
      <c r="EI31" s="384">
        <f t="shared" si="72"/>
        <v>0.54015983745087903</v>
      </c>
      <c r="EJ31" s="384">
        <f t="shared" si="72"/>
        <v>0.53488845049144995</v>
      </c>
      <c r="EK31" s="384">
        <f t="shared" si="72"/>
        <v>0.53237783520113935</v>
      </c>
      <c r="EL31" s="384">
        <f t="shared" si="72"/>
        <v>0.53996346539264783</v>
      </c>
      <c r="EM31" s="384">
        <f t="shared" si="72"/>
        <v>0.54150715764340029</v>
      </c>
      <c r="EN31" s="384">
        <f t="shared" si="72"/>
        <v>0.54335817183134727</v>
      </c>
      <c r="EO31" s="384">
        <f t="shared" si="72"/>
        <v>0.54253579437848176</v>
      </c>
      <c r="EP31" s="384">
        <f t="shared" si="72"/>
        <v>0.54110652263304282</v>
      </c>
      <c r="EQ31" s="384">
        <f t="shared" si="72"/>
        <v>0.54033213534443381</v>
      </c>
      <c r="ER31" s="384">
        <f t="shared" si="72"/>
        <v>0.5416190379931245</v>
      </c>
      <c r="ES31" s="384">
        <f t="shared" si="72"/>
        <v>0.54187072514837042</v>
      </c>
      <c r="ET31" s="384">
        <f t="shared" si="72"/>
        <v>0.54326174360135326</v>
      </c>
      <c r="EU31" s="384">
        <f t="shared" si="72"/>
        <v>0.54251277644403562</v>
      </c>
      <c r="EV31" s="384">
        <f t="shared" si="72"/>
        <v>0.5431624258834441</v>
      </c>
      <c r="EW31" s="384">
        <f t="shared" si="72"/>
        <v>0.54370618362665557</v>
      </c>
      <c r="EZ31" s="382">
        <f t="shared" ref="EZ31:GD31" si="73">(EZ26+EZ30)/EZ4</f>
        <v>0.52097701846773603</v>
      </c>
      <c r="FA31" s="382">
        <f t="shared" si="73"/>
        <v>0.53983001500473848</v>
      </c>
      <c r="FB31" s="382">
        <f t="shared" si="73"/>
        <v>0.46542241011736307</v>
      </c>
      <c r="FC31" s="382">
        <f t="shared" si="73"/>
        <v>0.26225602515899743</v>
      </c>
      <c r="FD31" s="382">
        <f t="shared" si="73"/>
        <v>0.33014142485809778</v>
      </c>
      <c r="FE31" s="382">
        <f t="shared" si="73"/>
        <v>0.32391515655504555</v>
      </c>
      <c r="FF31" s="382">
        <f t="shared" si="73"/>
        <v>0.31255905296885084</v>
      </c>
      <c r="FG31" s="382">
        <f t="shared" si="73"/>
        <v>0.45854096745027706</v>
      </c>
      <c r="FH31" s="382">
        <f t="shared" si="73"/>
        <v>0.33632855519644872</v>
      </c>
      <c r="FI31" s="382">
        <f t="shared" si="73"/>
        <v>0.2192664595004355</v>
      </c>
      <c r="FJ31" s="382">
        <f t="shared" si="73"/>
        <v>0.33874569216360234</v>
      </c>
      <c r="FK31" s="382">
        <f t="shared" si="73"/>
        <v>0.39365702043513506</v>
      </c>
      <c r="FL31" s="382">
        <f t="shared" si="73"/>
        <v>0.40901812836325202</v>
      </c>
      <c r="FM31" s="382">
        <f t="shared" si="73"/>
        <v>0.50529469316341036</v>
      </c>
      <c r="FN31" s="382">
        <f t="shared" si="73"/>
        <v>0.38666223183103277</v>
      </c>
      <c r="FO31" s="382">
        <f t="shared" si="73"/>
        <v>0.41889007470651013</v>
      </c>
      <c r="FP31" s="382">
        <f t="shared" si="73"/>
        <v>0.3592448639644642</v>
      </c>
      <c r="FQ31" s="382">
        <f t="shared" si="73"/>
        <v>0.44533415460425008</v>
      </c>
      <c r="FR31" s="382">
        <f t="shared" si="73"/>
        <v>0.45204019488428743</v>
      </c>
      <c r="FS31" s="382">
        <f t="shared" si="73"/>
        <v>0.4087052748063445</v>
      </c>
      <c r="FT31" s="382">
        <f t="shared" si="73"/>
        <v>0.37327797697678805</v>
      </c>
      <c r="FU31" s="382">
        <f t="shared" si="73"/>
        <v>0.34453323646930623</v>
      </c>
      <c r="FV31" s="382">
        <f t="shared" si="73"/>
        <v>0.27962916562265094</v>
      </c>
      <c r="FW31" s="382">
        <f t="shared" si="73"/>
        <v>0.31367041198501872</v>
      </c>
      <c r="FX31" s="382">
        <f t="shared" si="73"/>
        <v>0.34246575342465752</v>
      </c>
      <c r="FY31" s="382">
        <f t="shared" si="73"/>
        <v>0.37853281853281856</v>
      </c>
      <c r="FZ31" s="382">
        <f t="shared" si="73"/>
        <v>0.42697964641212299</v>
      </c>
      <c r="GA31" s="382">
        <f t="shared" si="73"/>
        <v>0.44586704906278807</v>
      </c>
      <c r="GB31" s="382">
        <f t="shared" si="73"/>
        <v>0.48277960326153097</v>
      </c>
      <c r="GC31" s="382">
        <f t="shared" si="73"/>
        <v>0.52002033812126602</v>
      </c>
      <c r="GD31" s="382">
        <f t="shared" si="73"/>
        <v>0.50423280423280425</v>
      </c>
      <c r="GE31" s="382">
        <f>(GE26+GE30)/GE4</f>
        <v>0.5336048089974792</v>
      </c>
      <c r="GF31" s="382">
        <f>(GF26+GF30)/GF4</f>
        <v>0.52440890325933198</v>
      </c>
      <c r="GG31" s="387">
        <f>(GG26+GG30)/GG4</f>
        <v>0.55420430032978663</v>
      </c>
      <c r="GH31" s="387">
        <f>(GH26+GH30)/GH4</f>
        <v>0.53673455137123749</v>
      </c>
      <c r="GI31" s="387">
        <f t="shared" ref="GI31:GK31" si="74">(GI26+GI30)/GI4</f>
        <v>0.54191211073647882</v>
      </c>
      <c r="GJ31" s="387">
        <f t="shared" si="74"/>
        <v>0.54126022431484988</v>
      </c>
      <c r="GK31" s="387">
        <f t="shared" si="74"/>
        <v>0.54317922739399283</v>
      </c>
      <c r="GN31" s="70"/>
      <c r="IF31" s="394"/>
    </row>
    <row r="32" spans="1:240" s="379" customFormat="1">
      <c r="A32" s="405" t="s">
        <v>212</v>
      </c>
      <c r="B32" s="376">
        <f t="shared" ref="B32:AC32" si="75">B41+B45</f>
        <v>130.30799999999999</v>
      </c>
      <c r="C32" s="376">
        <f t="shared" si="75"/>
        <v>136.57599999999999</v>
      </c>
      <c r="D32" s="376">
        <f t="shared" si="75"/>
        <v>136.88400000000001</v>
      </c>
      <c r="E32" s="376">
        <f t="shared" si="75"/>
        <v>149.89499999999998</v>
      </c>
      <c r="F32" s="376">
        <f t="shared" si="75"/>
        <v>161.11500000000001</v>
      </c>
      <c r="G32" s="376">
        <f t="shared" si="75"/>
        <v>159.62</v>
      </c>
      <c r="H32" s="376">
        <f t="shared" si="75"/>
        <v>155.12799999999999</v>
      </c>
      <c r="I32" s="376">
        <f t="shared" si="75"/>
        <v>163.351</v>
      </c>
      <c r="J32" s="376">
        <f t="shared" si="75"/>
        <v>189.446</v>
      </c>
      <c r="K32" s="376">
        <f t="shared" si="75"/>
        <v>198.39600000000002</v>
      </c>
      <c r="L32" s="376">
        <f t="shared" si="75"/>
        <v>195.53899999999999</v>
      </c>
      <c r="M32" s="376">
        <f t="shared" si="75"/>
        <v>199.19</v>
      </c>
      <c r="N32" s="376">
        <f t="shared" si="75"/>
        <v>197.791</v>
      </c>
      <c r="O32" s="376">
        <f t="shared" si="75"/>
        <v>175.83100000000002</v>
      </c>
      <c r="P32" s="376">
        <f t="shared" si="75"/>
        <v>196.08800000000002</v>
      </c>
      <c r="Q32" s="376">
        <f t="shared" si="75"/>
        <v>195.791</v>
      </c>
      <c r="R32" s="376">
        <f t="shared" si="75"/>
        <v>199.42700000000002</v>
      </c>
      <c r="S32" s="376">
        <f t="shared" si="75"/>
        <v>213.00400000000002</v>
      </c>
      <c r="T32" s="376">
        <f t="shared" si="75"/>
        <v>226.83199999999999</v>
      </c>
      <c r="U32" s="376">
        <f t="shared" si="75"/>
        <v>229.327</v>
      </c>
      <c r="V32" s="376">
        <f t="shared" si="75"/>
        <v>216.334</v>
      </c>
      <c r="W32" s="376">
        <f t="shared" si="75"/>
        <v>240.35599999999999</v>
      </c>
      <c r="X32" s="376">
        <f t="shared" si="75"/>
        <v>253.43299999999999</v>
      </c>
      <c r="Y32" s="376">
        <f t="shared" si="75"/>
        <v>276.95699999999999</v>
      </c>
      <c r="Z32" s="376">
        <f t="shared" si="75"/>
        <v>287.25599999999997</v>
      </c>
      <c r="AA32" s="376">
        <f t="shared" si="75"/>
        <v>291.798</v>
      </c>
      <c r="AB32" s="376">
        <f t="shared" si="75"/>
        <v>287.06299999999999</v>
      </c>
      <c r="AC32" s="376">
        <f t="shared" si="75"/>
        <v>309.73900000000003</v>
      </c>
      <c r="AD32" s="376">
        <f>AD41+AD45</f>
        <v>305.60300000000001</v>
      </c>
      <c r="AE32" s="376">
        <f t="shared" ref="AE32:CP32" si="76">AE41+AE45</f>
        <v>307.673</v>
      </c>
      <c r="AF32" s="376">
        <f t="shared" si="76"/>
        <v>304.69500000000005</v>
      </c>
      <c r="AG32" s="376">
        <f t="shared" si="76"/>
        <v>322.84299999999996</v>
      </c>
      <c r="AH32" s="376">
        <f t="shared" si="76"/>
        <v>306.89800000000002</v>
      </c>
      <c r="AI32" s="376">
        <f t="shared" si="76"/>
        <v>327.40499999999997</v>
      </c>
      <c r="AJ32" s="376">
        <f t="shared" si="76"/>
        <v>312.10300000000001</v>
      </c>
      <c r="AK32" s="376">
        <f t="shared" si="76"/>
        <v>324.55500000000001</v>
      </c>
      <c r="AL32" s="376">
        <f t="shared" si="76"/>
        <v>328.74200000000002</v>
      </c>
      <c r="AM32" s="376">
        <f t="shared" si="76"/>
        <v>338.673</v>
      </c>
      <c r="AN32" s="376">
        <f t="shared" si="76"/>
        <v>379.52700000000004</v>
      </c>
      <c r="AO32" s="376">
        <f t="shared" si="76"/>
        <v>397.23700000000002</v>
      </c>
      <c r="AP32" s="376">
        <f t="shared" si="76"/>
        <v>341.29</v>
      </c>
      <c r="AQ32" s="376">
        <f t="shared" si="76"/>
        <v>343.67399999999998</v>
      </c>
      <c r="AR32" s="376">
        <f t="shared" si="76"/>
        <v>365.108</v>
      </c>
      <c r="AS32" s="376">
        <f t="shared" si="76"/>
        <v>389.30899999999997</v>
      </c>
      <c r="AT32" s="376">
        <f t="shared" si="76"/>
        <v>406.30700000000002</v>
      </c>
      <c r="AU32" s="376">
        <f t="shared" si="76"/>
        <v>403.81399999999996</v>
      </c>
      <c r="AV32" s="376">
        <f t="shared" si="76"/>
        <v>433.07499999999999</v>
      </c>
      <c r="AW32" s="376">
        <f t="shared" si="76"/>
        <v>498.38900000000001</v>
      </c>
      <c r="AX32" s="376">
        <f t="shared" si="76"/>
        <v>464.83600000000001</v>
      </c>
      <c r="AY32" s="376">
        <f t="shared" si="76"/>
        <v>501.09500000000003</v>
      </c>
      <c r="AZ32" s="376">
        <f t="shared" si="76"/>
        <v>547.76599999999996</v>
      </c>
      <c r="BA32" s="376">
        <f t="shared" si="76"/>
        <v>646.41200000000003</v>
      </c>
      <c r="BB32" s="376">
        <f t="shared" si="76"/>
        <v>520.21799999999996</v>
      </c>
      <c r="BC32" s="376">
        <f t="shared" si="76"/>
        <v>588.19899999999996</v>
      </c>
      <c r="BD32" s="376">
        <f t="shared" si="76"/>
        <v>563.18599999999992</v>
      </c>
      <c r="BE32" s="376">
        <f t="shared" si="76"/>
        <v>679</v>
      </c>
      <c r="BF32" s="376">
        <f t="shared" si="76"/>
        <v>767</v>
      </c>
      <c r="BG32" s="376">
        <f t="shared" si="76"/>
        <v>821</v>
      </c>
      <c r="BH32" s="376">
        <f t="shared" si="76"/>
        <v>819</v>
      </c>
      <c r="BI32" s="376">
        <f t="shared" si="76"/>
        <v>794</v>
      </c>
      <c r="BJ32" s="376">
        <f t="shared" si="76"/>
        <v>842</v>
      </c>
      <c r="BK32" s="376">
        <f t="shared" si="76"/>
        <v>779</v>
      </c>
      <c r="BL32" s="376">
        <f t="shared" si="76"/>
        <v>753</v>
      </c>
      <c r="BM32" s="376">
        <f t="shared" si="76"/>
        <v>759</v>
      </c>
      <c r="BN32" s="376">
        <f t="shared" si="76"/>
        <v>557</v>
      </c>
      <c r="BO32" s="376">
        <f t="shared" si="76"/>
        <v>528</v>
      </c>
      <c r="BP32" s="376">
        <f t="shared" si="76"/>
        <v>480</v>
      </c>
      <c r="BQ32" s="376">
        <f t="shared" si="76"/>
        <v>510</v>
      </c>
      <c r="BR32" s="376">
        <f t="shared" si="76"/>
        <v>542</v>
      </c>
      <c r="BS32" s="376">
        <f t="shared" si="76"/>
        <v>600</v>
      </c>
      <c r="BT32" s="376">
        <f t="shared" si="76"/>
        <v>595</v>
      </c>
      <c r="BU32" s="376">
        <f t="shared" si="76"/>
        <v>602</v>
      </c>
      <c r="BV32" s="376">
        <f t="shared" si="76"/>
        <v>628</v>
      </c>
      <c r="BW32" s="376">
        <f t="shared" si="76"/>
        <v>606</v>
      </c>
      <c r="BX32" s="376">
        <f t="shared" si="76"/>
        <v>610</v>
      </c>
      <c r="BY32" s="376">
        <f t="shared" si="76"/>
        <v>601</v>
      </c>
      <c r="BZ32" s="376">
        <f t="shared" si="76"/>
        <v>592</v>
      </c>
      <c r="CA32" s="376">
        <f t="shared" si="76"/>
        <v>557</v>
      </c>
      <c r="CB32" s="376">
        <f t="shared" si="76"/>
        <v>516</v>
      </c>
      <c r="CC32" s="376">
        <f t="shared" si="76"/>
        <v>506</v>
      </c>
      <c r="CD32" s="376">
        <f t="shared" si="76"/>
        <v>491</v>
      </c>
      <c r="CE32" s="376">
        <f t="shared" si="76"/>
        <v>479</v>
      </c>
      <c r="CF32" s="376">
        <f t="shared" si="76"/>
        <v>443</v>
      </c>
      <c r="CG32" s="376">
        <f t="shared" si="76"/>
        <v>462</v>
      </c>
      <c r="CH32" s="376">
        <f t="shared" si="76"/>
        <v>421</v>
      </c>
      <c r="CI32" s="376">
        <f t="shared" si="76"/>
        <v>431</v>
      </c>
      <c r="CJ32" s="376">
        <f t="shared" si="76"/>
        <v>428</v>
      </c>
      <c r="CK32" s="376">
        <f t="shared" si="76"/>
        <v>382</v>
      </c>
      <c r="CL32" s="376">
        <f t="shared" si="76"/>
        <v>373</v>
      </c>
      <c r="CM32" s="376">
        <f t="shared" si="76"/>
        <v>369</v>
      </c>
      <c r="CN32" s="376">
        <f t="shared" si="76"/>
        <v>349</v>
      </c>
      <c r="CO32" s="376">
        <f t="shared" si="76"/>
        <v>338</v>
      </c>
      <c r="CP32" s="376">
        <f t="shared" si="76"/>
        <v>347</v>
      </c>
      <c r="CQ32" s="376">
        <f t="shared" ref="CQ32:EW32" si="77">CQ41+CQ45</f>
        <v>360</v>
      </c>
      <c r="CR32" s="376">
        <f t="shared" si="77"/>
        <v>376</v>
      </c>
      <c r="CS32" s="376">
        <f t="shared" si="77"/>
        <v>385</v>
      </c>
      <c r="CT32" s="376">
        <f t="shared" si="77"/>
        <v>387</v>
      </c>
      <c r="CU32" s="376">
        <f t="shared" si="77"/>
        <v>404</v>
      </c>
      <c r="CV32" s="376">
        <f t="shared" si="77"/>
        <v>447</v>
      </c>
      <c r="CW32" s="376">
        <f t="shared" si="77"/>
        <v>433</v>
      </c>
      <c r="CX32" s="376">
        <f t="shared" si="77"/>
        <v>477</v>
      </c>
      <c r="CY32" s="376">
        <f t="shared" si="77"/>
        <v>499</v>
      </c>
      <c r="CZ32" s="376">
        <f t="shared" si="77"/>
        <v>511</v>
      </c>
      <c r="DA32" s="376">
        <f t="shared" si="77"/>
        <v>509</v>
      </c>
      <c r="DB32" s="376">
        <f t="shared" si="77"/>
        <v>538</v>
      </c>
      <c r="DC32" s="376">
        <f t="shared" si="77"/>
        <v>555</v>
      </c>
      <c r="DD32" s="376">
        <f t="shared" si="77"/>
        <v>591</v>
      </c>
      <c r="DE32" s="376">
        <f t="shared" si="77"/>
        <v>601</v>
      </c>
      <c r="DF32" s="376">
        <f t="shared" si="77"/>
        <v>641</v>
      </c>
      <c r="DG32" s="376">
        <f t="shared" si="77"/>
        <v>675</v>
      </c>
      <c r="DH32" s="376">
        <f t="shared" si="77"/>
        <v>781</v>
      </c>
      <c r="DI32" s="376">
        <f t="shared" si="77"/>
        <v>867</v>
      </c>
      <c r="DJ32" s="397">
        <f t="shared" si="77"/>
        <v>910</v>
      </c>
      <c r="DK32" s="397">
        <f t="shared" si="77"/>
        <v>989</v>
      </c>
      <c r="DL32" s="397">
        <f t="shared" si="77"/>
        <v>1130</v>
      </c>
      <c r="DM32" s="397">
        <f t="shared" si="77"/>
        <v>1210</v>
      </c>
      <c r="DN32" s="397">
        <f t="shared" si="77"/>
        <v>1433</v>
      </c>
      <c r="DO32" s="397">
        <f t="shared" si="77"/>
        <v>1807</v>
      </c>
      <c r="DP32" s="397">
        <f t="shared" si="77"/>
        <v>1773</v>
      </c>
      <c r="DQ32" s="397">
        <f t="shared" si="77"/>
        <v>1898</v>
      </c>
      <c r="DR32" s="397">
        <f t="shared" si="77"/>
        <v>1874</v>
      </c>
      <c r="DS32" s="397">
        <f t="shared" si="77"/>
        <v>1935</v>
      </c>
      <c r="DT32" s="397">
        <f t="shared" si="77"/>
        <v>2034</v>
      </c>
      <c r="DU32" s="397">
        <f t="shared" si="77"/>
        <v>2089</v>
      </c>
      <c r="DV32" s="376">
        <f t="shared" si="77"/>
        <v>2093</v>
      </c>
      <c r="DW32" s="376">
        <f t="shared" si="77"/>
        <v>2178</v>
      </c>
      <c r="DX32" s="376">
        <f t="shared" si="77"/>
        <v>2288</v>
      </c>
      <c r="DY32" s="397">
        <f t="shared" si="77"/>
        <v>2447</v>
      </c>
      <c r="DZ32" s="397">
        <f t="shared" si="77"/>
        <v>2572</v>
      </c>
      <c r="EA32" s="397">
        <f t="shared" si="77"/>
        <v>2792</v>
      </c>
      <c r="EB32" s="397">
        <f t="shared" si="77"/>
        <v>3166</v>
      </c>
      <c r="EC32" s="397">
        <f t="shared" si="77"/>
        <v>3479</v>
      </c>
      <c r="ED32" s="397">
        <f t="shared" si="77"/>
        <v>3624</v>
      </c>
      <c r="EE32" s="380">
        <f t="shared" si="77"/>
        <v>3805.2</v>
      </c>
      <c r="EF32" s="380">
        <f t="shared" si="77"/>
        <v>4058.6805000000004</v>
      </c>
      <c r="EG32" s="380">
        <f t="shared" si="77"/>
        <v>4329.1316250000009</v>
      </c>
      <c r="EH32" s="380">
        <f t="shared" si="77"/>
        <v>4603.2190375500013</v>
      </c>
      <c r="EI32" s="380">
        <f t="shared" si="77"/>
        <v>4941.0771692940016</v>
      </c>
      <c r="EJ32" s="380">
        <f t="shared" si="77"/>
        <v>5419.0732088556024</v>
      </c>
      <c r="EK32" s="380">
        <f t="shared" si="77"/>
        <v>5943.4188014102601</v>
      </c>
      <c r="EL32" s="380">
        <f t="shared" si="77"/>
        <v>5943.4188014102601</v>
      </c>
      <c r="EM32" s="380">
        <f t="shared" si="77"/>
        <v>5983.71070554368</v>
      </c>
      <c r="EN32" s="380">
        <f t="shared" si="77"/>
        <v>5983.71070554368</v>
      </c>
      <c r="EO32" s="380">
        <f t="shared" si="77"/>
        <v>6043.5478125991167</v>
      </c>
      <c r="EP32" s="380">
        <f t="shared" si="77"/>
        <v>6246.6223116641022</v>
      </c>
      <c r="EQ32" s="380">
        <f t="shared" si="77"/>
        <v>6414.3006001601452</v>
      </c>
      <c r="ER32" s="380">
        <f t="shared" si="77"/>
        <v>6606.7296181649499</v>
      </c>
      <c r="ES32" s="380">
        <f t="shared" si="77"/>
        <v>6895.6296348230262</v>
      </c>
      <c r="ET32" s="380">
        <f t="shared" si="77"/>
        <v>6964.5859311712566</v>
      </c>
      <c r="EU32" s="380">
        <f t="shared" si="77"/>
        <v>7082.3244729149546</v>
      </c>
      <c r="EV32" s="380">
        <f t="shared" si="77"/>
        <v>7202.2022537247285</v>
      </c>
      <c r="EW32" s="380">
        <f t="shared" si="77"/>
        <v>7274.2242762619771</v>
      </c>
      <c r="EZ32" s="376">
        <f>B32+C32+D32+E32</f>
        <v>553.66300000000001</v>
      </c>
      <c r="FA32" s="376">
        <f>F32+G32+H32+I32</f>
        <v>639.21399999999994</v>
      </c>
      <c r="FB32" s="376">
        <f>J32+K32+L32+M32</f>
        <v>782.57099999999991</v>
      </c>
      <c r="FC32" s="376">
        <f>N32+O32+P32+Q32</f>
        <v>765.50099999999998</v>
      </c>
      <c r="FD32" s="376">
        <f>R32+S32+T32+U32</f>
        <v>868.59</v>
      </c>
      <c r="FE32" s="376">
        <f>V32+W32+X32+Y32</f>
        <v>987.08</v>
      </c>
      <c r="FF32" s="376">
        <f>Z32+AA32+AB32+AC32</f>
        <v>1175.856</v>
      </c>
      <c r="FG32" s="376">
        <f>AD32+AE32+AF32+AG32</f>
        <v>1240.8140000000001</v>
      </c>
      <c r="FH32" s="376">
        <f>AH32+AI32+AJ32+AK32</f>
        <v>1270.961</v>
      </c>
      <c r="FI32" s="376">
        <f>AL32+AM32+AN32+AO32</f>
        <v>1444.1790000000001</v>
      </c>
      <c r="FJ32" s="376">
        <f>AP32+AQ32+AR32+AS32</f>
        <v>1439.3809999999999</v>
      </c>
      <c r="FK32" s="376">
        <f>AT32+AU32+AV32+AW32</f>
        <v>1741.585</v>
      </c>
      <c r="FL32" s="376">
        <f>AX32+AY32+AZ32+BA32</f>
        <v>2160.1090000000004</v>
      </c>
      <c r="FM32" s="376">
        <f>BB32+BC32+BD32+BE32</f>
        <v>2350.6030000000001</v>
      </c>
      <c r="FN32" s="376">
        <f>BF32+BG32+BH32+BI32</f>
        <v>3201</v>
      </c>
      <c r="FO32" s="376">
        <f>BJ32+BK32+BL32+BM32</f>
        <v>3133</v>
      </c>
      <c r="FP32" s="376">
        <f>BN32+BO32+BP32+BQ32</f>
        <v>2075</v>
      </c>
      <c r="FQ32" s="376">
        <f>BR32+BS32+BT32+BU32</f>
        <v>2339</v>
      </c>
      <c r="FR32" s="376">
        <f>BV32+BW32+BX32+BY32</f>
        <v>2445</v>
      </c>
      <c r="FS32" s="376">
        <f>BZ32+CA32+CB32+CC32</f>
        <v>2171</v>
      </c>
      <c r="FT32" s="376">
        <f>CD32+CE32+CF32+CG32</f>
        <v>1875</v>
      </c>
      <c r="FU32" s="376">
        <f>CH32+CI32+CJ32+CK32</f>
        <v>1662</v>
      </c>
      <c r="FV32" s="376">
        <f>CL32+CM32+CN32+CO32</f>
        <v>1429</v>
      </c>
      <c r="FW32" s="376">
        <f>CP32+CQ32+CR32+CS32</f>
        <v>1468</v>
      </c>
      <c r="FX32" s="376">
        <f>CT32+CU32+CV32+CW32</f>
        <v>1671</v>
      </c>
      <c r="FY32" s="376">
        <f>CX32+CY32+CZ32+DA32</f>
        <v>1996</v>
      </c>
      <c r="FZ32" s="376">
        <f>DB32+DC32+DD32+DE32</f>
        <v>2285</v>
      </c>
      <c r="GA32" s="376">
        <f>SUM(DF32:DI32)</f>
        <v>2964</v>
      </c>
      <c r="GB32" s="376">
        <f>SUM(DJ32:DM32)</f>
        <v>4239</v>
      </c>
      <c r="GC32" s="376">
        <f>SUM(DN32:DQ32)</f>
        <v>6911</v>
      </c>
      <c r="GD32" s="376">
        <f>SUM(DR32:DU32)</f>
        <v>7932</v>
      </c>
      <c r="GE32" s="376">
        <f>SUM(DV32:DY32)</f>
        <v>9006</v>
      </c>
      <c r="GF32" s="376">
        <f>SUM(DZ32:EC32)</f>
        <v>12009</v>
      </c>
      <c r="GG32" s="380">
        <f>SUM(ED32:EG32)</f>
        <v>15817.012125000001</v>
      </c>
      <c r="GH32" s="380">
        <f>SUM(EH32:EK32)</f>
        <v>20906.788217109868</v>
      </c>
      <c r="GI32" s="380">
        <f>SUM(EL32:EO32)</f>
        <v>23954.388025096738</v>
      </c>
      <c r="GJ32" s="380">
        <f>SUM(EP32:ES32)</f>
        <v>26163.282164812226</v>
      </c>
      <c r="GK32" s="380">
        <f>SUM(ET32:EW32)</f>
        <v>28523.336934072919</v>
      </c>
      <c r="GN32" s="70"/>
      <c r="IF32" s="394"/>
    </row>
    <row r="33" spans="1:240" s="382" customFormat="1">
      <c r="A33" s="381" t="s">
        <v>198</v>
      </c>
      <c r="C33" s="382">
        <f t="shared" ref="C33:BN33" si="78">C32/B32-1</f>
        <v>4.8101421248119891E-2</v>
      </c>
      <c r="D33" s="382">
        <f t="shared" si="78"/>
        <v>2.2551546391753607E-3</v>
      </c>
      <c r="E33" s="382">
        <f t="shared" si="78"/>
        <v>9.5051284299114247E-2</v>
      </c>
      <c r="F33" s="382">
        <f t="shared" si="78"/>
        <v>7.4852396677674626E-2</v>
      </c>
      <c r="G33" s="382">
        <f t="shared" si="78"/>
        <v>-9.2790863668807955E-3</v>
      </c>
      <c r="H33" s="382">
        <f t="shared" si="78"/>
        <v>-2.8141836862548675E-2</v>
      </c>
      <c r="I33" s="382">
        <f t="shared" si="78"/>
        <v>5.3007838688051256E-2</v>
      </c>
      <c r="J33" s="382">
        <f t="shared" si="78"/>
        <v>0.1597480272541949</v>
      </c>
      <c r="K33" s="382">
        <f t="shared" si="78"/>
        <v>4.7243013840355674E-2</v>
      </c>
      <c r="L33" s="382">
        <f t="shared" si="78"/>
        <v>-1.4400491945402272E-2</v>
      </c>
      <c r="M33" s="382">
        <f t="shared" si="78"/>
        <v>1.8671467073064774E-2</v>
      </c>
      <c r="N33" s="382">
        <f t="shared" si="78"/>
        <v>-7.0234449520558684E-3</v>
      </c>
      <c r="O33" s="382">
        <f t="shared" si="78"/>
        <v>-0.11102628532137448</v>
      </c>
      <c r="P33" s="382">
        <f t="shared" si="78"/>
        <v>0.11520721601992823</v>
      </c>
      <c r="Q33" s="382">
        <f t="shared" si="78"/>
        <v>-1.5146260862470839E-3</v>
      </c>
      <c r="R33" s="382">
        <f t="shared" si="78"/>
        <v>1.8570822969391054E-2</v>
      </c>
      <c r="S33" s="382">
        <f t="shared" si="78"/>
        <v>6.8080049341362914E-2</v>
      </c>
      <c r="T33" s="382">
        <f t="shared" si="78"/>
        <v>6.4918968657865506E-2</v>
      </c>
      <c r="U33" s="382">
        <f t="shared" si="78"/>
        <v>1.0999329900543087E-2</v>
      </c>
      <c r="V33" s="382">
        <f t="shared" si="78"/>
        <v>-5.6657087913765003E-2</v>
      </c>
      <c r="W33" s="382">
        <f t="shared" si="78"/>
        <v>0.11104126027346606</v>
      </c>
      <c r="X33" s="382">
        <f t="shared" si="78"/>
        <v>5.440679658506542E-2</v>
      </c>
      <c r="Y33" s="382">
        <f t="shared" si="78"/>
        <v>9.2821376853053916E-2</v>
      </c>
      <c r="Z33" s="382">
        <f t="shared" si="78"/>
        <v>3.718627801427643E-2</v>
      </c>
      <c r="AA33" s="382">
        <f t="shared" si="78"/>
        <v>1.5811680173782428E-2</v>
      </c>
      <c r="AB33" s="382">
        <f t="shared" si="78"/>
        <v>-1.6226978937484149E-2</v>
      </c>
      <c r="AC33" s="382">
        <f t="shared" si="78"/>
        <v>7.8993113010036309E-2</v>
      </c>
      <c r="AD33" s="382">
        <f t="shared" si="78"/>
        <v>-1.3353177998250199E-2</v>
      </c>
      <c r="AE33" s="382">
        <f t="shared" si="78"/>
        <v>6.7734937157031272E-3</v>
      </c>
      <c r="AF33" s="382">
        <f t="shared" si="78"/>
        <v>-9.6791073639869163E-3</v>
      </c>
      <c r="AG33" s="382">
        <f t="shared" si="78"/>
        <v>5.9561200544806736E-2</v>
      </c>
      <c r="AH33" s="382">
        <f t="shared" si="78"/>
        <v>-4.9389331656563562E-2</v>
      </c>
      <c r="AI33" s="382">
        <f t="shared" si="78"/>
        <v>6.6820246466252398E-2</v>
      </c>
      <c r="AJ33" s="382">
        <f t="shared" si="78"/>
        <v>-4.6737221484094538E-2</v>
      </c>
      <c r="AK33" s="382">
        <f t="shared" si="78"/>
        <v>3.9897085257110554E-2</v>
      </c>
      <c r="AL33" s="382">
        <f t="shared" si="78"/>
        <v>1.2900741014620021E-2</v>
      </c>
      <c r="AM33" s="382">
        <f t="shared" si="78"/>
        <v>3.020910014540279E-2</v>
      </c>
      <c r="AN33" s="382">
        <f t="shared" si="78"/>
        <v>0.12062963389464176</v>
      </c>
      <c r="AO33" s="382">
        <f t="shared" si="78"/>
        <v>4.6663346744763912E-2</v>
      </c>
      <c r="AP33" s="382">
        <f t="shared" si="78"/>
        <v>-0.14084035475043866</v>
      </c>
      <c r="AQ33" s="382">
        <f t="shared" si="78"/>
        <v>6.9852618008143796E-3</v>
      </c>
      <c r="AR33" s="382">
        <f t="shared" si="78"/>
        <v>6.2367243375990089E-2</v>
      </c>
      <c r="AS33" s="382">
        <f t="shared" si="78"/>
        <v>6.6284496642089463E-2</v>
      </c>
      <c r="AT33" s="382">
        <f t="shared" si="78"/>
        <v>4.3661975448808121E-2</v>
      </c>
      <c r="AU33" s="382">
        <f t="shared" si="78"/>
        <v>-6.1357544910622952E-3</v>
      </c>
      <c r="AV33" s="382">
        <f t="shared" si="78"/>
        <v>7.2461578845706365E-2</v>
      </c>
      <c r="AW33" s="382">
        <f t="shared" si="78"/>
        <v>0.15081452404317974</v>
      </c>
      <c r="AX33" s="382">
        <f t="shared" si="78"/>
        <v>-6.7322914430294367E-2</v>
      </c>
      <c r="AY33" s="382">
        <f t="shared" si="78"/>
        <v>7.8003855123097265E-2</v>
      </c>
      <c r="AZ33" s="382">
        <f t="shared" si="78"/>
        <v>9.313802771929458E-2</v>
      </c>
      <c r="BA33" s="382">
        <f t="shared" si="78"/>
        <v>0.18008784773060049</v>
      </c>
      <c r="BB33" s="382">
        <f t="shared" si="78"/>
        <v>-0.19522224216134609</v>
      </c>
      <c r="BC33" s="382">
        <f t="shared" si="78"/>
        <v>0.13067790810775493</v>
      </c>
      <c r="BD33" s="382">
        <f t="shared" si="78"/>
        <v>-4.2524723775457018E-2</v>
      </c>
      <c r="BE33" s="382">
        <f t="shared" si="78"/>
        <v>0.20564076521788555</v>
      </c>
      <c r="BF33" s="382">
        <f t="shared" si="78"/>
        <v>0.1296023564064801</v>
      </c>
      <c r="BG33" s="382">
        <f t="shared" si="78"/>
        <v>7.0404172099087337E-2</v>
      </c>
      <c r="BH33" s="382">
        <f t="shared" si="78"/>
        <v>-2.4360535931789995E-3</v>
      </c>
      <c r="BI33" s="382">
        <f t="shared" si="78"/>
        <v>-3.0525030525030528E-2</v>
      </c>
      <c r="BJ33" s="382">
        <f t="shared" si="78"/>
        <v>6.0453400503778232E-2</v>
      </c>
      <c r="BK33" s="382">
        <f t="shared" si="78"/>
        <v>-7.4821852731591476E-2</v>
      </c>
      <c r="BL33" s="382">
        <f t="shared" si="78"/>
        <v>-3.3376123234916566E-2</v>
      </c>
      <c r="BM33" s="382">
        <f t="shared" si="78"/>
        <v>7.9681274900398336E-3</v>
      </c>
      <c r="BN33" s="382">
        <f t="shared" si="78"/>
        <v>-0.26613965744400525</v>
      </c>
      <c r="BO33" s="382">
        <f t="shared" ref="BO33:DZ33" si="79">BO32/BN32-1</f>
        <v>-5.2064631956912022E-2</v>
      </c>
      <c r="BP33" s="382">
        <f t="shared" si="79"/>
        <v>-9.0909090909090939E-2</v>
      </c>
      <c r="BQ33" s="382">
        <f t="shared" si="79"/>
        <v>6.25E-2</v>
      </c>
      <c r="BR33" s="382">
        <f t="shared" si="79"/>
        <v>6.2745098039215685E-2</v>
      </c>
      <c r="BS33" s="382">
        <f t="shared" si="79"/>
        <v>0.10701107011070121</v>
      </c>
      <c r="BT33" s="382">
        <f t="shared" si="79"/>
        <v>-8.3333333333333037E-3</v>
      </c>
      <c r="BU33" s="382">
        <f t="shared" si="79"/>
        <v>1.1764705882352899E-2</v>
      </c>
      <c r="BV33" s="382">
        <f t="shared" si="79"/>
        <v>4.3189368770764069E-2</v>
      </c>
      <c r="BW33" s="382">
        <f t="shared" si="79"/>
        <v>-3.5031847133757954E-2</v>
      </c>
      <c r="BX33" s="382">
        <f t="shared" si="79"/>
        <v>6.6006600660066805E-3</v>
      </c>
      <c r="BY33" s="382">
        <f t="shared" si="79"/>
        <v>-1.4754098360655776E-2</v>
      </c>
      <c r="BZ33" s="382">
        <f t="shared" si="79"/>
        <v>-1.4975041597337757E-2</v>
      </c>
      <c r="CA33" s="382">
        <f t="shared" si="79"/>
        <v>-5.9121621621621601E-2</v>
      </c>
      <c r="CB33" s="382">
        <f t="shared" si="79"/>
        <v>-7.3608617594254966E-2</v>
      </c>
      <c r="CC33" s="382">
        <f t="shared" si="79"/>
        <v>-1.9379844961240345E-2</v>
      </c>
      <c r="CD33" s="382">
        <f t="shared" si="79"/>
        <v>-2.9644268774703608E-2</v>
      </c>
      <c r="CE33" s="382">
        <f t="shared" si="79"/>
        <v>-2.4439918533604943E-2</v>
      </c>
      <c r="CF33" s="382">
        <f t="shared" si="79"/>
        <v>-7.5156576200417491E-2</v>
      </c>
      <c r="CG33" s="382">
        <f t="shared" si="79"/>
        <v>4.2889390519187387E-2</v>
      </c>
      <c r="CH33" s="382">
        <f t="shared" si="79"/>
        <v>-8.8744588744588793E-2</v>
      </c>
      <c r="CI33" s="382">
        <f t="shared" si="79"/>
        <v>2.3752969121140222E-2</v>
      </c>
      <c r="CJ33" s="382">
        <f t="shared" si="79"/>
        <v>-6.9605568445475496E-3</v>
      </c>
      <c r="CK33" s="382">
        <f t="shared" si="79"/>
        <v>-0.10747663551401865</v>
      </c>
      <c r="CL33" s="382">
        <f t="shared" si="79"/>
        <v>-2.3560209424083767E-2</v>
      </c>
      <c r="CM33" s="382">
        <f t="shared" si="79"/>
        <v>-1.072386058981234E-2</v>
      </c>
      <c r="CN33" s="382">
        <f t="shared" si="79"/>
        <v>-5.4200542005420016E-2</v>
      </c>
      <c r="CO33" s="382">
        <f t="shared" si="79"/>
        <v>-3.1518624641833859E-2</v>
      </c>
      <c r="CP33" s="382">
        <f t="shared" si="79"/>
        <v>2.6627218934911268E-2</v>
      </c>
      <c r="CQ33" s="382">
        <f t="shared" si="79"/>
        <v>3.7463976945244948E-2</v>
      </c>
      <c r="CR33" s="382">
        <f t="shared" si="79"/>
        <v>4.4444444444444509E-2</v>
      </c>
      <c r="CS33" s="382">
        <f t="shared" si="79"/>
        <v>2.3936170212766061E-2</v>
      </c>
      <c r="CT33" s="382">
        <f t="shared" si="79"/>
        <v>5.1948051948051965E-3</v>
      </c>
      <c r="CU33" s="382">
        <f t="shared" si="79"/>
        <v>4.3927648578811374E-2</v>
      </c>
      <c r="CV33" s="382">
        <f t="shared" si="79"/>
        <v>0.10643564356435653</v>
      </c>
      <c r="CW33" s="382">
        <f t="shared" si="79"/>
        <v>-3.1319910514541416E-2</v>
      </c>
      <c r="CX33" s="382">
        <f t="shared" si="79"/>
        <v>0.10161662817551953</v>
      </c>
      <c r="CY33" s="382">
        <f t="shared" si="79"/>
        <v>4.6121593291404528E-2</v>
      </c>
      <c r="CZ33" s="382">
        <f t="shared" si="79"/>
        <v>2.4048096192384794E-2</v>
      </c>
      <c r="DA33" s="382">
        <f t="shared" si="79"/>
        <v>-3.9138943248532287E-3</v>
      </c>
      <c r="DB33" s="382">
        <f t="shared" si="79"/>
        <v>5.6974459724950854E-2</v>
      </c>
      <c r="DC33" s="382">
        <f t="shared" si="79"/>
        <v>3.1598513011152463E-2</v>
      </c>
      <c r="DD33" s="382">
        <f t="shared" si="79"/>
        <v>6.4864864864864868E-2</v>
      </c>
      <c r="DE33" s="382">
        <f t="shared" si="79"/>
        <v>1.6920473773265554E-2</v>
      </c>
      <c r="DF33" s="382">
        <f t="shared" si="79"/>
        <v>6.6555740432612254E-2</v>
      </c>
      <c r="DG33" s="382">
        <f t="shared" si="79"/>
        <v>5.3042121684867327E-2</v>
      </c>
      <c r="DH33" s="382">
        <f t="shared" si="79"/>
        <v>0.15703703703703709</v>
      </c>
      <c r="DI33" s="382">
        <f t="shared" si="79"/>
        <v>0.11011523687580027</v>
      </c>
      <c r="DJ33" s="383">
        <f t="shared" si="79"/>
        <v>4.9596309111880066E-2</v>
      </c>
      <c r="DK33" s="383">
        <f t="shared" si="79"/>
        <v>8.6813186813186727E-2</v>
      </c>
      <c r="DL33" s="383">
        <f t="shared" si="79"/>
        <v>0.14256825075834167</v>
      </c>
      <c r="DM33" s="383">
        <f t="shared" si="79"/>
        <v>7.079646017699126E-2</v>
      </c>
      <c r="DN33" s="383">
        <f t="shared" si="79"/>
        <v>0.18429752066115701</v>
      </c>
      <c r="DO33" s="383">
        <f t="shared" si="79"/>
        <v>0.26099092812281932</v>
      </c>
      <c r="DP33" s="383">
        <f t="shared" si="79"/>
        <v>-1.8815716657443304E-2</v>
      </c>
      <c r="DQ33" s="383">
        <f t="shared" si="79"/>
        <v>7.0501974055273475E-2</v>
      </c>
      <c r="DR33" s="383">
        <f t="shared" si="79"/>
        <v>-1.2644889357218081E-2</v>
      </c>
      <c r="DS33" s="383">
        <f t="shared" si="79"/>
        <v>3.2550693703308431E-2</v>
      </c>
      <c r="DT33" s="383">
        <f t="shared" si="79"/>
        <v>5.1162790697674376E-2</v>
      </c>
      <c r="DU33" s="383">
        <f t="shared" si="79"/>
        <v>2.704031465093415E-2</v>
      </c>
      <c r="DV33" s="382">
        <f t="shared" si="79"/>
        <v>1.9147917663953073E-3</v>
      </c>
      <c r="DW33" s="382">
        <f t="shared" si="79"/>
        <v>4.0611562350692854E-2</v>
      </c>
      <c r="DX33" s="382">
        <f t="shared" si="79"/>
        <v>5.0505050505050608E-2</v>
      </c>
      <c r="DY33" s="383">
        <f t="shared" si="79"/>
        <v>6.9493006993007089E-2</v>
      </c>
      <c r="DZ33" s="383">
        <f t="shared" si="79"/>
        <v>5.1082958724969263E-2</v>
      </c>
      <c r="EA33" s="383">
        <f t="shared" ref="EA33:EW33" si="80">EA32/DZ32-1</f>
        <v>8.5536547433903598E-2</v>
      </c>
      <c r="EB33" s="383">
        <f t="shared" si="80"/>
        <v>0.1339541547277936</v>
      </c>
      <c r="EC33" s="383">
        <f t="shared" si="80"/>
        <v>9.8862918509159847E-2</v>
      </c>
      <c r="ED33" s="383">
        <f t="shared" si="80"/>
        <v>4.1678643288301176E-2</v>
      </c>
      <c r="EE33" s="384">
        <f t="shared" si="80"/>
        <v>5.0000000000000044E-2</v>
      </c>
      <c r="EF33" s="384">
        <f t="shared" si="80"/>
        <v>6.6614238410596105E-2</v>
      </c>
      <c r="EG33" s="384">
        <f t="shared" si="80"/>
        <v>6.663523403726912E-2</v>
      </c>
      <c r="EH33" s="384">
        <f t="shared" si="80"/>
        <v>6.3312330576227316E-2</v>
      </c>
      <c r="EI33" s="384">
        <f t="shared" si="80"/>
        <v>7.3396058060235303E-2</v>
      </c>
      <c r="EJ33" s="384">
        <f t="shared" si="80"/>
        <v>9.6739237859322591E-2</v>
      </c>
      <c r="EK33" s="384">
        <f t="shared" si="80"/>
        <v>9.6759274574441223E-2</v>
      </c>
      <c r="EL33" s="384">
        <f t="shared" si="80"/>
        <v>0</v>
      </c>
      <c r="EM33" s="384">
        <f t="shared" si="80"/>
        <v>6.7792470091219137E-3</v>
      </c>
      <c r="EN33" s="384">
        <f t="shared" si="80"/>
        <v>0</v>
      </c>
      <c r="EO33" s="384">
        <f t="shared" si="80"/>
        <v>1.0000000000000009E-2</v>
      </c>
      <c r="EP33" s="384">
        <f t="shared" si="80"/>
        <v>3.360186853186331E-2</v>
      </c>
      <c r="EQ33" s="384">
        <f t="shared" si="80"/>
        <v>2.6843032943250522E-2</v>
      </c>
      <c r="ER33" s="384">
        <f t="shared" si="80"/>
        <v>3.0000000000000027E-2</v>
      </c>
      <c r="ES33" s="384">
        <f t="shared" si="80"/>
        <v>4.3728142871740427E-2</v>
      </c>
      <c r="ET33" s="384">
        <f t="shared" si="80"/>
        <v>1.0000000000000009E-2</v>
      </c>
      <c r="EU33" s="384">
        <f t="shared" si="80"/>
        <v>1.6905318264038849E-2</v>
      </c>
      <c r="EV33" s="384">
        <f t="shared" si="80"/>
        <v>1.6926332769449326E-2</v>
      </c>
      <c r="EW33" s="384">
        <f t="shared" si="80"/>
        <v>1.0000000000000231E-2</v>
      </c>
      <c r="FX33" s="385"/>
      <c r="FY33" s="385"/>
      <c r="FZ33" s="386" t="s">
        <v>199</v>
      </c>
      <c r="GA33" s="386" t="s">
        <v>199</v>
      </c>
      <c r="GB33" s="386" t="s">
        <v>199</v>
      </c>
      <c r="GC33" s="386" t="s">
        <v>199</v>
      </c>
      <c r="GD33" s="386" t="s">
        <v>199</v>
      </c>
      <c r="GE33" s="386" t="s">
        <v>199</v>
      </c>
      <c r="GF33" s="386" t="s">
        <v>199</v>
      </c>
      <c r="GG33" s="386" t="s">
        <v>199</v>
      </c>
      <c r="GH33" s="386" t="s">
        <v>199</v>
      </c>
      <c r="GI33" s="386" t="s">
        <v>199</v>
      </c>
      <c r="GJ33" s="386" t="s">
        <v>199</v>
      </c>
      <c r="GK33" s="386" t="s">
        <v>199</v>
      </c>
      <c r="GN33" s="70"/>
      <c r="IF33" s="394"/>
    </row>
    <row r="34" spans="1:240" s="382" customFormat="1">
      <c r="A34" s="381" t="s">
        <v>200</v>
      </c>
      <c r="F34" s="382">
        <f t="shared" ref="F34:BQ34" si="81">F32/B32-1</f>
        <v>0.23641679712680741</v>
      </c>
      <c r="G34" s="382">
        <f t="shared" si="81"/>
        <v>0.16872656982193068</v>
      </c>
      <c r="H34" s="382">
        <f t="shared" si="81"/>
        <v>0.13328073405218999</v>
      </c>
      <c r="I34" s="382">
        <f t="shared" si="81"/>
        <v>8.9769505320391074E-2</v>
      </c>
      <c r="J34" s="382">
        <f t="shared" si="81"/>
        <v>0.17584334171244143</v>
      </c>
      <c r="K34" s="382">
        <f t="shared" si="81"/>
        <v>0.24292695150983601</v>
      </c>
      <c r="L34" s="382">
        <f t="shared" si="81"/>
        <v>0.26050100562116452</v>
      </c>
      <c r="M34" s="382">
        <f t="shared" si="81"/>
        <v>0.21939871809783829</v>
      </c>
      <c r="N34" s="382">
        <f t="shared" si="81"/>
        <v>4.4049491675728136E-2</v>
      </c>
      <c r="O34" s="382">
        <f t="shared" si="81"/>
        <v>-0.11373717212040568</v>
      </c>
      <c r="P34" s="382">
        <f t="shared" si="81"/>
        <v>2.807624054536717E-3</v>
      </c>
      <c r="Q34" s="382">
        <f t="shared" si="81"/>
        <v>-1.7064109644058467E-2</v>
      </c>
      <c r="R34" s="382">
        <f t="shared" si="81"/>
        <v>8.2713571396071384E-3</v>
      </c>
      <c r="S34" s="382">
        <f t="shared" si="81"/>
        <v>0.21141323202393214</v>
      </c>
      <c r="T34" s="382">
        <f t="shared" si="81"/>
        <v>0.1567867488066581</v>
      </c>
      <c r="U34" s="382">
        <f t="shared" si="81"/>
        <v>0.17128468622153226</v>
      </c>
      <c r="V34" s="382">
        <f t="shared" si="81"/>
        <v>8.4777888650984901E-2</v>
      </c>
      <c r="W34" s="382">
        <f t="shared" si="81"/>
        <v>0.12841073407072146</v>
      </c>
      <c r="X34" s="382">
        <f t="shared" si="81"/>
        <v>0.11727181350074067</v>
      </c>
      <c r="Y34" s="382">
        <f t="shared" si="81"/>
        <v>0.20769468924287149</v>
      </c>
      <c r="Z34" s="382">
        <f t="shared" si="81"/>
        <v>0.32783566152338506</v>
      </c>
      <c r="AA34" s="382">
        <f t="shared" si="81"/>
        <v>0.2140241974404633</v>
      </c>
      <c r="AB34" s="382">
        <f t="shared" si="81"/>
        <v>0.13269779389424419</v>
      </c>
      <c r="AC34" s="382">
        <f t="shared" si="81"/>
        <v>0.11836494473871406</v>
      </c>
      <c r="AD34" s="382">
        <f t="shared" si="81"/>
        <v>6.3869858244910649E-2</v>
      </c>
      <c r="AE34" s="382">
        <f t="shared" si="81"/>
        <v>5.4404074051227269E-2</v>
      </c>
      <c r="AF34" s="382">
        <f t="shared" si="81"/>
        <v>6.1422057179086442E-2</v>
      </c>
      <c r="AG34" s="382">
        <f t="shared" si="81"/>
        <v>4.2306587158865705E-2</v>
      </c>
      <c r="AH34" s="382">
        <f t="shared" si="81"/>
        <v>4.2375238462972753E-3</v>
      </c>
      <c r="AI34" s="382">
        <f t="shared" si="81"/>
        <v>6.4133024347277745E-2</v>
      </c>
      <c r="AJ34" s="382">
        <f t="shared" si="81"/>
        <v>2.4312837427591383E-2</v>
      </c>
      <c r="AK34" s="382">
        <f t="shared" si="81"/>
        <v>5.302887161871439E-3</v>
      </c>
      <c r="AL34" s="382">
        <f t="shared" si="81"/>
        <v>7.1176742761438705E-2</v>
      </c>
      <c r="AM34" s="382">
        <f t="shared" si="81"/>
        <v>3.4416090163559065E-2</v>
      </c>
      <c r="AN34" s="382">
        <f t="shared" si="81"/>
        <v>0.21603124609503932</v>
      </c>
      <c r="AO34" s="382">
        <f t="shared" si="81"/>
        <v>0.22394355348091999</v>
      </c>
      <c r="AP34" s="382">
        <f t="shared" si="81"/>
        <v>3.81697501384064E-2</v>
      </c>
      <c r="AQ34" s="382">
        <f t="shared" si="81"/>
        <v>1.4766456139107653E-2</v>
      </c>
      <c r="AR34" s="382">
        <f t="shared" si="81"/>
        <v>-3.7992026917716082E-2</v>
      </c>
      <c r="AS34" s="382">
        <f t="shared" si="81"/>
        <v>-1.9957858910423898E-2</v>
      </c>
      <c r="AT34" s="382">
        <f t="shared" si="81"/>
        <v>0.19050367722464756</v>
      </c>
      <c r="AU34" s="382">
        <f t="shared" si="81"/>
        <v>0.17499141628403669</v>
      </c>
      <c r="AV34" s="382">
        <f t="shared" si="81"/>
        <v>0.18615587716511284</v>
      </c>
      <c r="AW34" s="382">
        <f t="shared" si="81"/>
        <v>0.2801887446732545</v>
      </c>
      <c r="AX34" s="382">
        <f t="shared" si="81"/>
        <v>0.14405117312770876</v>
      </c>
      <c r="AY34" s="382">
        <f t="shared" si="81"/>
        <v>0.24090546637808519</v>
      </c>
      <c r="AZ34" s="382">
        <f t="shared" si="81"/>
        <v>0.26482941753737799</v>
      </c>
      <c r="BA34" s="382">
        <f t="shared" si="81"/>
        <v>0.29700294348390521</v>
      </c>
      <c r="BB34" s="382">
        <f t="shared" si="81"/>
        <v>0.11914309562942615</v>
      </c>
      <c r="BC34" s="382">
        <f t="shared" si="81"/>
        <v>0.17382731817320063</v>
      </c>
      <c r="BD34" s="382">
        <f t="shared" si="81"/>
        <v>2.8150706688622407E-2</v>
      </c>
      <c r="BE34" s="382">
        <f t="shared" si="81"/>
        <v>5.0413668063092887E-2</v>
      </c>
      <c r="BF34" s="382">
        <f t="shared" si="81"/>
        <v>0.47438189374454565</v>
      </c>
      <c r="BG34" s="382">
        <f t="shared" si="81"/>
        <v>0.39578612000360436</v>
      </c>
      <c r="BH34" s="382">
        <f t="shared" si="81"/>
        <v>0.45422649000507853</v>
      </c>
      <c r="BI34" s="382">
        <f t="shared" si="81"/>
        <v>0.1693667157584684</v>
      </c>
      <c r="BJ34" s="382">
        <f t="shared" si="81"/>
        <v>9.7783572359843474E-2</v>
      </c>
      <c r="BK34" s="382">
        <f t="shared" si="81"/>
        <v>-5.11571254567601E-2</v>
      </c>
      <c r="BL34" s="382">
        <f t="shared" si="81"/>
        <v>-8.0586080586080633E-2</v>
      </c>
      <c r="BM34" s="382">
        <f t="shared" si="81"/>
        <v>-4.4080604534005086E-2</v>
      </c>
      <c r="BN34" s="382">
        <f t="shared" si="81"/>
        <v>-0.33847980997624705</v>
      </c>
      <c r="BO34" s="382">
        <f t="shared" si="81"/>
        <v>-0.32220795892169452</v>
      </c>
      <c r="BP34" s="382">
        <f t="shared" si="81"/>
        <v>-0.36254980079681276</v>
      </c>
      <c r="BQ34" s="382">
        <f t="shared" si="81"/>
        <v>-0.32806324110671936</v>
      </c>
      <c r="BR34" s="382">
        <f t="shared" ref="BR34:EC34" si="82">BR32/BN32-1</f>
        <v>-2.6929982046678624E-2</v>
      </c>
      <c r="BS34" s="382">
        <f t="shared" si="82"/>
        <v>0.13636363636363646</v>
      </c>
      <c r="BT34" s="382">
        <f t="shared" si="82"/>
        <v>0.23958333333333326</v>
      </c>
      <c r="BU34" s="382">
        <f t="shared" si="82"/>
        <v>0.18039215686274512</v>
      </c>
      <c r="BV34" s="382">
        <f t="shared" si="82"/>
        <v>0.15867158671586723</v>
      </c>
      <c r="BW34" s="382">
        <f t="shared" si="82"/>
        <v>1.0000000000000009E-2</v>
      </c>
      <c r="BX34" s="382">
        <f t="shared" si="82"/>
        <v>2.5210084033613356E-2</v>
      </c>
      <c r="BY34" s="382">
        <f t="shared" si="82"/>
        <v>-1.6611295681062677E-3</v>
      </c>
      <c r="BZ34" s="382">
        <f t="shared" si="82"/>
        <v>-5.7324840764331197E-2</v>
      </c>
      <c r="CA34" s="382">
        <f t="shared" si="82"/>
        <v>-8.0858085808580893E-2</v>
      </c>
      <c r="CB34" s="382">
        <f t="shared" si="82"/>
        <v>-0.15409836065573768</v>
      </c>
      <c r="CC34" s="382">
        <f t="shared" si="82"/>
        <v>-0.15806988352745421</v>
      </c>
      <c r="CD34" s="382">
        <f t="shared" si="82"/>
        <v>-0.17060810810810811</v>
      </c>
      <c r="CE34" s="382">
        <f t="shared" si="82"/>
        <v>-0.14003590664272891</v>
      </c>
      <c r="CF34" s="382">
        <f t="shared" si="82"/>
        <v>-0.14147286821705429</v>
      </c>
      <c r="CG34" s="382">
        <f t="shared" si="82"/>
        <v>-8.6956521739130488E-2</v>
      </c>
      <c r="CH34" s="382">
        <f t="shared" si="82"/>
        <v>-0.14256619144602856</v>
      </c>
      <c r="CI34" s="382">
        <f t="shared" si="82"/>
        <v>-0.10020876826722336</v>
      </c>
      <c r="CJ34" s="382">
        <f t="shared" si="82"/>
        <v>-3.3860045146726914E-2</v>
      </c>
      <c r="CK34" s="382">
        <f t="shared" si="82"/>
        <v>-0.17316017316017318</v>
      </c>
      <c r="CL34" s="382">
        <f t="shared" si="82"/>
        <v>-0.11401425178147273</v>
      </c>
      <c r="CM34" s="382">
        <f t="shared" si="82"/>
        <v>-0.14385150812064962</v>
      </c>
      <c r="CN34" s="382">
        <f t="shared" si="82"/>
        <v>-0.18457943925233644</v>
      </c>
      <c r="CO34" s="382">
        <f t="shared" si="82"/>
        <v>-0.11518324607329844</v>
      </c>
      <c r="CP34" s="382">
        <f t="shared" si="82"/>
        <v>-6.9705093833780207E-2</v>
      </c>
      <c r="CQ34" s="382">
        <f t="shared" si="82"/>
        <v>-2.4390243902439046E-2</v>
      </c>
      <c r="CR34" s="382">
        <f t="shared" si="82"/>
        <v>7.7363896848137603E-2</v>
      </c>
      <c r="CS34" s="382">
        <f t="shared" si="82"/>
        <v>0.13905325443786976</v>
      </c>
      <c r="CT34" s="382">
        <f t="shared" si="82"/>
        <v>0.11527377521613835</v>
      </c>
      <c r="CU34" s="382">
        <f t="shared" si="82"/>
        <v>0.12222222222222223</v>
      </c>
      <c r="CV34" s="382">
        <f t="shared" si="82"/>
        <v>0.18882978723404253</v>
      </c>
      <c r="CW34" s="382">
        <f t="shared" si="82"/>
        <v>0.12467532467532472</v>
      </c>
      <c r="CX34" s="382">
        <f t="shared" si="82"/>
        <v>0.23255813953488369</v>
      </c>
      <c r="CY34" s="382">
        <f t="shared" si="82"/>
        <v>0.23514851485148514</v>
      </c>
      <c r="CZ34" s="382">
        <f t="shared" si="82"/>
        <v>0.14317673378076057</v>
      </c>
      <c r="DA34" s="382">
        <f t="shared" si="82"/>
        <v>0.17551963048498842</v>
      </c>
      <c r="DB34" s="382">
        <f t="shared" si="82"/>
        <v>0.12788259958071269</v>
      </c>
      <c r="DC34" s="382">
        <f t="shared" si="82"/>
        <v>0.11222444889779548</v>
      </c>
      <c r="DD34" s="382">
        <f t="shared" si="82"/>
        <v>0.15655577299412915</v>
      </c>
      <c r="DE34" s="382">
        <f t="shared" si="82"/>
        <v>0.18074656188605109</v>
      </c>
      <c r="DF34" s="382">
        <f t="shared" si="82"/>
        <v>0.19144981412639406</v>
      </c>
      <c r="DG34" s="382">
        <f t="shared" si="82"/>
        <v>0.21621621621621623</v>
      </c>
      <c r="DH34" s="382">
        <f t="shared" si="82"/>
        <v>0.3214890016920473</v>
      </c>
      <c r="DI34" s="382">
        <f t="shared" si="82"/>
        <v>0.44259567387687193</v>
      </c>
      <c r="DJ34" s="383">
        <f t="shared" si="82"/>
        <v>0.41965678627145087</v>
      </c>
      <c r="DK34" s="383">
        <f t="shared" si="82"/>
        <v>0.46518518518518515</v>
      </c>
      <c r="DL34" s="383">
        <f t="shared" si="82"/>
        <v>0.4468629961587709</v>
      </c>
      <c r="DM34" s="383">
        <f t="shared" si="82"/>
        <v>0.39561707035755478</v>
      </c>
      <c r="DN34" s="383">
        <f t="shared" si="82"/>
        <v>0.57472527472527468</v>
      </c>
      <c r="DO34" s="383">
        <f t="shared" si="82"/>
        <v>0.82709807886754305</v>
      </c>
      <c r="DP34" s="383">
        <f t="shared" si="82"/>
        <v>0.5690265486725663</v>
      </c>
      <c r="DQ34" s="383">
        <f t="shared" si="82"/>
        <v>0.56859504132231398</v>
      </c>
      <c r="DR34" s="383">
        <f t="shared" si="82"/>
        <v>0.30774598743893922</v>
      </c>
      <c r="DS34" s="383">
        <f t="shared" si="82"/>
        <v>7.0835639180963028E-2</v>
      </c>
      <c r="DT34" s="383">
        <f t="shared" si="82"/>
        <v>0.14720812182741128</v>
      </c>
      <c r="DU34" s="383">
        <f t="shared" si="82"/>
        <v>0.1006322444678609</v>
      </c>
      <c r="DV34" s="382">
        <f t="shared" si="82"/>
        <v>0.11686232657417284</v>
      </c>
      <c r="DW34" s="382">
        <f t="shared" si="82"/>
        <v>0.12558139534883717</v>
      </c>
      <c r="DX34" s="382">
        <f t="shared" si="82"/>
        <v>0.12487708947885934</v>
      </c>
      <c r="DY34" s="383">
        <f t="shared" si="82"/>
        <v>0.17137386309238867</v>
      </c>
      <c r="DZ34" s="383">
        <f t="shared" si="82"/>
        <v>0.22885809842331573</v>
      </c>
      <c r="EA34" s="383">
        <f t="shared" si="82"/>
        <v>0.28191000918273645</v>
      </c>
      <c r="EB34" s="383">
        <f t="shared" si="82"/>
        <v>0.38374125874125875</v>
      </c>
      <c r="EC34" s="383">
        <f t="shared" si="82"/>
        <v>0.4217409072333469</v>
      </c>
      <c r="ED34" s="383">
        <f t="shared" ref="ED34:EW34" si="83">ED32/DZ32-1</f>
        <v>0.40902021772939356</v>
      </c>
      <c r="EE34" s="384">
        <f t="shared" si="83"/>
        <v>0.36289398280802287</v>
      </c>
      <c r="EF34" s="384">
        <f t="shared" si="83"/>
        <v>0.28195846493998755</v>
      </c>
      <c r="EG34" s="384">
        <f t="shared" si="83"/>
        <v>0.24436091549295802</v>
      </c>
      <c r="EH34" s="384">
        <f t="shared" si="83"/>
        <v>0.27020392868377519</v>
      </c>
      <c r="EI34" s="384">
        <f t="shared" si="83"/>
        <v>0.29850656188741764</v>
      </c>
      <c r="EJ34" s="384">
        <f t="shared" si="83"/>
        <v>0.3351810296118658</v>
      </c>
      <c r="EK34" s="384">
        <f t="shared" si="83"/>
        <v>0.37288937279892909</v>
      </c>
      <c r="EL34" s="384">
        <f t="shared" si="83"/>
        <v>0.29114403484339979</v>
      </c>
      <c r="EM34" s="384">
        <f t="shared" si="83"/>
        <v>0.2110134087216966</v>
      </c>
      <c r="EN34" s="384">
        <f t="shared" si="83"/>
        <v>0.10419447660632675</v>
      </c>
      <c r="EO34" s="384">
        <f t="shared" si="83"/>
        <v>1.6847039479213288E-2</v>
      </c>
      <c r="EP34" s="384">
        <f t="shared" si="83"/>
        <v>5.1015000016808143E-2</v>
      </c>
      <c r="EQ34" s="384">
        <f t="shared" si="83"/>
        <v>7.1960346314460022E-2</v>
      </c>
      <c r="ER34" s="384">
        <f t="shared" si="83"/>
        <v>0.10411915670389393</v>
      </c>
      <c r="ES34" s="384">
        <f t="shared" si="83"/>
        <v>0.14099033359967073</v>
      </c>
      <c r="ET34" s="384">
        <f t="shared" si="83"/>
        <v>0.11493629415796858</v>
      </c>
      <c r="EU34" s="384">
        <f t="shared" si="83"/>
        <v>0.10414601909023902</v>
      </c>
      <c r="EV34" s="384">
        <f t="shared" si="83"/>
        <v>9.0131225277109817E-2</v>
      </c>
      <c r="EW34" s="384">
        <f t="shared" si="83"/>
        <v>5.4903563777126685E-2</v>
      </c>
      <c r="FA34" s="382">
        <f t="shared" ref="FA34:GK34" si="84">FA32/EZ32-1</f>
        <v>0.15451818163756648</v>
      </c>
      <c r="FB34" s="382">
        <f t="shared" si="84"/>
        <v>0.2242707450087138</v>
      </c>
      <c r="FC34" s="382">
        <f t="shared" si="84"/>
        <v>-2.1812717312550522E-2</v>
      </c>
      <c r="FD34" s="382">
        <f t="shared" si="84"/>
        <v>0.13466866797038812</v>
      </c>
      <c r="FE34" s="382">
        <f t="shared" si="84"/>
        <v>0.13641649109476273</v>
      </c>
      <c r="FF34" s="382">
        <f t="shared" si="84"/>
        <v>0.19124691007821037</v>
      </c>
      <c r="FG34" s="382">
        <f t="shared" si="84"/>
        <v>5.5243159026275412E-2</v>
      </c>
      <c r="FH34" s="382">
        <f t="shared" si="84"/>
        <v>2.4296147528960699E-2</v>
      </c>
      <c r="FI34" s="382">
        <f t="shared" si="84"/>
        <v>0.13628899706599973</v>
      </c>
      <c r="FJ34" s="382">
        <f t="shared" si="84"/>
        <v>-3.3223028447306735E-3</v>
      </c>
      <c r="FK34" s="382">
        <f t="shared" si="84"/>
        <v>0.20995414000879564</v>
      </c>
      <c r="FL34" s="382">
        <f t="shared" si="84"/>
        <v>0.24031212946827196</v>
      </c>
      <c r="FM34" s="382">
        <f t="shared" si="84"/>
        <v>8.8187216478427644E-2</v>
      </c>
      <c r="FN34" s="382">
        <f t="shared" si="84"/>
        <v>0.36177823307466217</v>
      </c>
      <c r="FO34" s="382">
        <f t="shared" si="84"/>
        <v>-2.1243361449546971E-2</v>
      </c>
      <c r="FP34" s="382">
        <f t="shared" si="84"/>
        <v>-0.33769549952122568</v>
      </c>
      <c r="FQ34" s="382">
        <f t="shared" si="84"/>
        <v>0.12722891566265071</v>
      </c>
      <c r="FR34" s="382">
        <f t="shared" si="84"/>
        <v>4.5318512184694404E-2</v>
      </c>
      <c r="FS34" s="382">
        <f t="shared" si="84"/>
        <v>-0.11206543967280158</v>
      </c>
      <c r="FT34" s="382">
        <f t="shared" si="84"/>
        <v>-0.13634269921695075</v>
      </c>
      <c r="FU34" s="382">
        <f t="shared" si="84"/>
        <v>-0.11360000000000003</v>
      </c>
      <c r="FV34" s="382">
        <f t="shared" si="84"/>
        <v>-0.14019253910950658</v>
      </c>
      <c r="FW34" s="382">
        <f t="shared" si="84"/>
        <v>2.7291812456263109E-2</v>
      </c>
      <c r="FX34" s="382">
        <f t="shared" si="84"/>
        <v>0.13828337874659402</v>
      </c>
      <c r="FY34" s="382">
        <f t="shared" si="84"/>
        <v>0.19449431478156787</v>
      </c>
      <c r="FZ34" s="382">
        <f t="shared" si="84"/>
        <v>0.14478957915831669</v>
      </c>
      <c r="GA34" s="382">
        <f t="shared" si="84"/>
        <v>0.29715536105032814</v>
      </c>
      <c r="GB34" s="382">
        <f t="shared" si="84"/>
        <v>0.43016194331983804</v>
      </c>
      <c r="GC34" s="382">
        <f t="shared" si="84"/>
        <v>0.63033734371313987</v>
      </c>
      <c r="GD34" s="382">
        <f t="shared" si="84"/>
        <v>0.14773549413977727</v>
      </c>
      <c r="GE34" s="382">
        <f t="shared" si="84"/>
        <v>0.13540090771558244</v>
      </c>
      <c r="GF34" s="382">
        <f t="shared" si="84"/>
        <v>0.33344437041972008</v>
      </c>
      <c r="GG34" s="387">
        <f t="shared" si="84"/>
        <v>0.31709652135898092</v>
      </c>
      <c r="GH34" s="387">
        <f t="shared" si="84"/>
        <v>0.32179124931345826</v>
      </c>
      <c r="GI34" s="387">
        <f t="shared" si="84"/>
        <v>0.14577082698397215</v>
      </c>
      <c r="GJ34" s="387">
        <f t="shared" si="84"/>
        <v>9.2212505591929839E-2</v>
      </c>
      <c r="GK34" s="387">
        <f t="shared" si="84"/>
        <v>9.0204843352368114E-2</v>
      </c>
      <c r="GN34" s="70"/>
      <c r="IF34" s="394"/>
    </row>
    <row r="35" spans="1:240" s="382" customFormat="1">
      <c r="A35" s="381" t="s">
        <v>202</v>
      </c>
      <c r="B35" s="382">
        <f t="shared" ref="B35:BM35" si="85">B32/B$4</f>
        <v>0.31982681815169611</v>
      </c>
      <c r="C35" s="382">
        <f t="shared" si="85"/>
        <v>0.33385155417363332</v>
      </c>
      <c r="D35" s="382">
        <f t="shared" si="85"/>
        <v>0.32719893104115927</v>
      </c>
      <c r="E35" s="382">
        <f t="shared" si="85"/>
        <v>0.362587202833064</v>
      </c>
      <c r="F35" s="382">
        <f t="shared" si="85"/>
        <v>0.31401535822873627</v>
      </c>
      <c r="G35" s="382">
        <f t="shared" si="85"/>
        <v>0.29930789035003008</v>
      </c>
      <c r="H35" s="382">
        <f t="shared" si="85"/>
        <v>0.28562695861274057</v>
      </c>
      <c r="I35" s="382">
        <f t="shared" si="85"/>
        <v>0.29963424118803744</v>
      </c>
      <c r="J35" s="382">
        <f t="shared" si="85"/>
        <v>0.30551075962431623</v>
      </c>
      <c r="K35" s="382">
        <f t="shared" si="85"/>
        <v>0.31681821230441987</v>
      </c>
      <c r="L35" s="382">
        <f t="shared" si="85"/>
        <v>0.33120590800918043</v>
      </c>
      <c r="M35" s="382">
        <f t="shared" si="85"/>
        <v>0.33588576612610849</v>
      </c>
      <c r="N35" s="382">
        <f t="shared" si="85"/>
        <v>0.36344476049774721</v>
      </c>
      <c r="O35" s="382">
        <f t="shared" si="85"/>
        <v>0.38637637147120163</v>
      </c>
      <c r="P35" s="382">
        <f t="shared" si="85"/>
        <v>0.42920619355516548</v>
      </c>
      <c r="Q35" s="382">
        <f t="shared" si="85"/>
        <v>0.39405033127510725</v>
      </c>
      <c r="R35" s="382">
        <f t="shared" si="85"/>
        <v>0.36128145159683261</v>
      </c>
      <c r="S35" s="382">
        <f t="shared" si="85"/>
        <v>0.35825424136463713</v>
      </c>
      <c r="T35" s="382">
        <f t="shared" si="85"/>
        <v>0.38017980571328963</v>
      </c>
      <c r="U35" s="382">
        <f t="shared" si="85"/>
        <v>0.37400170588628617</v>
      </c>
      <c r="V35" s="382">
        <f t="shared" si="85"/>
        <v>0.39998446906385432</v>
      </c>
      <c r="W35" s="382">
        <f t="shared" si="85"/>
        <v>0.45648367259343103</v>
      </c>
      <c r="X35" s="382">
        <f t="shared" si="85"/>
        <v>0.36947517738768115</v>
      </c>
      <c r="Y35" s="382">
        <f t="shared" si="85"/>
        <v>0.3511029132121396</v>
      </c>
      <c r="Z35" s="382">
        <f t="shared" si="85"/>
        <v>0.45481188043566029</v>
      </c>
      <c r="AA35" s="382">
        <f t="shared" si="85"/>
        <v>0.49032698211588127</v>
      </c>
      <c r="AB35" s="382">
        <f t="shared" si="85"/>
        <v>0.43350418005653946</v>
      </c>
      <c r="AC35" s="382">
        <f t="shared" si="85"/>
        <v>0.31974378296910327</v>
      </c>
      <c r="AD35" s="382">
        <f t="shared" si="85"/>
        <v>0.27984879522430267</v>
      </c>
      <c r="AE35" s="382">
        <f t="shared" si="85"/>
        <v>0.26287019292794062</v>
      </c>
      <c r="AF35" s="382">
        <f t="shared" si="85"/>
        <v>0.25253429409000383</v>
      </c>
      <c r="AG35" s="382">
        <f t="shared" si="85"/>
        <v>0.27471978569945504</v>
      </c>
      <c r="AH35" s="382">
        <f t="shared" si="85"/>
        <v>0.25816931609501431</v>
      </c>
      <c r="AI35" s="382">
        <f t="shared" si="85"/>
        <v>0.33230179931470138</v>
      </c>
      <c r="AJ35" s="382">
        <f t="shared" si="85"/>
        <v>0.40751433010824289</v>
      </c>
      <c r="AK35" s="382">
        <f t="shared" si="85"/>
        <v>0.3409646034712614</v>
      </c>
      <c r="AL35" s="382">
        <f t="shared" si="85"/>
        <v>0.36442948630543209</v>
      </c>
      <c r="AM35" s="382">
        <f t="shared" si="85"/>
        <v>0.56417385336307413</v>
      </c>
      <c r="AN35" s="382">
        <f t="shared" si="85"/>
        <v>0.74676670070657414</v>
      </c>
      <c r="AO35" s="382">
        <f t="shared" si="85"/>
        <v>0.57869994027067584</v>
      </c>
      <c r="AP35" s="382">
        <f t="shared" si="85"/>
        <v>0.47762593502249656</v>
      </c>
      <c r="AQ35" s="382">
        <f t="shared" si="85"/>
        <v>0.53261238475593597</v>
      </c>
      <c r="AR35" s="382">
        <f t="shared" si="85"/>
        <v>0.38280949380294182</v>
      </c>
      <c r="AS35" s="382">
        <f t="shared" si="85"/>
        <v>0.32291909458664736</v>
      </c>
      <c r="AT35" s="382">
        <f t="shared" si="85"/>
        <v>0.32861222565234027</v>
      </c>
      <c r="AU35" s="382">
        <f t="shared" si="85"/>
        <v>0.32002073167928979</v>
      </c>
      <c r="AV35" s="382">
        <f t="shared" si="85"/>
        <v>0.34940647492171983</v>
      </c>
      <c r="AW35" s="382">
        <f t="shared" si="85"/>
        <v>0.39438682731584723</v>
      </c>
      <c r="AX35" s="382">
        <f t="shared" si="85"/>
        <v>0.37895433660408862</v>
      </c>
      <c r="AY35" s="382">
        <f t="shared" si="85"/>
        <v>0.39772032783085887</v>
      </c>
      <c r="AZ35" s="382">
        <f t="shared" si="85"/>
        <v>0.35972037524092842</v>
      </c>
      <c r="BA35" s="382">
        <f t="shared" si="85"/>
        <v>0.3516403412762828</v>
      </c>
      <c r="BB35" s="382">
        <f t="shared" si="85"/>
        <v>0.39050773256625715</v>
      </c>
      <c r="BC35" s="382">
        <f t="shared" si="85"/>
        <v>0.48357033691311913</v>
      </c>
      <c r="BD35" s="382">
        <f t="shared" si="85"/>
        <v>0.42420658892365437</v>
      </c>
      <c r="BE35" s="382">
        <f t="shared" si="85"/>
        <v>0.38296672306824592</v>
      </c>
      <c r="BF35" s="382">
        <f t="shared" si="85"/>
        <v>0.62206001622060014</v>
      </c>
      <c r="BG35" s="382">
        <f t="shared" si="85"/>
        <v>0.59579100145137875</v>
      </c>
      <c r="BH35" s="382">
        <f t="shared" si="85"/>
        <v>0.50183823529411764</v>
      </c>
      <c r="BI35" s="382">
        <f t="shared" si="85"/>
        <v>0.44858757062146892</v>
      </c>
      <c r="BJ35" s="382">
        <f t="shared" si="85"/>
        <v>0.55946843853820594</v>
      </c>
      <c r="BK35" s="382">
        <f t="shared" si="85"/>
        <v>0.57746478873239437</v>
      </c>
      <c r="BL35" s="382">
        <f t="shared" si="85"/>
        <v>0.46886674968866748</v>
      </c>
      <c r="BM35" s="382">
        <f t="shared" si="85"/>
        <v>0.653184165232358</v>
      </c>
      <c r="BN35" s="382">
        <f t="shared" ref="BN35:DY35" si="86">BN32/BN$4</f>
        <v>0.47323704333050126</v>
      </c>
      <c r="BO35" s="382">
        <f t="shared" si="86"/>
        <v>0.44594594594594594</v>
      </c>
      <c r="BP35" s="382">
        <f t="shared" si="86"/>
        <v>0.34383954154727792</v>
      </c>
      <c r="BQ35" s="382">
        <f t="shared" si="86"/>
        <v>0.30984204131227217</v>
      </c>
      <c r="BR35" s="382">
        <f t="shared" si="86"/>
        <v>0.34434561626429477</v>
      </c>
      <c r="BS35" s="382">
        <f t="shared" si="86"/>
        <v>0.36297640653357532</v>
      </c>
      <c r="BT35" s="382">
        <f t="shared" si="86"/>
        <v>0.36773794808405441</v>
      </c>
      <c r="BU35" s="382">
        <f t="shared" si="86"/>
        <v>0.36506973923590053</v>
      </c>
      <c r="BV35" s="382">
        <f t="shared" si="86"/>
        <v>0.38933663980161193</v>
      </c>
      <c r="BW35" s="382">
        <f t="shared" si="86"/>
        <v>0.38500635324015248</v>
      </c>
      <c r="BX35" s="382">
        <f t="shared" si="86"/>
        <v>0.36094674556213019</v>
      </c>
      <c r="BY35" s="382">
        <f t="shared" si="86"/>
        <v>0.35541099940863397</v>
      </c>
      <c r="BZ35" s="382">
        <f t="shared" si="86"/>
        <v>0.37350157728706623</v>
      </c>
      <c r="CA35" s="382">
        <f t="shared" si="86"/>
        <v>0.39419674451521586</v>
      </c>
      <c r="CB35" s="382">
        <f t="shared" si="86"/>
        <v>0.40661938534278957</v>
      </c>
      <c r="CC35" s="382">
        <f t="shared" si="86"/>
        <v>0.43809523809523809</v>
      </c>
      <c r="CD35" s="382">
        <f t="shared" si="86"/>
        <v>0.45128676470588236</v>
      </c>
      <c r="CE35" s="382">
        <f t="shared" si="86"/>
        <v>0.41257536606373818</v>
      </c>
      <c r="CF35" s="382">
        <f t="shared" si="86"/>
        <v>0.30321697467488024</v>
      </c>
      <c r="CG35" s="382">
        <f t="shared" si="86"/>
        <v>0.29074889867841408</v>
      </c>
      <c r="CH35" s="382">
        <f t="shared" si="86"/>
        <v>0.30136005726556908</v>
      </c>
      <c r="CI35" s="382">
        <f t="shared" si="86"/>
        <v>0.29909784871616935</v>
      </c>
      <c r="CJ35" s="382">
        <f t="shared" si="86"/>
        <v>0.29951014695591321</v>
      </c>
      <c r="CK35" s="382">
        <f t="shared" si="86"/>
        <v>0.30831315577078289</v>
      </c>
      <c r="CL35" s="382">
        <f t="shared" si="86"/>
        <v>0.36213592233009706</v>
      </c>
      <c r="CM35" s="382">
        <f t="shared" si="86"/>
        <v>0.39171974522292996</v>
      </c>
      <c r="CN35" s="382">
        <f t="shared" si="86"/>
        <v>0.32893496701225261</v>
      </c>
      <c r="CO35" s="382">
        <f t="shared" si="86"/>
        <v>0.35281837160751567</v>
      </c>
      <c r="CP35" s="382">
        <f t="shared" si="86"/>
        <v>0.41706730769230771</v>
      </c>
      <c r="CQ35" s="382">
        <f t="shared" si="86"/>
        <v>0.35053554040895812</v>
      </c>
      <c r="CR35" s="382">
        <f t="shared" si="86"/>
        <v>0.28768171384850805</v>
      </c>
      <c r="CS35" s="382">
        <f t="shared" si="86"/>
        <v>0.34810126582278483</v>
      </c>
      <c r="CT35" s="382">
        <f t="shared" si="86"/>
        <v>0.39329268292682928</v>
      </c>
      <c r="CU35" s="382">
        <f t="shared" si="86"/>
        <v>0.33060556464811786</v>
      </c>
      <c r="CV35" s="382">
        <f t="shared" si="86"/>
        <v>0.27206329884357883</v>
      </c>
      <c r="CW35" s="382">
        <f t="shared" si="86"/>
        <v>0.29256756756756758</v>
      </c>
      <c r="CX35" s="382">
        <f t="shared" si="86"/>
        <v>0.2896174863387978</v>
      </c>
      <c r="CY35" s="382">
        <f t="shared" si="86"/>
        <v>0.28416856492027337</v>
      </c>
      <c r="CZ35" s="382">
        <f t="shared" si="86"/>
        <v>0.30913490623109496</v>
      </c>
      <c r="DA35" s="382">
        <f t="shared" si="86"/>
        <v>0.35870331219168428</v>
      </c>
      <c r="DB35" s="382">
        <f t="shared" si="86"/>
        <v>0.42295597484276731</v>
      </c>
      <c r="DC35" s="382">
        <f t="shared" si="86"/>
        <v>0.36250816459830176</v>
      </c>
      <c r="DD35" s="382">
        <f t="shared" si="86"/>
        <v>0.32815102720710715</v>
      </c>
      <c r="DE35" s="382">
        <f t="shared" si="86"/>
        <v>0.28255759285378468</v>
      </c>
      <c r="DF35" s="382">
        <f t="shared" si="86"/>
        <v>0.35890257558790595</v>
      </c>
      <c r="DG35" s="382">
        <f t="shared" si="86"/>
        <v>0.34937888198757766</v>
      </c>
      <c r="DH35" s="382">
        <f t="shared" si="86"/>
        <v>0.27882898964655478</v>
      </c>
      <c r="DI35" s="382">
        <f t="shared" si="86"/>
        <v>0.26726263871763256</v>
      </c>
      <c r="DJ35" s="383">
        <f t="shared" si="86"/>
        <v>0.26415094339622641</v>
      </c>
      <c r="DK35" s="383">
        <f t="shared" si="86"/>
        <v>0.25688311688311688</v>
      </c>
      <c r="DL35" s="383">
        <f t="shared" si="86"/>
        <v>0.26199860885694415</v>
      </c>
      <c r="DM35" s="383">
        <f t="shared" si="86"/>
        <v>0.25072523829258186</v>
      </c>
      <c r="DN35" s="383">
        <f t="shared" si="86"/>
        <v>0.24341770001698659</v>
      </c>
      <c r="DO35" s="383">
        <f t="shared" si="86"/>
        <v>0.27587786259541985</v>
      </c>
      <c r="DP35" s="383">
        <f t="shared" si="86"/>
        <v>0.31859838274932617</v>
      </c>
      <c r="DQ35" s="383">
        <f t="shared" si="86"/>
        <v>0.33898910519735664</v>
      </c>
      <c r="DR35" s="383">
        <f t="shared" si="86"/>
        <v>0.35008406501027461</v>
      </c>
      <c r="DS35" s="383">
        <f t="shared" si="86"/>
        <v>0.36107482739317037</v>
      </c>
      <c r="DT35" s="383">
        <f t="shared" si="86"/>
        <v>0.35068965517241379</v>
      </c>
      <c r="DU35" s="383">
        <f>DU32/DU$4</f>
        <v>0.33868352788586253</v>
      </c>
      <c r="DV35" s="382">
        <f>DV32/DV$4</f>
        <v>0.38242280285035629</v>
      </c>
      <c r="DW35" s="382">
        <f>DW32/DW$4</f>
        <v>0.37326478149100256</v>
      </c>
      <c r="DX35" s="382">
        <f>DX32/DX$4</f>
        <v>0.33553306936500954</v>
      </c>
      <c r="DY35" s="383">
        <f t="shared" si="86"/>
        <v>0.31953512666492556</v>
      </c>
      <c r="DZ35" s="383">
        <f t="shared" ref="DZ35:EW35" si="87">DZ32/DZ$4</f>
        <v>0.34579187953751006</v>
      </c>
      <c r="EA35" s="383">
        <f t="shared" si="87"/>
        <v>0.36330513988288876</v>
      </c>
      <c r="EB35" s="383">
        <f t="shared" si="87"/>
        <v>0.34241834306727231</v>
      </c>
      <c r="EC35" s="383">
        <f t="shared" si="87"/>
        <v>0.33875365141187924</v>
      </c>
      <c r="ED35" s="383">
        <f t="shared" si="87"/>
        <v>0.35345752462693847</v>
      </c>
      <c r="EE35" s="384">
        <f t="shared" si="87"/>
        <v>0.33906840259709076</v>
      </c>
      <c r="EF35" s="384">
        <f t="shared" si="87"/>
        <v>0.3384032917912202</v>
      </c>
      <c r="EG35" s="384">
        <f t="shared" si="87"/>
        <v>0.26736938499062884</v>
      </c>
      <c r="EH35" s="384">
        <f t="shared" si="87"/>
        <v>0.26402423629829441</v>
      </c>
      <c r="EI35" s="384">
        <f t="shared" si="87"/>
        <v>0.25719346074978372</v>
      </c>
      <c r="EJ35" s="384">
        <f t="shared" si="87"/>
        <v>0.24481001702331059</v>
      </c>
      <c r="EK35" s="384">
        <f t="shared" si="87"/>
        <v>0.24240540395847843</v>
      </c>
      <c r="EL35" s="384">
        <f t="shared" si="87"/>
        <v>0.2482478840344742</v>
      </c>
      <c r="EM35" s="384">
        <f t="shared" si="87"/>
        <v>0.23903206808712224</v>
      </c>
      <c r="EN35" s="384">
        <f t="shared" si="87"/>
        <v>0.22267514317058751</v>
      </c>
      <c r="EO35" s="384">
        <f t="shared" si="87"/>
        <v>0.21019511454823264</v>
      </c>
      <c r="EP35" s="384">
        <f t="shared" si="87"/>
        <v>0.22169566692157905</v>
      </c>
      <c r="EQ35" s="384">
        <f t="shared" si="87"/>
        <v>0.21833478375408155</v>
      </c>
      <c r="ER35" s="384">
        <f t="shared" si="87"/>
        <v>0.20830819890870883</v>
      </c>
      <c r="ES35" s="384">
        <f t="shared" si="87"/>
        <v>0.20823767593957918</v>
      </c>
      <c r="ET35" s="384">
        <f t="shared" si="87"/>
        <v>0.21960879951644605</v>
      </c>
      <c r="EU35" s="384">
        <f t="shared" si="87"/>
        <v>0.21425919561957207</v>
      </c>
      <c r="EV35" s="384">
        <f t="shared" si="87"/>
        <v>0.19829000306564387</v>
      </c>
      <c r="EW35" s="384">
        <f t="shared" si="87"/>
        <v>0.19144101708127381</v>
      </c>
      <c r="EZ35" s="382">
        <f t="shared" ref="EZ35:GF35" si="88">EZ32/EZ$4</f>
        <v>0.33590348727158009</v>
      </c>
      <c r="FA35" s="382">
        <f t="shared" si="88"/>
        <v>0.29944548520395992</v>
      </c>
      <c r="FB35" s="382">
        <f t="shared" si="88"/>
        <v>0.32208226119509864</v>
      </c>
      <c r="FC35" s="382">
        <f t="shared" si="88"/>
        <v>0.39195778433287132</v>
      </c>
      <c r="FD35" s="382">
        <f t="shared" si="88"/>
        <v>0.36861280568670096</v>
      </c>
      <c r="FE35" s="382">
        <f t="shared" si="88"/>
        <v>0.38828688101879477</v>
      </c>
      <c r="FF35" s="382">
        <f t="shared" si="88"/>
        <v>0.4114831866136805</v>
      </c>
      <c r="FG35" s="382">
        <f t="shared" si="88"/>
        <v>0.26717571880718843</v>
      </c>
      <c r="FH35" s="382">
        <f t="shared" si="88"/>
        <v>0.32657793889336273</v>
      </c>
      <c r="FI35" s="382">
        <f t="shared" si="88"/>
        <v>0.53547032679292672</v>
      </c>
      <c r="FJ35" s="382">
        <f t="shared" si="88"/>
        <v>0.40901173231854804</v>
      </c>
      <c r="FK35" s="382">
        <f t="shared" si="88"/>
        <v>0.34821706170329114</v>
      </c>
      <c r="FL35" s="382">
        <f t="shared" si="88"/>
        <v>0.36940240376484146</v>
      </c>
      <c r="FM35" s="382">
        <f t="shared" si="88"/>
        <v>0.41609874906777961</v>
      </c>
      <c r="FN35" s="382">
        <f t="shared" si="88"/>
        <v>0.5323465824047896</v>
      </c>
      <c r="FO35" s="382">
        <f t="shared" si="88"/>
        <v>0.5572749911063678</v>
      </c>
      <c r="FP35" s="382">
        <f t="shared" si="88"/>
        <v>0.38404590042568942</v>
      </c>
      <c r="FQ35" s="382">
        <f t="shared" si="88"/>
        <v>0.36017862642439175</v>
      </c>
      <c r="FR35" s="382">
        <f t="shared" si="88"/>
        <v>0.37225943970767356</v>
      </c>
      <c r="FS35" s="382">
        <f t="shared" si="88"/>
        <v>0.40040575433419401</v>
      </c>
      <c r="FT35" s="382">
        <f t="shared" si="88"/>
        <v>0.35384034723532742</v>
      </c>
      <c r="FU35" s="382">
        <f t="shared" si="88"/>
        <v>0.30185252451870687</v>
      </c>
      <c r="FV35" s="382">
        <f t="shared" si="88"/>
        <v>0.35805562515660233</v>
      </c>
      <c r="FW35" s="382">
        <f t="shared" si="88"/>
        <v>0.34363295880149813</v>
      </c>
      <c r="FX35" s="382">
        <f t="shared" si="88"/>
        <v>0.31356727340964535</v>
      </c>
      <c r="FY35" s="382">
        <f t="shared" si="88"/>
        <v>0.30826254826254829</v>
      </c>
      <c r="FZ35" s="382">
        <f t="shared" si="88"/>
        <v>0.33947407517456546</v>
      </c>
      <c r="GA35" s="382">
        <f t="shared" si="88"/>
        <v>0.30359520639147802</v>
      </c>
      <c r="GB35" s="382">
        <f t="shared" si="88"/>
        <v>0.25794085432639652</v>
      </c>
      <c r="GC35" s="382">
        <f t="shared" si="88"/>
        <v>0.29282657514512095</v>
      </c>
      <c r="GD35" s="382">
        <f t="shared" si="88"/>
        <v>0.34973544973544973</v>
      </c>
      <c r="GE35" s="382">
        <f t="shared" si="88"/>
        <v>0.34927283304246654</v>
      </c>
      <c r="GF35" s="382">
        <f t="shared" si="88"/>
        <v>0.34669014694419586</v>
      </c>
      <c r="GG35" s="384">
        <f>GG32/GG$4</f>
        <v>0.318501530191729</v>
      </c>
      <c r="GH35" s="384">
        <f>GH32/GH$4</f>
        <v>0.25097976146148498</v>
      </c>
      <c r="GI35" s="384">
        <f t="shared" ref="GI35:GK35" si="89">GI32/GI$4</f>
        <v>0.22901257636531616</v>
      </c>
      <c r="GJ35" s="384">
        <f t="shared" si="89"/>
        <v>0.21377815251280707</v>
      </c>
      <c r="GK35" s="384">
        <f t="shared" si="89"/>
        <v>0.20507505159119727</v>
      </c>
      <c r="GN35" s="70"/>
      <c r="IF35" s="394"/>
    </row>
    <row r="36" spans="1:240" s="408" customFormat="1">
      <c r="A36" s="406" t="s">
        <v>210</v>
      </c>
      <c r="B36" s="403"/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  <c r="AL36" s="403"/>
      <c r="AM36" s="403"/>
      <c r="AN36" s="403"/>
      <c r="AO36" s="403"/>
      <c r="AP36" s="403"/>
      <c r="AQ36" s="403"/>
      <c r="AR36" s="403"/>
      <c r="AS36" s="403"/>
      <c r="AT36" s="403"/>
      <c r="AU36" s="403"/>
      <c r="AV36" s="403"/>
      <c r="AW36" s="403"/>
      <c r="AX36" s="403"/>
      <c r="AY36" s="403"/>
      <c r="AZ36" s="403"/>
      <c r="BA36" s="403"/>
      <c r="BB36" s="403"/>
      <c r="BC36" s="403"/>
      <c r="BD36" s="403"/>
      <c r="BE36" s="403"/>
      <c r="BF36" s="403"/>
      <c r="BG36" s="403"/>
      <c r="BH36" s="403"/>
      <c r="BI36" s="403"/>
      <c r="BJ36" s="403"/>
      <c r="BK36" s="403"/>
      <c r="BL36" s="403"/>
      <c r="BM36" s="403"/>
      <c r="BN36" s="403"/>
      <c r="BO36" s="403"/>
      <c r="BP36" s="403"/>
      <c r="BQ36" s="403"/>
      <c r="BR36" s="403"/>
      <c r="BS36" s="403"/>
      <c r="BT36" s="403"/>
      <c r="BU36" s="403"/>
      <c r="BV36" s="403"/>
      <c r="BW36" s="403"/>
      <c r="BX36" s="403"/>
      <c r="BY36" s="403"/>
      <c r="BZ36" s="403"/>
      <c r="CA36" s="403"/>
      <c r="CB36" s="403"/>
      <c r="CC36" s="403"/>
      <c r="CD36" s="403"/>
      <c r="CE36" s="403"/>
      <c r="CF36" s="403"/>
      <c r="CG36" s="403"/>
      <c r="CH36" s="403"/>
      <c r="CI36" s="403"/>
      <c r="CJ36" s="403"/>
      <c r="CK36" s="403"/>
      <c r="CL36" s="403">
        <v>16</v>
      </c>
      <c r="CM36" s="403">
        <v>16</v>
      </c>
      <c r="CN36" s="403">
        <v>13</v>
      </c>
      <c r="CO36" s="403">
        <v>15</v>
      </c>
      <c r="CP36" s="403">
        <v>15</v>
      </c>
      <c r="CQ36" s="403">
        <v>18</v>
      </c>
      <c r="CR36" s="403">
        <v>23</v>
      </c>
      <c r="CS36" s="403">
        <v>28</v>
      </c>
      <c r="CT36" s="403">
        <v>23</v>
      </c>
      <c r="CU36" s="403">
        <v>23</v>
      </c>
      <c r="CV36" s="403">
        <v>28</v>
      </c>
      <c r="CW36" s="403">
        <v>21</v>
      </c>
      <c r="CX36" s="403">
        <v>31</v>
      </c>
      <c r="CY36" s="403">
        <v>32</v>
      </c>
      <c r="CZ36" s="403">
        <v>35</v>
      </c>
      <c r="DA36" s="403">
        <v>35</v>
      </c>
      <c r="DB36" s="403">
        <v>40</v>
      </c>
      <c r="DC36" s="403">
        <v>43</v>
      </c>
      <c r="DD36" s="403">
        <f t="shared" ref="DD36:EW36" si="90">+DD59-DD30</f>
        <v>52</v>
      </c>
      <c r="DE36" s="403">
        <f t="shared" si="90"/>
        <v>56</v>
      </c>
      <c r="DF36" s="403">
        <f t="shared" si="90"/>
        <v>57</v>
      </c>
      <c r="DG36" s="403">
        <f t="shared" si="90"/>
        <v>58</v>
      </c>
      <c r="DH36" s="403">
        <f t="shared" si="90"/>
        <v>75</v>
      </c>
      <c r="DI36" s="403">
        <f t="shared" si="90"/>
        <v>78</v>
      </c>
      <c r="DJ36" s="407">
        <f t="shared" si="90"/>
        <v>84</v>
      </c>
      <c r="DK36" s="407">
        <f t="shared" si="90"/>
        <v>81</v>
      </c>
      <c r="DL36" s="407">
        <f t="shared" si="90"/>
        <v>98</v>
      </c>
      <c r="DM36" s="407">
        <f t="shared" si="90"/>
        <v>111</v>
      </c>
      <c r="DN36" s="407">
        <f t="shared" si="90"/>
        <v>170</v>
      </c>
      <c r="DO36" s="407">
        <f t="shared" si="90"/>
        <v>251</v>
      </c>
      <c r="DP36" s="407">
        <f t="shared" si="90"/>
        <v>261</v>
      </c>
      <c r="DQ36" s="407">
        <f t="shared" si="90"/>
        <v>301</v>
      </c>
      <c r="DR36" s="407">
        <f t="shared" si="90"/>
        <v>297</v>
      </c>
      <c r="DS36" s="407">
        <f t="shared" si="90"/>
        <v>338</v>
      </c>
      <c r="DT36" s="407">
        <f t="shared" si="90"/>
        <v>347</v>
      </c>
      <c r="DU36" s="407">
        <f>+DU59-DU30</f>
        <v>368</v>
      </c>
      <c r="DV36" s="403">
        <f>+DV59-DV30</f>
        <v>365</v>
      </c>
      <c r="DW36" s="403">
        <f>+DW59-DW30</f>
        <v>341</v>
      </c>
      <c r="DX36" s="403">
        <f>+DX59-DX30</f>
        <v>346</v>
      </c>
      <c r="DY36" s="407">
        <f t="shared" si="90"/>
        <v>333</v>
      </c>
      <c r="DZ36" s="407">
        <f t="shared" si="90"/>
        <v>359</v>
      </c>
      <c r="EA36" s="407">
        <f t="shared" si="90"/>
        <v>363</v>
      </c>
      <c r="EB36" s="407">
        <f t="shared" si="90"/>
        <v>412</v>
      </c>
      <c r="EC36" s="407">
        <f t="shared" si="90"/>
        <v>478</v>
      </c>
      <c r="ED36" s="407">
        <f t="shared" si="90"/>
        <v>479</v>
      </c>
      <c r="EE36" s="403">
        <f t="shared" si="90"/>
        <v>488.74</v>
      </c>
      <c r="EF36" s="403">
        <f t="shared" si="90"/>
        <v>498.6748</v>
      </c>
      <c r="EG36" s="403">
        <f t="shared" si="90"/>
        <v>508.80829600000004</v>
      </c>
      <c r="EH36" s="403">
        <f t="shared" si="90"/>
        <v>508.80829600000004</v>
      </c>
      <c r="EI36" s="403">
        <f t="shared" si="90"/>
        <v>519.14446192000003</v>
      </c>
      <c r="EJ36" s="403">
        <f t="shared" si="90"/>
        <v>529.68735115840002</v>
      </c>
      <c r="EK36" s="403">
        <f t="shared" si="90"/>
        <v>540.44109818156801</v>
      </c>
      <c r="EL36" s="403">
        <f t="shared" si="90"/>
        <v>540.44109818156801</v>
      </c>
      <c r="EM36" s="403">
        <f t="shared" si="90"/>
        <v>551.40992014519941</v>
      </c>
      <c r="EN36" s="403">
        <f t="shared" si="90"/>
        <v>562.59811854810346</v>
      </c>
      <c r="EO36" s="403">
        <f t="shared" si="90"/>
        <v>574.01008091906556</v>
      </c>
      <c r="EP36" s="403">
        <f t="shared" si="90"/>
        <v>574.01008091906556</v>
      </c>
      <c r="EQ36" s="403">
        <f t="shared" si="90"/>
        <v>585.65028253744686</v>
      </c>
      <c r="ER36" s="403">
        <f t="shared" si="90"/>
        <v>597.52328818819581</v>
      </c>
      <c r="ES36" s="403">
        <f t="shared" si="90"/>
        <v>609.63375395195976</v>
      </c>
      <c r="ET36" s="403">
        <f t="shared" si="90"/>
        <v>609.63375395195976</v>
      </c>
      <c r="EU36" s="403">
        <f t="shared" si="90"/>
        <v>621.98642903099892</v>
      </c>
      <c r="EV36" s="403">
        <f t="shared" si="90"/>
        <v>634.58615761161889</v>
      </c>
      <c r="EW36" s="403">
        <f t="shared" si="90"/>
        <v>647.43788076385124</v>
      </c>
      <c r="FU36" s="403"/>
      <c r="FV36" s="403">
        <f>CL36+CM36+CN36+CO36</f>
        <v>60</v>
      </c>
      <c r="FW36" s="403">
        <f>CP36+CQ36+CR36+CS36</f>
        <v>84</v>
      </c>
      <c r="FX36" s="403">
        <f>CT36+CU36+CV36+CW36</f>
        <v>95</v>
      </c>
      <c r="FY36" s="403">
        <f>CX36+CY36+CZ36+DA36</f>
        <v>133</v>
      </c>
      <c r="FZ36" s="403">
        <f>DB36+DC36+DD36+DE36</f>
        <v>191</v>
      </c>
      <c r="GA36" s="403">
        <f>SUM(DF36:DI36)</f>
        <v>268</v>
      </c>
      <c r="GB36" s="403">
        <f>SUM(DJ36:DM36)</f>
        <v>374</v>
      </c>
      <c r="GC36" s="403">
        <f>SUM(DN36:DQ36)</f>
        <v>983</v>
      </c>
      <c r="GD36" s="403">
        <f>SUM(DR36:DU36)</f>
        <v>1350</v>
      </c>
      <c r="GE36" s="403">
        <f>SUM(DV36:DY36)</f>
        <v>1385</v>
      </c>
      <c r="GF36" s="403">
        <f>SUM(DZ36:EC36)</f>
        <v>1612</v>
      </c>
      <c r="GG36" s="403">
        <f>SUM(ED36:EG36)</f>
        <v>1975.2230960000002</v>
      </c>
      <c r="GH36" s="403">
        <f>SUM(EH36:EK36)</f>
        <v>2098.0812072599683</v>
      </c>
      <c r="GI36" s="403">
        <f>SUM(EL36:EO36)</f>
        <v>2228.4592177939367</v>
      </c>
      <c r="GJ36" s="403">
        <f>SUM(EP36:ES36)</f>
        <v>2366.8174055966683</v>
      </c>
      <c r="GK36" s="403">
        <f>SUM(ET36:EW36)</f>
        <v>2513.6442213584291</v>
      </c>
      <c r="GN36" s="404"/>
    </row>
    <row r="37" spans="1:240" s="379" customFormat="1">
      <c r="A37" s="395" t="s">
        <v>213</v>
      </c>
      <c r="B37" s="376"/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376"/>
      <c r="U37" s="376"/>
      <c r="V37" s="376"/>
      <c r="W37" s="376"/>
      <c r="X37" s="376"/>
      <c r="Y37" s="376"/>
      <c r="Z37" s="376"/>
      <c r="AA37" s="376"/>
      <c r="AB37" s="376"/>
      <c r="AC37" s="376"/>
      <c r="AD37" s="376"/>
      <c r="AE37" s="376"/>
      <c r="AF37" s="376"/>
      <c r="AG37" s="376"/>
      <c r="AH37" s="376"/>
      <c r="AI37" s="376"/>
      <c r="AJ37" s="376"/>
      <c r="AK37" s="376"/>
      <c r="AL37" s="376"/>
      <c r="AM37" s="376"/>
      <c r="AN37" s="376"/>
      <c r="AO37" s="376"/>
      <c r="AP37" s="376"/>
      <c r="AQ37" s="376"/>
      <c r="AR37" s="376"/>
      <c r="AS37" s="376"/>
      <c r="AT37" s="376"/>
      <c r="AU37" s="376"/>
      <c r="AV37" s="376"/>
      <c r="AW37" s="376"/>
      <c r="AX37" s="376"/>
      <c r="AY37" s="376"/>
      <c r="AZ37" s="376"/>
      <c r="BA37" s="376"/>
      <c r="BB37" s="376"/>
      <c r="BC37" s="376"/>
      <c r="BD37" s="376"/>
      <c r="BE37" s="376"/>
      <c r="BF37" s="376"/>
      <c r="BG37" s="376"/>
      <c r="BH37" s="376"/>
      <c r="BI37" s="376"/>
      <c r="BJ37" s="376"/>
      <c r="BK37" s="376"/>
      <c r="BL37" s="376"/>
      <c r="BM37" s="376"/>
      <c r="BN37" s="376"/>
      <c r="BO37" s="376"/>
      <c r="BP37" s="376"/>
      <c r="BQ37" s="376"/>
      <c r="BR37" s="376"/>
      <c r="BS37" s="376"/>
      <c r="BT37" s="376"/>
      <c r="BU37" s="376"/>
      <c r="BV37" s="376"/>
      <c r="BW37" s="376"/>
      <c r="BX37" s="376"/>
      <c r="BY37" s="376"/>
      <c r="BZ37" s="376"/>
      <c r="CA37" s="376"/>
      <c r="CB37" s="376"/>
      <c r="CC37" s="376"/>
      <c r="CD37" s="376"/>
      <c r="CE37" s="376"/>
      <c r="CF37" s="376"/>
      <c r="CG37" s="376"/>
      <c r="CH37" s="376"/>
      <c r="CI37" s="376"/>
      <c r="CJ37" s="376"/>
      <c r="CK37" s="376"/>
      <c r="CL37" s="376">
        <f t="shared" ref="CL37:EW37" si="91">CL32-CL36</f>
        <v>357</v>
      </c>
      <c r="CM37" s="376">
        <f t="shared" si="91"/>
        <v>353</v>
      </c>
      <c r="CN37" s="376">
        <f t="shared" si="91"/>
        <v>336</v>
      </c>
      <c r="CO37" s="376">
        <f t="shared" si="91"/>
        <v>323</v>
      </c>
      <c r="CP37" s="376">
        <f t="shared" si="91"/>
        <v>332</v>
      </c>
      <c r="CQ37" s="376">
        <f t="shared" si="91"/>
        <v>342</v>
      </c>
      <c r="CR37" s="376">
        <f t="shared" si="91"/>
        <v>353</v>
      </c>
      <c r="CS37" s="376">
        <f t="shared" si="91"/>
        <v>357</v>
      </c>
      <c r="CT37" s="376">
        <f t="shared" si="91"/>
        <v>364</v>
      </c>
      <c r="CU37" s="376">
        <f t="shared" si="91"/>
        <v>381</v>
      </c>
      <c r="CV37" s="376">
        <f t="shared" si="91"/>
        <v>419</v>
      </c>
      <c r="CW37" s="376">
        <f t="shared" si="91"/>
        <v>412</v>
      </c>
      <c r="CX37" s="376">
        <f t="shared" si="91"/>
        <v>446</v>
      </c>
      <c r="CY37" s="376">
        <f t="shared" si="91"/>
        <v>467</v>
      </c>
      <c r="CZ37" s="376">
        <f t="shared" si="91"/>
        <v>476</v>
      </c>
      <c r="DA37" s="376">
        <f t="shared" si="91"/>
        <v>474</v>
      </c>
      <c r="DB37" s="376">
        <f t="shared" si="91"/>
        <v>498</v>
      </c>
      <c r="DC37" s="376">
        <f t="shared" si="91"/>
        <v>512</v>
      </c>
      <c r="DD37" s="376">
        <f t="shared" si="91"/>
        <v>539</v>
      </c>
      <c r="DE37" s="376">
        <f t="shared" si="91"/>
        <v>545</v>
      </c>
      <c r="DF37" s="376">
        <f t="shared" si="91"/>
        <v>584</v>
      </c>
      <c r="DG37" s="376">
        <f t="shared" si="91"/>
        <v>617</v>
      </c>
      <c r="DH37" s="376">
        <f t="shared" si="91"/>
        <v>706</v>
      </c>
      <c r="DI37" s="376">
        <f t="shared" si="91"/>
        <v>789</v>
      </c>
      <c r="DJ37" s="397">
        <f t="shared" si="91"/>
        <v>826</v>
      </c>
      <c r="DK37" s="397">
        <f t="shared" si="91"/>
        <v>908</v>
      </c>
      <c r="DL37" s="397">
        <f t="shared" si="91"/>
        <v>1032</v>
      </c>
      <c r="DM37" s="397">
        <f t="shared" si="91"/>
        <v>1099</v>
      </c>
      <c r="DN37" s="397">
        <f t="shared" si="91"/>
        <v>1263</v>
      </c>
      <c r="DO37" s="397">
        <f t="shared" si="91"/>
        <v>1556</v>
      </c>
      <c r="DP37" s="397">
        <f t="shared" si="91"/>
        <v>1512</v>
      </c>
      <c r="DQ37" s="397">
        <f t="shared" si="91"/>
        <v>1597</v>
      </c>
      <c r="DR37" s="397">
        <f t="shared" si="91"/>
        <v>1577</v>
      </c>
      <c r="DS37" s="397">
        <f t="shared" si="91"/>
        <v>1597</v>
      </c>
      <c r="DT37" s="397">
        <f t="shared" si="91"/>
        <v>1687</v>
      </c>
      <c r="DU37" s="397">
        <f t="shared" si="91"/>
        <v>1721</v>
      </c>
      <c r="DV37" s="376">
        <f t="shared" si="91"/>
        <v>1728</v>
      </c>
      <c r="DW37" s="376">
        <f t="shared" si="91"/>
        <v>1837</v>
      </c>
      <c r="DX37" s="376">
        <f t="shared" si="91"/>
        <v>1942</v>
      </c>
      <c r="DY37" s="397">
        <f t="shared" si="91"/>
        <v>2114</v>
      </c>
      <c r="DZ37" s="397">
        <f t="shared" si="91"/>
        <v>2213</v>
      </c>
      <c r="EA37" s="397">
        <f t="shared" si="91"/>
        <v>2429</v>
      </c>
      <c r="EB37" s="397">
        <f t="shared" si="91"/>
        <v>2754</v>
      </c>
      <c r="EC37" s="397">
        <f t="shared" si="91"/>
        <v>3001</v>
      </c>
      <c r="ED37" s="397">
        <f t="shared" si="91"/>
        <v>3145</v>
      </c>
      <c r="EE37" s="380">
        <f t="shared" si="91"/>
        <v>3316.46</v>
      </c>
      <c r="EF37" s="380">
        <f t="shared" si="91"/>
        <v>3560.0057000000006</v>
      </c>
      <c r="EG37" s="380">
        <f t="shared" si="91"/>
        <v>3820.3233290000007</v>
      </c>
      <c r="EH37" s="380">
        <f t="shared" si="91"/>
        <v>4094.4107415500011</v>
      </c>
      <c r="EI37" s="380">
        <f t="shared" si="91"/>
        <v>4421.9327073740014</v>
      </c>
      <c r="EJ37" s="380">
        <f t="shared" si="91"/>
        <v>4889.3858576972025</v>
      </c>
      <c r="EK37" s="380">
        <f t="shared" si="91"/>
        <v>5402.977703228692</v>
      </c>
      <c r="EL37" s="380">
        <f t="shared" si="91"/>
        <v>5402.977703228692</v>
      </c>
      <c r="EM37" s="380">
        <f t="shared" si="91"/>
        <v>5432.3007853984809</v>
      </c>
      <c r="EN37" s="380">
        <f t="shared" si="91"/>
        <v>5421.1125869955767</v>
      </c>
      <c r="EO37" s="380">
        <f t="shared" si="91"/>
        <v>5469.5377316800514</v>
      </c>
      <c r="EP37" s="380">
        <f t="shared" si="91"/>
        <v>5672.6122307450369</v>
      </c>
      <c r="EQ37" s="380">
        <f t="shared" si="91"/>
        <v>5828.6503176226979</v>
      </c>
      <c r="ER37" s="380">
        <f t="shared" si="91"/>
        <v>6009.2063299767542</v>
      </c>
      <c r="ES37" s="380">
        <f t="shared" si="91"/>
        <v>6285.9958808710662</v>
      </c>
      <c r="ET37" s="380">
        <f t="shared" si="91"/>
        <v>6354.9521772192966</v>
      </c>
      <c r="EU37" s="380">
        <f t="shared" si="91"/>
        <v>6460.3380438839558</v>
      </c>
      <c r="EV37" s="380">
        <f t="shared" si="91"/>
        <v>6567.61609611311</v>
      </c>
      <c r="EW37" s="380">
        <f t="shared" si="91"/>
        <v>6626.7863954981258</v>
      </c>
      <c r="EZ37" s="376"/>
      <c r="FA37" s="376"/>
      <c r="FB37" s="376"/>
      <c r="FC37" s="376"/>
      <c r="FD37" s="376"/>
      <c r="FE37" s="376"/>
      <c r="FF37" s="376"/>
      <c r="FG37" s="376"/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>
        <f>CL37+CM37+CN37+CO37</f>
        <v>1369</v>
      </c>
      <c r="FW37" s="376">
        <f>CP37+CQ37+CR37+CS37</f>
        <v>1384</v>
      </c>
      <c r="FX37" s="376">
        <f>CT37+CU37+CV37+CW37</f>
        <v>1576</v>
      </c>
      <c r="FY37" s="376">
        <f>CX37+CY37+CZ37+DA37</f>
        <v>1863</v>
      </c>
      <c r="FZ37" s="376">
        <f>DB37+DC37+DD37+DE37</f>
        <v>2094</v>
      </c>
      <c r="GA37" s="376">
        <f>SUM(DF37:DI37)</f>
        <v>2696</v>
      </c>
      <c r="GB37" s="376">
        <f>SUM(DJ37:DM37)</f>
        <v>3865</v>
      </c>
      <c r="GC37" s="376">
        <f>SUM(DN37:DQ37)</f>
        <v>5928</v>
      </c>
      <c r="GD37" s="376">
        <f>SUM(DR37:DU37)</f>
        <v>6582</v>
      </c>
      <c r="GE37" s="376">
        <f>SUM(DV37:DY37)</f>
        <v>7621</v>
      </c>
      <c r="GF37" s="376">
        <f>SUM(DZ37:EC37)</f>
        <v>10397</v>
      </c>
      <c r="GG37" s="380">
        <f>SUM(ED37:EG37)</f>
        <v>13841.789029000001</v>
      </c>
      <c r="GH37" s="380">
        <f>SUM(EH37:EK37)</f>
        <v>18808.707009849895</v>
      </c>
      <c r="GI37" s="380">
        <f>SUM(EL37:EO37)</f>
        <v>21725.9288073028</v>
      </c>
      <c r="GJ37" s="380">
        <f>SUM(EP37:ES37)</f>
        <v>23796.464759215552</v>
      </c>
      <c r="GK37" s="380">
        <f>SUM(ET37:EW37)</f>
        <v>26009.692712714488</v>
      </c>
      <c r="GN37" s="70"/>
      <c r="IF37" s="394"/>
    </row>
    <row r="38" spans="1:240" s="379" customFormat="1">
      <c r="A38" s="396" t="s">
        <v>198</v>
      </c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  <c r="AI38" s="376"/>
      <c r="AJ38" s="376"/>
      <c r="AK38" s="376"/>
      <c r="AL38" s="376"/>
      <c r="AM38" s="376"/>
      <c r="AN38" s="376"/>
      <c r="AO38" s="376"/>
      <c r="AP38" s="376"/>
      <c r="AQ38" s="376"/>
      <c r="AR38" s="376"/>
      <c r="AS38" s="376"/>
      <c r="AT38" s="376"/>
      <c r="AU38" s="376"/>
      <c r="AV38" s="376"/>
      <c r="AW38" s="376"/>
      <c r="AX38" s="376"/>
      <c r="AY38" s="376"/>
      <c r="AZ38" s="376"/>
      <c r="BA38" s="376"/>
      <c r="BB38" s="376"/>
      <c r="BC38" s="376"/>
      <c r="BD38" s="376"/>
      <c r="BE38" s="376"/>
      <c r="BF38" s="376"/>
      <c r="BG38" s="376"/>
      <c r="BH38" s="376"/>
      <c r="BI38" s="376"/>
      <c r="BJ38" s="376"/>
      <c r="BK38" s="376"/>
      <c r="BL38" s="376"/>
      <c r="BM38" s="376"/>
      <c r="BN38" s="376"/>
      <c r="BO38" s="376"/>
      <c r="BP38" s="376"/>
      <c r="BQ38" s="376"/>
      <c r="BR38" s="376"/>
      <c r="BS38" s="376"/>
      <c r="BT38" s="376"/>
      <c r="BU38" s="376"/>
      <c r="BV38" s="376"/>
      <c r="BW38" s="376"/>
      <c r="BX38" s="376"/>
      <c r="BY38" s="376"/>
      <c r="BZ38" s="376"/>
      <c r="CA38" s="376"/>
      <c r="CB38" s="376"/>
      <c r="CC38" s="376"/>
      <c r="CD38" s="376"/>
      <c r="CE38" s="376"/>
      <c r="CF38" s="376"/>
      <c r="CG38" s="376"/>
      <c r="CH38" s="376"/>
      <c r="CI38" s="376"/>
      <c r="CJ38" s="376"/>
      <c r="CK38" s="376"/>
      <c r="CL38" s="376"/>
      <c r="CM38" s="382">
        <f t="shared" ref="CM38:EW38" si="92">CM37/CL37-1</f>
        <v>-1.1204481792717047E-2</v>
      </c>
      <c r="CN38" s="382">
        <f t="shared" si="92"/>
        <v>-4.8158640226628857E-2</v>
      </c>
      <c r="CO38" s="382">
        <f t="shared" si="92"/>
        <v>-3.8690476190476164E-2</v>
      </c>
      <c r="CP38" s="382">
        <f t="shared" si="92"/>
        <v>2.7863777089783381E-2</v>
      </c>
      <c r="CQ38" s="382">
        <f t="shared" si="92"/>
        <v>3.0120481927710774E-2</v>
      </c>
      <c r="CR38" s="382">
        <f t="shared" si="92"/>
        <v>3.2163742690058506E-2</v>
      </c>
      <c r="CS38" s="382">
        <f t="shared" si="92"/>
        <v>1.1331444759206777E-2</v>
      </c>
      <c r="CT38" s="382">
        <f t="shared" si="92"/>
        <v>1.9607843137254832E-2</v>
      </c>
      <c r="CU38" s="382">
        <f t="shared" si="92"/>
        <v>4.6703296703296759E-2</v>
      </c>
      <c r="CV38" s="382">
        <f t="shared" si="92"/>
        <v>9.9737532808398921E-2</v>
      </c>
      <c r="CW38" s="382">
        <f t="shared" si="92"/>
        <v>-1.6706443914081159E-2</v>
      </c>
      <c r="CX38" s="382">
        <f t="shared" si="92"/>
        <v>8.2524271844660158E-2</v>
      </c>
      <c r="CY38" s="382">
        <f t="shared" si="92"/>
        <v>4.7085201793721998E-2</v>
      </c>
      <c r="CZ38" s="382">
        <f t="shared" si="92"/>
        <v>1.9271948608136968E-2</v>
      </c>
      <c r="DA38" s="382">
        <f t="shared" si="92"/>
        <v>-4.2016806722688926E-3</v>
      </c>
      <c r="DB38" s="382">
        <f t="shared" si="92"/>
        <v>5.0632911392405111E-2</v>
      </c>
      <c r="DC38" s="382">
        <f t="shared" si="92"/>
        <v>2.8112449799196693E-2</v>
      </c>
      <c r="DD38" s="382">
        <f t="shared" si="92"/>
        <v>5.2734375E-2</v>
      </c>
      <c r="DE38" s="382">
        <f t="shared" si="92"/>
        <v>1.1131725417439675E-2</v>
      </c>
      <c r="DF38" s="382">
        <f t="shared" si="92"/>
        <v>7.1559633027522995E-2</v>
      </c>
      <c r="DG38" s="382">
        <f t="shared" si="92"/>
        <v>5.6506849315068441E-2</v>
      </c>
      <c r="DH38" s="382">
        <f t="shared" si="92"/>
        <v>0.14424635332252844</v>
      </c>
      <c r="DI38" s="382">
        <f t="shared" si="92"/>
        <v>0.11756373937677056</v>
      </c>
      <c r="DJ38" s="383">
        <f t="shared" si="92"/>
        <v>4.6894803548795938E-2</v>
      </c>
      <c r="DK38" s="383">
        <f t="shared" si="92"/>
        <v>9.9273607748183945E-2</v>
      </c>
      <c r="DL38" s="383">
        <f t="shared" si="92"/>
        <v>0.13656387665198233</v>
      </c>
      <c r="DM38" s="383">
        <f t="shared" si="92"/>
        <v>6.4922480620154932E-2</v>
      </c>
      <c r="DN38" s="383">
        <f t="shared" si="92"/>
        <v>0.14922656960873515</v>
      </c>
      <c r="DO38" s="383">
        <f t="shared" si="92"/>
        <v>0.23198733174980202</v>
      </c>
      <c r="DP38" s="383">
        <f t="shared" si="92"/>
        <v>-2.8277634961439535E-2</v>
      </c>
      <c r="DQ38" s="383">
        <f t="shared" si="92"/>
        <v>5.6216931216931165E-2</v>
      </c>
      <c r="DR38" s="383">
        <f t="shared" si="92"/>
        <v>-1.2523481527864755E-2</v>
      </c>
      <c r="DS38" s="383">
        <f t="shared" si="92"/>
        <v>1.2682308180088864E-2</v>
      </c>
      <c r="DT38" s="383">
        <f t="shared" si="92"/>
        <v>5.6355666875391286E-2</v>
      </c>
      <c r="DU38" s="383">
        <f t="shared" si="92"/>
        <v>2.0154119739181908E-2</v>
      </c>
      <c r="DV38" s="382">
        <f t="shared" si="92"/>
        <v>4.0674026728646506E-3</v>
      </c>
      <c r="DW38" s="382">
        <f t="shared" si="92"/>
        <v>6.307870370370372E-2</v>
      </c>
      <c r="DX38" s="382">
        <f t="shared" si="92"/>
        <v>5.7158410451823682E-2</v>
      </c>
      <c r="DY38" s="383">
        <f t="shared" si="92"/>
        <v>8.8568486096807453E-2</v>
      </c>
      <c r="DZ38" s="383">
        <f t="shared" si="92"/>
        <v>4.6830652790917693E-2</v>
      </c>
      <c r="EA38" s="383">
        <f t="shared" si="92"/>
        <v>9.7605061003163129E-2</v>
      </c>
      <c r="EB38" s="383">
        <f t="shared" si="92"/>
        <v>0.13379991766158916</v>
      </c>
      <c r="EC38" s="383">
        <f t="shared" si="92"/>
        <v>8.9687726942628831E-2</v>
      </c>
      <c r="ED38" s="383">
        <f t="shared" si="92"/>
        <v>4.7984005331556112E-2</v>
      </c>
      <c r="EE38" s="384">
        <f t="shared" si="92"/>
        <v>5.4518282988871292E-2</v>
      </c>
      <c r="EF38" s="384">
        <f t="shared" si="92"/>
        <v>7.3435440198283963E-2</v>
      </c>
      <c r="EG38" s="384">
        <f t="shared" si="92"/>
        <v>7.3122812415721716E-2</v>
      </c>
      <c r="EH38" s="384">
        <f t="shared" si="92"/>
        <v>7.1744559019234933E-2</v>
      </c>
      <c r="EI38" s="384">
        <f t="shared" si="92"/>
        <v>7.9992454714011396E-2</v>
      </c>
      <c r="EJ38" s="384">
        <f t="shared" si="92"/>
        <v>0.10571240705306928</v>
      </c>
      <c r="EK38" s="384">
        <f t="shared" si="92"/>
        <v>0.10504219967073336</v>
      </c>
      <c r="EL38" s="384">
        <f t="shared" si="92"/>
        <v>0</v>
      </c>
      <c r="EM38" s="384">
        <f t="shared" si="92"/>
        <v>5.4272076955390602E-3</v>
      </c>
      <c r="EN38" s="384">
        <f t="shared" si="92"/>
        <v>-2.0595690196273386E-3</v>
      </c>
      <c r="EO38" s="384">
        <f t="shared" si="92"/>
        <v>8.9326948864036915E-3</v>
      </c>
      <c r="EP38" s="384">
        <f t="shared" si="92"/>
        <v>3.7128274641704984E-2</v>
      </c>
      <c r="EQ38" s="384">
        <f t="shared" si="92"/>
        <v>2.7507271875900408E-2</v>
      </c>
      <c r="ER38" s="384">
        <f t="shared" si="92"/>
        <v>3.0977327942997679E-2</v>
      </c>
      <c r="ES38" s="384">
        <f t="shared" si="92"/>
        <v>4.6060916483023018E-2</v>
      </c>
      <c r="ET38" s="384">
        <f t="shared" si="92"/>
        <v>1.0969828433720741E-2</v>
      </c>
      <c r="EU38" s="384">
        <f t="shared" si="92"/>
        <v>1.6583266675465724E-2</v>
      </c>
      <c r="EV38" s="384">
        <f t="shared" si="92"/>
        <v>1.6605640680167566E-2</v>
      </c>
      <c r="EW38" s="384">
        <f t="shared" si="92"/>
        <v>9.0094028821254835E-3</v>
      </c>
      <c r="EZ38" s="376"/>
      <c r="FA38" s="376"/>
      <c r="FB38" s="376"/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86" t="s">
        <v>199</v>
      </c>
      <c r="GB38" s="386" t="s">
        <v>199</v>
      </c>
      <c r="GC38" s="386" t="s">
        <v>199</v>
      </c>
      <c r="GD38" s="386" t="s">
        <v>199</v>
      </c>
      <c r="GE38" s="386" t="s">
        <v>199</v>
      </c>
      <c r="GF38" s="386" t="s">
        <v>199</v>
      </c>
      <c r="GG38" s="386" t="s">
        <v>199</v>
      </c>
      <c r="GH38" s="386" t="s">
        <v>199</v>
      </c>
      <c r="GI38" s="386" t="s">
        <v>199</v>
      </c>
      <c r="GJ38" s="386" t="s">
        <v>199</v>
      </c>
      <c r="GK38" s="386" t="s">
        <v>199</v>
      </c>
      <c r="GN38" s="70"/>
      <c r="IF38" s="394"/>
    </row>
    <row r="39" spans="1:240" s="379" customFormat="1">
      <c r="A39" s="396" t="s">
        <v>200</v>
      </c>
      <c r="B39" s="376"/>
      <c r="C39" s="376"/>
      <c r="D39" s="376"/>
      <c r="E39" s="376"/>
      <c r="F39" s="376"/>
      <c r="G39" s="376"/>
      <c r="H39" s="376"/>
      <c r="I39" s="376"/>
      <c r="J39" s="376"/>
      <c r="K39" s="376"/>
      <c r="L39" s="376"/>
      <c r="M39" s="376"/>
      <c r="N39" s="376"/>
      <c r="O39" s="376"/>
      <c r="P39" s="376"/>
      <c r="Q39" s="376"/>
      <c r="R39" s="376"/>
      <c r="S39" s="376"/>
      <c r="T39" s="376"/>
      <c r="U39" s="376"/>
      <c r="V39" s="376"/>
      <c r="W39" s="376"/>
      <c r="X39" s="376"/>
      <c r="Y39" s="376"/>
      <c r="Z39" s="376"/>
      <c r="AA39" s="376"/>
      <c r="AB39" s="376"/>
      <c r="AC39" s="376"/>
      <c r="AD39" s="376"/>
      <c r="AE39" s="376"/>
      <c r="AF39" s="376"/>
      <c r="AG39" s="376"/>
      <c r="AH39" s="376"/>
      <c r="AI39" s="376"/>
      <c r="AJ39" s="376"/>
      <c r="AK39" s="376"/>
      <c r="AL39" s="376"/>
      <c r="AM39" s="376"/>
      <c r="AN39" s="376"/>
      <c r="AO39" s="376"/>
      <c r="AP39" s="376"/>
      <c r="AQ39" s="376"/>
      <c r="AR39" s="376"/>
      <c r="AS39" s="376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6"/>
      <c r="BH39" s="376"/>
      <c r="BI39" s="376"/>
      <c r="BJ39" s="376"/>
      <c r="BK39" s="376"/>
      <c r="BL39" s="376"/>
      <c r="BM39" s="376"/>
      <c r="BN39" s="376"/>
      <c r="BO39" s="376"/>
      <c r="BP39" s="376"/>
      <c r="BQ39" s="376"/>
      <c r="BR39" s="376"/>
      <c r="BS39" s="376"/>
      <c r="BT39" s="376"/>
      <c r="BU39" s="376"/>
      <c r="BV39" s="376"/>
      <c r="BW39" s="376"/>
      <c r="BX39" s="376"/>
      <c r="BY39" s="376"/>
      <c r="BZ39" s="376"/>
      <c r="CA39" s="376"/>
      <c r="CB39" s="376"/>
      <c r="CC39" s="376"/>
      <c r="CD39" s="376"/>
      <c r="CE39" s="376"/>
      <c r="CF39" s="376"/>
      <c r="CG39" s="376"/>
      <c r="CH39" s="376"/>
      <c r="CI39" s="376"/>
      <c r="CJ39" s="376"/>
      <c r="CK39" s="376"/>
      <c r="CL39" s="376"/>
      <c r="CM39" s="382"/>
      <c r="CN39" s="382"/>
      <c r="CO39" s="382"/>
      <c r="CP39" s="382">
        <f t="shared" ref="CP39:EW39" si="93">CP37/CL37-1</f>
        <v>-7.0028011204481766E-2</v>
      </c>
      <c r="CQ39" s="382">
        <f t="shared" si="93"/>
        <v>-3.1161473087818692E-2</v>
      </c>
      <c r="CR39" s="382">
        <f t="shared" si="93"/>
        <v>5.0595238095238138E-2</v>
      </c>
      <c r="CS39" s="382">
        <f t="shared" si="93"/>
        <v>0.10526315789473695</v>
      </c>
      <c r="CT39" s="382">
        <f t="shared" si="93"/>
        <v>9.6385542168674787E-2</v>
      </c>
      <c r="CU39" s="382">
        <f t="shared" si="93"/>
        <v>0.11403508771929816</v>
      </c>
      <c r="CV39" s="382">
        <f t="shared" si="93"/>
        <v>0.18696883852691215</v>
      </c>
      <c r="CW39" s="382">
        <f t="shared" si="93"/>
        <v>0.15406162464985984</v>
      </c>
      <c r="CX39" s="382">
        <f t="shared" si="93"/>
        <v>0.22527472527472536</v>
      </c>
      <c r="CY39" s="382">
        <f t="shared" si="93"/>
        <v>0.22572178477690286</v>
      </c>
      <c r="CZ39" s="382">
        <f t="shared" si="93"/>
        <v>0.13603818615751795</v>
      </c>
      <c r="DA39" s="382">
        <f t="shared" si="93"/>
        <v>0.15048543689320382</v>
      </c>
      <c r="DB39" s="382">
        <f t="shared" si="93"/>
        <v>0.11659192825112097</v>
      </c>
      <c r="DC39" s="382">
        <f t="shared" si="93"/>
        <v>9.6359743040685286E-2</v>
      </c>
      <c r="DD39" s="382">
        <f t="shared" si="93"/>
        <v>0.13235294117647056</v>
      </c>
      <c r="DE39" s="382">
        <f t="shared" si="93"/>
        <v>0.14978902953586504</v>
      </c>
      <c r="DF39" s="382">
        <f t="shared" si="93"/>
        <v>0.17269076305220876</v>
      </c>
      <c r="DG39" s="382">
        <f t="shared" si="93"/>
        <v>0.205078125</v>
      </c>
      <c r="DH39" s="382">
        <f t="shared" si="93"/>
        <v>0.30983302411873836</v>
      </c>
      <c r="DI39" s="382">
        <f t="shared" si="93"/>
        <v>0.44770642201834865</v>
      </c>
      <c r="DJ39" s="383">
        <f t="shared" si="93"/>
        <v>0.41438356164383561</v>
      </c>
      <c r="DK39" s="383">
        <f t="shared" si="93"/>
        <v>0.47163695299837927</v>
      </c>
      <c r="DL39" s="383">
        <f t="shared" si="93"/>
        <v>0.4617563739376771</v>
      </c>
      <c r="DM39" s="383">
        <f t="shared" si="93"/>
        <v>0.39290240811153354</v>
      </c>
      <c r="DN39" s="383">
        <f t="shared" si="93"/>
        <v>0.52905569007263931</v>
      </c>
      <c r="DO39" s="383">
        <f t="shared" si="93"/>
        <v>0.71365638766519823</v>
      </c>
      <c r="DP39" s="383">
        <f t="shared" si="93"/>
        <v>0.46511627906976738</v>
      </c>
      <c r="DQ39" s="383">
        <f t="shared" si="93"/>
        <v>0.45313921747042762</v>
      </c>
      <c r="DR39" s="383">
        <f t="shared" si="93"/>
        <v>0.24861441013460017</v>
      </c>
      <c r="DS39" s="383">
        <f t="shared" si="93"/>
        <v>2.6349614395886789E-2</v>
      </c>
      <c r="DT39" s="383">
        <f t="shared" si="93"/>
        <v>0.1157407407407407</v>
      </c>
      <c r="DU39" s="383">
        <f t="shared" si="93"/>
        <v>7.7645585472761347E-2</v>
      </c>
      <c r="DV39" s="382">
        <f t="shared" si="93"/>
        <v>9.5751426759670188E-2</v>
      </c>
      <c r="DW39" s="382">
        <f t="shared" si="93"/>
        <v>0.15028177833437706</v>
      </c>
      <c r="DX39" s="382">
        <f t="shared" si="93"/>
        <v>0.15115589804386476</v>
      </c>
      <c r="DY39" s="383">
        <f t="shared" si="93"/>
        <v>0.22835560720511339</v>
      </c>
      <c r="DZ39" s="383">
        <f t="shared" si="93"/>
        <v>0.28067129629629628</v>
      </c>
      <c r="EA39" s="383">
        <f t="shared" si="93"/>
        <v>0.32226456178551977</v>
      </c>
      <c r="EB39" s="383">
        <f t="shared" si="93"/>
        <v>0.41812564366632343</v>
      </c>
      <c r="EC39" s="383">
        <f t="shared" si="93"/>
        <v>0.41958372753074746</v>
      </c>
      <c r="ED39" s="383">
        <f t="shared" si="93"/>
        <v>0.42114776321735192</v>
      </c>
      <c r="EE39" s="384">
        <f t="shared" si="93"/>
        <v>0.36536023054755051</v>
      </c>
      <c r="EF39" s="384">
        <f t="shared" si="93"/>
        <v>0.29266728395061747</v>
      </c>
      <c r="EG39" s="384">
        <f t="shared" si="93"/>
        <v>0.27301677074308595</v>
      </c>
      <c r="EH39" s="384">
        <f t="shared" si="93"/>
        <v>0.30187940907790178</v>
      </c>
      <c r="EI39" s="384">
        <f t="shared" si="93"/>
        <v>0.33332912423909877</v>
      </c>
      <c r="EJ39" s="384">
        <f t="shared" si="93"/>
        <v>0.37342079471872802</v>
      </c>
      <c r="EK39" s="384">
        <f t="shared" si="93"/>
        <v>0.41427236334024209</v>
      </c>
      <c r="EL39" s="384">
        <f t="shared" si="93"/>
        <v>0.3195983608579811</v>
      </c>
      <c r="EM39" s="384">
        <f t="shared" si="93"/>
        <v>0.22849015235794812</v>
      </c>
      <c r="EN39" s="384">
        <f t="shared" si="93"/>
        <v>0.10875123068090331</v>
      </c>
      <c r="EO39" s="384">
        <f t="shared" si="93"/>
        <v>1.2319138095199689E-2</v>
      </c>
      <c r="EP39" s="384">
        <f t="shared" si="93"/>
        <v>4.9904801079452499E-2</v>
      </c>
      <c r="EQ39" s="384">
        <f t="shared" si="93"/>
        <v>7.2961632258944142E-2</v>
      </c>
      <c r="ER39" s="384">
        <f t="shared" si="93"/>
        <v>0.1084821120284285</v>
      </c>
      <c r="ES39" s="384">
        <f t="shared" si="93"/>
        <v>0.14927370268642925</v>
      </c>
      <c r="ET39" s="384">
        <f t="shared" si="93"/>
        <v>0.12028672483129377</v>
      </c>
      <c r="EU39" s="384">
        <f t="shared" si="93"/>
        <v>0.10837632931098562</v>
      </c>
      <c r="EV39" s="384">
        <f t="shared" si="93"/>
        <v>9.2925710230774561E-2</v>
      </c>
      <c r="EW39" s="384">
        <f t="shared" si="93"/>
        <v>5.4214244025218017E-2</v>
      </c>
      <c r="EZ39" s="376"/>
      <c r="FA39" s="376"/>
      <c r="FB39" s="376"/>
      <c r="FC39" s="376"/>
      <c r="FD39" s="376"/>
      <c r="FE39" s="376"/>
      <c r="FF39" s="376"/>
      <c r="FG39" s="376"/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82">
        <f t="shared" ref="GA39:GK39" si="94">GA37/FZ37-1</f>
        <v>0.28748806112702963</v>
      </c>
      <c r="GB39" s="382">
        <f t="shared" si="94"/>
        <v>0.4336053412462908</v>
      </c>
      <c r="GC39" s="382">
        <f t="shared" si="94"/>
        <v>0.53376455368693398</v>
      </c>
      <c r="GD39" s="382">
        <f t="shared" si="94"/>
        <v>0.11032388663967607</v>
      </c>
      <c r="GE39" s="382">
        <f t="shared" si="94"/>
        <v>0.15785475539349747</v>
      </c>
      <c r="GF39" s="382">
        <f t="shared" si="94"/>
        <v>0.36425665923107209</v>
      </c>
      <c r="GG39" s="387">
        <f t="shared" si="94"/>
        <v>0.33132528892949908</v>
      </c>
      <c r="GH39" s="387">
        <f t="shared" si="94"/>
        <v>0.35883497215885019</v>
      </c>
      <c r="GI39" s="387">
        <f t="shared" si="94"/>
        <v>0.15509953958691525</v>
      </c>
      <c r="GJ39" s="387">
        <f t="shared" si="94"/>
        <v>9.5302528618098847E-2</v>
      </c>
      <c r="GK39" s="387">
        <f t="shared" si="94"/>
        <v>9.3006586309919426E-2</v>
      </c>
      <c r="GN39" s="70"/>
      <c r="IF39" s="394"/>
    </row>
    <row r="40" spans="1:240" s="382" customFormat="1" ht="11.25" customHeight="1">
      <c r="A40" s="396" t="s">
        <v>211</v>
      </c>
      <c r="CL40" s="382">
        <f t="shared" ref="CL40:EW40" si="95">(CL32-CL36)/CL4</f>
        <v>0.34660194174757281</v>
      </c>
      <c r="CM40" s="382">
        <f t="shared" si="95"/>
        <v>0.37473460721868362</v>
      </c>
      <c r="CN40" s="382">
        <f t="shared" si="95"/>
        <v>0.31668237511781339</v>
      </c>
      <c r="CO40" s="382">
        <f t="shared" si="95"/>
        <v>0.33716075156576203</v>
      </c>
      <c r="CP40" s="382">
        <f t="shared" si="95"/>
        <v>0.39903846153846156</v>
      </c>
      <c r="CQ40" s="382">
        <f t="shared" si="95"/>
        <v>0.33300876338851021</v>
      </c>
      <c r="CR40" s="382">
        <f t="shared" si="95"/>
        <v>0.2700841622035195</v>
      </c>
      <c r="CS40" s="382">
        <f t="shared" si="95"/>
        <v>0.32278481012658228</v>
      </c>
      <c r="CT40" s="382">
        <f t="shared" si="95"/>
        <v>0.36991869918699188</v>
      </c>
      <c r="CU40" s="382">
        <f t="shared" si="95"/>
        <v>0.31178396072013093</v>
      </c>
      <c r="CV40" s="382">
        <f t="shared" si="95"/>
        <v>0.2550213024954352</v>
      </c>
      <c r="CW40" s="382">
        <f t="shared" si="95"/>
        <v>0.27837837837837837</v>
      </c>
      <c r="CX40" s="382">
        <f t="shared" si="95"/>
        <v>0.2707953855494839</v>
      </c>
      <c r="CY40" s="382">
        <f t="shared" si="95"/>
        <v>0.26594533029612755</v>
      </c>
      <c r="CZ40" s="382">
        <f t="shared" si="95"/>
        <v>0.28796128251663644</v>
      </c>
      <c r="DA40" s="382">
        <f t="shared" si="95"/>
        <v>0.33403805496828753</v>
      </c>
      <c r="DB40" s="382">
        <f t="shared" si="95"/>
        <v>0.39150943396226418</v>
      </c>
      <c r="DC40" s="382">
        <f t="shared" si="95"/>
        <v>0.33442194644023515</v>
      </c>
      <c r="DD40" s="382">
        <f t="shared" si="95"/>
        <v>0.29927817878956137</v>
      </c>
      <c r="DE40" s="382">
        <f t="shared" si="95"/>
        <v>0.25622943112364832</v>
      </c>
      <c r="DF40" s="382">
        <f t="shared" si="95"/>
        <v>0.32698768197088468</v>
      </c>
      <c r="DG40" s="382">
        <f t="shared" si="95"/>
        <v>0.31935817805383021</v>
      </c>
      <c r="DH40" s="382">
        <f t="shared" si="95"/>
        <v>0.25205283827204572</v>
      </c>
      <c r="DI40" s="382">
        <f t="shared" si="95"/>
        <v>0.24321824907521578</v>
      </c>
      <c r="DJ40" s="383">
        <f t="shared" si="95"/>
        <v>0.2397677793904209</v>
      </c>
      <c r="DK40" s="383">
        <f t="shared" si="95"/>
        <v>0.23584415584415586</v>
      </c>
      <c r="DL40" s="383">
        <f t="shared" si="95"/>
        <v>0.23927660561094366</v>
      </c>
      <c r="DM40" s="383">
        <f t="shared" si="95"/>
        <v>0.22772482387070037</v>
      </c>
      <c r="DN40" s="383">
        <f t="shared" si="95"/>
        <v>0.21454051299473417</v>
      </c>
      <c r="DO40" s="383">
        <f t="shared" si="95"/>
        <v>0.23755725190839694</v>
      </c>
      <c r="DP40" s="383">
        <f t="shared" si="95"/>
        <v>0.27169811320754716</v>
      </c>
      <c r="DQ40" s="383">
        <f t="shared" si="95"/>
        <v>0.28522950526879798</v>
      </c>
      <c r="DR40" s="383">
        <f t="shared" si="95"/>
        <v>0.29460115822903044</v>
      </c>
      <c r="DS40" s="383">
        <f t="shared" si="95"/>
        <v>0.29800335883560364</v>
      </c>
      <c r="DT40" s="383">
        <f t="shared" si="95"/>
        <v>0.29086206896551725</v>
      </c>
      <c r="DU40" s="383">
        <f>(DU32-DU36)/DU4</f>
        <v>0.27902075226977952</v>
      </c>
      <c r="DV40" s="382">
        <f>(DV32-DV36)/DV4</f>
        <v>0.31573177416407822</v>
      </c>
      <c r="DW40" s="382">
        <f>(DW32-DW36)/DW4</f>
        <v>0.31482433590402742</v>
      </c>
      <c r="DX40" s="382">
        <f>(DX32-DX36)/DX4</f>
        <v>0.28479249156767855</v>
      </c>
      <c r="DY40" s="383">
        <f t="shared" si="95"/>
        <v>0.27605118829981717</v>
      </c>
      <c r="DZ40" s="383">
        <f t="shared" si="95"/>
        <v>0.29752621672492607</v>
      </c>
      <c r="EA40" s="383">
        <f t="shared" si="95"/>
        <v>0.31607026675341576</v>
      </c>
      <c r="EB40" s="383">
        <f t="shared" si="95"/>
        <v>0.29785853341985724</v>
      </c>
      <c r="EC40" s="383">
        <f t="shared" si="95"/>
        <v>0.29221032132424535</v>
      </c>
      <c r="ED40" s="383">
        <f t="shared" si="95"/>
        <v>0.30673949088071784</v>
      </c>
      <c r="EE40" s="384">
        <f t="shared" si="95"/>
        <v>0.29551844698758217</v>
      </c>
      <c r="EF40" s="384">
        <f t="shared" si="95"/>
        <v>0.29682495275878629</v>
      </c>
      <c r="EG40" s="384">
        <f t="shared" si="95"/>
        <v>0.23594512420030234</v>
      </c>
      <c r="EH40" s="384">
        <f t="shared" si="95"/>
        <v>0.23484080603399485</v>
      </c>
      <c r="EI40" s="384">
        <f t="shared" si="95"/>
        <v>0.2301708994305548</v>
      </c>
      <c r="EJ40" s="384">
        <f t="shared" si="95"/>
        <v>0.22088106008613267</v>
      </c>
      <c r="EK40" s="384">
        <f t="shared" si="95"/>
        <v>0.22036323477979267</v>
      </c>
      <c r="EL40" s="384">
        <f t="shared" si="95"/>
        <v>0.22567445221825969</v>
      </c>
      <c r="EM40" s="384">
        <f t="shared" si="95"/>
        <v>0.21700482444816258</v>
      </c>
      <c r="EN40" s="384">
        <f t="shared" si="95"/>
        <v>0.20173886754497311</v>
      </c>
      <c r="EO40" s="384">
        <f t="shared" si="95"/>
        <v>0.19023099439035238</v>
      </c>
      <c r="EP40" s="384">
        <f t="shared" si="95"/>
        <v>0.20132376970098964</v>
      </c>
      <c r="EQ40" s="384">
        <f t="shared" si="95"/>
        <v>0.19839997935932993</v>
      </c>
      <c r="ER40" s="384">
        <f t="shared" si="95"/>
        <v>0.18946846924484159</v>
      </c>
      <c r="ES40" s="384">
        <f t="shared" si="95"/>
        <v>0.18982765063076842</v>
      </c>
      <c r="ET40" s="384">
        <f t="shared" si="95"/>
        <v>0.20038569879327367</v>
      </c>
      <c r="EU40" s="384">
        <f t="shared" si="95"/>
        <v>0.19544244802771515</v>
      </c>
      <c r="EV40" s="384">
        <f t="shared" si="95"/>
        <v>0.18081866767331342</v>
      </c>
      <c r="EW40" s="384">
        <f t="shared" si="95"/>
        <v>0.17440192649468705</v>
      </c>
      <c r="FV40" s="382">
        <f t="shared" ref="FV40:GF40" si="96">(FV32-FV36)/FV4</f>
        <v>0.34302179904785768</v>
      </c>
      <c r="FW40" s="382">
        <f t="shared" si="96"/>
        <v>0.32397003745318353</v>
      </c>
      <c r="FX40" s="382">
        <f t="shared" si="96"/>
        <v>0.29574028898480015</v>
      </c>
      <c r="FY40" s="382">
        <f t="shared" si="96"/>
        <v>0.28772200772200773</v>
      </c>
      <c r="FZ40" s="382">
        <f t="shared" si="96"/>
        <v>0.31109790521467834</v>
      </c>
      <c r="GA40" s="382">
        <f t="shared" si="96"/>
        <v>0.2761446276759193</v>
      </c>
      <c r="GB40" s="382">
        <f t="shared" si="96"/>
        <v>0.23518315686990385</v>
      </c>
      <c r="GC40" s="382">
        <f t="shared" si="96"/>
        <v>0.25117579763569342</v>
      </c>
      <c r="GD40" s="382">
        <f t="shared" si="96"/>
        <v>0.2902116402116402</v>
      </c>
      <c r="GE40" s="382">
        <f t="shared" si="96"/>
        <v>0.29555943377932908</v>
      </c>
      <c r="GF40" s="382">
        <f t="shared" si="96"/>
        <v>0.30015300672652212</v>
      </c>
      <c r="GG40" s="384">
        <f>(GG32-GG36)/GG4</f>
        <v>0.2787271673996764</v>
      </c>
      <c r="GH40" s="384">
        <f>(GH32-GH36)/GH4</f>
        <v>0.22579292188303704</v>
      </c>
      <c r="GI40" s="384">
        <f t="shared" ref="GI40:GK40" si="97">(GI32-GI36)/GI4</f>
        <v>0.20770770369408181</v>
      </c>
      <c r="GJ40" s="384">
        <f t="shared" si="97"/>
        <v>0.19443907077542055</v>
      </c>
      <c r="GK40" s="384">
        <f t="shared" si="97"/>
        <v>0.18700263181897858</v>
      </c>
      <c r="GN40" s="70"/>
      <c r="IF40" s="394"/>
    </row>
    <row r="41" spans="1:240" s="379" customFormat="1">
      <c r="A41" s="395" t="s">
        <v>214</v>
      </c>
      <c r="B41" s="377">
        <f>AMD!AF20</f>
        <v>61.826999999999998</v>
      </c>
      <c r="C41" s="377">
        <f>AMD!AG20</f>
        <v>69.322999999999993</v>
      </c>
      <c r="D41" s="377">
        <f>AMD!AH20</f>
        <v>64.905000000000001</v>
      </c>
      <c r="E41" s="377">
        <f>AMD!AI20</f>
        <v>66.747</v>
      </c>
      <c r="F41" s="377">
        <f>AMD!AK20</f>
        <v>68.221000000000004</v>
      </c>
      <c r="G41" s="377">
        <f>AMD!AL20</f>
        <v>67.888999999999996</v>
      </c>
      <c r="H41" s="377">
        <f>AMD!AM20</f>
        <v>67.759</v>
      </c>
      <c r="I41" s="377">
        <f>AMD!AN20</f>
        <v>76.114999999999995</v>
      </c>
      <c r="J41" s="377">
        <f>AMD!AP20</f>
        <v>92.5</v>
      </c>
      <c r="K41" s="377">
        <f>AMD!AQ20</f>
        <v>101.032</v>
      </c>
      <c r="L41" s="377">
        <f>AMD!AR20</f>
        <v>100.014</v>
      </c>
      <c r="M41" s="377">
        <f>AMD!AS20</f>
        <v>104.009</v>
      </c>
      <c r="N41" s="377">
        <f>AMD!AU20</f>
        <v>94.78</v>
      </c>
      <c r="O41" s="377">
        <f>AMD!AV20</f>
        <v>92.768000000000001</v>
      </c>
      <c r="P41" s="377">
        <f>AMD!AW20</f>
        <v>105.65600000000001</v>
      </c>
      <c r="Q41" s="377">
        <f>AMD!AX20</f>
        <v>107.499</v>
      </c>
      <c r="R41" s="377">
        <f>AMD!AZ20</f>
        <v>104.908</v>
      </c>
      <c r="S41" s="377">
        <f>AMD!BA20</f>
        <v>110.021</v>
      </c>
      <c r="T41" s="377">
        <f>AMD!BB20</f>
        <v>125.917</v>
      </c>
      <c r="U41" s="377">
        <f>AMD!BC20</f>
        <v>127.03100000000001</v>
      </c>
      <c r="V41" s="377">
        <f>AMD!BE20</f>
        <v>128.12</v>
      </c>
      <c r="W41" s="377">
        <f>AMD!BF20</f>
        <v>139.15799999999999</v>
      </c>
      <c r="X41" s="377">
        <f>AMD!BG20</f>
        <v>143.66499999999999</v>
      </c>
      <c r="Y41" s="377">
        <f>AMD!BH20</f>
        <v>156.459</v>
      </c>
      <c r="Z41" s="377">
        <f>AMD!BJ20</f>
        <v>159.946</v>
      </c>
      <c r="AA41" s="377">
        <f>AMD!BK20</f>
        <v>167.27799999999999</v>
      </c>
      <c r="AB41" s="377">
        <f>AMD!BL20</f>
        <v>157.626</v>
      </c>
      <c r="AC41" s="377">
        <f>AMD!BM20</f>
        <v>150.93600000000001</v>
      </c>
      <c r="AD41" s="377">
        <f>AMD!BO20</f>
        <v>161.297</v>
      </c>
      <c r="AE41" s="377">
        <f>AMD!BP20</f>
        <v>155.65100000000001</v>
      </c>
      <c r="AF41" s="377">
        <f>AMD!BQ20</f>
        <v>162.76400000000001</v>
      </c>
      <c r="AG41" s="377">
        <f>AMD!BR20</f>
        <v>162.08699999999999</v>
      </c>
      <c r="AH41" s="377">
        <f>AMD!BT20</f>
        <v>157.76</v>
      </c>
      <c r="AI41" s="377">
        <f>AMD!BU20</f>
        <v>171.114</v>
      </c>
      <c r="AJ41" s="377">
        <f>AMD!BV20</f>
        <v>161.185</v>
      </c>
      <c r="AK41" s="377">
        <f>AMD!BW20</f>
        <v>160.87100000000001</v>
      </c>
      <c r="AL41" s="377">
        <f>AMD!BY20</f>
        <v>171.88200000000001</v>
      </c>
      <c r="AM41" s="377">
        <f>AMD!BZ20</f>
        <v>178.42500000000001</v>
      </c>
      <c r="AN41" s="377">
        <f>AMD!CA20</f>
        <v>220.959</v>
      </c>
      <c r="AO41" s="377">
        <f>AMD!CB20</f>
        <v>202.84800000000001</v>
      </c>
      <c r="AP41" s="377">
        <f>AMD!CD20</f>
        <v>203.06200000000001</v>
      </c>
      <c r="AQ41" s="377">
        <f>AMD!CE20</f>
        <v>208.51300000000001</v>
      </c>
      <c r="AR41" s="377">
        <f>AMD!CF20</f>
        <v>213.99700000000001</v>
      </c>
      <c r="AS41" s="377">
        <f>AMD!CG20</f>
        <v>226.50200000000001</v>
      </c>
      <c r="AT41" s="377">
        <f>AMD!CI20</f>
        <v>226.09</v>
      </c>
      <c r="AU41" s="377">
        <f>AMD!CJ20</f>
        <v>224.821</v>
      </c>
      <c r="AV41" s="377">
        <f>AMD!CK20</f>
        <v>230.89599999999999</v>
      </c>
      <c r="AW41" s="377">
        <f>AMD!CL20</f>
        <v>252.767</v>
      </c>
      <c r="AX41" s="377">
        <f>AMD!CN20</f>
        <v>253.12200000000001</v>
      </c>
      <c r="AY41" s="377">
        <f>AMD!CO20</f>
        <v>272.584</v>
      </c>
      <c r="AZ41" s="377">
        <f>AMD!CP20</f>
        <v>289.01799999999997</v>
      </c>
      <c r="BA41" s="377">
        <f>AMD!CQ20</f>
        <v>329.30099999999999</v>
      </c>
      <c r="BB41" s="377">
        <f>AMD!CS20</f>
        <v>264.17599999999999</v>
      </c>
      <c r="BC41" s="377">
        <f>AMD!CT20</f>
        <v>278.67399999999998</v>
      </c>
      <c r="BD41" s="377">
        <f>AMD!CU20</f>
        <v>277.38</v>
      </c>
      <c r="BE41" s="377">
        <f>AMD!CV20</f>
        <v>385</v>
      </c>
      <c r="BF41" s="377">
        <f>AMD!CX20</f>
        <v>432</v>
      </c>
      <c r="BG41" s="377">
        <f>AMD!CY20</f>
        <v>475</v>
      </c>
      <c r="BH41" s="377">
        <f>AMD!CZ20</f>
        <v>467</v>
      </c>
      <c r="BI41" s="377">
        <f>AMD!DA20</f>
        <v>473</v>
      </c>
      <c r="BJ41" s="377">
        <f>AMD!DC20</f>
        <v>501</v>
      </c>
      <c r="BK41" s="377">
        <f>AMD!DD20</f>
        <v>442</v>
      </c>
      <c r="BL41" s="377">
        <f>AMD!DE20</f>
        <v>438</v>
      </c>
      <c r="BM41" s="377">
        <f>AMD!DF20</f>
        <v>465</v>
      </c>
      <c r="BN41" s="377">
        <f>AMD!DH20</f>
        <v>305</v>
      </c>
      <c r="BO41" s="377">
        <f>AMD!DI20</f>
        <v>306</v>
      </c>
      <c r="BP41" s="377">
        <f>AMD!DJ20</f>
        <v>285</v>
      </c>
      <c r="BQ41" s="377">
        <f>AMD!DK20</f>
        <v>301</v>
      </c>
      <c r="BR41" s="377">
        <f>AMD!DM20</f>
        <v>323</v>
      </c>
      <c r="BS41" s="377">
        <f>AMD!DN20</f>
        <v>371</v>
      </c>
      <c r="BT41" s="377">
        <f>AMD!DO20</f>
        <v>359</v>
      </c>
      <c r="BU41" s="377">
        <f>AMD!DP20</f>
        <v>352</v>
      </c>
      <c r="BV41" s="377">
        <f>AMD!DR20</f>
        <v>367</v>
      </c>
      <c r="BW41" s="377">
        <f>AMD!DS20</f>
        <v>367</v>
      </c>
      <c r="BX41" s="377">
        <f>AMD!DT20</f>
        <v>361</v>
      </c>
      <c r="BY41" s="377">
        <f>AMD!DU20</f>
        <v>358</v>
      </c>
      <c r="BZ41" s="377">
        <f>AMD!DW20</f>
        <v>368</v>
      </c>
      <c r="CA41" s="377">
        <f>AMD!DX20</f>
        <v>345</v>
      </c>
      <c r="CB41" s="377">
        <f>AMD!DY20</f>
        <v>328</v>
      </c>
      <c r="CC41" s="377">
        <f>AMD!DZ20</f>
        <v>313</v>
      </c>
      <c r="CD41" s="377">
        <f>AMD!EB20</f>
        <v>312</v>
      </c>
      <c r="CE41" s="377">
        <f>AMD!EC20</f>
        <v>308</v>
      </c>
      <c r="CF41" s="377">
        <f>AMD!ED20</f>
        <v>288</v>
      </c>
      <c r="CG41" s="377">
        <f>AMD!EE20</f>
        <v>293</v>
      </c>
      <c r="CH41" s="377">
        <f>AMD!EG20</f>
        <v>270</v>
      </c>
      <c r="CI41" s="377">
        <f>AMD!EH20</f>
        <v>277</v>
      </c>
      <c r="CJ41" s="377">
        <f>AMD!EI20</f>
        <v>278</v>
      </c>
      <c r="CK41" s="377">
        <f>AMD!EJ20</f>
        <v>238</v>
      </c>
      <c r="CL41" s="377">
        <f>AMD!EL20</f>
        <v>242</v>
      </c>
      <c r="CM41" s="377">
        <f>AMD!EM20</f>
        <v>235</v>
      </c>
      <c r="CN41" s="377">
        <f>AMD!EN20</f>
        <v>241</v>
      </c>
      <c r="CO41" s="377">
        <f>AMD!EO20</f>
        <v>229</v>
      </c>
      <c r="CP41" s="377">
        <f>AMD!EQ20</f>
        <v>242</v>
      </c>
      <c r="CQ41" s="377">
        <f>AMD!ER20</f>
        <v>243</v>
      </c>
      <c r="CR41" s="377">
        <f>AMD!ES20</f>
        <v>259</v>
      </c>
      <c r="CS41" s="377">
        <f>AMD!ET20</f>
        <v>264</v>
      </c>
      <c r="CT41" s="377">
        <f>AMD!EV20</f>
        <v>266</v>
      </c>
      <c r="CU41" s="377">
        <f>AMD!EW20</f>
        <v>279</v>
      </c>
      <c r="CV41" s="377">
        <f>AMD!EX20</f>
        <v>315</v>
      </c>
      <c r="CW41" s="377">
        <f>AMD!EY20</f>
        <v>300</v>
      </c>
      <c r="CX41" s="377">
        <f>AMD!FA20</f>
        <v>343</v>
      </c>
      <c r="CY41" s="377">
        <f>AMD!FB20</f>
        <v>357</v>
      </c>
      <c r="CZ41" s="377">
        <f>AMD!FC20</f>
        <v>363</v>
      </c>
      <c r="DA41" s="377">
        <f>AMD!FD20</f>
        <v>371</v>
      </c>
      <c r="DB41" s="377">
        <f>AMD!FF20</f>
        <v>373</v>
      </c>
      <c r="DC41" s="377">
        <f>AMD!FG20</f>
        <v>373</v>
      </c>
      <c r="DD41" s="377">
        <f>AMD!FH20</f>
        <v>406</v>
      </c>
      <c r="DE41" s="377">
        <f>AMD!FI20</f>
        <v>395</v>
      </c>
      <c r="DF41" s="377">
        <f>AMD!FK20</f>
        <v>442</v>
      </c>
      <c r="DG41" s="377">
        <f>AMD!FL20</f>
        <v>460</v>
      </c>
      <c r="DH41" s="377">
        <f>AMD!FM20</f>
        <v>508</v>
      </c>
      <c r="DI41" s="377">
        <f>AMD!FN20</f>
        <v>573</v>
      </c>
      <c r="DJ41" s="377">
        <f>AMD!FP20</f>
        <v>610</v>
      </c>
      <c r="DK41" s="377">
        <f>AMD!FQ20</f>
        <v>659</v>
      </c>
      <c r="DL41" s="377">
        <f>AMD!FR20</f>
        <v>765</v>
      </c>
      <c r="DM41" s="377">
        <f>AMD!FS20</f>
        <v>811</v>
      </c>
      <c r="DN41" s="377">
        <f>AMD!FU20</f>
        <v>1060</v>
      </c>
      <c r="DO41" s="377">
        <f>AMD!FV20</f>
        <v>1300</v>
      </c>
      <c r="DP41" s="377">
        <f>AMD!FW20</f>
        <v>1279</v>
      </c>
      <c r="DQ41" s="377">
        <f>AMD!FX20</f>
        <v>1366</v>
      </c>
      <c r="DR41" s="377">
        <f>AMD!FZ20</f>
        <v>1411</v>
      </c>
      <c r="DS41" s="377">
        <f>AMD!GA20</f>
        <v>1443</v>
      </c>
      <c r="DT41" s="377">
        <f>AMD!GB20</f>
        <v>1507</v>
      </c>
      <c r="DU41" s="377">
        <f>AMD!GC20</f>
        <v>1511</v>
      </c>
      <c r="DV41" s="377">
        <f>AMD!GE20</f>
        <v>1525</v>
      </c>
      <c r="DW41" s="377">
        <f>AMD!GF20</f>
        <v>1583</v>
      </c>
      <c r="DX41" s="377">
        <f>AMD!GG20</f>
        <v>1636</v>
      </c>
      <c r="DY41" s="377">
        <f>AMD!GH20</f>
        <v>1712</v>
      </c>
      <c r="DZ41" s="377">
        <f>AMD!GJ20</f>
        <v>1728</v>
      </c>
      <c r="EA41" s="377">
        <f>AMD!GK20</f>
        <v>1894</v>
      </c>
      <c r="EB41" s="377">
        <f>AMD!GL20</f>
        <v>2139</v>
      </c>
      <c r="EC41" s="377">
        <f>AMD!GM20</f>
        <v>2330</v>
      </c>
      <c r="ED41" s="377">
        <f>AMD!GO20</f>
        <v>2397</v>
      </c>
      <c r="EE41" s="380">
        <f t="shared" ref="EE41:EW41" si="98">ED41*(1+EE42)</f>
        <v>2516.85</v>
      </c>
      <c r="EF41" s="380">
        <f t="shared" si="98"/>
        <v>2693.0295000000001</v>
      </c>
      <c r="EG41" s="380">
        <f t="shared" si="98"/>
        <v>2881.5415650000004</v>
      </c>
      <c r="EH41" s="380">
        <f t="shared" si="98"/>
        <v>3083.2494745500007</v>
      </c>
      <c r="EI41" s="380">
        <f t="shared" si="98"/>
        <v>3329.9094325140009</v>
      </c>
      <c r="EJ41" s="380">
        <f t="shared" si="98"/>
        <v>3662.9003757654013</v>
      </c>
      <c r="EK41" s="380">
        <f t="shared" si="98"/>
        <v>4029.1904133419416</v>
      </c>
      <c r="EL41" s="380">
        <f t="shared" si="98"/>
        <v>4029.1904133419416</v>
      </c>
      <c r="EM41" s="380">
        <f t="shared" si="98"/>
        <v>4069.482317475361</v>
      </c>
      <c r="EN41" s="380">
        <f t="shared" si="98"/>
        <v>4069.482317475361</v>
      </c>
      <c r="EO41" s="380">
        <f t="shared" si="98"/>
        <v>4110.1771406501148</v>
      </c>
      <c r="EP41" s="380">
        <f t="shared" si="98"/>
        <v>4274.5842262761198</v>
      </c>
      <c r="EQ41" s="380">
        <f t="shared" si="98"/>
        <v>4402.8217530644033</v>
      </c>
      <c r="ER41" s="380">
        <f t="shared" si="98"/>
        <v>4534.9064056563357</v>
      </c>
      <c r="ES41" s="380">
        <f t="shared" si="98"/>
        <v>4761.651725939153</v>
      </c>
      <c r="ET41" s="380">
        <f t="shared" si="98"/>
        <v>4809.268243198545</v>
      </c>
      <c r="EU41" s="380">
        <f t="shared" si="98"/>
        <v>4905.4536080625157</v>
      </c>
      <c r="EV41" s="380">
        <f t="shared" si="98"/>
        <v>5003.5626802237657</v>
      </c>
      <c r="EW41" s="380">
        <f t="shared" si="98"/>
        <v>5053.5983070260036</v>
      </c>
      <c r="EZ41" s="376">
        <f>B41+C41+D41+E41</f>
        <v>262.80199999999996</v>
      </c>
      <c r="FA41" s="376">
        <f>F41+G41+H41+I41</f>
        <v>279.98400000000004</v>
      </c>
      <c r="FB41" s="376">
        <f>J41+K41+L41+M41</f>
        <v>397.55500000000001</v>
      </c>
      <c r="FC41" s="376">
        <f>N41+O41+P41+Q41</f>
        <v>400.70299999999997</v>
      </c>
      <c r="FD41" s="376">
        <f>R41+S41+T41+U41</f>
        <v>467.87700000000001</v>
      </c>
      <c r="FE41" s="376">
        <f>V41+W41+X41+Y41</f>
        <v>567.40200000000004</v>
      </c>
      <c r="FF41" s="376">
        <f>Z41+AA41+AB41+AC41</f>
        <v>635.78600000000006</v>
      </c>
      <c r="FG41" s="376">
        <f>AD41+AE41+AF41+AG41</f>
        <v>641.79899999999998</v>
      </c>
      <c r="FH41" s="376">
        <f>AH41+AI41+AJ41+AK41</f>
        <v>650.93000000000006</v>
      </c>
      <c r="FI41" s="376">
        <f>AL41+AM41+AN41+AO41</f>
        <v>774.11400000000003</v>
      </c>
      <c r="FJ41" s="376">
        <f>AP41+AQ41+AR41+AS41</f>
        <v>852.07400000000007</v>
      </c>
      <c r="FK41" s="376">
        <f>AT41+AU41+AV41+AW41</f>
        <v>934.57400000000007</v>
      </c>
      <c r="FL41" s="376">
        <f>AX41+AY41+AZ41+BA41</f>
        <v>1144.0249999999999</v>
      </c>
      <c r="FM41" s="376">
        <f>BB41+BC41+BD41+BE41</f>
        <v>1205.23</v>
      </c>
      <c r="FN41" s="376">
        <f>BF41+BG41+BH41+BI41</f>
        <v>1847</v>
      </c>
      <c r="FO41" s="376">
        <f>BJ41+BK41+BL41+BM41</f>
        <v>1846</v>
      </c>
      <c r="FP41" s="376">
        <f>BN41+BO41+BP41+BQ41</f>
        <v>1197</v>
      </c>
      <c r="FQ41" s="376">
        <f>BR41+BS41+BT41+BU41</f>
        <v>1405</v>
      </c>
      <c r="FR41" s="376">
        <f>BV41+BW41+BX41+BY41</f>
        <v>1453</v>
      </c>
      <c r="FS41" s="376">
        <f>BZ41+CA41+CB41+CC41</f>
        <v>1354</v>
      </c>
      <c r="FT41" s="376">
        <f>CD41+CE41+CF41+CG41</f>
        <v>1201</v>
      </c>
      <c r="FU41" s="376">
        <f>CH41+CI41+CJ41+CK41</f>
        <v>1063</v>
      </c>
      <c r="FV41" s="376">
        <f>CL41+CM41+CN41+CO41</f>
        <v>947</v>
      </c>
      <c r="FW41" s="376">
        <f>CP41+CQ41+CR41+CS41</f>
        <v>1008</v>
      </c>
      <c r="FX41" s="376">
        <f>CT41+CU41+CV41+CW41</f>
        <v>1160</v>
      </c>
      <c r="FY41" s="376">
        <f>CX41+CY41+CZ41+DA41</f>
        <v>1434</v>
      </c>
      <c r="FZ41" s="376">
        <f>DB41+DC41+DD41+DE41</f>
        <v>1547</v>
      </c>
      <c r="GA41" s="376">
        <f>SUM(DF41:DI41)</f>
        <v>1983</v>
      </c>
      <c r="GB41" s="376">
        <f>SUM(DJ41:DM41)</f>
        <v>2845</v>
      </c>
      <c r="GC41" s="376">
        <f>SUM(DN41:DQ41)</f>
        <v>5005</v>
      </c>
      <c r="GD41" s="376">
        <f>SUM(DR41:DU41)</f>
        <v>5872</v>
      </c>
      <c r="GE41" s="376">
        <f>SUM(DV41:DY41)</f>
        <v>6456</v>
      </c>
      <c r="GF41" s="376">
        <f>SUM(DZ41:EC41)</f>
        <v>8091</v>
      </c>
      <c r="GG41" s="380">
        <f>SUM(ED41:EG41)</f>
        <v>10488.421065000002</v>
      </c>
      <c r="GH41" s="380">
        <f>SUM(EH41:EK41)</f>
        <v>14105.249696171344</v>
      </c>
      <c r="GI41" s="380">
        <f>SUM(EL41:EO41)</f>
        <v>16278.332188942779</v>
      </c>
      <c r="GJ41" s="380">
        <f>SUM(EP41:ES41)</f>
        <v>17973.964110936009</v>
      </c>
      <c r="GK41" s="380">
        <f>SUM(ET41:EW41)</f>
        <v>19771.882838510828</v>
      </c>
      <c r="GN41" s="70"/>
      <c r="IF41" s="394"/>
    </row>
    <row r="42" spans="1:240" s="382" customFormat="1">
      <c r="A42" s="396" t="s">
        <v>198</v>
      </c>
      <c r="C42" s="382">
        <f t="shared" ref="C42:BN42" si="99">C41/B41-1</f>
        <v>0.12124152878192374</v>
      </c>
      <c r="D42" s="382">
        <f t="shared" si="99"/>
        <v>-6.373065216450513E-2</v>
      </c>
      <c r="E42" s="382">
        <f t="shared" si="99"/>
        <v>2.8379939912179353E-2</v>
      </c>
      <c r="F42" s="382">
        <f t="shared" si="99"/>
        <v>2.2083389515633822E-2</v>
      </c>
      <c r="G42" s="382">
        <f t="shared" si="99"/>
        <v>-4.8665366969116164E-3</v>
      </c>
      <c r="H42" s="382">
        <f t="shared" si="99"/>
        <v>-1.9148904829942026E-3</v>
      </c>
      <c r="I42" s="382">
        <f t="shared" si="99"/>
        <v>0.12331941144349812</v>
      </c>
      <c r="J42" s="382">
        <f t="shared" si="99"/>
        <v>0.21526637325100184</v>
      </c>
      <c r="K42" s="382">
        <f t="shared" si="99"/>
        <v>9.2237837837837899E-2</v>
      </c>
      <c r="L42" s="382">
        <f t="shared" si="99"/>
        <v>-1.007601551983528E-2</v>
      </c>
      <c r="M42" s="382">
        <f t="shared" si="99"/>
        <v>3.9944407782910529E-2</v>
      </c>
      <c r="N42" s="382">
        <f t="shared" si="99"/>
        <v>-8.8732705823534541E-2</v>
      </c>
      <c r="O42" s="382">
        <f t="shared" si="99"/>
        <v>-2.1228107195610857E-2</v>
      </c>
      <c r="P42" s="382">
        <f t="shared" si="99"/>
        <v>0.13892721628147653</v>
      </c>
      <c r="Q42" s="382">
        <f t="shared" si="99"/>
        <v>1.7443401226622246E-2</v>
      </c>
      <c r="R42" s="382">
        <f t="shared" si="99"/>
        <v>-2.4102549791160777E-2</v>
      </c>
      <c r="S42" s="382">
        <f t="shared" si="99"/>
        <v>4.8737941815686137E-2</v>
      </c>
      <c r="T42" s="382">
        <f t="shared" si="99"/>
        <v>0.1444815080757309</v>
      </c>
      <c r="U42" s="382">
        <f t="shared" si="99"/>
        <v>8.847097691336403E-3</v>
      </c>
      <c r="V42" s="382">
        <f t="shared" si="99"/>
        <v>8.5727105982005281E-3</v>
      </c>
      <c r="W42" s="382">
        <f t="shared" si="99"/>
        <v>8.6153605994380156E-2</v>
      </c>
      <c r="X42" s="382">
        <f t="shared" si="99"/>
        <v>3.2387645697696144E-2</v>
      </c>
      <c r="Y42" s="382">
        <f t="shared" si="99"/>
        <v>8.905439738280041E-2</v>
      </c>
      <c r="Z42" s="382">
        <f t="shared" si="99"/>
        <v>2.2286988923615692E-2</v>
      </c>
      <c r="AA42" s="382">
        <f t="shared" si="99"/>
        <v>4.5840471159016127E-2</v>
      </c>
      <c r="AB42" s="382">
        <f t="shared" si="99"/>
        <v>-5.7700355097502265E-2</v>
      </c>
      <c r="AC42" s="382">
        <f t="shared" si="99"/>
        <v>-4.2442236686840995E-2</v>
      </c>
      <c r="AD42" s="382">
        <f t="shared" si="99"/>
        <v>6.864498860444157E-2</v>
      </c>
      <c r="AE42" s="382">
        <f t="shared" si="99"/>
        <v>-3.5003750844714965E-2</v>
      </c>
      <c r="AF42" s="382">
        <f t="shared" si="99"/>
        <v>4.5698389345394608E-2</v>
      </c>
      <c r="AG42" s="382">
        <f t="shared" si="99"/>
        <v>-4.1593964267283567E-3</v>
      </c>
      <c r="AH42" s="382">
        <f t="shared" si="99"/>
        <v>-2.6695540049479605E-2</v>
      </c>
      <c r="AI42" s="382">
        <f t="shared" si="99"/>
        <v>8.4647565922920887E-2</v>
      </c>
      <c r="AJ42" s="382">
        <f t="shared" si="99"/>
        <v>-5.8025643722898201E-2</v>
      </c>
      <c r="AK42" s="382">
        <f t="shared" si="99"/>
        <v>-1.9480720910753924E-3</v>
      </c>
      <c r="AL42" s="382">
        <f t="shared" si="99"/>
        <v>6.8446146291127663E-2</v>
      </c>
      <c r="AM42" s="382">
        <f t="shared" si="99"/>
        <v>3.8066813278877509E-2</v>
      </c>
      <c r="AN42" s="382">
        <f t="shared" si="99"/>
        <v>0.23838587641866327</v>
      </c>
      <c r="AO42" s="382">
        <f t="shared" si="99"/>
        <v>-8.1965432501052149E-2</v>
      </c>
      <c r="AP42" s="382">
        <f t="shared" si="99"/>
        <v>1.0549771257295504E-3</v>
      </c>
      <c r="AQ42" s="382">
        <f t="shared" si="99"/>
        <v>2.684401808314707E-2</v>
      </c>
      <c r="AR42" s="382">
        <f t="shared" si="99"/>
        <v>2.6300518432903486E-2</v>
      </c>
      <c r="AS42" s="382">
        <f t="shared" si="99"/>
        <v>5.8435398627083579E-2</v>
      </c>
      <c r="AT42" s="382">
        <f t="shared" si="99"/>
        <v>-1.8189684859295507E-3</v>
      </c>
      <c r="AU42" s="382">
        <f t="shared" si="99"/>
        <v>-5.6128090583396073E-3</v>
      </c>
      <c r="AV42" s="382">
        <f t="shared" si="99"/>
        <v>2.7021497102138969E-2</v>
      </c>
      <c r="AW42" s="382">
        <f t="shared" si="99"/>
        <v>9.4722299216963624E-2</v>
      </c>
      <c r="AX42" s="382">
        <f t="shared" si="99"/>
        <v>1.4044554866736725E-3</v>
      </c>
      <c r="AY42" s="382">
        <f t="shared" si="99"/>
        <v>7.6887824843356212E-2</v>
      </c>
      <c r="AZ42" s="382">
        <f t="shared" si="99"/>
        <v>6.0289672174448805E-2</v>
      </c>
      <c r="BA42" s="382">
        <f t="shared" si="99"/>
        <v>0.13937886221619422</v>
      </c>
      <c r="BB42" s="382">
        <f t="shared" si="99"/>
        <v>-0.19776739214275085</v>
      </c>
      <c r="BC42" s="382">
        <f t="shared" si="99"/>
        <v>5.4880079946702187E-2</v>
      </c>
      <c r="BD42" s="382">
        <f t="shared" si="99"/>
        <v>-4.6434184746333429E-3</v>
      </c>
      <c r="BE42" s="382">
        <f t="shared" si="99"/>
        <v>0.38798759824068063</v>
      </c>
      <c r="BF42" s="382">
        <f t="shared" si="99"/>
        <v>0.12207792207792201</v>
      </c>
      <c r="BG42" s="382">
        <f t="shared" si="99"/>
        <v>9.9537037037036979E-2</v>
      </c>
      <c r="BH42" s="382">
        <f t="shared" si="99"/>
        <v>-1.684210526315788E-2</v>
      </c>
      <c r="BI42" s="382">
        <f t="shared" si="99"/>
        <v>1.2847965738758127E-2</v>
      </c>
      <c r="BJ42" s="382">
        <f t="shared" si="99"/>
        <v>5.9196617336152224E-2</v>
      </c>
      <c r="BK42" s="382">
        <f t="shared" si="99"/>
        <v>-0.11776447105788423</v>
      </c>
      <c r="BL42" s="382">
        <f t="shared" si="99"/>
        <v>-9.0497737556560764E-3</v>
      </c>
      <c r="BM42" s="382">
        <f t="shared" si="99"/>
        <v>6.164383561643838E-2</v>
      </c>
      <c r="BN42" s="382">
        <f t="shared" si="99"/>
        <v>-0.34408602150537637</v>
      </c>
      <c r="BO42" s="382">
        <f t="shared" ref="BO42:DZ42" si="100">BO41/BN41-1</f>
        <v>3.2786885245901232E-3</v>
      </c>
      <c r="BP42" s="382">
        <f t="shared" si="100"/>
        <v>-6.8627450980392135E-2</v>
      </c>
      <c r="BQ42" s="382">
        <f t="shared" si="100"/>
        <v>5.6140350877192935E-2</v>
      </c>
      <c r="BR42" s="382">
        <f t="shared" si="100"/>
        <v>7.3089700996677776E-2</v>
      </c>
      <c r="BS42" s="382">
        <f t="shared" si="100"/>
        <v>0.14860681114551078</v>
      </c>
      <c r="BT42" s="382">
        <f t="shared" si="100"/>
        <v>-3.2345013477088957E-2</v>
      </c>
      <c r="BU42" s="382">
        <f t="shared" si="100"/>
        <v>-1.9498607242339872E-2</v>
      </c>
      <c r="BV42" s="382">
        <f t="shared" si="100"/>
        <v>4.2613636363636465E-2</v>
      </c>
      <c r="BW42" s="382">
        <f t="shared" si="100"/>
        <v>0</v>
      </c>
      <c r="BX42" s="382">
        <f t="shared" si="100"/>
        <v>-1.6348773841961872E-2</v>
      </c>
      <c r="BY42" s="382">
        <f t="shared" si="100"/>
        <v>-8.3102493074792561E-3</v>
      </c>
      <c r="BZ42" s="382">
        <f t="shared" si="100"/>
        <v>2.7932960893854775E-2</v>
      </c>
      <c r="CA42" s="382">
        <f t="shared" si="100"/>
        <v>-6.25E-2</v>
      </c>
      <c r="CB42" s="382">
        <f t="shared" si="100"/>
        <v>-4.9275362318840554E-2</v>
      </c>
      <c r="CC42" s="382">
        <f t="shared" si="100"/>
        <v>-4.5731707317073211E-2</v>
      </c>
      <c r="CD42" s="382">
        <f t="shared" si="100"/>
        <v>-3.1948881789137795E-3</v>
      </c>
      <c r="CE42" s="382">
        <f t="shared" si="100"/>
        <v>-1.2820512820512775E-2</v>
      </c>
      <c r="CF42" s="382">
        <f t="shared" si="100"/>
        <v>-6.4935064935064957E-2</v>
      </c>
      <c r="CG42" s="382">
        <f t="shared" si="100"/>
        <v>1.736111111111116E-2</v>
      </c>
      <c r="CH42" s="382">
        <f t="shared" si="100"/>
        <v>-7.8498293515358308E-2</v>
      </c>
      <c r="CI42" s="382">
        <f t="shared" si="100"/>
        <v>2.5925925925925908E-2</v>
      </c>
      <c r="CJ42" s="382">
        <f t="shared" si="100"/>
        <v>3.6101083032491488E-3</v>
      </c>
      <c r="CK42" s="382">
        <f t="shared" si="100"/>
        <v>-0.14388489208633093</v>
      </c>
      <c r="CL42" s="382">
        <f t="shared" si="100"/>
        <v>1.6806722689075571E-2</v>
      </c>
      <c r="CM42" s="382">
        <f t="shared" si="100"/>
        <v>-2.8925619834710758E-2</v>
      </c>
      <c r="CN42" s="382">
        <f t="shared" si="100"/>
        <v>2.5531914893617058E-2</v>
      </c>
      <c r="CO42" s="382">
        <f t="shared" si="100"/>
        <v>-4.9792531120331995E-2</v>
      </c>
      <c r="CP42" s="382">
        <f t="shared" si="100"/>
        <v>5.6768558951965087E-2</v>
      </c>
      <c r="CQ42" s="382">
        <f t="shared" si="100"/>
        <v>4.1322314049587749E-3</v>
      </c>
      <c r="CR42" s="382">
        <f t="shared" si="100"/>
        <v>6.5843621399176877E-2</v>
      </c>
      <c r="CS42" s="382">
        <f t="shared" si="100"/>
        <v>1.9305019305019266E-2</v>
      </c>
      <c r="CT42" s="382">
        <f t="shared" si="100"/>
        <v>7.575757575757569E-3</v>
      </c>
      <c r="CU42" s="382">
        <f t="shared" si="100"/>
        <v>4.8872180451127845E-2</v>
      </c>
      <c r="CV42" s="382">
        <f t="shared" si="100"/>
        <v>0.12903225806451624</v>
      </c>
      <c r="CW42" s="382">
        <f t="shared" si="100"/>
        <v>-4.7619047619047672E-2</v>
      </c>
      <c r="CX42" s="382">
        <f t="shared" si="100"/>
        <v>0.14333333333333331</v>
      </c>
      <c r="CY42" s="382">
        <f t="shared" si="100"/>
        <v>4.081632653061229E-2</v>
      </c>
      <c r="CZ42" s="382">
        <f t="shared" si="100"/>
        <v>1.6806722689075571E-2</v>
      </c>
      <c r="DA42" s="382">
        <f t="shared" si="100"/>
        <v>2.2038567493112948E-2</v>
      </c>
      <c r="DB42" s="382">
        <f t="shared" si="100"/>
        <v>5.3908355795149188E-3</v>
      </c>
      <c r="DC42" s="382">
        <f t="shared" si="100"/>
        <v>0</v>
      </c>
      <c r="DD42" s="382">
        <f t="shared" si="100"/>
        <v>8.8471849865951802E-2</v>
      </c>
      <c r="DE42" s="382">
        <f t="shared" si="100"/>
        <v>-2.7093596059113323E-2</v>
      </c>
      <c r="DF42" s="382">
        <f t="shared" si="100"/>
        <v>0.11898734177215187</v>
      </c>
      <c r="DG42" s="382">
        <f t="shared" si="100"/>
        <v>4.0723981900452566E-2</v>
      </c>
      <c r="DH42" s="382">
        <f t="shared" si="100"/>
        <v>0.10434782608695659</v>
      </c>
      <c r="DI42" s="382">
        <f t="shared" si="100"/>
        <v>0.12795275590551181</v>
      </c>
      <c r="DJ42" s="383">
        <f t="shared" si="100"/>
        <v>6.4572425828970381E-2</v>
      </c>
      <c r="DK42" s="383">
        <f t="shared" si="100"/>
        <v>8.0327868852458906E-2</v>
      </c>
      <c r="DL42" s="383">
        <f t="shared" si="100"/>
        <v>0.16084977238239762</v>
      </c>
      <c r="DM42" s="383">
        <f t="shared" si="100"/>
        <v>6.0130718954248374E-2</v>
      </c>
      <c r="DN42" s="383">
        <f t="shared" si="100"/>
        <v>0.30702836004932177</v>
      </c>
      <c r="DO42" s="383">
        <f t="shared" si="100"/>
        <v>0.22641509433962259</v>
      </c>
      <c r="DP42" s="383">
        <f t="shared" si="100"/>
        <v>-1.6153846153846185E-2</v>
      </c>
      <c r="DQ42" s="383">
        <f t="shared" si="100"/>
        <v>6.8021892103205639E-2</v>
      </c>
      <c r="DR42" s="383">
        <f t="shared" si="100"/>
        <v>3.2942898975109713E-2</v>
      </c>
      <c r="DS42" s="383">
        <f t="shared" si="100"/>
        <v>2.2678951098511702E-2</v>
      </c>
      <c r="DT42" s="383">
        <f t="shared" si="100"/>
        <v>4.4352044352044429E-2</v>
      </c>
      <c r="DU42" s="383">
        <f t="shared" si="100"/>
        <v>2.6542800265427768E-3</v>
      </c>
      <c r="DV42" s="382">
        <f t="shared" si="100"/>
        <v>9.2653871608205929E-3</v>
      </c>
      <c r="DW42" s="382">
        <f t="shared" si="100"/>
        <v>3.8032786885245917E-2</v>
      </c>
      <c r="DX42" s="382">
        <f t="shared" si="100"/>
        <v>3.3480732785849732E-2</v>
      </c>
      <c r="DY42" s="382">
        <f t="shared" si="100"/>
        <v>4.6454767726161306E-2</v>
      </c>
      <c r="DZ42" s="382">
        <f t="shared" si="100"/>
        <v>9.3457943925232545E-3</v>
      </c>
      <c r="EA42" s="382">
        <f t="shared" ref="EA42:ED42" si="101">EA41/DZ41-1</f>
        <v>9.6064814814814881E-2</v>
      </c>
      <c r="EB42" s="382">
        <f t="shared" si="101"/>
        <v>0.12935586061246029</v>
      </c>
      <c r="EC42" s="382">
        <f t="shared" si="101"/>
        <v>8.9294062646096295E-2</v>
      </c>
      <c r="ED42" s="382">
        <f t="shared" si="101"/>
        <v>2.8755364806867023E-2</v>
      </c>
      <c r="EE42" s="384">
        <v>0.05</v>
      </c>
      <c r="EF42" s="384">
        <v>7.0000000000000007E-2</v>
      </c>
      <c r="EG42" s="384">
        <v>7.0000000000000007E-2</v>
      </c>
      <c r="EH42" s="384">
        <v>7.0000000000000007E-2</v>
      </c>
      <c r="EI42" s="384">
        <v>0.08</v>
      </c>
      <c r="EJ42" s="384">
        <v>0.1</v>
      </c>
      <c r="EK42" s="384">
        <v>0.1</v>
      </c>
      <c r="EL42" s="384">
        <v>0</v>
      </c>
      <c r="EM42" s="384">
        <v>0.01</v>
      </c>
      <c r="EN42" s="384">
        <v>0</v>
      </c>
      <c r="EO42" s="384">
        <v>0.01</v>
      </c>
      <c r="EP42" s="384">
        <v>0.04</v>
      </c>
      <c r="EQ42" s="384">
        <v>0.03</v>
      </c>
      <c r="ER42" s="384">
        <v>0.03</v>
      </c>
      <c r="ES42" s="384">
        <v>0.05</v>
      </c>
      <c r="ET42" s="384">
        <v>0.01</v>
      </c>
      <c r="EU42" s="384">
        <v>0.02</v>
      </c>
      <c r="EV42" s="384">
        <v>0.02</v>
      </c>
      <c r="EW42" s="384">
        <v>0.01</v>
      </c>
      <c r="EY42" s="379"/>
      <c r="FZ42" s="386" t="s">
        <v>199</v>
      </c>
      <c r="GA42" s="386" t="s">
        <v>199</v>
      </c>
      <c r="GB42" s="386" t="s">
        <v>199</v>
      </c>
      <c r="GC42" s="386" t="s">
        <v>199</v>
      </c>
      <c r="GD42" s="386" t="s">
        <v>199</v>
      </c>
      <c r="GE42" s="386" t="s">
        <v>199</v>
      </c>
      <c r="GF42" s="386" t="s">
        <v>199</v>
      </c>
      <c r="GG42" s="386" t="s">
        <v>199</v>
      </c>
      <c r="GH42" s="386" t="s">
        <v>199</v>
      </c>
      <c r="GI42" s="386" t="s">
        <v>199</v>
      </c>
      <c r="GJ42" s="386" t="s">
        <v>199</v>
      </c>
      <c r="GK42" s="386" t="s">
        <v>199</v>
      </c>
      <c r="GN42" s="70"/>
      <c r="IF42" s="394"/>
    </row>
    <row r="43" spans="1:240" s="382" customFormat="1">
      <c r="A43" s="396" t="s">
        <v>200</v>
      </c>
      <c r="F43" s="382">
        <f t="shared" ref="F43:BQ43" si="102">F41/B41-1</f>
        <v>0.1034176007246026</v>
      </c>
      <c r="G43" s="382">
        <f t="shared" si="102"/>
        <v>-2.0685775283816321E-2</v>
      </c>
      <c r="H43" s="382">
        <f t="shared" si="102"/>
        <v>4.3971959017024886E-2</v>
      </c>
      <c r="I43" s="382">
        <f t="shared" si="102"/>
        <v>0.14035087719298245</v>
      </c>
      <c r="J43" s="382">
        <f t="shared" si="102"/>
        <v>0.35588748332624842</v>
      </c>
      <c r="K43" s="382">
        <f t="shared" si="102"/>
        <v>0.48819396367600065</v>
      </c>
      <c r="L43" s="382">
        <f t="shared" si="102"/>
        <v>0.47602532504907091</v>
      </c>
      <c r="M43" s="382">
        <f t="shared" si="102"/>
        <v>0.36647178611311837</v>
      </c>
      <c r="N43" s="382">
        <f t="shared" si="102"/>
        <v>2.4648648648648575E-2</v>
      </c>
      <c r="O43" s="382">
        <f t="shared" si="102"/>
        <v>-8.179586665610894E-2</v>
      </c>
      <c r="P43" s="382">
        <f t="shared" si="102"/>
        <v>5.6412102305677392E-2</v>
      </c>
      <c r="Q43" s="382">
        <f t="shared" si="102"/>
        <v>3.3554788527915713E-2</v>
      </c>
      <c r="R43" s="382">
        <f t="shared" si="102"/>
        <v>0.10685798691707116</v>
      </c>
      <c r="S43" s="382">
        <f t="shared" si="102"/>
        <v>0.18598007933770266</v>
      </c>
      <c r="T43" s="382">
        <f t="shared" si="102"/>
        <v>0.19176383735897629</v>
      </c>
      <c r="U43" s="382">
        <f t="shared" si="102"/>
        <v>0.18169471343919485</v>
      </c>
      <c r="V43" s="382">
        <f t="shared" si="102"/>
        <v>0.22126053303847182</v>
      </c>
      <c r="W43" s="382">
        <f t="shared" si="102"/>
        <v>0.26483125948682518</v>
      </c>
      <c r="X43" s="382">
        <f t="shared" si="102"/>
        <v>0.14094999086699955</v>
      </c>
      <c r="Y43" s="382">
        <f t="shared" si="102"/>
        <v>0.23165998850674252</v>
      </c>
      <c r="Z43" s="382">
        <f t="shared" si="102"/>
        <v>0.24840774274118016</v>
      </c>
      <c r="AA43" s="382">
        <f t="shared" si="102"/>
        <v>0.20207246439299209</v>
      </c>
      <c r="AB43" s="382">
        <f t="shared" si="102"/>
        <v>9.717746145546946E-2</v>
      </c>
      <c r="AC43" s="382">
        <f t="shared" si="102"/>
        <v>-3.5299982743082881E-2</v>
      </c>
      <c r="AD43" s="382">
        <f t="shared" si="102"/>
        <v>8.4466007277455013E-3</v>
      </c>
      <c r="AE43" s="382">
        <f t="shared" si="102"/>
        <v>-6.9507048147395278E-2</v>
      </c>
      <c r="AF43" s="382">
        <f t="shared" si="102"/>
        <v>3.2596145305977542E-2</v>
      </c>
      <c r="AG43" s="382">
        <f t="shared" si="102"/>
        <v>7.3878995070758346E-2</v>
      </c>
      <c r="AH43" s="382">
        <f t="shared" si="102"/>
        <v>-2.1928492160424584E-2</v>
      </c>
      <c r="AI43" s="382">
        <f t="shared" si="102"/>
        <v>9.9344045332185438E-2</v>
      </c>
      <c r="AJ43" s="382">
        <f t="shared" si="102"/>
        <v>-9.7011624192082646E-3</v>
      </c>
      <c r="AK43" s="382">
        <f t="shared" si="102"/>
        <v>-7.5021439103689636E-3</v>
      </c>
      <c r="AL43" s="382">
        <f t="shared" si="102"/>
        <v>8.9515720081136063E-2</v>
      </c>
      <c r="AM43" s="382">
        <f t="shared" si="102"/>
        <v>4.2725902030225527E-2</v>
      </c>
      <c r="AN43" s="382">
        <f t="shared" si="102"/>
        <v>0.37084095914632265</v>
      </c>
      <c r="AO43" s="382">
        <f t="shared" si="102"/>
        <v>0.2609357808430357</v>
      </c>
      <c r="AP43" s="382">
        <f t="shared" si="102"/>
        <v>0.18140352102023494</v>
      </c>
      <c r="AQ43" s="382">
        <f t="shared" si="102"/>
        <v>0.16863107748353645</v>
      </c>
      <c r="AR43" s="382">
        <f t="shared" si="102"/>
        <v>-3.1508107839010813E-2</v>
      </c>
      <c r="AS43" s="382">
        <f t="shared" si="102"/>
        <v>0.11660948099069257</v>
      </c>
      <c r="AT43" s="382">
        <f t="shared" si="102"/>
        <v>0.11340378800563378</v>
      </c>
      <c r="AU43" s="382">
        <f t="shared" si="102"/>
        <v>7.8210950875964524E-2</v>
      </c>
      <c r="AV43" s="382">
        <f t="shared" si="102"/>
        <v>7.8968396753225312E-2</v>
      </c>
      <c r="AW43" s="382">
        <f t="shared" si="102"/>
        <v>0.11595924097800459</v>
      </c>
      <c r="AX43" s="382">
        <f t="shared" si="102"/>
        <v>0.11956300588261315</v>
      </c>
      <c r="AY43" s="382">
        <f t="shared" si="102"/>
        <v>0.21244901499415092</v>
      </c>
      <c r="AZ43" s="382">
        <f t="shared" si="102"/>
        <v>0.25172371976993957</v>
      </c>
      <c r="BA43" s="382">
        <f t="shared" si="102"/>
        <v>0.30278477807625204</v>
      </c>
      <c r="BB43" s="382">
        <f t="shared" si="102"/>
        <v>4.3670641034757818E-2</v>
      </c>
      <c r="BC43" s="382">
        <f t="shared" si="102"/>
        <v>2.2341736859096573E-2</v>
      </c>
      <c r="BD43" s="382">
        <f t="shared" si="102"/>
        <v>-4.0267388190354803E-2</v>
      </c>
      <c r="BE43" s="382">
        <f t="shared" si="102"/>
        <v>0.16914312437557122</v>
      </c>
      <c r="BF43" s="382">
        <f t="shared" si="102"/>
        <v>0.63527345406092905</v>
      </c>
      <c r="BG43" s="382">
        <f t="shared" si="102"/>
        <v>0.70450059926652653</v>
      </c>
      <c r="BH43" s="382">
        <f t="shared" si="102"/>
        <v>0.68361093085298141</v>
      </c>
      <c r="BI43" s="382">
        <f t="shared" si="102"/>
        <v>0.22857142857142865</v>
      </c>
      <c r="BJ43" s="382">
        <f t="shared" si="102"/>
        <v>0.15972222222222232</v>
      </c>
      <c r="BK43" s="382">
        <f t="shared" si="102"/>
        <v>-6.9473684210526354E-2</v>
      </c>
      <c r="BL43" s="382">
        <f t="shared" si="102"/>
        <v>-6.2098501070663836E-2</v>
      </c>
      <c r="BM43" s="382">
        <f t="shared" si="102"/>
        <v>-1.6913319238900604E-2</v>
      </c>
      <c r="BN43" s="382">
        <f t="shared" si="102"/>
        <v>-0.39121756487025949</v>
      </c>
      <c r="BO43" s="382">
        <f t="shared" si="102"/>
        <v>-0.30769230769230771</v>
      </c>
      <c r="BP43" s="382">
        <f t="shared" si="102"/>
        <v>-0.34931506849315064</v>
      </c>
      <c r="BQ43" s="382">
        <f t="shared" si="102"/>
        <v>-0.35268817204301073</v>
      </c>
      <c r="BR43" s="382">
        <f t="shared" ref="BR43:EC43" si="103">BR41/BN41-1</f>
        <v>5.9016393442622883E-2</v>
      </c>
      <c r="BS43" s="382">
        <f t="shared" si="103"/>
        <v>0.21241830065359468</v>
      </c>
      <c r="BT43" s="382">
        <f t="shared" si="103"/>
        <v>0.25964912280701746</v>
      </c>
      <c r="BU43" s="382">
        <f t="shared" si="103"/>
        <v>0.16943521594684396</v>
      </c>
      <c r="BV43" s="382">
        <f t="shared" si="103"/>
        <v>0.13622291021671828</v>
      </c>
      <c r="BW43" s="382">
        <f t="shared" si="103"/>
        <v>-1.0781671159029615E-2</v>
      </c>
      <c r="BX43" s="382">
        <f t="shared" si="103"/>
        <v>5.5710306406684396E-3</v>
      </c>
      <c r="BY43" s="382">
        <f t="shared" si="103"/>
        <v>1.7045454545454586E-2</v>
      </c>
      <c r="BZ43" s="382">
        <f t="shared" si="103"/>
        <v>2.7247956403269047E-3</v>
      </c>
      <c r="CA43" s="382">
        <f t="shared" si="103"/>
        <v>-5.9945504087193457E-2</v>
      </c>
      <c r="CB43" s="382">
        <f t="shared" si="103"/>
        <v>-9.1412742382271484E-2</v>
      </c>
      <c r="CC43" s="382">
        <f t="shared" si="103"/>
        <v>-0.12569832402234637</v>
      </c>
      <c r="CD43" s="382">
        <f t="shared" si="103"/>
        <v>-0.15217391304347827</v>
      </c>
      <c r="CE43" s="382">
        <f t="shared" si="103"/>
        <v>-0.10724637681159421</v>
      </c>
      <c r="CF43" s="382">
        <f t="shared" si="103"/>
        <v>-0.12195121951219512</v>
      </c>
      <c r="CG43" s="382">
        <f t="shared" si="103"/>
        <v>-6.3897763578274813E-2</v>
      </c>
      <c r="CH43" s="382">
        <f t="shared" si="103"/>
        <v>-0.13461538461538458</v>
      </c>
      <c r="CI43" s="382">
        <f t="shared" si="103"/>
        <v>-0.10064935064935066</v>
      </c>
      <c r="CJ43" s="382">
        <f t="shared" si="103"/>
        <v>-3.472222222222221E-2</v>
      </c>
      <c r="CK43" s="382">
        <f t="shared" si="103"/>
        <v>-0.1877133105802048</v>
      </c>
      <c r="CL43" s="382">
        <f t="shared" si="103"/>
        <v>-0.10370370370370374</v>
      </c>
      <c r="CM43" s="382">
        <f t="shared" si="103"/>
        <v>-0.15162454873646214</v>
      </c>
      <c r="CN43" s="382">
        <f t="shared" si="103"/>
        <v>-0.13309352517985606</v>
      </c>
      <c r="CO43" s="382">
        <f t="shared" si="103"/>
        <v>-3.7815126050420145E-2</v>
      </c>
      <c r="CP43" s="382">
        <f t="shared" si="103"/>
        <v>0</v>
      </c>
      <c r="CQ43" s="382">
        <f t="shared" si="103"/>
        <v>3.4042553191489411E-2</v>
      </c>
      <c r="CR43" s="382">
        <f t="shared" si="103"/>
        <v>7.4688796680497882E-2</v>
      </c>
      <c r="CS43" s="382">
        <f t="shared" si="103"/>
        <v>0.15283842794759828</v>
      </c>
      <c r="CT43" s="382">
        <f t="shared" si="103"/>
        <v>9.9173553719008156E-2</v>
      </c>
      <c r="CU43" s="382">
        <f t="shared" si="103"/>
        <v>0.14814814814814814</v>
      </c>
      <c r="CV43" s="382">
        <f t="shared" si="103"/>
        <v>0.21621621621621623</v>
      </c>
      <c r="CW43" s="382">
        <f t="shared" si="103"/>
        <v>0.13636363636363646</v>
      </c>
      <c r="CX43" s="382">
        <f t="shared" si="103"/>
        <v>0.28947368421052633</v>
      </c>
      <c r="CY43" s="382">
        <f t="shared" si="103"/>
        <v>0.27956989247311825</v>
      </c>
      <c r="CZ43" s="382">
        <f t="shared" si="103"/>
        <v>0.15238095238095228</v>
      </c>
      <c r="DA43" s="382">
        <f t="shared" si="103"/>
        <v>0.23666666666666658</v>
      </c>
      <c r="DB43" s="382">
        <f t="shared" si="103"/>
        <v>8.7463556851312019E-2</v>
      </c>
      <c r="DC43" s="382">
        <f t="shared" si="103"/>
        <v>4.481792717086841E-2</v>
      </c>
      <c r="DD43" s="382">
        <f t="shared" si="103"/>
        <v>0.11845730027548207</v>
      </c>
      <c r="DE43" s="382">
        <f t="shared" si="103"/>
        <v>6.4690026954177915E-2</v>
      </c>
      <c r="DF43" s="382">
        <f t="shared" si="103"/>
        <v>0.18498659517426264</v>
      </c>
      <c r="DG43" s="382">
        <f t="shared" si="103"/>
        <v>0.23324396782841816</v>
      </c>
      <c r="DH43" s="382">
        <f t="shared" si="103"/>
        <v>0.25123152709359609</v>
      </c>
      <c r="DI43" s="382">
        <f t="shared" si="103"/>
        <v>0.45063291139240502</v>
      </c>
      <c r="DJ43" s="383">
        <f t="shared" si="103"/>
        <v>0.38009049773755654</v>
      </c>
      <c r="DK43" s="383">
        <f t="shared" si="103"/>
        <v>0.43260869565217397</v>
      </c>
      <c r="DL43" s="383">
        <f t="shared" si="103"/>
        <v>0.50590551181102361</v>
      </c>
      <c r="DM43" s="383">
        <f t="shared" si="103"/>
        <v>0.41535776614310649</v>
      </c>
      <c r="DN43" s="383">
        <f t="shared" si="103"/>
        <v>0.73770491803278682</v>
      </c>
      <c r="DO43" s="383">
        <f t="shared" si="103"/>
        <v>0.9726858877086495</v>
      </c>
      <c r="DP43" s="383">
        <f t="shared" si="103"/>
        <v>0.67189542483660136</v>
      </c>
      <c r="DQ43" s="383">
        <f t="shared" si="103"/>
        <v>0.68434032059186189</v>
      </c>
      <c r="DR43" s="383">
        <f t="shared" si="103"/>
        <v>0.33113207547169821</v>
      </c>
      <c r="DS43" s="383">
        <f t="shared" si="103"/>
        <v>0.1100000000000001</v>
      </c>
      <c r="DT43" s="383">
        <f t="shared" si="103"/>
        <v>0.17826426896012504</v>
      </c>
      <c r="DU43" s="383">
        <f t="shared" si="103"/>
        <v>0.10614934114202046</v>
      </c>
      <c r="DV43" s="382">
        <f t="shared" si="103"/>
        <v>8.0793763288447895E-2</v>
      </c>
      <c r="DW43" s="382">
        <f t="shared" si="103"/>
        <v>9.7020097020096951E-2</v>
      </c>
      <c r="DX43" s="382">
        <f t="shared" si="103"/>
        <v>8.5600530856005275E-2</v>
      </c>
      <c r="DY43" s="383">
        <f t="shared" si="103"/>
        <v>0.13302448709463932</v>
      </c>
      <c r="DZ43" s="383">
        <f t="shared" si="103"/>
        <v>0.1331147540983606</v>
      </c>
      <c r="EA43" s="383">
        <f t="shared" si="103"/>
        <v>0.19646241313960844</v>
      </c>
      <c r="EB43" s="383">
        <f t="shared" si="103"/>
        <v>0.30745721271393633</v>
      </c>
      <c r="EC43" s="383">
        <f t="shared" si="103"/>
        <v>0.36098130841121501</v>
      </c>
      <c r="ED43" s="383">
        <f t="shared" ref="ED43:EW43" si="104">ED41/DZ41-1</f>
        <v>0.38715277777777768</v>
      </c>
      <c r="EE43" s="384">
        <f t="shared" si="104"/>
        <v>0.32885427666314682</v>
      </c>
      <c r="EF43" s="384">
        <f t="shared" si="104"/>
        <v>0.25901332398316979</v>
      </c>
      <c r="EG43" s="384">
        <f t="shared" si="104"/>
        <v>0.23671311802575135</v>
      </c>
      <c r="EH43" s="384">
        <f t="shared" si="104"/>
        <v>0.28629515000000039</v>
      </c>
      <c r="EI43" s="384">
        <f t="shared" si="104"/>
        <v>0.32304644000000038</v>
      </c>
      <c r="EJ43" s="384">
        <f t="shared" si="104"/>
        <v>0.36014120000000038</v>
      </c>
      <c r="EK43" s="384">
        <f t="shared" si="104"/>
        <v>0.3982760000000003</v>
      </c>
      <c r="EL43" s="384">
        <f t="shared" si="104"/>
        <v>0.30680000000000018</v>
      </c>
      <c r="EM43" s="384">
        <f t="shared" si="104"/>
        <v>0.22210000000000019</v>
      </c>
      <c r="EN43" s="384">
        <f t="shared" si="104"/>
        <v>0.11099999999999999</v>
      </c>
      <c r="EO43" s="384">
        <f t="shared" si="104"/>
        <v>2.0100000000000007E-2</v>
      </c>
      <c r="EP43" s="384">
        <f t="shared" si="104"/>
        <v>6.0904000000000069E-2</v>
      </c>
      <c r="EQ43" s="384">
        <f t="shared" si="104"/>
        <v>8.1912000000000207E-2</v>
      </c>
      <c r="ER43" s="384">
        <f t="shared" si="104"/>
        <v>0.1143693600000002</v>
      </c>
      <c r="ES43" s="384">
        <f t="shared" si="104"/>
        <v>0.15850280000000039</v>
      </c>
      <c r="ET43" s="384">
        <f t="shared" si="104"/>
        <v>0.12508445000000035</v>
      </c>
      <c r="EU43" s="384">
        <f t="shared" si="104"/>
        <v>0.11416130000000035</v>
      </c>
      <c r="EV43" s="384">
        <f t="shared" si="104"/>
        <v>0.10334420000000022</v>
      </c>
      <c r="EW43" s="384">
        <f t="shared" si="104"/>
        <v>6.1312040000000012E-2</v>
      </c>
      <c r="FA43" s="382">
        <f>FA41/EZ41-1</f>
        <v>6.5380019938965805E-2</v>
      </c>
      <c r="FB43" s="382">
        <f t="shared" ref="FB43:GK43" si="105">FB41/FA41-1</f>
        <v>0.4199204240242298</v>
      </c>
      <c r="FC43" s="382">
        <f t="shared" si="105"/>
        <v>7.9184012275030913E-3</v>
      </c>
      <c r="FD43" s="382">
        <f t="shared" si="105"/>
        <v>0.16764037204612903</v>
      </c>
      <c r="FE43" s="382">
        <f t="shared" si="105"/>
        <v>0.2127161625811913</v>
      </c>
      <c r="FF43" s="382">
        <f t="shared" si="105"/>
        <v>0.12052125300933025</v>
      </c>
      <c r="FG43" s="382">
        <f t="shared" si="105"/>
        <v>9.4575847848175076E-3</v>
      </c>
      <c r="FH43" s="382">
        <f t="shared" si="105"/>
        <v>1.422719574196929E-2</v>
      </c>
      <c r="FI43" s="382">
        <f t="shared" si="105"/>
        <v>0.1892430829735916</v>
      </c>
      <c r="FJ43" s="382">
        <f t="shared" si="105"/>
        <v>0.1007086811503215</v>
      </c>
      <c r="FK43" s="382">
        <f t="shared" si="105"/>
        <v>9.6822576442891162E-2</v>
      </c>
      <c r="FL43" s="382">
        <f t="shared" si="105"/>
        <v>0.22411387434274843</v>
      </c>
      <c r="FM43" s="382">
        <f t="shared" si="105"/>
        <v>5.3499704988964503E-2</v>
      </c>
      <c r="FN43" s="382">
        <f t="shared" si="105"/>
        <v>0.53248757498568744</v>
      </c>
      <c r="FO43" s="382">
        <f t="shared" si="105"/>
        <v>-5.414185165132368E-4</v>
      </c>
      <c r="FP43" s="382">
        <f t="shared" si="105"/>
        <v>-0.35157096424702061</v>
      </c>
      <c r="FQ43" s="382">
        <f t="shared" si="105"/>
        <v>0.17376775271512113</v>
      </c>
      <c r="FR43" s="382">
        <f t="shared" si="105"/>
        <v>3.4163701067615682E-2</v>
      </c>
      <c r="FS43" s="382">
        <f t="shared" si="105"/>
        <v>-6.8134893324156898E-2</v>
      </c>
      <c r="FT43" s="382">
        <f t="shared" si="105"/>
        <v>-0.11299852289512557</v>
      </c>
      <c r="FU43" s="382">
        <f t="shared" si="105"/>
        <v>-0.11490424646128228</v>
      </c>
      <c r="FV43" s="382">
        <f t="shared" si="105"/>
        <v>-0.1091251175917215</v>
      </c>
      <c r="FW43" s="382">
        <f t="shared" si="105"/>
        <v>6.4413938753959954E-2</v>
      </c>
      <c r="FX43" s="382">
        <f t="shared" si="105"/>
        <v>0.1507936507936507</v>
      </c>
      <c r="FY43" s="382">
        <f t="shared" si="105"/>
        <v>0.23620689655172411</v>
      </c>
      <c r="FZ43" s="382">
        <f t="shared" si="105"/>
        <v>7.8800557880055688E-2</v>
      </c>
      <c r="GA43" s="382">
        <f t="shared" si="105"/>
        <v>0.28183581124757606</v>
      </c>
      <c r="GB43" s="382">
        <f t="shared" si="105"/>
        <v>0.43469490670700961</v>
      </c>
      <c r="GC43" s="382">
        <f t="shared" si="105"/>
        <v>0.75922671353251325</v>
      </c>
      <c r="GD43" s="382">
        <f t="shared" si="105"/>
        <v>0.17322677322677316</v>
      </c>
      <c r="GE43" s="382">
        <f t="shared" si="105"/>
        <v>9.9455040871934575E-2</v>
      </c>
      <c r="GF43" s="382">
        <f t="shared" si="105"/>
        <v>0.25325278810408913</v>
      </c>
      <c r="GG43" s="387">
        <f t="shared" si="105"/>
        <v>0.29630713941416409</v>
      </c>
      <c r="GH43" s="387">
        <f t="shared" si="105"/>
        <v>0.34484014407475927</v>
      </c>
      <c r="GI43" s="387">
        <f t="shared" si="105"/>
        <v>0.15406196555040674</v>
      </c>
      <c r="GJ43" s="387">
        <f t="shared" si="105"/>
        <v>0.10416496618400539</v>
      </c>
      <c r="GK43" s="387">
        <f t="shared" si="105"/>
        <v>0.10002905961522979</v>
      </c>
      <c r="GN43" s="70"/>
      <c r="IF43" s="394"/>
    </row>
    <row r="44" spans="1:240" s="382" customFormat="1">
      <c r="A44" s="396" t="s">
        <v>202</v>
      </c>
      <c r="B44" s="382">
        <f>B41/B$4</f>
        <v>0.15174764930675719</v>
      </c>
      <c r="C44" s="382">
        <f>C41/C$4</f>
        <v>0.16945577034016798</v>
      </c>
      <c r="D44" s="382">
        <f t="shared" ref="D44:BO44" si="106">D41/D$4</f>
        <v>0.15514484248872359</v>
      </c>
      <c r="E44" s="382">
        <f t="shared" si="106"/>
        <v>0.16145707346808449</v>
      </c>
      <c r="F44" s="382">
        <f t="shared" si="106"/>
        <v>0.13296367038278631</v>
      </c>
      <c r="G44" s="382">
        <f t="shared" si="106"/>
        <v>0.12730054734978818</v>
      </c>
      <c r="H44" s="382">
        <f t="shared" si="106"/>
        <v>0.12476017926254893</v>
      </c>
      <c r="I44" s="382">
        <f t="shared" si="106"/>
        <v>0.13961751239984738</v>
      </c>
      <c r="J44" s="382">
        <f t="shared" si="106"/>
        <v>0.14917045102693777</v>
      </c>
      <c r="K44" s="382">
        <f t="shared" si="106"/>
        <v>0.1613378174234367</v>
      </c>
      <c r="L44" s="382">
        <f t="shared" si="106"/>
        <v>0.16940471048553063</v>
      </c>
      <c r="M44" s="382">
        <f t="shared" si="106"/>
        <v>0.17538602665299674</v>
      </c>
      <c r="N44" s="382">
        <f t="shared" si="106"/>
        <v>0.17416006997273123</v>
      </c>
      <c r="O44" s="382">
        <f t="shared" si="106"/>
        <v>0.20385121638755641</v>
      </c>
      <c r="P44" s="382">
        <f t="shared" si="106"/>
        <v>0.23126458317829016</v>
      </c>
      <c r="Q44" s="382">
        <f t="shared" si="106"/>
        <v>0.21635323667452924</v>
      </c>
      <c r="R44" s="382">
        <f t="shared" si="106"/>
        <v>0.1900510689330959</v>
      </c>
      <c r="S44" s="382">
        <f t="shared" si="106"/>
        <v>0.18504577326800781</v>
      </c>
      <c r="T44" s="382">
        <f t="shared" si="106"/>
        <v>0.21104209545390551</v>
      </c>
      <c r="U44" s="382">
        <f t="shared" si="106"/>
        <v>0.20717059352122</v>
      </c>
      <c r="V44" s="382">
        <f t="shared" si="106"/>
        <v>0.23688375464079164</v>
      </c>
      <c r="W44" s="382">
        <f t="shared" si="106"/>
        <v>0.26428861734575659</v>
      </c>
      <c r="X44" s="382">
        <f t="shared" si="106"/>
        <v>0.20944648628789941</v>
      </c>
      <c r="Y44" s="382">
        <f t="shared" si="106"/>
        <v>0.19834563018179052</v>
      </c>
      <c r="Z44" s="382">
        <f t="shared" si="106"/>
        <v>0.25324219869441239</v>
      </c>
      <c r="AA44" s="382">
        <f t="shared" si="106"/>
        <v>0.2810880023659531</v>
      </c>
      <c r="AB44" s="382">
        <f t="shared" si="106"/>
        <v>0.23803670234614735</v>
      </c>
      <c r="AC44" s="382">
        <f t="shared" si="106"/>
        <v>0.1558113367261616</v>
      </c>
      <c r="AD44" s="382">
        <f t="shared" si="106"/>
        <v>0.14770395291700128</v>
      </c>
      <c r="AE44" s="382">
        <f t="shared" si="106"/>
        <v>0.13298537213023856</v>
      </c>
      <c r="AF44" s="382">
        <f t="shared" si="106"/>
        <v>0.13490044747457419</v>
      </c>
      <c r="AG44" s="382">
        <f t="shared" si="106"/>
        <v>0.13792619293175806</v>
      </c>
      <c r="AH44" s="382">
        <f t="shared" si="106"/>
        <v>0.13271116562228968</v>
      </c>
      <c r="AI44" s="382">
        <f t="shared" si="106"/>
        <v>0.17367324899722308</v>
      </c>
      <c r="AJ44" s="382">
        <f t="shared" si="106"/>
        <v>0.21045999973885907</v>
      </c>
      <c r="AK44" s="382">
        <f t="shared" si="106"/>
        <v>0.16900468865069185</v>
      </c>
      <c r="AL44" s="382">
        <f t="shared" si="106"/>
        <v>0.19054112028627396</v>
      </c>
      <c r="AM44" s="382">
        <f t="shared" si="106"/>
        <v>0.29722688193716801</v>
      </c>
      <c r="AN44" s="382">
        <f t="shared" si="106"/>
        <v>0.43476438677992318</v>
      </c>
      <c r="AO44" s="382">
        <f t="shared" si="106"/>
        <v>0.29551155980944893</v>
      </c>
      <c r="AP44" s="382">
        <f t="shared" si="106"/>
        <v>0.28417966426657154</v>
      </c>
      <c r="AQ44" s="382">
        <f t="shared" si="106"/>
        <v>0.32314520790811785</v>
      </c>
      <c r="AR44" s="382">
        <f t="shared" si="106"/>
        <v>0.22437219465294694</v>
      </c>
      <c r="AS44" s="382">
        <f t="shared" si="106"/>
        <v>0.18787600790648254</v>
      </c>
      <c r="AT44" s="382">
        <f t="shared" si="106"/>
        <v>0.18285665296866066</v>
      </c>
      <c r="AU44" s="382">
        <f t="shared" si="106"/>
        <v>0.17816960510747426</v>
      </c>
      <c r="AV44" s="382">
        <f t="shared" si="106"/>
        <v>0.18628772714547231</v>
      </c>
      <c r="AW44" s="382">
        <f t="shared" si="106"/>
        <v>0.20002041614109611</v>
      </c>
      <c r="AX44" s="382">
        <f t="shared" si="106"/>
        <v>0.20635596122051675</v>
      </c>
      <c r="AY44" s="382">
        <f t="shared" si="106"/>
        <v>0.21635058789540274</v>
      </c>
      <c r="AZ44" s="382">
        <f t="shared" si="106"/>
        <v>0.18979940962269043</v>
      </c>
      <c r="BA44" s="382">
        <f t="shared" si="106"/>
        <v>0.17913577721734927</v>
      </c>
      <c r="BB44" s="382">
        <f t="shared" si="106"/>
        <v>0.19830680745076787</v>
      </c>
      <c r="BC44" s="382">
        <f t="shared" si="106"/>
        <v>0.22910355180632161</v>
      </c>
      <c r="BD44" s="382">
        <f t="shared" si="106"/>
        <v>0.20892995144702331</v>
      </c>
      <c r="BE44" s="382">
        <f t="shared" si="106"/>
        <v>0.21714608009024253</v>
      </c>
      <c r="BF44" s="382">
        <f t="shared" si="106"/>
        <v>0.35036496350364965</v>
      </c>
      <c r="BG44" s="382">
        <f t="shared" si="106"/>
        <v>0.3447024673439768</v>
      </c>
      <c r="BH44" s="382">
        <f t="shared" si="106"/>
        <v>0.28615196078431371</v>
      </c>
      <c r="BI44" s="382">
        <f t="shared" si="106"/>
        <v>0.26723163841807912</v>
      </c>
      <c r="BJ44" s="382">
        <f t="shared" si="106"/>
        <v>0.33289036544850498</v>
      </c>
      <c r="BK44" s="382">
        <f t="shared" si="106"/>
        <v>0.32765011119347665</v>
      </c>
      <c r="BL44" s="382">
        <f t="shared" si="106"/>
        <v>0.27272727272727271</v>
      </c>
      <c r="BM44" s="382">
        <f t="shared" si="106"/>
        <v>0.40017211703958694</v>
      </c>
      <c r="BN44" s="382">
        <f t="shared" si="106"/>
        <v>0.25913338997451146</v>
      </c>
      <c r="BO44" s="382">
        <f t="shared" si="106"/>
        <v>0.25844594594594594</v>
      </c>
      <c r="BP44" s="382">
        <f t="shared" ref="BP44:EA44" si="107">BP41/BP$4</f>
        <v>0.20415472779369628</v>
      </c>
      <c r="BQ44" s="382">
        <f t="shared" si="107"/>
        <v>0.18286755771567437</v>
      </c>
      <c r="BR44" s="382">
        <f t="shared" si="107"/>
        <v>0.20520965692503176</v>
      </c>
      <c r="BS44" s="382">
        <f t="shared" si="107"/>
        <v>0.22444041137326073</v>
      </c>
      <c r="BT44" s="382">
        <f t="shared" si="107"/>
        <v>0.2218788627935723</v>
      </c>
      <c r="BU44" s="382">
        <f t="shared" si="107"/>
        <v>0.21346270466949666</v>
      </c>
      <c r="BV44" s="382">
        <f t="shared" si="107"/>
        <v>0.22752634841909486</v>
      </c>
      <c r="BW44" s="382">
        <f t="shared" si="107"/>
        <v>0.23316391359593391</v>
      </c>
      <c r="BX44" s="382">
        <f t="shared" si="107"/>
        <v>0.21360946745562129</v>
      </c>
      <c r="BY44" s="382">
        <f t="shared" si="107"/>
        <v>0.21170904790065051</v>
      </c>
      <c r="BZ44" s="382">
        <f t="shared" si="107"/>
        <v>0.23217665615141955</v>
      </c>
      <c r="CA44" s="382">
        <f t="shared" si="107"/>
        <v>0.24416135881104034</v>
      </c>
      <c r="CB44" s="382">
        <f t="shared" si="107"/>
        <v>0.25847123719464143</v>
      </c>
      <c r="CC44" s="382">
        <f t="shared" si="107"/>
        <v>0.27099567099567101</v>
      </c>
      <c r="CD44" s="382">
        <f t="shared" si="107"/>
        <v>0.28676470588235292</v>
      </c>
      <c r="CE44" s="382">
        <f t="shared" si="107"/>
        <v>0.26528854435831178</v>
      </c>
      <c r="CF44" s="382">
        <f t="shared" si="107"/>
        <v>0.1971252566735113</v>
      </c>
      <c r="CG44" s="382">
        <f t="shared" si="107"/>
        <v>0.18439269981120202</v>
      </c>
      <c r="CH44" s="382">
        <f t="shared" si="107"/>
        <v>0.19327129563350035</v>
      </c>
      <c r="CI44" s="382">
        <f t="shared" si="107"/>
        <v>0.19222761970853575</v>
      </c>
      <c r="CJ44" s="382">
        <f t="shared" si="107"/>
        <v>0.19454163750874737</v>
      </c>
      <c r="CK44" s="382">
        <f t="shared" si="107"/>
        <v>0.19209039548022599</v>
      </c>
      <c r="CL44" s="382">
        <f t="shared" si="107"/>
        <v>0.23495145631067962</v>
      </c>
      <c r="CM44" s="382">
        <f t="shared" si="107"/>
        <v>0.2494692144373673</v>
      </c>
      <c r="CN44" s="382">
        <f t="shared" si="107"/>
        <v>0.22714420358152687</v>
      </c>
      <c r="CO44" s="382">
        <f t="shared" si="107"/>
        <v>0.23903966597077245</v>
      </c>
      <c r="CP44" s="382">
        <f t="shared" si="107"/>
        <v>0.29086538461538464</v>
      </c>
      <c r="CQ44" s="382">
        <f t="shared" si="107"/>
        <v>0.23661148977604674</v>
      </c>
      <c r="CR44" s="382">
        <f t="shared" si="107"/>
        <v>0.19816373374139251</v>
      </c>
      <c r="CS44" s="382">
        <f t="shared" si="107"/>
        <v>0.23869801084990958</v>
      </c>
      <c r="CT44" s="382">
        <f t="shared" si="107"/>
        <v>0.27032520325203252</v>
      </c>
      <c r="CU44" s="382">
        <f t="shared" si="107"/>
        <v>0.22831423895253683</v>
      </c>
      <c r="CV44" s="382">
        <f>CV41/CV$4</f>
        <v>0.19172245891661593</v>
      </c>
      <c r="CW44" s="382">
        <f>CW41/CW$4</f>
        <v>0.20270270270270271</v>
      </c>
      <c r="CX44" s="382">
        <f t="shared" si="107"/>
        <v>0.20825743776563449</v>
      </c>
      <c r="CY44" s="382">
        <f t="shared" si="107"/>
        <v>0.20330296127562641</v>
      </c>
      <c r="CZ44" s="382">
        <f t="shared" si="107"/>
        <v>0.21960072595281308</v>
      </c>
      <c r="DA44" s="382">
        <f t="shared" si="107"/>
        <v>0.26145172656800564</v>
      </c>
      <c r="DB44" s="382">
        <f t="shared" si="107"/>
        <v>0.29323899371069184</v>
      </c>
      <c r="DC44" s="382">
        <f t="shared" si="107"/>
        <v>0.24363161332462444</v>
      </c>
      <c r="DD44" s="382">
        <f t="shared" si="107"/>
        <v>0.22543031649083842</v>
      </c>
      <c r="DE44" s="382">
        <f t="shared" si="107"/>
        <v>0.1857075693464974</v>
      </c>
      <c r="DF44" s="382">
        <f t="shared" si="107"/>
        <v>0.24748040313549832</v>
      </c>
      <c r="DG44" s="382">
        <f t="shared" si="107"/>
        <v>0.23809523809523808</v>
      </c>
      <c r="DH44" s="382">
        <f t="shared" si="107"/>
        <v>0.18136379864334165</v>
      </c>
      <c r="DI44" s="382">
        <f t="shared" si="107"/>
        <v>0.17663378545006164</v>
      </c>
      <c r="DJ44" s="383">
        <f t="shared" si="107"/>
        <v>0.17706821480406387</v>
      </c>
      <c r="DK44" s="383">
        <f t="shared" si="107"/>
        <v>0.17116883116883116</v>
      </c>
      <c r="DL44" s="383">
        <f t="shared" si="107"/>
        <v>0.17737073962439137</v>
      </c>
      <c r="DM44" s="383">
        <f t="shared" si="107"/>
        <v>0.16804807293825114</v>
      </c>
      <c r="DN44" s="383">
        <f t="shared" si="107"/>
        <v>0.1800577543740445</v>
      </c>
      <c r="DO44" s="383">
        <f t="shared" si="107"/>
        <v>0.19847328244274809</v>
      </c>
      <c r="DP44" s="383">
        <f t="shared" si="107"/>
        <v>0.22982929020664869</v>
      </c>
      <c r="DQ44" s="383">
        <f t="shared" si="107"/>
        <v>0.24397213788176461</v>
      </c>
      <c r="DR44" s="383">
        <f t="shared" si="107"/>
        <v>0.26359050999439565</v>
      </c>
      <c r="DS44" s="383">
        <f t="shared" si="107"/>
        <v>0.26926665422653479</v>
      </c>
      <c r="DT44" s="383">
        <f>DT41/DT$4</f>
        <v>0.25982758620689655</v>
      </c>
      <c r="DU44" s="383">
        <f>DU41/DU$4</f>
        <v>0.24497405966277561</v>
      </c>
      <c r="DV44" s="382">
        <f>DV41/DV$4</f>
        <v>0.27864059930568247</v>
      </c>
      <c r="DW44" s="382">
        <f>DW41/DW$4</f>
        <v>0.27129391602399316</v>
      </c>
      <c r="DX44" s="382">
        <f>DX41/DX$4</f>
        <v>0.23991787652148408</v>
      </c>
      <c r="DY44" s="383">
        <f t="shared" si="107"/>
        <v>0.22355706450770435</v>
      </c>
      <c r="DZ44" s="383">
        <f t="shared" si="107"/>
        <v>0.23232051626781391</v>
      </c>
      <c r="EA44" s="383">
        <f t="shared" si="107"/>
        <v>0.24645413142485362</v>
      </c>
      <c r="EB44" s="383">
        <f t="shared" ref="EB44:EW44" si="108">EB41/EB$4</f>
        <v>0.23134328358208955</v>
      </c>
      <c r="EC44" s="383">
        <f t="shared" si="108"/>
        <v>0.22687439143135346</v>
      </c>
      <c r="ED44" s="383">
        <f t="shared" si="108"/>
        <v>0.23378523359016873</v>
      </c>
      <c r="EE44" s="384">
        <f t="shared" si="108"/>
        <v>0.22426792522771152</v>
      </c>
      <c r="EF44" s="384">
        <f t="shared" si="108"/>
        <v>0.22453850400169803</v>
      </c>
      <c r="EG44" s="384">
        <f t="shared" si="108"/>
        <v>0.17796548194789158</v>
      </c>
      <c r="EH44" s="384">
        <f t="shared" si="108"/>
        <v>0.17684419993806108</v>
      </c>
      <c r="EI44" s="384">
        <f t="shared" si="108"/>
        <v>0.17332879078551086</v>
      </c>
      <c r="EJ44" s="384">
        <f t="shared" si="108"/>
        <v>0.1654738123634219</v>
      </c>
      <c r="EK44" s="384">
        <f t="shared" si="108"/>
        <v>0.16433261097805027</v>
      </c>
      <c r="EL44" s="384">
        <f t="shared" si="108"/>
        <v>0.16829337253615512</v>
      </c>
      <c r="EM44" s="384">
        <f t="shared" si="108"/>
        <v>0.16256413825101987</v>
      </c>
      <c r="EN44" s="384">
        <f t="shared" si="108"/>
        <v>0.15143990113600678</v>
      </c>
      <c r="EO44" s="384">
        <f t="shared" si="108"/>
        <v>0.14295231570624878</v>
      </c>
      <c r="EP44" s="384">
        <f t="shared" si="108"/>
        <v>0.15170707521202612</v>
      </c>
      <c r="EQ44" s="384">
        <f t="shared" si="108"/>
        <v>0.14986655526232778</v>
      </c>
      <c r="ER44" s="384">
        <f t="shared" si="108"/>
        <v>0.14298423579868264</v>
      </c>
      <c r="ES44" s="384">
        <f t="shared" si="108"/>
        <v>0.14379474269265957</v>
      </c>
      <c r="ET44" s="384">
        <f t="shared" si="108"/>
        <v>0.15164686542445785</v>
      </c>
      <c r="EU44" s="384">
        <f t="shared" si="108"/>
        <v>0.14840304877757374</v>
      </c>
      <c r="EV44" s="384">
        <f t="shared" si="108"/>
        <v>0.13775737257136911</v>
      </c>
      <c r="EW44" s="384">
        <f t="shared" si="108"/>
        <v>0.13299919868767307</v>
      </c>
      <c r="EZ44" s="382">
        <f t="shared" ref="EZ44:GF44" si="109">EZ41/EZ$4</f>
        <v>0.15944014366491127</v>
      </c>
      <c r="FA44" s="382">
        <f t="shared" si="109"/>
        <v>0.13116099573749251</v>
      </c>
      <c r="FB44" s="382">
        <f t="shared" si="109"/>
        <v>0.16362146482481138</v>
      </c>
      <c r="FC44" s="382">
        <f t="shared" si="109"/>
        <v>0.20517107104436771</v>
      </c>
      <c r="FD44" s="382">
        <f t="shared" si="109"/>
        <v>0.19855795448517322</v>
      </c>
      <c r="FE44" s="382">
        <f t="shared" si="109"/>
        <v>0.22319847718910951</v>
      </c>
      <c r="FF44" s="382">
        <f t="shared" si="109"/>
        <v>0.22248919024469452</v>
      </c>
      <c r="FG44" s="382">
        <f t="shared" si="109"/>
        <v>0.13819404774183297</v>
      </c>
      <c r="FH44" s="382">
        <f t="shared" si="109"/>
        <v>0.16725877329348157</v>
      </c>
      <c r="FI44" s="382">
        <f t="shared" si="109"/>
        <v>0.28702472238896953</v>
      </c>
      <c r="FJ44" s="382">
        <f t="shared" si="109"/>
        <v>0.24212370651244844</v>
      </c>
      <c r="FK44" s="382">
        <f t="shared" si="109"/>
        <v>0.18686117084396778</v>
      </c>
      <c r="FL44" s="382">
        <f t="shared" si="109"/>
        <v>0.1956408611635212</v>
      </c>
      <c r="FM44" s="382">
        <f t="shared" si="109"/>
        <v>0.2133472540190581</v>
      </c>
      <c r="FN44" s="382">
        <f t="shared" si="109"/>
        <v>0.30716780309329783</v>
      </c>
      <c r="FO44" s="382">
        <f t="shared" si="109"/>
        <v>0.32835289932408396</v>
      </c>
      <c r="FP44" s="382">
        <f t="shared" si="109"/>
        <v>0.22154358689616879</v>
      </c>
      <c r="FQ44" s="382">
        <f t="shared" si="109"/>
        <v>0.21635355712965815</v>
      </c>
      <c r="FR44" s="382">
        <f t="shared" si="109"/>
        <v>0.22122411693057248</v>
      </c>
      <c r="FS44" s="382">
        <f t="shared" si="109"/>
        <v>0.24972334931759499</v>
      </c>
      <c r="FT44" s="382">
        <f t="shared" si="109"/>
        <v>0.2266465370824684</v>
      </c>
      <c r="FU44" s="382">
        <f t="shared" si="109"/>
        <v>0.19306211405739193</v>
      </c>
      <c r="FV44" s="382">
        <f t="shared" si="109"/>
        <v>0.23728388874968678</v>
      </c>
      <c r="FW44" s="382">
        <f t="shared" si="109"/>
        <v>0.23595505617977527</v>
      </c>
      <c r="FX44" s="382">
        <f t="shared" si="109"/>
        <v>0.21767686245074122</v>
      </c>
      <c r="FY44" s="382">
        <f t="shared" si="109"/>
        <v>0.22146718146718147</v>
      </c>
      <c r="FZ44" s="382">
        <f t="shared" si="109"/>
        <v>0.22983212004159859</v>
      </c>
      <c r="GA44" s="382">
        <f t="shared" si="109"/>
        <v>0.20311379698863055</v>
      </c>
      <c r="GB44" s="382">
        <f t="shared" si="109"/>
        <v>0.17311670926128758</v>
      </c>
      <c r="GC44" s="382">
        <f t="shared" si="109"/>
        <v>0.21206728528452184</v>
      </c>
      <c r="GD44" s="382">
        <f t="shared" si="109"/>
        <v>0.25890652557319221</v>
      </c>
      <c r="GE44" s="382">
        <f t="shared" si="109"/>
        <v>0.25037812681791738</v>
      </c>
      <c r="GF44" s="382">
        <f t="shared" si="109"/>
        <v>0.23358064609255463</v>
      </c>
      <c r="GG44" s="384">
        <f>GG41/GG$4</f>
        <v>0.21120159307570008</v>
      </c>
      <c r="GH44" s="384">
        <f>GH41/GH$4</f>
        <v>0.16932931865653877</v>
      </c>
      <c r="GI44" s="384">
        <f t="shared" ref="GI44:GK44" si="110">GI41/GI$4</f>
        <v>0.15562671814510642</v>
      </c>
      <c r="GJ44" s="384">
        <f t="shared" si="110"/>
        <v>0.14686386886639213</v>
      </c>
      <c r="GK44" s="384">
        <f t="shared" si="110"/>
        <v>0.14215447170625742</v>
      </c>
      <c r="GN44" s="70"/>
    </row>
    <row r="45" spans="1:240" s="382" customFormat="1">
      <c r="A45" s="409" t="s">
        <v>215</v>
      </c>
      <c r="B45" s="377">
        <f>AMD!AF22</f>
        <v>68.480999999999995</v>
      </c>
      <c r="C45" s="377">
        <f>AMD!AG22</f>
        <v>67.253</v>
      </c>
      <c r="D45" s="377">
        <f>AMD!AH22</f>
        <v>71.978999999999999</v>
      </c>
      <c r="E45" s="377">
        <f>AMD!AI22</f>
        <v>83.147999999999996</v>
      </c>
      <c r="F45" s="377">
        <f>AMD!AK22</f>
        <v>92.894000000000005</v>
      </c>
      <c r="G45" s="377">
        <f>AMD!AL22</f>
        <v>91.730999999999995</v>
      </c>
      <c r="H45" s="377">
        <f>AMD!AM22</f>
        <v>87.369</v>
      </c>
      <c r="I45" s="377">
        <f>AMD!AN22</f>
        <v>87.236000000000004</v>
      </c>
      <c r="J45" s="377">
        <f>AMD!AP22</f>
        <v>96.945999999999998</v>
      </c>
      <c r="K45" s="377">
        <f>AMD!AQ22</f>
        <v>97.364000000000004</v>
      </c>
      <c r="L45" s="377">
        <f>AMD!AR22</f>
        <v>95.525000000000006</v>
      </c>
      <c r="M45" s="377">
        <f>AMD!AS22</f>
        <v>95.180999999999997</v>
      </c>
      <c r="N45" s="377">
        <f>AMD!AU22</f>
        <v>103.011</v>
      </c>
      <c r="O45" s="377">
        <f>AMD!AV22</f>
        <v>83.063000000000002</v>
      </c>
      <c r="P45" s="377">
        <f>AMD!AW22</f>
        <v>90.432000000000002</v>
      </c>
      <c r="Q45" s="377">
        <f>AMD!AX22</f>
        <v>88.292000000000002</v>
      </c>
      <c r="R45" s="377">
        <f>AMD!AZ22</f>
        <v>94.519000000000005</v>
      </c>
      <c r="S45" s="377">
        <f>AMD!BA22</f>
        <v>102.983</v>
      </c>
      <c r="T45" s="377">
        <f>AMD!BB22</f>
        <v>100.91500000000001</v>
      </c>
      <c r="U45" s="377">
        <f>AMD!BC22</f>
        <v>102.29600000000001</v>
      </c>
      <c r="V45" s="377">
        <f>AMD!BE22</f>
        <v>88.213999999999999</v>
      </c>
      <c r="W45" s="377">
        <f>AMD!BF22</f>
        <v>101.19799999999999</v>
      </c>
      <c r="X45" s="377">
        <f>AMD!BG22</f>
        <v>109.768</v>
      </c>
      <c r="Y45" s="377">
        <f>AMD!BH22</f>
        <v>120.498</v>
      </c>
      <c r="Z45" s="377">
        <f>AMD!BJ22</f>
        <v>127.31</v>
      </c>
      <c r="AA45" s="377">
        <f>AMD!BK22</f>
        <v>124.52</v>
      </c>
      <c r="AB45" s="377">
        <f>AMD!BL22</f>
        <v>129.43700000000001</v>
      </c>
      <c r="AC45" s="377">
        <f>AMD!BM22</f>
        <v>158.803</v>
      </c>
      <c r="AD45" s="377">
        <f>AMD!BO22</f>
        <v>144.30600000000001</v>
      </c>
      <c r="AE45" s="377">
        <f>AMD!BP22</f>
        <v>152.02199999999999</v>
      </c>
      <c r="AF45" s="377">
        <f>AMD!BQ22</f>
        <v>141.93100000000001</v>
      </c>
      <c r="AG45" s="377">
        <f>AMD!BR22</f>
        <v>160.756</v>
      </c>
      <c r="AH45" s="377">
        <f>AMD!BT22</f>
        <v>149.13800000000001</v>
      </c>
      <c r="AI45" s="377">
        <f>AMD!BU22</f>
        <v>156.291</v>
      </c>
      <c r="AJ45" s="377">
        <f>AMD!BV22</f>
        <v>150.91800000000001</v>
      </c>
      <c r="AK45" s="377">
        <f>AMD!BW22</f>
        <v>163.684</v>
      </c>
      <c r="AL45" s="377">
        <f>AMD!BY22</f>
        <v>156.86000000000001</v>
      </c>
      <c r="AM45" s="377">
        <f>AMD!BZ22</f>
        <v>160.24799999999999</v>
      </c>
      <c r="AN45" s="377">
        <f>AMD!CA22</f>
        <v>158.56800000000001</v>
      </c>
      <c r="AO45" s="377">
        <f>AMD!CB22</f>
        <v>194.38900000000001</v>
      </c>
      <c r="AP45" s="377">
        <f>AMD!CD22</f>
        <v>138.22800000000001</v>
      </c>
      <c r="AQ45" s="377">
        <f>AMD!CE22</f>
        <v>135.161</v>
      </c>
      <c r="AR45" s="377">
        <f>AMD!CF22</f>
        <v>151.11099999999999</v>
      </c>
      <c r="AS45" s="377">
        <f>AMD!CG22</f>
        <v>162.80699999999999</v>
      </c>
      <c r="AT45" s="377">
        <f>AMD!CI22</f>
        <v>180.21700000000001</v>
      </c>
      <c r="AU45" s="377">
        <f>AMD!CJ22</f>
        <v>178.99299999999999</v>
      </c>
      <c r="AV45" s="377">
        <f>AMD!CK22</f>
        <v>202.179</v>
      </c>
      <c r="AW45" s="377">
        <f>AMD!CL22</f>
        <v>245.62200000000001</v>
      </c>
      <c r="AX45" s="377">
        <f>AMD!CN22</f>
        <v>211.714</v>
      </c>
      <c r="AY45" s="377">
        <f>AMD!CO22</f>
        <v>228.511</v>
      </c>
      <c r="AZ45" s="377">
        <f>AMD!CP22</f>
        <v>258.74799999999999</v>
      </c>
      <c r="BA45" s="377">
        <f>AMD!CQ22</f>
        <v>317.11099999999999</v>
      </c>
      <c r="BB45" s="377">
        <f>AMD!CS22</f>
        <v>256.04199999999997</v>
      </c>
      <c r="BC45" s="377">
        <f>AMD!CT22</f>
        <v>309.52499999999998</v>
      </c>
      <c r="BD45" s="377">
        <f>AMD!CU22</f>
        <v>285.80599999999998</v>
      </c>
      <c r="BE45" s="377">
        <f>AMD!CV22</f>
        <v>294</v>
      </c>
      <c r="BF45" s="377">
        <f>AMD!CX22</f>
        <v>335</v>
      </c>
      <c r="BG45" s="377">
        <f>AMD!CY22</f>
        <v>346</v>
      </c>
      <c r="BH45" s="377">
        <f>AMD!CZ22</f>
        <v>352</v>
      </c>
      <c r="BI45" s="377">
        <f>AMD!DA22</f>
        <v>321</v>
      </c>
      <c r="BJ45" s="377">
        <f>AMD!DC22</f>
        <v>341</v>
      </c>
      <c r="BK45" s="377">
        <f>AMD!DD22</f>
        <v>337</v>
      </c>
      <c r="BL45" s="377">
        <f>AMD!DE22</f>
        <v>315</v>
      </c>
      <c r="BM45" s="377">
        <f>AMD!DF22</f>
        <v>294</v>
      </c>
      <c r="BN45" s="377">
        <f>AMD!DH22</f>
        <v>252</v>
      </c>
      <c r="BO45" s="377">
        <f>AMD!DI22</f>
        <v>222</v>
      </c>
      <c r="BP45" s="377">
        <f>AMD!DJ22</f>
        <v>195</v>
      </c>
      <c r="BQ45" s="377">
        <f>AMD!DK22</f>
        <v>209</v>
      </c>
      <c r="BR45" s="377">
        <f>AMD!DM22</f>
        <v>219</v>
      </c>
      <c r="BS45" s="377">
        <f>AMD!DN22</f>
        <v>229</v>
      </c>
      <c r="BT45" s="377">
        <f>AMD!DO22</f>
        <v>236</v>
      </c>
      <c r="BU45" s="377">
        <f>AMD!DP22</f>
        <v>250</v>
      </c>
      <c r="BV45" s="377">
        <f>AMD!DR22</f>
        <v>261</v>
      </c>
      <c r="BW45" s="377">
        <f>AMD!DS22</f>
        <v>239</v>
      </c>
      <c r="BX45" s="377">
        <f>AMD!DT22</f>
        <v>249</v>
      </c>
      <c r="BY45" s="377">
        <f>AMD!DU22</f>
        <v>243</v>
      </c>
      <c r="BZ45" s="377">
        <f>AMD!DW22</f>
        <v>224</v>
      </c>
      <c r="CA45" s="377">
        <f>AMD!DX22</f>
        <v>212</v>
      </c>
      <c r="CB45" s="377">
        <f>AMD!DY22</f>
        <v>188</v>
      </c>
      <c r="CC45" s="377">
        <f>AMD!DZ22</f>
        <v>193</v>
      </c>
      <c r="CD45" s="377">
        <f>AMD!EB22</f>
        <v>179</v>
      </c>
      <c r="CE45" s="377">
        <f>AMD!EC22</f>
        <v>171</v>
      </c>
      <c r="CF45" s="377">
        <f>AMD!ED22</f>
        <v>155</v>
      </c>
      <c r="CG45" s="377">
        <f>AMD!EE22</f>
        <v>169</v>
      </c>
      <c r="CH45" s="377">
        <f>AMD!EG22</f>
        <v>151</v>
      </c>
      <c r="CI45" s="377">
        <f>AMD!EH22</f>
        <v>154</v>
      </c>
      <c r="CJ45" s="377">
        <f>AMD!EI22</f>
        <v>150</v>
      </c>
      <c r="CK45" s="377">
        <f>AMD!EJ22</f>
        <v>144</v>
      </c>
      <c r="CL45" s="377">
        <f>AMD!EL22</f>
        <v>131</v>
      </c>
      <c r="CM45" s="377">
        <f>AMD!EM22</f>
        <v>134</v>
      </c>
      <c r="CN45" s="377">
        <f>AMD!EN22</f>
        <v>108</v>
      </c>
      <c r="CO45" s="377">
        <f>AMD!EO22</f>
        <v>109</v>
      </c>
      <c r="CP45" s="377">
        <f>AMD!EQ22</f>
        <v>105</v>
      </c>
      <c r="CQ45" s="377">
        <f>AMD!ER22</f>
        <v>117</v>
      </c>
      <c r="CR45" s="377">
        <f>AMD!ES22</f>
        <v>117</v>
      </c>
      <c r="CS45" s="377">
        <f>AMD!ET22</f>
        <v>121</v>
      </c>
      <c r="CT45" s="377">
        <f>AMD!EV22</f>
        <v>121</v>
      </c>
      <c r="CU45" s="377">
        <f>AMD!EW22</f>
        <v>125</v>
      </c>
      <c r="CV45" s="377">
        <f>AMD!EX22</f>
        <v>132</v>
      </c>
      <c r="CW45" s="377">
        <f>AMD!EY22</f>
        <v>133</v>
      </c>
      <c r="CX45" s="377">
        <f>AMD!FA22</f>
        <v>134</v>
      </c>
      <c r="CY45" s="377">
        <f>AMD!FB22</f>
        <v>142</v>
      </c>
      <c r="CZ45" s="377">
        <f>AMD!FC22</f>
        <v>148</v>
      </c>
      <c r="DA45" s="377">
        <f>AMD!FD22</f>
        <v>138</v>
      </c>
      <c r="DB45" s="377">
        <f>AMD!FF22</f>
        <v>165</v>
      </c>
      <c r="DC45" s="377">
        <f>AMD!FG22</f>
        <v>182</v>
      </c>
      <c r="DD45" s="377">
        <f>AMD!FH22</f>
        <v>185</v>
      </c>
      <c r="DE45" s="377">
        <f>AMD!FI22</f>
        <v>206</v>
      </c>
      <c r="DF45" s="377">
        <f>AMD!FK22</f>
        <v>199</v>
      </c>
      <c r="DG45" s="377">
        <f>AMD!FL22</f>
        <v>215</v>
      </c>
      <c r="DH45" s="377">
        <f>AMD!FM22</f>
        <v>273</v>
      </c>
      <c r="DI45" s="377">
        <f>AMD!FN22</f>
        <v>294</v>
      </c>
      <c r="DJ45" s="377">
        <f>AMD!FP22</f>
        <v>300</v>
      </c>
      <c r="DK45" s="377">
        <f>AMD!FQ22</f>
        <v>330</v>
      </c>
      <c r="DL45" s="377">
        <f>AMD!FR22</f>
        <v>365</v>
      </c>
      <c r="DM45" s="377">
        <f>AMD!FS22</f>
        <v>399</v>
      </c>
      <c r="DN45" s="377">
        <f>AMD!FU22</f>
        <v>373</v>
      </c>
      <c r="DO45" s="377">
        <f>AMD!FV22</f>
        <v>507</v>
      </c>
      <c r="DP45" s="377">
        <f>AMD!FW22</f>
        <v>494</v>
      </c>
      <c r="DQ45" s="377">
        <f>AMD!FX22</f>
        <v>532</v>
      </c>
      <c r="DR45" s="377">
        <f>AMD!FZ22</f>
        <v>463</v>
      </c>
      <c r="DS45" s="377">
        <f>AMD!GA22</f>
        <v>492</v>
      </c>
      <c r="DT45" s="377">
        <f>AMD!GB22</f>
        <v>527</v>
      </c>
      <c r="DU45" s="377">
        <f>AMD!GC22</f>
        <v>578</v>
      </c>
      <c r="DV45" s="377">
        <f>AMD!GE22</f>
        <v>568</v>
      </c>
      <c r="DW45" s="377">
        <f>AMD!GF22</f>
        <v>595</v>
      </c>
      <c r="DX45" s="377">
        <f>AMD!GG22</f>
        <v>652</v>
      </c>
      <c r="DY45" s="377">
        <f>AMD!GH22</f>
        <v>735</v>
      </c>
      <c r="DZ45" s="377">
        <f>AMD!GJ22</f>
        <v>844</v>
      </c>
      <c r="EA45" s="377">
        <f>AMD!GK22</f>
        <v>898</v>
      </c>
      <c r="EB45" s="377">
        <f>AMD!GL22</f>
        <v>1027</v>
      </c>
      <c r="EC45" s="377">
        <f>AMD!GM22</f>
        <v>1149</v>
      </c>
      <c r="ED45" s="377">
        <f>AMD!GO22</f>
        <v>1227</v>
      </c>
      <c r="EE45" s="380">
        <f t="shared" ref="EE45:EW45" si="111">ED45*(1+EE46)</f>
        <v>1288.3500000000001</v>
      </c>
      <c r="EF45" s="380">
        <f t="shared" si="111"/>
        <v>1365.6510000000003</v>
      </c>
      <c r="EG45" s="380">
        <f t="shared" si="111"/>
        <v>1447.5900600000004</v>
      </c>
      <c r="EH45" s="380">
        <f t="shared" si="111"/>
        <v>1519.9695630000006</v>
      </c>
      <c r="EI45" s="380">
        <f t="shared" si="111"/>
        <v>1611.1677367800007</v>
      </c>
      <c r="EJ45" s="380">
        <f t="shared" si="111"/>
        <v>1756.1728330902008</v>
      </c>
      <c r="EK45" s="380">
        <f t="shared" si="111"/>
        <v>1914.228388068319</v>
      </c>
      <c r="EL45" s="380">
        <f t="shared" si="111"/>
        <v>1914.228388068319</v>
      </c>
      <c r="EM45" s="380">
        <f t="shared" si="111"/>
        <v>1914.228388068319</v>
      </c>
      <c r="EN45" s="380">
        <f t="shared" si="111"/>
        <v>1914.228388068319</v>
      </c>
      <c r="EO45" s="380">
        <f t="shared" si="111"/>
        <v>1933.3706719490021</v>
      </c>
      <c r="EP45" s="380">
        <f t="shared" si="111"/>
        <v>1972.0380853879822</v>
      </c>
      <c r="EQ45" s="380">
        <f t="shared" si="111"/>
        <v>2011.4788470957419</v>
      </c>
      <c r="ER45" s="380">
        <f t="shared" si="111"/>
        <v>2071.8232125086142</v>
      </c>
      <c r="ES45" s="380">
        <f t="shared" si="111"/>
        <v>2133.9779088838727</v>
      </c>
      <c r="ET45" s="380">
        <f t="shared" si="111"/>
        <v>2155.3176879727116</v>
      </c>
      <c r="EU45" s="380">
        <f t="shared" si="111"/>
        <v>2176.8708648524389</v>
      </c>
      <c r="EV45" s="380">
        <f t="shared" si="111"/>
        <v>2198.6395735009633</v>
      </c>
      <c r="EW45" s="380">
        <f t="shared" si="111"/>
        <v>2220.6259692359731</v>
      </c>
      <c r="EZ45" s="376">
        <f>B45+C45+D45+E45</f>
        <v>290.86099999999999</v>
      </c>
      <c r="FA45" s="376">
        <f>F45+G45+H45+I45</f>
        <v>359.23</v>
      </c>
      <c r="FB45" s="376">
        <f>J45+K45+L45+M45</f>
        <v>385.01600000000002</v>
      </c>
      <c r="FC45" s="376">
        <f>N45+O45+P45+Q45</f>
        <v>364.798</v>
      </c>
      <c r="FD45" s="376">
        <f>R45+S45+T45+U45</f>
        <v>400.71300000000002</v>
      </c>
      <c r="FE45" s="376">
        <f>V45+W45+X45+Y45</f>
        <v>419.67799999999994</v>
      </c>
      <c r="FF45" s="376">
        <f>Z45+AA45+AB45+AC45</f>
        <v>540.06999999999994</v>
      </c>
      <c r="FG45" s="376">
        <f>AD45+AE45+AF45+AG45</f>
        <v>599.01499999999999</v>
      </c>
      <c r="FH45" s="376">
        <f>AH45+AI45+AJ45+AK45</f>
        <v>620.03099999999995</v>
      </c>
      <c r="FI45" s="376">
        <f>AL45+AM45+AN45+AO45</f>
        <v>670.06500000000005</v>
      </c>
      <c r="FJ45" s="376">
        <f>AP45+AQ45+AR45+AS45</f>
        <v>587.30700000000002</v>
      </c>
      <c r="FK45" s="376">
        <f>AT45+AU45+AV45+AW45</f>
        <v>807.01099999999997</v>
      </c>
      <c r="FL45" s="376">
        <f>AX45+AY45+AZ45+BA45</f>
        <v>1016.0839999999999</v>
      </c>
      <c r="FM45" s="376">
        <f>BB45+BC45+BD45+BE45</f>
        <v>1145.373</v>
      </c>
      <c r="FN45" s="376">
        <f>BF45+BG45+BH45+BI45</f>
        <v>1354</v>
      </c>
      <c r="FO45" s="376">
        <f>BJ45+BK45+BL45+BM45</f>
        <v>1287</v>
      </c>
      <c r="FP45" s="376">
        <f>BN45+BO45+BP45+BQ45</f>
        <v>878</v>
      </c>
      <c r="FQ45" s="376">
        <f>BR45+BS45+BT45+BU45</f>
        <v>934</v>
      </c>
      <c r="FR45" s="376">
        <f>BV45+BW45+BX45+BY45</f>
        <v>992</v>
      </c>
      <c r="FS45" s="376">
        <f>BZ45+CA45+CB45+CC45</f>
        <v>817</v>
      </c>
      <c r="FT45" s="376">
        <f>CD45+CE45+CF45+CG45</f>
        <v>674</v>
      </c>
      <c r="FU45" s="376">
        <f>CH45+CI45+CJ45+CK45</f>
        <v>599</v>
      </c>
      <c r="FV45" s="376">
        <f>CL45+CM45+CN45+CO45</f>
        <v>482</v>
      </c>
      <c r="FW45" s="376">
        <f>CP45+CQ45+CR45+CS45</f>
        <v>460</v>
      </c>
      <c r="FX45" s="376">
        <f>CT45+CU45+CV45+CW45</f>
        <v>511</v>
      </c>
      <c r="FY45" s="376">
        <f>CX45+CY45+CZ45+DA45</f>
        <v>562</v>
      </c>
      <c r="FZ45" s="376">
        <f>DB45+DC45+DD45+DE45</f>
        <v>738</v>
      </c>
      <c r="GA45" s="376">
        <f>SUM(DF45:DI45)</f>
        <v>981</v>
      </c>
      <c r="GB45" s="376">
        <f>SUM(DJ45:DM45)</f>
        <v>1394</v>
      </c>
      <c r="GC45" s="376">
        <f>SUM(DN45:DQ45)</f>
        <v>1906</v>
      </c>
      <c r="GD45" s="376">
        <f>SUM(DR45:DU45)</f>
        <v>2060</v>
      </c>
      <c r="GE45" s="376">
        <f>SUM(DV45:DY45)</f>
        <v>2550</v>
      </c>
      <c r="GF45" s="376">
        <f>SUM(DZ45:EC45)</f>
        <v>3918</v>
      </c>
      <c r="GG45" s="380">
        <f>SUM(ED45:EG45)</f>
        <v>5328.5910600000007</v>
      </c>
      <c r="GH45" s="380">
        <f>SUM(EH45:EK45)</f>
        <v>6801.5385209385213</v>
      </c>
      <c r="GI45" s="380">
        <f>SUM(EL45:EO45)</f>
        <v>7676.0558361539588</v>
      </c>
      <c r="GJ45" s="380">
        <f>SUM(EP45:ES45)</f>
        <v>8189.3180538762117</v>
      </c>
      <c r="GK45" s="380">
        <f>SUM(ET45:EW45)</f>
        <v>8751.4540955620869</v>
      </c>
      <c r="GN45" s="70"/>
    </row>
    <row r="46" spans="1:240" s="382" customFormat="1">
      <c r="A46" s="396" t="s">
        <v>198</v>
      </c>
      <c r="C46" s="382">
        <f t="shared" ref="C46:BN46" si="112">C45/B45-1</f>
        <v>-1.7931981133452957E-2</v>
      </c>
      <c r="D46" s="382">
        <f t="shared" si="112"/>
        <v>7.0271958128261813E-2</v>
      </c>
      <c r="E46" s="382">
        <f t="shared" si="112"/>
        <v>0.15517025799191431</v>
      </c>
      <c r="F46" s="382">
        <f t="shared" si="112"/>
        <v>0.11721268100254978</v>
      </c>
      <c r="G46" s="382">
        <f t="shared" si="112"/>
        <v>-1.2519646048184119E-2</v>
      </c>
      <c r="H46" s="382">
        <f t="shared" si="112"/>
        <v>-4.7552081629983256E-2</v>
      </c>
      <c r="I46" s="382">
        <f t="shared" si="112"/>
        <v>-1.5222790692350774E-3</v>
      </c>
      <c r="J46" s="382">
        <f t="shared" si="112"/>
        <v>0.11130725847127332</v>
      </c>
      <c r="K46" s="382">
        <f t="shared" si="112"/>
        <v>4.3116786664740836E-3</v>
      </c>
      <c r="L46" s="382">
        <f t="shared" si="112"/>
        <v>-1.8887884639086305E-2</v>
      </c>
      <c r="M46" s="382">
        <f t="shared" si="112"/>
        <v>-3.601151531012925E-3</v>
      </c>
      <c r="N46" s="382">
        <f t="shared" si="112"/>
        <v>8.2264317458316194E-2</v>
      </c>
      <c r="O46" s="382">
        <f t="shared" si="112"/>
        <v>-0.19364922192775524</v>
      </c>
      <c r="P46" s="382">
        <f t="shared" si="112"/>
        <v>8.871579403585228E-2</v>
      </c>
      <c r="Q46" s="382">
        <f t="shared" si="112"/>
        <v>-2.366418966737438E-2</v>
      </c>
      <c r="R46" s="382">
        <f t="shared" si="112"/>
        <v>7.0527341095456109E-2</v>
      </c>
      <c r="S46" s="382">
        <f t="shared" si="112"/>
        <v>8.9548133179572442E-2</v>
      </c>
      <c r="T46" s="382">
        <f t="shared" si="112"/>
        <v>-2.0080984240117283E-2</v>
      </c>
      <c r="U46" s="382">
        <f t="shared" si="112"/>
        <v>1.3684784224347268E-2</v>
      </c>
      <c r="V46" s="382">
        <f t="shared" si="112"/>
        <v>-0.13765934151873005</v>
      </c>
      <c r="W46" s="382">
        <f t="shared" si="112"/>
        <v>0.14718752125512946</v>
      </c>
      <c r="X46" s="382">
        <f t="shared" si="112"/>
        <v>8.4685468092254856E-2</v>
      </c>
      <c r="Y46" s="382">
        <f t="shared" si="112"/>
        <v>9.7751621601924077E-2</v>
      </c>
      <c r="Z46" s="382">
        <f t="shared" si="112"/>
        <v>5.6532058623379511E-2</v>
      </c>
      <c r="AA46" s="382">
        <f t="shared" si="112"/>
        <v>-2.1915010604037444E-2</v>
      </c>
      <c r="AB46" s="382">
        <f t="shared" si="112"/>
        <v>3.9487632508834025E-2</v>
      </c>
      <c r="AC46" s="382">
        <f t="shared" si="112"/>
        <v>0.22687485031327959</v>
      </c>
      <c r="AD46" s="382">
        <f t="shared" si="112"/>
        <v>-9.1289207382731941E-2</v>
      </c>
      <c r="AE46" s="382">
        <f t="shared" si="112"/>
        <v>5.3469710199159914E-2</v>
      </c>
      <c r="AF46" s="382">
        <f t="shared" si="112"/>
        <v>-6.6378550472957709E-2</v>
      </c>
      <c r="AG46" s="382">
        <f t="shared" si="112"/>
        <v>0.13263487187436129</v>
      </c>
      <c r="AH46" s="382">
        <f t="shared" si="112"/>
        <v>-7.2271019433178152E-2</v>
      </c>
      <c r="AI46" s="382">
        <f t="shared" si="112"/>
        <v>4.7962289959634585E-2</v>
      </c>
      <c r="AJ46" s="382">
        <f t="shared" si="112"/>
        <v>-3.4378179165786782E-2</v>
      </c>
      <c r="AK46" s="382">
        <f t="shared" si="112"/>
        <v>8.4588982096237553E-2</v>
      </c>
      <c r="AL46" s="382">
        <f t="shared" si="112"/>
        <v>-4.1690085775029861E-2</v>
      </c>
      <c r="AM46" s="382">
        <f t="shared" si="112"/>
        <v>2.1598877980364417E-2</v>
      </c>
      <c r="AN46" s="382">
        <f t="shared" si="112"/>
        <v>-1.0483750187209706E-2</v>
      </c>
      <c r="AO46" s="382">
        <f t="shared" si="112"/>
        <v>0.22590308258917302</v>
      </c>
      <c r="AP46" s="382">
        <f t="shared" si="112"/>
        <v>-0.28891038073141995</v>
      </c>
      <c r="AQ46" s="382">
        <f t="shared" si="112"/>
        <v>-2.2187979280608894E-2</v>
      </c>
      <c r="AR46" s="382">
        <f t="shared" si="112"/>
        <v>0.11800741338107867</v>
      </c>
      <c r="AS46" s="382">
        <f t="shared" si="112"/>
        <v>7.7400056911806514E-2</v>
      </c>
      <c r="AT46" s="382">
        <f t="shared" si="112"/>
        <v>0.10693643393711594</v>
      </c>
      <c r="AU46" s="382">
        <f t="shared" si="112"/>
        <v>-6.7918120931989012E-3</v>
      </c>
      <c r="AV46" s="382">
        <f t="shared" si="112"/>
        <v>0.12953579190247666</v>
      </c>
      <c r="AW46" s="382">
        <f t="shared" si="112"/>
        <v>0.21487394833291296</v>
      </c>
      <c r="AX46" s="382">
        <f t="shared" si="112"/>
        <v>-0.13804952325117459</v>
      </c>
      <c r="AY46" s="382">
        <f t="shared" si="112"/>
        <v>7.9338163749208768E-2</v>
      </c>
      <c r="AZ46" s="382">
        <f t="shared" si="112"/>
        <v>0.13232185759110071</v>
      </c>
      <c r="BA46" s="382">
        <f t="shared" si="112"/>
        <v>0.22555923137570155</v>
      </c>
      <c r="BB46" s="382">
        <f t="shared" si="112"/>
        <v>-0.19257925458278025</v>
      </c>
      <c r="BC46" s="382">
        <f t="shared" si="112"/>
        <v>0.20888369876817081</v>
      </c>
      <c r="BD46" s="382">
        <f t="shared" si="112"/>
        <v>-7.6630320652612882E-2</v>
      </c>
      <c r="BE46" s="382">
        <f t="shared" si="112"/>
        <v>2.8669796995164587E-2</v>
      </c>
      <c r="BF46" s="382">
        <f t="shared" si="112"/>
        <v>0.13945578231292521</v>
      </c>
      <c r="BG46" s="382">
        <f t="shared" si="112"/>
        <v>3.2835820895522394E-2</v>
      </c>
      <c r="BH46" s="382">
        <f t="shared" si="112"/>
        <v>1.7341040462427681E-2</v>
      </c>
      <c r="BI46" s="382">
        <f t="shared" si="112"/>
        <v>-8.8068181818181768E-2</v>
      </c>
      <c r="BJ46" s="382">
        <f t="shared" si="112"/>
        <v>6.230529595015577E-2</v>
      </c>
      <c r="BK46" s="382">
        <f t="shared" si="112"/>
        <v>-1.1730205278592365E-2</v>
      </c>
      <c r="BL46" s="382">
        <f t="shared" si="112"/>
        <v>-6.5281899109792318E-2</v>
      </c>
      <c r="BM46" s="382">
        <f t="shared" si="112"/>
        <v>-6.6666666666666652E-2</v>
      </c>
      <c r="BN46" s="382">
        <f t="shared" si="112"/>
        <v>-0.1428571428571429</v>
      </c>
      <c r="BO46" s="382">
        <f t="shared" ref="BO46:DZ46" si="113">BO45/BN45-1</f>
        <v>-0.11904761904761907</v>
      </c>
      <c r="BP46" s="382">
        <f t="shared" si="113"/>
        <v>-0.1216216216216216</v>
      </c>
      <c r="BQ46" s="382">
        <f t="shared" si="113"/>
        <v>7.1794871794871762E-2</v>
      </c>
      <c r="BR46" s="382">
        <f t="shared" si="113"/>
        <v>4.7846889952153138E-2</v>
      </c>
      <c r="BS46" s="382">
        <f t="shared" si="113"/>
        <v>4.5662100456621113E-2</v>
      </c>
      <c r="BT46" s="382">
        <f t="shared" si="113"/>
        <v>3.0567685589519611E-2</v>
      </c>
      <c r="BU46" s="382">
        <f t="shared" si="113"/>
        <v>5.9322033898305149E-2</v>
      </c>
      <c r="BV46" s="382">
        <f t="shared" si="113"/>
        <v>4.4000000000000039E-2</v>
      </c>
      <c r="BW46" s="382">
        <f t="shared" si="113"/>
        <v>-8.4291187739463647E-2</v>
      </c>
      <c r="BX46" s="382">
        <f t="shared" si="113"/>
        <v>4.1841004184100417E-2</v>
      </c>
      <c r="BY46" s="382">
        <f t="shared" si="113"/>
        <v>-2.4096385542168641E-2</v>
      </c>
      <c r="BZ46" s="382">
        <f t="shared" si="113"/>
        <v>-7.8189300411522611E-2</v>
      </c>
      <c r="CA46" s="382">
        <f t="shared" si="113"/>
        <v>-5.3571428571428603E-2</v>
      </c>
      <c r="CB46" s="382">
        <f t="shared" si="113"/>
        <v>-0.1132075471698113</v>
      </c>
      <c r="CC46" s="382">
        <f t="shared" si="113"/>
        <v>2.659574468085113E-2</v>
      </c>
      <c r="CD46" s="382">
        <f t="shared" si="113"/>
        <v>-7.2538860103626979E-2</v>
      </c>
      <c r="CE46" s="382">
        <f t="shared" si="113"/>
        <v>-4.4692737430167551E-2</v>
      </c>
      <c r="CF46" s="382">
        <f t="shared" si="113"/>
        <v>-9.3567251461988299E-2</v>
      </c>
      <c r="CG46" s="382">
        <f t="shared" si="113"/>
        <v>9.0322580645161299E-2</v>
      </c>
      <c r="CH46" s="382">
        <f t="shared" si="113"/>
        <v>-0.10650887573964496</v>
      </c>
      <c r="CI46" s="382">
        <f t="shared" si="113"/>
        <v>1.9867549668874274E-2</v>
      </c>
      <c r="CJ46" s="382">
        <f t="shared" si="113"/>
        <v>-2.5974025974025983E-2</v>
      </c>
      <c r="CK46" s="382">
        <f t="shared" si="113"/>
        <v>-4.0000000000000036E-2</v>
      </c>
      <c r="CL46" s="382">
        <f t="shared" si="113"/>
        <v>-9.027777777777779E-2</v>
      </c>
      <c r="CM46" s="382">
        <f t="shared" si="113"/>
        <v>2.2900763358778553E-2</v>
      </c>
      <c r="CN46" s="382">
        <f t="shared" si="113"/>
        <v>-0.19402985074626866</v>
      </c>
      <c r="CO46" s="382">
        <f t="shared" si="113"/>
        <v>9.2592592592593004E-3</v>
      </c>
      <c r="CP46" s="382">
        <f t="shared" si="113"/>
        <v>-3.669724770642202E-2</v>
      </c>
      <c r="CQ46" s="382">
        <f t="shared" si="113"/>
        <v>0.11428571428571432</v>
      </c>
      <c r="CR46" s="382">
        <f t="shared" si="113"/>
        <v>0</v>
      </c>
      <c r="CS46" s="382">
        <f t="shared" si="113"/>
        <v>3.4188034188034289E-2</v>
      </c>
      <c r="CT46" s="382">
        <f t="shared" si="113"/>
        <v>0</v>
      </c>
      <c r="CU46" s="382">
        <f t="shared" si="113"/>
        <v>3.3057851239669311E-2</v>
      </c>
      <c r="CV46" s="382">
        <f t="shared" si="113"/>
        <v>5.600000000000005E-2</v>
      </c>
      <c r="CW46" s="382">
        <f t="shared" si="113"/>
        <v>7.575757575757569E-3</v>
      </c>
      <c r="CX46" s="382">
        <f t="shared" si="113"/>
        <v>7.5187969924812581E-3</v>
      </c>
      <c r="CY46" s="382">
        <f t="shared" si="113"/>
        <v>5.9701492537313383E-2</v>
      </c>
      <c r="CZ46" s="382">
        <f t="shared" si="113"/>
        <v>4.2253521126760507E-2</v>
      </c>
      <c r="DA46" s="382">
        <f t="shared" si="113"/>
        <v>-6.7567567567567544E-2</v>
      </c>
      <c r="DB46" s="382">
        <f t="shared" si="113"/>
        <v>0.19565217391304346</v>
      </c>
      <c r="DC46" s="382">
        <f t="shared" si="113"/>
        <v>0.10303030303030303</v>
      </c>
      <c r="DD46" s="382">
        <f t="shared" si="113"/>
        <v>1.6483516483516425E-2</v>
      </c>
      <c r="DE46" s="382">
        <f t="shared" si="113"/>
        <v>0.11351351351351346</v>
      </c>
      <c r="DF46" s="382">
        <f t="shared" si="113"/>
        <v>-3.398058252427183E-2</v>
      </c>
      <c r="DG46" s="382">
        <f t="shared" si="113"/>
        <v>8.040201005025116E-2</v>
      </c>
      <c r="DH46" s="382">
        <f t="shared" si="113"/>
        <v>0.2697674418604652</v>
      </c>
      <c r="DI46" s="382">
        <f t="shared" si="113"/>
        <v>7.6923076923076872E-2</v>
      </c>
      <c r="DJ46" s="383">
        <f t="shared" si="113"/>
        <v>2.0408163265306145E-2</v>
      </c>
      <c r="DK46" s="383">
        <f t="shared" si="113"/>
        <v>0.10000000000000009</v>
      </c>
      <c r="DL46" s="383">
        <f t="shared" si="113"/>
        <v>0.10606060606060597</v>
      </c>
      <c r="DM46" s="383">
        <f t="shared" si="113"/>
        <v>9.3150684931506911E-2</v>
      </c>
      <c r="DN46" s="383">
        <f t="shared" si="113"/>
        <v>-6.5162907268170422E-2</v>
      </c>
      <c r="DO46" s="383">
        <f t="shared" si="113"/>
        <v>0.35924932975871315</v>
      </c>
      <c r="DP46" s="383">
        <f t="shared" si="113"/>
        <v>-2.5641025641025661E-2</v>
      </c>
      <c r="DQ46" s="383">
        <f t="shared" si="113"/>
        <v>7.6923076923076872E-2</v>
      </c>
      <c r="DR46" s="383">
        <f t="shared" si="113"/>
        <v>-0.12969924812030076</v>
      </c>
      <c r="DS46" s="383">
        <f t="shared" si="113"/>
        <v>6.2634989200863966E-2</v>
      </c>
      <c r="DT46" s="383">
        <f t="shared" si="113"/>
        <v>7.1138211382113736E-2</v>
      </c>
      <c r="DU46" s="383">
        <f t="shared" si="113"/>
        <v>9.6774193548387011E-2</v>
      </c>
      <c r="DV46" s="382">
        <f t="shared" si="113"/>
        <v>-1.730103806228378E-2</v>
      </c>
      <c r="DW46" s="382">
        <f t="shared" si="113"/>
        <v>4.7535211267605737E-2</v>
      </c>
      <c r="DX46" s="382">
        <f t="shared" si="113"/>
        <v>9.5798319327731196E-2</v>
      </c>
      <c r="DY46" s="382">
        <f t="shared" si="113"/>
        <v>0.12730061349693256</v>
      </c>
      <c r="DZ46" s="382">
        <f t="shared" si="113"/>
        <v>0.14829931972789123</v>
      </c>
      <c r="EA46" s="382">
        <f t="shared" ref="EA46:ED46" si="114">EA45/DZ45-1</f>
        <v>6.3981042654028375E-2</v>
      </c>
      <c r="EB46" s="382">
        <f t="shared" si="114"/>
        <v>0.14365256124721593</v>
      </c>
      <c r="EC46" s="382">
        <f t="shared" si="114"/>
        <v>0.11879259980525814</v>
      </c>
      <c r="ED46" s="382">
        <f t="shared" si="114"/>
        <v>6.788511749347248E-2</v>
      </c>
      <c r="EE46" s="384">
        <v>0.05</v>
      </c>
      <c r="EF46" s="384">
        <v>0.06</v>
      </c>
      <c r="EG46" s="384">
        <v>0.06</v>
      </c>
      <c r="EH46" s="384">
        <v>0.05</v>
      </c>
      <c r="EI46" s="384">
        <v>0.06</v>
      </c>
      <c r="EJ46" s="384">
        <v>0.09</v>
      </c>
      <c r="EK46" s="384">
        <v>0.09</v>
      </c>
      <c r="EL46" s="384">
        <v>0</v>
      </c>
      <c r="EM46" s="384">
        <v>0</v>
      </c>
      <c r="EN46" s="384">
        <v>0</v>
      </c>
      <c r="EO46" s="384">
        <v>0.01</v>
      </c>
      <c r="EP46" s="384">
        <v>0.02</v>
      </c>
      <c r="EQ46" s="384">
        <v>0.02</v>
      </c>
      <c r="ER46" s="384">
        <v>0.03</v>
      </c>
      <c r="ES46" s="384">
        <v>0.03</v>
      </c>
      <c r="ET46" s="384">
        <v>0.01</v>
      </c>
      <c r="EU46" s="384">
        <v>0.01</v>
      </c>
      <c r="EV46" s="384">
        <v>0.01</v>
      </c>
      <c r="EW46" s="384">
        <v>0.01</v>
      </c>
      <c r="FZ46" s="386" t="s">
        <v>199</v>
      </c>
      <c r="GA46" s="386" t="s">
        <v>199</v>
      </c>
      <c r="GB46" s="386" t="s">
        <v>199</v>
      </c>
      <c r="GC46" s="386" t="s">
        <v>199</v>
      </c>
      <c r="GD46" s="386" t="s">
        <v>199</v>
      </c>
      <c r="GE46" s="386" t="s">
        <v>199</v>
      </c>
      <c r="GF46" s="386" t="s">
        <v>199</v>
      </c>
      <c r="GG46" s="386" t="s">
        <v>199</v>
      </c>
      <c r="GH46" s="386" t="s">
        <v>199</v>
      </c>
      <c r="GI46" s="386" t="s">
        <v>199</v>
      </c>
      <c r="GJ46" s="386" t="s">
        <v>199</v>
      </c>
      <c r="GK46" s="386" t="s">
        <v>199</v>
      </c>
      <c r="GN46" s="70"/>
    </row>
    <row r="47" spans="1:240" s="382" customFormat="1">
      <c r="A47" s="396" t="s">
        <v>200</v>
      </c>
      <c r="F47" s="382">
        <f t="shared" ref="F47:BQ47" si="115">F45/B45-1</f>
        <v>0.35649304186562714</v>
      </c>
      <c r="G47" s="382">
        <f t="shared" si="115"/>
        <v>0.36396889358095552</v>
      </c>
      <c r="H47" s="382">
        <f t="shared" si="115"/>
        <v>0.21381236193889896</v>
      </c>
      <c r="I47" s="382">
        <f t="shared" si="115"/>
        <v>4.9165343724443256E-2</v>
      </c>
      <c r="J47" s="382">
        <f t="shared" si="115"/>
        <v>4.3619609447326901E-2</v>
      </c>
      <c r="K47" s="382">
        <f t="shared" si="115"/>
        <v>6.1407811971961657E-2</v>
      </c>
      <c r="L47" s="382">
        <f t="shared" si="115"/>
        <v>9.3351188636701776E-2</v>
      </c>
      <c r="M47" s="382">
        <f t="shared" si="115"/>
        <v>9.1074785638956213E-2</v>
      </c>
      <c r="N47" s="382">
        <f t="shared" si="115"/>
        <v>6.2560600746807582E-2</v>
      </c>
      <c r="O47" s="382">
        <f t="shared" si="115"/>
        <v>-0.14688180436300891</v>
      </c>
      <c r="P47" s="382">
        <f t="shared" si="115"/>
        <v>-5.3315885893745141E-2</v>
      </c>
      <c r="Q47" s="382">
        <f t="shared" si="115"/>
        <v>-7.2377890545381907E-2</v>
      </c>
      <c r="R47" s="382">
        <f t="shared" si="115"/>
        <v>-8.2437797905077992E-2</v>
      </c>
      <c r="S47" s="382">
        <f t="shared" si="115"/>
        <v>0.23981796949303535</v>
      </c>
      <c r="T47" s="382">
        <f t="shared" si="115"/>
        <v>0.11592135527247005</v>
      </c>
      <c r="U47" s="382">
        <f t="shared" si="115"/>
        <v>0.15861006659720034</v>
      </c>
      <c r="V47" s="382">
        <f t="shared" si="115"/>
        <v>-6.6706164898062914E-2</v>
      </c>
      <c r="W47" s="382">
        <f t="shared" si="115"/>
        <v>-1.7332957866832532E-2</v>
      </c>
      <c r="X47" s="382">
        <f t="shared" si="115"/>
        <v>8.7727295248476445E-2</v>
      </c>
      <c r="Y47" s="382">
        <f t="shared" si="115"/>
        <v>0.17793462109955427</v>
      </c>
      <c r="Z47" s="382">
        <f t="shared" si="115"/>
        <v>0.44319495771646222</v>
      </c>
      <c r="AA47" s="382">
        <f t="shared" si="115"/>
        <v>0.23045909998221314</v>
      </c>
      <c r="AB47" s="382">
        <f t="shared" si="115"/>
        <v>0.17918701260841052</v>
      </c>
      <c r="AC47" s="382">
        <f t="shared" si="115"/>
        <v>0.31788909359491435</v>
      </c>
      <c r="AD47" s="382">
        <f t="shared" si="115"/>
        <v>0.1335009033068888</v>
      </c>
      <c r="AE47" s="382">
        <f t="shared" si="115"/>
        <v>0.22086411821394147</v>
      </c>
      <c r="AF47" s="382">
        <f t="shared" si="115"/>
        <v>9.6525722938572311E-2</v>
      </c>
      <c r="AG47" s="382">
        <f t="shared" si="115"/>
        <v>1.2298256330170121E-2</v>
      </c>
      <c r="AH47" s="382">
        <f t="shared" si="115"/>
        <v>3.3484401202999114E-2</v>
      </c>
      <c r="AI47" s="382">
        <f t="shared" si="115"/>
        <v>2.8081461893673332E-2</v>
      </c>
      <c r="AJ47" s="382">
        <f t="shared" si="115"/>
        <v>6.3319500320578204E-2</v>
      </c>
      <c r="AK47" s="382">
        <f t="shared" si="115"/>
        <v>1.8213939137574853E-2</v>
      </c>
      <c r="AL47" s="382">
        <f t="shared" si="115"/>
        <v>5.1777548310960375E-2</v>
      </c>
      <c r="AM47" s="382">
        <f t="shared" si="115"/>
        <v>2.5318156515730328E-2</v>
      </c>
      <c r="AN47" s="382">
        <f t="shared" si="115"/>
        <v>5.0689778555242038E-2</v>
      </c>
      <c r="AO47" s="382">
        <f t="shared" si="115"/>
        <v>0.18758705798978537</v>
      </c>
      <c r="AP47" s="382">
        <f t="shared" si="115"/>
        <v>-0.11878107866887677</v>
      </c>
      <c r="AQ47" s="382">
        <f t="shared" si="115"/>
        <v>-0.15655109580150761</v>
      </c>
      <c r="AR47" s="382">
        <f t="shared" si="115"/>
        <v>-4.7027142929216614E-2</v>
      </c>
      <c r="AS47" s="382">
        <f t="shared" si="115"/>
        <v>-0.16246804088708733</v>
      </c>
      <c r="AT47" s="382">
        <f t="shared" si="115"/>
        <v>0.30376624128251883</v>
      </c>
      <c r="AU47" s="382">
        <f t="shared" si="115"/>
        <v>0.32429472998868003</v>
      </c>
      <c r="AV47" s="382">
        <f t="shared" si="115"/>
        <v>0.33795024849282984</v>
      </c>
      <c r="AW47" s="382">
        <f t="shared" si="115"/>
        <v>0.50866977464113972</v>
      </c>
      <c r="AX47" s="382">
        <f t="shared" si="115"/>
        <v>0.17477263521199426</v>
      </c>
      <c r="AY47" s="382">
        <f t="shared" si="115"/>
        <v>0.27664769013313362</v>
      </c>
      <c r="AZ47" s="382">
        <f t="shared" si="115"/>
        <v>0.2797966158700953</v>
      </c>
      <c r="BA47" s="382">
        <f t="shared" si="115"/>
        <v>0.29105291871249306</v>
      </c>
      <c r="BB47" s="382">
        <f t="shared" si="115"/>
        <v>0.20937680077840848</v>
      </c>
      <c r="BC47" s="382">
        <f t="shared" si="115"/>
        <v>0.35452997886316195</v>
      </c>
      <c r="BD47" s="382">
        <f t="shared" si="115"/>
        <v>0.10457278896841715</v>
      </c>
      <c r="BE47" s="382">
        <f t="shared" si="115"/>
        <v>-7.2879843335614369E-2</v>
      </c>
      <c r="BF47" s="382">
        <f t="shared" si="115"/>
        <v>0.30837909405488184</v>
      </c>
      <c r="BG47" s="382">
        <f t="shared" si="115"/>
        <v>0.11784185445440598</v>
      </c>
      <c r="BH47" s="382">
        <f t="shared" si="115"/>
        <v>0.23160465490577531</v>
      </c>
      <c r="BI47" s="382">
        <f t="shared" si="115"/>
        <v>9.1836734693877542E-2</v>
      </c>
      <c r="BJ47" s="382">
        <f t="shared" si="115"/>
        <v>1.7910447761193993E-2</v>
      </c>
      <c r="BK47" s="382">
        <f t="shared" si="115"/>
        <v>-2.6011560693641633E-2</v>
      </c>
      <c r="BL47" s="382">
        <f t="shared" si="115"/>
        <v>-0.10511363636363635</v>
      </c>
      <c r="BM47" s="382">
        <f t="shared" si="115"/>
        <v>-8.411214953271029E-2</v>
      </c>
      <c r="BN47" s="382">
        <f t="shared" si="115"/>
        <v>-0.26099706744868034</v>
      </c>
      <c r="BO47" s="382">
        <f t="shared" si="115"/>
        <v>-0.34124629080118696</v>
      </c>
      <c r="BP47" s="382">
        <f t="shared" si="115"/>
        <v>-0.38095238095238093</v>
      </c>
      <c r="BQ47" s="382">
        <f t="shared" si="115"/>
        <v>-0.28911564625850339</v>
      </c>
      <c r="BR47" s="382">
        <f t="shared" ref="BR47:EC47" si="116">BR45/BN45-1</f>
        <v>-0.13095238095238093</v>
      </c>
      <c r="BS47" s="382">
        <f t="shared" si="116"/>
        <v>3.1531531531531432E-2</v>
      </c>
      <c r="BT47" s="382">
        <f t="shared" si="116"/>
        <v>0.21025641025641018</v>
      </c>
      <c r="BU47" s="382">
        <f t="shared" si="116"/>
        <v>0.19617224880382778</v>
      </c>
      <c r="BV47" s="382">
        <f t="shared" si="116"/>
        <v>0.19178082191780832</v>
      </c>
      <c r="BW47" s="382">
        <f t="shared" si="116"/>
        <v>4.366812227074246E-2</v>
      </c>
      <c r="BX47" s="382">
        <f t="shared" si="116"/>
        <v>5.508474576271194E-2</v>
      </c>
      <c r="BY47" s="382">
        <f t="shared" si="116"/>
        <v>-2.8000000000000025E-2</v>
      </c>
      <c r="BZ47" s="382">
        <f t="shared" si="116"/>
        <v>-0.14176245210727967</v>
      </c>
      <c r="CA47" s="382">
        <f t="shared" si="116"/>
        <v>-0.11297071129707115</v>
      </c>
      <c r="CB47" s="382">
        <f t="shared" si="116"/>
        <v>-0.24497991967871491</v>
      </c>
      <c r="CC47" s="382">
        <f t="shared" si="116"/>
        <v>-0.20576131687242794</v>
      </c>
      <c r="CD47" s="382">
        <f t="shared" si="116"/>
        <v>-0.2008928571428571</v>
      </c>
      <c r="CE47" s="382">
        <f t="shared" si="116"/>
        <v>-0.19339622641509435</v>
      </c>
      <c r="CF47" s="382">
        <f t="shared" si="116"/>
        <v>-0.17553191489361697</v>
      </c>
      <c r="CG47" s="382">
        <f t="shared" si="116"/>
        <v>-0.12435233160621761</v>
      </c>
      <c r="CH47" s="382">
        <f t="shared" si="116"/>
        <v>-0.15642458100558654</v>
      </c>
      <c r="CI47" s="382">
        <f t="shared" si="116"/>
        <v>-9.9415204678362623E-2</v>
      </c>
      <c r="CJ47" s="382">
        <f t="shared" si="116"/>
        <v>-3.2258064516129004E-2</v>
      </c>
      <c r="CK47" s="382">
        <f t="shared" si="116"/>
        <v>-0.14792899408284022</v>
      </c>
      <c r="CL47" s="382">
        <f t="shared" si="116"/>
        <v>-0.13245033112582782</v>
      </c>
      <c r="CM47" s="382">
        <f t="shared" si="116"/>
        <v>-0.12987012987012991</v>
      </c>
      <c r="CN47" s="382">
        <f t="shared" si="116"/>
        <v>-0.28000000000000003</v>
      </c>
      <c r="CO47" s="382">
        <f t="shared" si="116"/>
        <v>-0.24305555555555558</v>
      </c>
      <c r="CP47" s="382">
        <f t="shared" si="116"/>
        <v>-0.19847328244274809</v>
      </c>
      <c r="CQ47" s="382">
        <f t="shared" si="116"/>
        <v>-0.12686567164179108</v>
      </c>
      <c r="CR47" s="382">
        <f t="shared" si="116"/>
        <v>8.3333333333333259E-2</v>
      </c>
      <c r="CS47" s="382">
        <f t="shared" si="116"/>
        <v>0.11009174311926606</v>
      </c>
      <c r="CT47" s="382">
        <f t="shared" si="116"/>
        <v>0.15238095238095228</v>
      </c>
      <c r="CU47" s="382">
        <f t="shared" si="116"/>
        <v>6.8376068376068355E-2</v>
      </c>
      <c r="CV47" s="382">
        <f t="shared" si="116"/>
        <v>0.12820512820512819</v>
      </c>
      <c r="CW47" s="382">
        <f t="shared" si="116"/>
        <v>9.9173553719008156E-2</v>
      </c>
      <c r="CX47" s="382">
        <f t="shared" si="116"/>
        <v>0.10743801652892571</v>
      </c>
      <c r="CY47" s="382">
        <f t="shared" si="116"/>
        <v>0.1359999999999999</v>
      </c>
      <c r="CZ47" s="382">
        <f t="shared" si="116"/>
        <v>0.1212121212121211</v>
      </c>
      <c r="DA47" s="382">
        <f t="shared" si="116"/>
        <v>3.7593984962406068E-2</v>
      </c>
      <c r="DB47" s="382">
        <f t="shared" si="116"/>
        <v>0.23134328358208944</v>
      </c>
      <c r="DC47" s="382">
        <f t="shared" si="116"/>
        <v>0.28169014084507049</v>
      </c>
      <c r="DD47" s="382">
        <f t="shared" si="116"/>
        <v>0.25</v>
      </c>
      <c r="DE47" s="382">
        <f t="shared" si="116"/>
        <v>0.49275362318840576</v>
      </c>
      <c r="DF47" s="382">
        <f t="shared" si="116"/>
        <v>0.20606060606060606</v>
      </c>
      <c r="DG47" s="382">
        <f t="shared" si="116"/>
        <v>0.18131868131868134</v>
      </c>
      <c r="DH47" s="382">
        <f t="shared" si="116"/>
        <v>0.4756756756756757</v>
      </c>
      <c r="DI47" s="382">
        <f t="shared" si="116"/>
        <v>0.42718446601941751</v>
      </c>
      <c r="DJ47" s="383">
        <f t="shared" si="116"/>
        <v>0.50753768844221114</v>
      </c>
      <c r="DK47" s="383">
        <f t="shared" si="116"/>
        <v>0.53488372093023262</v>
      </c>
      <c r="DL47" s="383">
        <f t="shared" si="116"/>
        <v>0.33699633699633691</v>
      </c>
      <c r="DM47" s="383">
        <f t="shared" si="116"/>
        <v>0.35714285714285721</v>
      </c>
      <c r="DN47" s="383">
        <f t="shared" si="116"/>
        <v>0.2433333333333334</v>
      </c>
      <c r="DO47" s="383">
        <f t="shared" si="116"/>
        <v>0.53636363636363638</v>
      </c>
      <c r="DP47" s="383">
        <f t="shared" si="116"/>
        <v>0.35342465753424657</v>
      </c>
      <c r="DQ47" s="383">
        <f t="shared" si="116"/>
        <v>0.33333333333333326</v>
      </c>
      <c r="DR47" s="383">
        <f t="shared" si="116"/>
        <v>0.24128686327077742</v>
      </c>
      <c r="DS47" s="383">
        <f t="shared" si="116"/>
        <v>-2.9585798816568087E-2</v>
      </c>
      <c r="DT47" s="383">
        <f t="shared" si="116"/>
        <v>6.68016194331984E-2</v>
      </c>
      <c r="DU47" s="383">
        <f t="shared" si="116"/>
        <v>8.6466165413533913E-2</v>
      </c>
      <c r="DV47" s="382">
        <f t="shared" si="116"/>
        <v>0.22678185745140378</v>
      </c>
      <c r="DW47" s="382">
        <f t="shared" si="116"/>
        <v>0.20934959349593485</v>
      </c>
      <c r="DX47" s="382">
        <f t="shared" si="116"/>
        <v>0.23719165085389005</v>
      </c>
      <c r="DY47" s="383">
        <f t="shared" si="116"/>
        <v>0.27162629757785473</v>
      </c>
      <c r="DZ47" s="383">
        <f t="shared" si="116"/>
        <v>0.4859154929577465</v>
      </c>
      <c r="EA47" s="383">
        <f t="shared" si="116"/>
        <v>0.50924369747899156</v>
      </c>
      <c r="EB47" s="383">
        <f t="shared" si="116"/>
        <v>0.57515337423312873</v>
      </c>
      <c r="EC47" s="383">
        <f t="shared" si="116"/>
        <v>0.56326530612244907</v>
      </c>
      <c r="ED47" s="383">
        <f t="shared" ref="ED47:EW47" si="117">ED45/DZ45-1</f>
        <v>0.45379146919431279</v>
      </c>
      <c r="EE47" s="384">
        <f t="shared" si="117"/>
        <v>0.43468819599109154</v>
      </c>
      <c r="EF47" s="384">
        <f t="shared" si="117"/>
        <v>0.32974780915287272</v>
      </c>
      <c r="EG47" s="384">
        <f t="shared" si="117"/>
        <v>0.25986950391644958</v>
      </c>
      <c r="EH47" s="384">
        <f t="shared" si="117"/>
        <v>0.23876900000000045</v>
      </c>
      <c r="EI47" s="384">
        <f t="shared" si="117"/>
        <v>0.25056680000000053</v>
      </c>
      <c r="EJ47" s="384">
        <f t="shared" si="117"/>
        <v>0.28596020000000033</v>
      </c>
      <c r="EK47" s="384">
        <f t="shared" si="117"/>
        <v>0.32235530000000034</v>
      </c>
      <c r="EL47" s="384">
        <f t="shared" si="117"/>
        <v>0.25938600000000012</v>
      </c>
      <c r="EM47" s="384">
        <f t="shared" si="117"/>
        <v>0.18810000000000016</v>
      </c>
      <c r="EN47" s="384">
        <f t="shared" si="117"/>
        <v>9.000000000000008E-2</v>
      </c>
      <c r="EO47" s="384">
        <f t="shared" si="117"/>
        <v>1.0000000000000009E-2</v>
      </c>
      <c r="EP47" s="384">
        <f t="shared" si="117"/>
        <v>3.0200000000000005E-2</v>
      </c>
      <c r="EQ47" s="384">
        <f t="shared" si="117"/>
        <v>5.0804000000000071E-2</v>
      </c>
      <c r="ER47" s="384">
        <f t="shared" si="117"/>
        <v>8.2328120000000116E-2</v>
      </c>
      <c r="ES47" s="384">
        <f t="shared" si="117"/>
        <v>0.10376036000000011</v>
      </c>
      <c r="ET47" s="384">
        <f t="shared" si="117"/>
        <v>9.2939180000000121E-2</v>
      </c>
      <c r="EU47" s="384">
        <f t="shared" si="117"/>
        <v>8.2224090000000194E-2</v>
      </c>
      <c r="EV47" s="384">
        <f t="shared" si="117"/>
        <v>6.1210030000000248E-2</v>
      </c>
      <c r="EW47" s="384">
        <f t="shared" si="117"/>
        <v>4.0604010000000246E-2</v>
      </c>
      <c r="FA47" s="382">
        <f t="shared" ref="FA47:GK47" si="118">FA45/EZ45-1</f>
        <v>0.23505729540914744</v>
      </c>
      <c r="FB47" s="382">
        <f t="shared" si="118"/>
        <v>7.1781310024218392E-2</v>
      </c>
      <c r="FC47" s="382">
        <f t="shared" si="118"/>
        <v>-5.2512103393105747E-2</v>
      </c>
      <c r="FD47" s="382">
        <f t="shared" si="118"/>
        <v>9.8451745897729648E-2</v>
      </c>
      <c r="FE47" s="382">
        <f t="shared" si="118"/>
        <v>4.7328137594737196E-2</v>
      </c>
      <c r="FF47" s="382">
        <f t="shared" si="118"/>
        <v>0.28686755083659388</v>
      </c>
      <c r="FG47" s="382">
        <f t="shared" si="118"/>
        <v>0.10914325920713996</v>
      </c>
      <c r="FH47" s="382">
        <f t="shared" si="118"/>
        <v>3.5084263332303856E-2</v>
      </c>
      <c r="FI47" s="382">
        <f t="shared" si="118"/>
        <v>8.069596520174005E-2</v>
      </c>
      <c r="FJ47" s="382">
        <f t="shared" si="118"/>
        <v>-0.12350742092185096</v>
      </c>
      <c r="FK47" s="382">
        <f t="shared" si="118"/>
        <v>0.37408714692656475</v>
      </c>
      <c r="FL47" s="382">
        <f t="shared" si="118"/>
        <v>0.25907081811772081</v>
      </c>
      <c r="FM47" s="382">
        <f t="shared" si="118"/>
        <v>0.1272424327122561</v>
      </c>
      <c r="FN47" s="382">
        <f t="shared" si="118"/>
        <v>0.18214764971760289</v>
      </c>
      <c r="FO47" s="382">
        <f t="shared" si="118"/>
        <v>-4.9483013293943889E-2</v>
      </c>
      <c r="FP47" s="382">
        <f t="shared" si="118"/>
        <v>-0.31779331779331776</v>
      </c>
      <c r="FQ47" s="382">
        <f t="shared" si="118"/>
        <v>6.3781321184510187E-2</v>
      </c>
      <c r="FR47" s="382">
        <f t="shared" si="118"/>
        <v>6.2098501070663836E-2</v>
      </c>
      <c r="FS47" s="382">
        <f t="shared" si="118"/>
        <v>-0.17641129032258063</v>
      </c>
      <c r="FT47" s="382">
        <f t="shared" si="118"/>
        <v>-0.17503059975520197</v>
      </c>
      <c r="FU47" s="382">
        <f t="shared" si="118"/>
        <v>-0.11127596439169141</v>
      </c>
      <c r="FV47" s="382">
        <f t="shared" si="118"/>
        <v>-0.19532554257095158</v>
      </c>
      <c r="FW47" s="382">
        <f t="shared" si="118"/>
        <v>-4.5643153526970903E-2</v>
      </c>
      <c r="FX47" s="382">
        <f t="shared" si="118"/>
        <v>0.11086956521739122</v>
      </c>
      <c r="FY47" s="382">
        <f t="shared" si="118"/>
        <v>9.9804305283757389E-2</v>
      </c>
      <c r="FZ47" s="382">
        <f t="shared" si="118"/>
        <v>0.31316725978647697</v>
      </c>
      <c r="GA47" s="382">
        <f t="shared" si="118"/>
        <v>0.3292682926829269</v>
      </c>
      <c r="GB47" s="382">
        <f t="shared" si="118"/>
        <v>0.42099898063200825</v>
      </c>
      <c r="GC47" s="382">
        <f t="shared" si="118"/>
        <v>0.36728837876614051</v>
      </c>
      <c r="GD47" s="382">
        <f t="shared" si="118"/>
        <v>8.0797481636935897E-2</v>
      </c>
      <c r="GE47" s="382">
        <f t="shared" si="118"/>
        <v>0.23786407766990281</v>
      </c>
      <c r="GF47" s="382">
        <f t="shared" si="118"/>
        <v>0.53647058823529403</v>
      </c>
      <c r="GG47" s="387">
        <f t="shared" si="118"/>
        <v>0.36002834609494649</v>
      </c>
      <c r="GH47" s="387">
        <f t="shared" si="118"/>
        <v>0.27642343808205849</v>
      </c>
      <c r="GI47" s="387">
        <f t="shared" si="118"/>
        <v>0.12857639672601096</v>
      </c>
      <c r="GJ47" s="387">
        <f t="shared" si="118"/>
        <v>6.6865357506234568E-2</v>
      </c>
      <c r="GK47" s="387">
        <f t="shared" si="118"/>
        <v>6.8642594900780729E-2</v>
      </c>
      <c r="GN47" s="70"/>
    </row>
    <row r="48" spans="1:240" s="379" customFormat="1">
      <c r="A48" s="376" t="s">
        <v>216</v>
      </c>
      <c r="B48" s="376">
        <f t="shared" ref="B48:BM48" si="119">B26-B41-B45</f>
        <v>83.043000000000006</v>
      </c>
      <c r="C48" s="376">
        <f t="shared" si="119"/>
        <v>85.584999999999965</v>
      </c>
      <c r="D48" s="376">
        <f t="shared" si="119"/>
        <v>81.467999999999975</v>
      </c>
      <c r="E48" s="376">
        <f t="shared" si="119"/>
        <v>54.957000000000022</v>
      </c>
      <c r="F48" s="376">
        <f t="shared" si="119"/>
        <v>121.52800000000002</v>
      </c>
      <c r="G48" s="376">
        <f t="shared" si="119"/>
        <v>138.05400000000003</v>
      </c>
      <c r="H48" s="376">
        <f t="shared" si="119"/>
        <v>135.57700000000003</v>
      </c>
      <c r="I48" s="376">
        <f t="shared" si="119"/>
        <v>117.98</v>
      </c>
      <c r="J48" s="376">
        <f t="shared" si="119"/>
        <v>139.87800000000001</v>
      </c>
      <c r="K48" s="376">
        <f t="shared" si="119"/>
        <v>126.85900000000007</v>
      </c>
      <c r="L48" s="376">
        <f t="shared" si="119"/>
        <v>50.501999999999981</v>
      </c>
      <c r="M48" s="376">
        <f t="shared" si="119"/>
        <v>31.037999999999954</v>
      </c>
      <c r="N48" s="376">
        <f t="shared" si="119"/>
        <v>-22.314000000000021</v>
      </c>
      <c r="O48" s="376">
        <f t="shared" si="119"/>
        <v>-100.533</v>
      </c>
      <c r="P48" s="376">
        <f t="shared" si="119"/>
        <v>-76.917999999999992</v>
      </c>
      <c r="Q48" s="376">
        <f t="shared" si="119"/>
        <v>-53.545000000000016</v>
      </c>
      <c r="R48" s="376">
        <f t="shared" si="119"/>
        <v>3.4959999999999951</v>
      </c>
      <c r="S48" s="376">
        <f t="shared" si="119"/>
        <v>9.2909999999999542</v>
      </c>
      <c r="T48" s="376">
        <f t="shared" si="119"/>
        <v>-58.428000000000011</v>
      </c>
      <c r="U48" s="376">
        <f t="shared" si="119"/>
        <v>-45.011999999999901</v>
      </c>
      <c r="V48" s="376">
        <f t="shared" si="119"/>
        <v>-99.069000000000017</v>
      </c>
      <c r="W48" s="376">
        <f t="shared" si="119"/>
        <v>-103.95799999999996</v>
      </c>
      <c r="X48" s="376">
        <f t="shared" si="119"/>
        <v>9.5090000000000146</v>
      </c>
      <c r="Y48" s="376">
        <f t="shared" si="119"/>
        <v>29.876000000000019</v>
      </c>
      <c r="Z48" s="376">
        <f t="shared" si="119"/>
        <v>-106.09399999999997</v>
      </c>
      <c r="AA48" s="376">
        <f t="shared" si="119"/>
        <v>-155.02799999999996</v>
      </c>
      <c r="AB48" s="376">
        <f t="shared" si="119"/>
        <v>-98.989999999999924</v>
      </c>
      <c r="AC48" s="376">
        <f t="shared" si="119"/>
        <v>77.425999999999959</v>
      </c>
      <c r="AD48" s="376">
        <f t="shared" si="119"/>
        <v>180.6689999999999</v>
      </c>
      <c r="AE48" s="376">
        <f t="shared" si="119"/>
        <v>250.19699999999989</v>
      </c>
      <c r="AF48" s="376">
        <f t="shared" si="119"/>
        <v>262.84399999999994</v>
      </c>
      <c r="AG48" s="376">
        <f t="shared" si="119"/>
        <v>195.02600000000004</v>
      </c>
      <c r="AH48" s="376">
        <f t="shared" si="119"/>
        <v>167.01900000000003</v>
      </c>
      <c r="AI48" s="376">
        <f t="shared" si="119"/>
        <v>21.660000000000053</v>
      </c>
      <c r="AJ48" s="376">
        <f t="shared" si="119"/>
        <v>-133.38799999999998</v>
      </c>
      <c r="AK48" s="376">
        <f t="shared" si="119"/>
        <v>-17.343999999999994</v>
      </c>
      <c r="AL48" s="376">
        <f t="shared" si="119"/>
        <v>-13.543000000000063</v>
      </c>
      <c r="AM48" s="376">
        <f t="shared" si="119"/>
        <v>-296.66399999999999</v>
      </c>
      <c r="AN48" s="376">
        <f t="shared" si="119"/>
        <v>-325.18400000000008</v>
      </c>
      <c r="AO48" s="376">
        <f t="shared" si="119"/>
        <v>-217.42000000000002</v>
      </c>
      <c r="AP48" s="376">
        <f t="shared" si="119"/>
        <v>-123.32700000000006</v>
      </c>
      <c r="AQ48" s="376">
        <f t="shared" si="119"/>
        <v>-123.49799999999996</v>
      </c>
      <c r="AR48" s="376">
        <f t="shared" si="119"/>
        <v>-38.228999999999985</v>
      </c>
      <c r="AS48" s="376">
        <f t="shared" si="119"/>
        <v>37.776000000000039</v>
      </c>
      <c r="AT48" s="376">
        <f t="shared" si="119"/>
        <v>61.285999999999945</v>
      </c>
      <c r="AU48" s="376">
        <f t="shared" si="119"/>
        <v>74.954000000000036</v>
      </c>
      <c r="AV48" s="376">
        <f t="shared" si="119"/>
        <v>68.358000000000033</v>
      </c>
      <c r="AW48" s="376">
        <f t="shared" si="119"/>
        <v>22.66700000000003</v>
      </c>
      <c r="AX48" s="376">
        <f t="shared" si="119"/>
        <v>-45.657000000000039</v>
      </c>
      <c r="AY48" s="376">
        <f t="shared" si="119"/>
        <v>-7.1310000000000571</v>
      </c>
      <c r="AZ48" s="376">
        <f t="shared" si="119"/>
        <v>78.728000000000179</v>
      </c>
      <c r="BA48" s="376">
        <f t="shared" si="119"/>
        <v>205.71600000000001</v>
      </c>
      <c r="BB48" s="376">
        <f t="shared" si="119"/>
        <v>258.59999999999985</v>
      </c>
      <c r="BC48" s="376">
        <f t="shared" si="119"/>
        <v>102.10900000000004</v>
      </c>
      <c r="BD48" s="376">
        <f t="shared" si="119"/>
        <v>119.17200000000008</v>
      </c>
      <c r="BE48" s="376">
        <f t="shared" si="119"/>
        <v>24</v>
      </c>
      <c r="BF48" s="376">
        <f t="shared" si="119"/>
        <v>-391</v>
      </c>
      <c r="BG48" s="376">
        <f t="shared" si="119"/>
        <v>-328</v>
      </c>
      <c r="BH48" s="376">
        <f t="shared" si="119"/>
        <v>-148</v>
      </c>
      <c r="BI48" s="376">
        <f t="shared" si="119"/>
        <v>-9</v>
      </c>
      <c r="BJ48" s="376">
        <f t="shared" si="119"/>
        <v>-214</v>
      </c>
      <c r="BK48" s="376">
        <f t="shared" si="119"/>
        <v>-276</v>
      </c>
      <c r="BL48" s="376">
        <f t="shared" si="119"/>
        <v>-28</v>
      </c>
      <c r="BM48" s="376">
        <f t="shared" si="119"/>
        <v>-260</v>
      </c>
      <c r="BN48" s="376">
        <f t="shared" ref="BN48:DY48" si="120">BN26-BN41-BN45</f>
        <v>-145</v>
      </c>
      <c r="BO48" s="376">
        <f t="shared" si="120"/>
        <v>-205</v>
      </c>
      <c r="BP48" s="376">
        <f t="shared" si="120"/>
        <v>47</v>
      </c>
      <c r="BQ48" s="376">
        <f t="shared" si="120"/>
        <v>169</v>
      </c>
      <c r="BR48" s="376">
        <f t="shared" si="120"/>
        <v>130</v>
      </c>
      <c r="BS48" s="376">
        <f t="shared" si="120"/>
        <v>138</v>
      </c>
      <c r="BT48" s="376">
        <f t="shared" si="120"/>
        <v>144</v>
      </c>
      <c r="BU48" s="376">
        <f t="shared" si="120"/>
        <v>141</v>
      </c>
      <c r="BV48" s="376">
        <f t="shared" si="120"/>
        <v>92</v>
      </c>
      <c r="BW48" s="376">
        <f t="shared" si="120"/>
        <v>114</v>
      </c>
      <c r="BX48" s="376">
        <f t="shared" si="120"/>
        <v>146</v>
      </c>
      <c r="BY48" s="376">
        <f t="shared" si="120"/>
        <v>172</v>
      </c>
      <c r="BZ48" s="376">
        <f t="shared" si="120"/>
        <v>138</v>
      </c>
      <c r="CA48" s="376">
        <f t="shared" si="120"/>
        <v>86</v>
      </c>
      <c r="CB48" s="376">
        <f t="shared" si="120"/>
        <v>-124</v>
      </c>
      <c r="CC48" s="376">
        <f t="shared" si="120"/>
        <v>-55</v>
      </c>
      <c r="CD48" s="376">
        <f t="shared" si="120"/>
        <v>-46</v>
      </c>
      <c r="CE48" s="376">
        <f t="shared" si="120"/>
        <v>-20</v>
      </c>
      <c r="CF48" s="376">
        <f t="shared" si="120"/>
        <v>78</v>
      </c>
      <c r="CG48" s="376">
        <f t="shared" si="120"/>
        <v>91</v>
      </c>
      <c r="CH48" s="376">
        <f t="shared" si="120"/>
        <v>66</v>
      </c>
      <c r="CI48" s="376">
        <f t="shared" si="120"/>
        <v>67</v>
      </c>
      <c r="CJ48" s="376">
        <f t="shared" si="120"/>
        <v>66</v>
      </c>
      <c r="CK48" s="376">
        <f t="shared" si="120"/>
        <v>36</v>
      </c>
      <c r="CL48" s="376">
        <f t="shared" si="120"/>
        <v>-47</v>
      </c>
      <c r="CM48" s="376">
        <f t="shared" si="120"/>
        <v>-104</v>
      </c>
      <c r="CN48" s="376">
        <f t="shared" si="120"/>
        <v>-110</v>
      </c>
      <c r="CO48" s="376">
        <f t="shared" si="120"/>
        <v>-55</v>
      </c>
      <c r="CP48" s="376">
        <f t="shared" si="120"/>
        <v>-78</v>
      </c>
      <c r="CQ48" s="376">
        <f t="shared" si="120"/>
        <v>-41</v>
      </c>
      <c r="CR48" s="376">
        <f t="shared" si="120"/>
        <v>23</v>
      </c>
      <c r="CS48" s="376">
        <f t="shared" si="120"/>
        <v>-34</v>
      </c>
      <c r="CT48" s="376">
        <f t="shared" si="120"/>
        <v>-56</v>
      </c>
      <c r="CU48" s="376">
        <f t="shared" si="120"/>
        <v>0</v>
      </c>
      <c r="CV48" s="376">
        <f t="shared" si="120"/>
        <v>126</v>
      </c>
      <c r="CW48" s="376">
        <f t="shared" si="120"/>
        <v>82</v>
      </c>
      <c r="CX48" s="376">
        <f t="shared" si="120"/>
        <v>120</v>
      </c>
      <c r="CY48" s="376">
        <f t="shared" si="120"/>
        <v>153</v>
      </c>
      <c r="CZ48" s="376">
        <f t="shared" si="120"/>
        <v>150</v>
      </c>
      <c r="DA48" s="376">
        <f t="shared" si="120"/>
        <v>28</v>
      </c>
      <c r="DB48" s="376">
        <f t="shared" si="120"/>
        <v>-17</v>
      </c>
      <c r="DC48" s="376">
        <f t="shared" si="120"/>
        <v>66</v>
      </c>
      <c r="DD48" s="376">
        <f t="shared" si="120"/>
        <v>186</v>
      </c>
      <c r="DE48" s="376">
        <f t="shared" si="120"/>
        <v>348</v>
      </c>
      <c r="DF48" s="376">
        <f t="shared" si="120"/>
        <v>177</v>
      </c>
      <c r="DG48" s="376">
        <f t="shared" si="120"/>
        <v>173</v>
      </c>
      <c r="DH48" s="376">
        <f t="shared" si="120"/>
        <v>449</v>
      </c>
      <c r="DI48" s="376">
        <f t="shared" si="120"/>
        <v>584</v>
      </c>
      <c r="DJ48" s="397">
        <f t="shared" si="120"/>
        <v>677</v>
      </c>
      <c r="DK48" s="397">
        <f t="shared" si="120"/>
        <v>841</v>
      </c>
      <c r="DL48" s="397">
        <f t="shared" si="120"/>
        <v>956</v>
      </c>
      <c r="DM48" s="397">
        <f t="shared" si="120"/>
        <v>1216</v>
      </c>
      <c r="DN48" s="397">
        <f t="shared" si="120"/>
        <v>1663</v>
      </c>
      <c r="DO48" s="397">
        <f t="shared" si="120"/>
        <v>1723</v>
      </c>
      <c r="DP48" s="397">
        <f t="shared" si="120"/>
        <v>995</v>
      </c>
      <c r="DQ48" s="397">
        <f t="shared" si="120"/>
        <v>952</v>
      </c>
      <c r="DR48" s="397">
        <f t="shared" si="120"/>
        <v>793</v>
      </c>
      <c r="DS48" s="397">
        <f t="shared" si="120"/>
        <v>720</v>
      </c>
      <c r="DT48" s="397">
        <f t="shared" si="120"/>
        <v>923</v>
      </c>
      <c r="DU48" s="397">
        <f t="shared" si="120"/>
        <v>1038</v>
      </c>
      <c r="DV48" s="376">
        <f t="shared" si="120"/>
        <v>762</v>
      </c>
      <c r="DW48" s="376">
        <f t="shared" si="120"/>
        <v>918</v>
      </c>
      <c r="DX48" s="376">
        <f t="shared" si="120"/>
        <v>1364</v>
      </c>
      <c r="DY48" s="376">
        <f t="shared" si="120"/>
        <v>1687</v>
      </c>
      <c r="DZ48" s="376">
        <f t="shared" ref="DZ48:EW48" si="121">DZ26-DZ41-DZ45</f>
        <v>1415</v>
      </c>
      <c r="EA48" s="376">
        <f t="shared" si="121"/>
        <v>528</v>
      </c>
      <c r="EB48" s="376">
        <f t="shared" si="121"/>
        <v>1819</v>
      </c>
      <c r="EC48" s="376">
        <f t="shared" si="121"/>
        <v>2368</v>
      </c>
      <c r="ED48" s="376">
        <f t="shared" si="121"/>
        <v>2053</v>
      </c>
      <c r="EE48" s="410">
        <f t="shared" si="121"/>
        <v>2485.2186981914656</v>
      </c>
      <c r="EF48" s="410">
        <f t="shared" si="121"/>
        <v>2679.2098743604392</v>
      </c>
      <c r="EG48" s="410">
        <f t="shared" si="121"/>
        <v>4455.7383411691271</v>
      </c>
      <c r="EH48" s="410">
        <f t="shared" si="121"/>
        <v>4828.5395961387894</v>
      </c>
      <c r="EI48" s="410">
        <f t="shared" si="121"/>
        <v>5428.2140449436138</v>
      </c>
      <c r="EJ48" s="410">
        <f t="shared" si="121"/>
        <v>6413.1272332223089</v>
      </c>
      <c r="EK48" s="410">
        <f t="shared" si="121"/>
        <v>7101.6913335871031</v>
      </c>
      <c r="EL48" s="410">
        <f t="shared" si="121"/>
        <v>6976.0992911251651</v>
      </c>
      <c r="EM48" s="410">
        <f t="shared" si="121"/>
        <v>7563.8854211582384</v>
      </c>
      <c r="EN48" s="410">
        <f t="shared" si="121"/>
        <v>8609.3716758926403</v>
      </c>
      <c r="EO48" s="410">
        <f t="shared" si="121"/>
        <v>9547.4874952382361</v>
      </c>
      <c r="EP48" s="410">
        <f t="shared" si="121"/>
        <v>8991.9006547147965</v>
      </c>
      <c r="EQ48" s="410">
        <f t="shared" si="121"/>
        <v>9451.7286334471355</v>
      </c>
      <c r="ER48" s="410">
        <f t="shared" si="121"/>
        <v>10563.329425201788</v>
      </c>
      <c r="ES48" s="410">
        <f t="shared" si="121"/>
        <v>11040.000468215172</v>
      </c>
      <c r="ET48" s="410">
        <f t="shared" si="121"/>
        <v>10256.200459722913</v>
      </c>
      <c r="EU48" s="410">
        <f t="shared" si="121"/>
        <v>10842.401832567602</v>
      </c>
      <c r="EV48" s="410">
        <f t="shared" si="121"/>
        <v>12518.304415072267</v>
      </c>
      <c r="EW48" s="410">
        <f t="shared" si="121"/>
        <v>13377.093044496452</v>
      </c>
      <c r="EX48" s="380"/>
      <c r="EZ48" s="376">
        <f>B48+C48+D48+E48</f>
        <v>305.053</v>
      </c>
      <c r="FA48" s="376">
        <f>F48+G48+H48+I48</f>
        <v>513.13900000000012</v>
      </c>
      <c r="FB48" s="376">
        <f>J48+K48+L48+M48</f>
        <v>348.27699999999999</v>
      </c>
      <c r="FC48" s="376">
        <f>N48+O48+P48+Q48</f>
        <v>-253.31000000000003</v>
      </c>
      <c r="FD48" s="376">
        <f>R48+S48+T48+U48</f>
        <v>-90.652999999999963</v>
      </c>
      <c r="FE48" s="376">
        <f>V48+W48+X48+Y48</f>
        <v>-163.64199999999994</v>
      </c>
      <c r="FF48" s="376">
        <f>Z48+AA48+AB48+AC48</f>
        <v>-282.68599999999992</v>
      </c>
      <c r="FG48" s="376">
        <f>AD48+AE48+AF48+AG48</f>
        <v>888.73599999999976</v>
      </c>
      <c r="FH48" s="376">
        <f>AH48+AI48+AJ48+AK48</f>
        <v>37.947000000000116</v>
      </c>
      <c r="FI48" s="376">
        <f>AL48+AM48+AN48+AO48</f>
        <v>-852.81100000000015</v>
      </c>
      <c r="FJ48" s="376">
        <f>AP48+AQ48+AR48+AS48</f>
        <v>-247.27799999999993</v>
      </c>
      <c r="FK48" s="376">
        <f>AT48+AU48+AV48+AW48</f>
        <v>227.26500000000004</v>
      </c>
      <c r="FL48" s="376">
        <f>AX48+AY48+AZ48+BA48</f>
        <v>231.65600000000009</v>
      </c>
      <c r="FM48" s="376">
        <f>BB48+BC48+BD48+BE48</f>
        <v>503.88099999999997</v>
      </c>
      <c r="FN48" s="376">
        <f>BF48+BG48+BH48+BI48</f>
        <v>-876</v>
      </c>
      <c r="FO48" s="376">
        <f>BJ48+BK48+BL48+BM48</f>
        <v>-778</v>
      </c>
      <c r="FP48" s="376">
        <f>BN48+BO48+BP48+BQ48</f>
        <v>-134</v>
      </c>
      <c r="FQ48" s="376">
        <f>BR48+BS48+BT48+BU48</f>
        <v>553</v>
      </c>
      <c r="FR48" s="376">
        <f>BV48+BW48+BX48+BY48</f>
        <v>524</v>
      </c>
      <c r="FS48" s="376">
        <f>BZ48+CA48+CB48+CC48</f>
        <v>45</v>
      </c>
      <c r="FT48" s="376">
        <f>CD48+CE48+CF48+CG48</f>
        <v>103</v>
      </c>
      <c r="FU48" s="376">
        <f>CH48+CI48+CJ48+CK48</f>
        <v>235</v>
      </c>
      <c r="FV48" s="376">
        <f>CL48+CM48+CN48+CO48</f>
        <v>-316</v>
      </c>
      <c r="FW48" s="376">
        <f>CP48+CQ48+CR48+CS48</f>
        <v>-130</v>
      </c>
      <c r="FX48" s="376">
        <f>CT48+CU48+CV48+CW48</f>
        <v>152</v>
      </c>
      <c r="FY48" s="376">
        <f>CX48+CY48+CZ48+DA48</f>
        <v>451</v>
      </c>
      <c r="FZ48" s="376">
        <f>DB48+DC48+DD48+DE48</f>
        <v>583</v>
      </c>
      <c r="GA48" s="376">
        <f>SUM(DF48:DI48)</f>
        <v>1383</v>
      </c>
      <c r="GB48" s="376">
        <f>SUM(DJ48:DM48)</f>
        <v>3690</v>
      </c>
      <c r="GC48" s="376">
        <f>SUM(DN48:DQ48)</f>
        <v>5333</v>
      </c>
      <c r="GD48" s="376">
        <f>SUM(DR48:DU48)</f>
        <v>3474</v>
      </c>
      <c r="GE48" s="376">
        <f>SUM(DV48:DY48)</f>
        <v>4731</v>
      </c>
      <c r="GF48" s="376">
        <f>SUM(DZ48:EC48)</f>
        <v>6130</v>
      </c>
      <c r="GG48" s="380">
        <f>SUM(ED48:EG48)</f>
        <v>11673.166913721032</v>
      </c>
      <c r="GH48" s="380">
        <f>SUM(EH48:EK48)</f>
        <v>23771.572207891815</v>
      </c>
      <c r="GI48" s="380">
        <f>SUM(EL48:EO48)</f>
        <v>32696.84388341428</v>
      </c>
      <c r="GJ48" s="380">
        <f>SUM(EP48:ES48)</f>
        <v>40046.959181578888</v>
      </c>
      <c r="GK48" s="380">
        <f>SUM(ET48:EW48)</f>
        <v>46993.999751859235</v>
      </c>
      <c r="GN48" s="70"/>
    </row>
    <row r="49" spans="1:196" s="382" customFormat="1">
      <c r="A49" s="381" t="s">
        <v>198</v>
      </c>
      <c r="C49" s="382">
        <f t="shared" ref="C49:BN49" si="122">C48/B48-1</f>
        <v>3.0610647495875165E-2</v>
      </c>
      <c r="D49" s="382">
        <f t="shared" si="122"/>
        <v>-4.8104223871005325E-2</v>
      </c>
      <c r="E49" s="382">
        <f t="shared" si="122"/>
        <v>-0.3254161143025478</v>
      </c>
      <c r="F49" s="382">
        <f t="shared" si="122"/>
        <v>1.2113288571064644</v>
      </c>
      <c r="G49" s="382">
        <f t="shared" si="122"/>
        <v>0.13598512277006125</v>
      </c>
      <c r="H49" s="382">
        <f t="shared" si="122"/>
        <v>-1.7942254480130981E-2</v>
      </c>
      <c r="I49" s="382">
        <f t="shared" si="122"/>
        <v>-0.12979340153565888</v>
      </c>
      <c r="J49" s="382">
        <f t="shared" si="122"/>
        <v>0.18560773012374976</v>
      </c>
      <c r="K49" s="382">
        <f t="shared" si="122"/>
        <v>-9.30739644547387E-2</v>
      </c>
      <c r="L49" s="382">
        <f t="shared" si="122"/>
        <v>-0.60190447662365343</v>
      </c>
      <c r="M49" s="382">
        <f t="shared" si="122"/>
        <v>-0.38541047879291979</v>
      </c>
      <c r="N49" s="382">
        <f t="shared" si="122"/>
        <v>-1.7189251884786407</v>
      </c>
      <c r="O49" s="382">
        <f t="shared" si="122"/>
        <v>3.5053777897284171</v>
      </c>
      <c r="P49" s="382">
        <f t="shared" si="122"/>
        <v>-0.23489799369361308</v>
      </c>
      <c r="Q49" s="382">
        <f t="shared" si="122"/>
        <v>-0.30386905535765329</v>
      </c>
      <c r="R49" s="382">
        <f t="shared" si="122"/>
        <v>-1.0652908768325706</v>
      </c>
      <c r="S49" s="382">
        <f t="shared" si="122"/>
        <v>1.6576086956521645</v>
      </c>
      <c r="T49" s="382">
        <f t="shared" si="122"/>
        <v>-7.2886664514046169</v>
      </c>
      <c r="U49" s="382">
        <f t="shared" si="122"/>
        <v>-0.22961593756418341</v>
      </c>
      <c r="V49" s="382">
        <f t="shared" si="122"/>
        <v>1.2009464142895281</v>
      </c>
      <c r="W49" s="382">
        <f t="shared" si="122"/>
        <v>4.9349443317283193E-2</v>
      </c>
      <c r="X49" s="382">
        <f t="shared" si="122"/>
        <v>-1.0914696319667561</v>
      </c>
      <c r="Y49" s="382">
        <f t="shared" si="122"/>
        <v>2.1418656010095671</v>
      </c>
      <c r="Z49" s="382">
        <f t="shared" si="122"/>
        <v>-4.5511447315570992</v>
      </c>
      <c r="AA49" s="382">
        <f t="shared" si="122"/>
        <v>0.46123249194110905</v>
      </c>
      <c r="AB49" s="382">
        <f t="shared" si="122"/>
        <v>-0.36147018603091086</v>
      </c>
      <c r="AC49" s="382">
        <f t="shared" si="122"/>
        <v>-1.7821598141226387</v>
      </c>
      <c r="AD49" s="382">
        <f t="shared" si="122"/>
        <v>1.3334409629840103</v>
      </c>
      <c r="AE49" s="382">
        <f t="shared" si="122"/>
        <v>0.384836358202016</v>
      </c>
      <c r="AF49" s="382">
        <f t="shared" si="122"/>
        <v>5.0548168043581976E-2</v>
      </c>
      <c r="AG49" s="382">
        <f t="shared" si="122"/>
        <v>-0.25801616167764874</v>
      </c>
      <c r="AH49" s="382">
        <f t="shared" si="122"/>
        <v>-0.14360649349317522</v>
      </c>
      <c r="AI49" s="382">
        <f t="shared" si="122"/>
        <v>-0.87031415587448102</v>
      </c>
      <c r="AJ49" s="382">
        <f t="shared" si="122"/>
        <v>-7.158264081255755</v>
      </c>
      <c r="AK49" s="382">
        <f t="shared" si="122"/>
        <v>-0.86997331094251362</v>
      </c>
      <c r="AL49" s="382">
        <f t="shared" si="122"/>
        <v>-0.21915359778597399</v>
      </c>
      <c r="AM49" s="382">
        <f t="shared" si="122"/>
        <v>20.905338551281002</v>
      </c>
      <c r="AN49" s="382">
        <f t="shared" si="122"/>
        <v>9.6135695601758497E-2</v>
      </c>
      <c r="AO49" s="382">
        <f t="shared" si="122"/>
        <v>-0.33139391851997646</v>
      </c>
      <c r="AP49" s="382">
        <f t="shared" si="122"/>
        <v>-0.43277067427099603</v>
      </c>
      <c r="AQ49" s="382">
        <f t="shared" si="122"/>
        <v>1.3865576880967012E-3</v>
      </c>
      <c r="AR49" s="382">
        <f t="shared" si="122"/>
        <v>-0.6904484283146286</v>
      </c>
      <c r="AS49" s="382">
        <f t="shared" si="122"/>
        <v>-1.9881503570587786</v>
      </c>
      <c r="AT49" s="382">
        <f t="shared" si="122"/>
        <v>0.62235281660313113</v>
      </c>
      <c r="AU49" s="382">
        <f t="shared" si="122"/>
        <v>0.22301993930098396</v>
      </c>
      <c r="AV49" s="382">
        <f t="shared" si="122"/>
        <v>-8.8000640392774221E-2</v>
      </c>
      <c r="AW49" s="382">
        <f t="shared" si="122"/>
        <v>-0.66840750168231922</v>
      </c>
      <c r="AX49" s="382">
        <f t="shared" si="122"/>
        <v>-3.0142497904442571</v>
      </c>
      <c r="AY49" s="382">
        <f t="shared" si="122"/>
        <v>-0.84381365398514907</v>
      </c>
      <c r="AZ49" s="382">
        <f t="shared" si="122"/>
        <v>-12.040246809704046</v>
      </c>
      <c r="BA49" s="382">
        <f t="shared" si="122"/>
        <v>1.6129966466822419</v>
      </c>
      <c r="BB49" s="382">
        <f t="shared" si="122"/>
        <v>0.25707285772618493</v>
      </c>
      <c r="BC49" s="382">
        <f t="shared" si="122"/>
        <v>-0.60514694508894007</v>
      </c>
      <c r="BD49" s="382">
        <f t="shared" si="122"/>
        <v>0.16710573994456945</v>
      </c>
      <c r="BE49" s="382">
        <f t="shared" si="122"/>
        <v>-0.79861041184170789</v>
      </c>
      <c r="BF49" s="382">
        <f t="shared" si="122"/>
        <v>-17.291666666666668</v>
      </c>
      <c r="BG49" s="382">
        <f t="shared" si="122"/>
        <v>-0.16112531969309463</v>
      </c>
      <c r="BH49" s="382">
        <f t="shared" si="122"/>
        <v>-0.54878048780487809</v>
      </c>
      <c r="BI49" s="382">
        <f t="shared" si="122"/>
        <v>-0.93918918918918914</v>
      </c>
      <c r="BJ49" s="382">
        <f t="shared" si="122"/>
        <v>22.777777777777779</v>
      </c>
      <c r="BK49" s="382">
        <f t="shared" si="122"/>
        <v>0.28971962616822422</v>
      </c>
      <c r="BL49" s="382">
        <f t="shared" si="122"/>
        <v>-0.89855072463768115</v>
      </c>
      <c r="BM49" s="382">
        <f t="shared" si="122"/>
        <v>8.2857142857142865</v>
      </c>
      <c r="BN49" s="382">
        <f t="shared" si="122"/>
        <v>-0.44230769230769229</v>
      </c>
      <c r="BO49" s="382">
        <f t="shared" ref="BO49:DZ49" si="123">BO48/BN48-1</f>
        <v>0.4137931034482758</v>
      </c>
      <c r="BP49" s="382">
        <f t="shared" si="123"/>
        <v>-1.2292682926829268</v>
      </c>
      <c r="BQ49" s="382">
        <f t="shared" si="123"/>
        <v>2.5957446808510638</v>
      </c>
      <c r="BR49" s="382">
        <f t="shared" si="123"/>
        <v>-0.23076923076923073</v>
      </c>
      <c r="BS49" s="382">
        <f t="shared" si="123"/>
        <v>6.1538461538461542E-2</v>
      </c>
      <c r="BT49" s="382">
        <f t="shared" si="123"/>
        <v>4.3478260869565188E-2</v>
      </c>
      <c r="BU49" s="382">
        <f t="shared" si="123"/>
        <v>-2.083333333333337E-2</v>
      </c>
      <c r="BV49" s="382">
        <f t="shared" si="123"/>
        <v>-0.34751773049645385</v>
      </c>
      <c r="BW49" s="382">
        <f t="shared" si="123"/>
        <v>0.23913043478260865</v>
      </c>
      <c r="BX49" s="382">
        <f t="shared" si="123"/>
        <v>0.2807017543859649</v>
      </c>
      <c r="BY49" s="382">
        <f t="shared" si="123"/>
        <v>0.17808219178082196</v>
      </c>
      <c r="BZ49" s="382">
        <f t="shared" si="123"/>
        <v>-0.19767441860465118</v>
      </c>
      <c r="CA49" s="382">
        <f t="shared" si="123"/>
        <v>-0.37681159420289856</v>
      </c>
      <c r="CB49" s="382">
        <f t="shared" si="123"/>
        <v>-2.441860465116279</v>
      </c>
      <c r="CC49" s="382">
        <f t="shared" si="123"/>
        <v>-0.55645161290322576</v>
      </c>
      <c r="CD49" s="382">
        <f t="shared" si="123"/>
        <v>-0.16363636363636369</v>
      </c>
      <c r="CE49" s="382">
        <f t="shared" si="123"/>
        <v>-0.56521739130434789</v>
      </c>
      <c r="CF49" s="382">
        <f t="shared" si="123"/>
        <v>-4.9000000000000004</v>
      </c>
      <c r="CG49" s="382">
        <f t="shared" si="123"/>
        <v>0.16666666666666674</v>
      </c>
      <c r="CH49" s="382">
        <f t="shared" si="123"/>
        <v>-0.27472527472527475</v>
      </c>
      <c r="CI49" s="382">
        <f t="shared" si="123"/>
        <v>1.5151515151515138E-2</v>
      </c>
      <c r="CJ49" s="382">
        <f t="shared" si="123"/>
        <v>-1.4925373134328401E-2</v>
      </c>
      <c r="CK49" s="382">
        <f t="shared" si="123"/>
        <v>-0.45454545454545459</v>
      </c>
      <c r="CL49" s="382">
        <f t="shared" si="123"/>
        <v>-2.3055555555555554</v>
      </c>
      <c r="CM49" s="382">
        <f t="shared" si="123"/>
        <v>1.2127659574468086</v>
      </c>
      <c r="CN49" s="382">
        <f t="shared" si="123"/>
        <v>5.7692307692307709E-2</v>
      </c>
      <c r="CO49" s="382">
        <f t="shared" si="123"/>
        <v>-0.5</v>
      </c>
      <c r="CP49" s="382">
        <f t="shared" si="123"/>
        <v>0.41818181818181821</v>
      </c>
      <c r="CQ49" s="382">
        <f t="shared" si="123"/>
        <v>-0.47435897435897434</v>
      </c>
      <c r="CR49" s="382">
        <f t="shared" si="123"/>
        <v>-1.5609756097560976</v>
      </c>
      <c r="CS49" s="382">
        <f t="shared" si="123"/>
        <v>-2.4782608695652173</v>
      </c>
      <c r="CT49" s="382">
        <f t="shared" si="123"/>
        <v>0.64705882352941169</v>
      </c>
      <c r="CU49" s="382">
        <f t="shared" si="123"/>
        <v>-1</v>
      </c>
      <c r="CV49" s="382" t="e">
        <f t="shared" si="123"/>
        <v>#DIV/0!</v>
      </c>
      <c r="CW49" s="382">
        <f t="shared" si="123"/>
        <v>-0.34920634920634919</v>
      </c>
      <c r="CX49" s="382">
        <f t="shared" si="123"/>
        <v>0.46341463414634143</v>
      </c>
      <c r="CY49" s="382">
        <f t="shared" si="123"/>
        <v>0.27499999999999991</v>
      </c>
      <c r="CZ49" s="382">
        <f t="shared" si="123"/>
        <v>-1.9607843137254943E-2</v>
      </c>
      <c r="DA49" s="382">
        <f t="shared" si="123"/>
        <v>-0.81333333333333335</v>
      </c>
      <c r="DB49" s="382">
        <f t="shared" si="123"/>
        <v>-1.6071428571428572</v>
      </c>
      <c r="DC49" s="382">
        <f t="shared" si="123"/>
        <v>-4.882352941176471</v>
      </c>
      <c r="DD49" s="382">
        <f t="shared" si="123"/>
        <v>1.8181818181818183</v>
      </c>
      <c r="DE49" s="382">
        <f t="shared" si="123"/>
        <v>0.87096774193548376</v>
      </c>
      <c r="DF49" s="382">
        <f t="shared" si="123"/>
        <v>-0.49137931034482762</v>
      </c>
      <c r="DG49" s="382">
        <f t="shared" si="123"/>
        <v>-2.2598870056497189E-2</v>
      </c>
      <c r="DH49" s="382">
        <f t="shared" si="123"/>
        <v>1.5953757225433525</v>
      </c>
      <c r="DI49" s="382">
        <f t="shared" si="123"/>
        <v>0.30066815144766146</v>
      </c>
      <c r="DJ49" s="383">
        <f t="shared" si="123"/>
        <v>0.15924657534246567</v>
      </c>
      <c r="DK49" s="383">
        <f t="shared" si="123"/>
        <v>0.24224519940915812</v>
      </c>
      <c r="DL49" s="383">
        <f t="shared" si="123"/>
        <v>0.13674197384066589</v>
      </c>
      <c r="DM49" s="383">
        <f t="shared" si="123"/>
        <v>0.27196652719665271</v>
      </c>
      <c r="DN49" s="383">
        <f t="shared" si="123"/>
        <v>0.36759868421052633</v>
      </c>
      <c r="DO49" s="383">
        <f t="shared" si="123"/>
        <v>3.6079374624173211E-2</v>
      </c>
      <c r="DP49" s="383">
        <f t="shared" si="123"/>
        <v>-0.42251886244921644</v>
      </c>
      <c r="DQ49" s="383">
        <f t="shared" si="123"/>
        <v>-4.3216080402010082E-2</v>
      </c>
      <c r="DR49" s="383">
        <f t="shared" si="123"/>
        <v>-0.16701680672268904</v>
      </c>
      <c r="DS49" s="383">
        <f t="shared" si="123"/>
        <v>-9.2055485498108491E-2</v>
      </c>
      <c r="DT49" s="383">
        <f t="shared" si="123"/>
        <v>0.28194444444444455</v>
      </c>
      <c r="DU49" s="383">
        <f t="shared" si="123"/>
        <v>0.12459371614301196</v>
      </c>
      <c r="DV49" s="382">
        <f t="shared" si="123"/>
        <v>-0.26589595375722541</v>
      </c>
      <c r="DW49" s="382">
        <f t="shared" si="123"/>
        <v>0.20472440944881898</v>
      </c>
      <c r="DX49" s="382">
        <f t="shared" si="123"/>
        <v>0.48583877995642699</v>
      </c>
      <c r="DY49" s="383">
        <f t="shared" si="123"/>
        <v>0.23680351906158359</v>
      </c>
      <c r="DZ49" s="383">
        <f t="shared" si="123"/>
        <v>-0.16123295791345582</v>
      </c>
      <c r="EA49" s="383">
        <f t="shared" ref="EA49:EW49" si="124">EA48/DZ48-1</f>
        <v>-0.62685512367491159</v>
      </c>
      <c r="EB49" s="383">
        <f t="shared" si="124"/>
        <v>2.4450757575757578</v>
      </c>
      <c r="EC49" s="383">
        <f t="shared" si="124"/>
        <v>0.30181418361737222</v>
      </c>
      <c r="ED49" s="383">
        <f t="shared" si="124"/>
        <v>-0.13302364864864868</v>
      </c>
      <c r="EE49" s="384">
        <f t="shared" si="124"/>
        <v>0.21053029624523401</v>
      </c>
      <c r="EF49" s="384">
        <f t="shared" si="124"/>
        <v>7.8057989950801598E-2</v>
      </c>
      <c r="EG49" s="384">
        <f t="shared" si="124"/>
        <v>0.66307924728471201</v>
      </c>
      <c r="EH49" s="384">
        <f t="shared" si="124"/>
        <v>8.366767220712612E-2</v>
      </c>
      <c r="EI49" s="384">
        <f t="shared" si="124"/>
        <v>0.12419375193368243</v>
      </c>
      <c r="EJ49" s="384">
        <f t="shared" si="124"/>
        <v>0.1814433218962952</v>
      </c>
      <c r="EK49" s="384">
        <f t="shared" si="124"/>
        <v>0.10736791510977417</v>
      </c>
      <c r="EL49" s="384">
        <f t="shared" si="124"/>
        <v>-1.7684807261047375E-2</v>
      </c>
      <c r="EM49" s="384">
        <f t="shared" si="124"/>
        <v>8.425713360772269E-2</v>
      </c>
      <c r="EN49" s="384">
        <f t="shared" si="124"/>
        <v>0.13822079480605209</v>
      </c>
      <c r="EO49" s="384">
        <f t="shared" si="124"/>
        <v>0.10896449295741784</v>
      </c>
      <c r="EP49" s="384">
        <f t="shared" si="124"/>
        <v>-5.8191942204746105E-2</v>
      </c>
      <c r="EQ49" s="384">
        <f t="shared" si="124"/>
        <v>5.1138018133155549E-2</v>
      </c>
      <c r="ER49" s="384">
        <f t="shared" si="124"/>
        <v>0.11760820003030914</v>
      </c>
      <c r="ES49" s="384">
        <f t="shared" si="124"/>
        <v>4.5125075989408403E-2</v>
      </c>
      <c r="ET49" s="384">
        <f t="shared" si="124"/>
        <v>-7.0996374569807896E-2</v>
      </c>
      <c r="EU49" s="384">
        <f t="shared" si="124"/>
        <v>5.7155802984424797E-2</v>
      </c>
      <c r="EV49" s="384">
        <f t="shared" si="124"/>
        <v>0.15456931115306127</v>
      </c>
      <c r="EW49" s="384">
        <f t="shared" si="124"/>
        <v>6.8602631870030795E-2</v>
      </c>
      <c r="EX49" s="384"/>
      <c r="FX49" s="385"/>
      <c r="FY49" s="385"/>
      <c r="FZ49" s="386" t="s">
        <v>199</v>
      </c>
      <c r="GA49" s="386" t="s">
        <v>199</v>
      </c>
      <c r="GB49" s="386" t="s">
        <v>199</v>
      </c>
      <c r="GC49" s="386" t="s">
        <v>199</v>
      </c>
      <c r="GD49" s="386" t="s">
        <v>199</v>
      </c>
      <c r="GE49" s="386" t="s">
        <v>199</v>
      </c>
      <c r="GF49" s="386" t="s">
        <v>199</v>
      </c>
      <c r="GG49" s="386" t="s">
        <v>199</v>
      </c>
      <c r="GH49" s="386" t="s">
        <v>199</v>
      </c>
      <c r="GI49" s="386" t="s">
        <v>199</v>
      </c>
      <c r="GJ49" s="386" t="s">
        <v>199</v>
      </c>
      <c r="GK49" s="386" t="s">
        <v>199</v>
      </c>
      <c r="GN49" s="70"/>
    </row>
    <row r="50" spans="1:196" s="382" customFormat="1">
      <c r="A50" s="381" t="s">
        <v>200</v>
      </c>
      <c r="F50" s="382">
        <f t="shared" ref="F50:BQ50" si="125">F48/B48-1</f>
        <v>0.46343460616788912</v>
      </c>
      <c r="G50" s="382">
        <f t="shared" si="125"/>
        <v>0.61306303674709461</v>
      </c>
      <c r="H50" s="382">
        <f t="shared" si="125"/>
        <v>0.66417489075465297</v>
      </c>
      <c r="I50" s="382">
        <f t="shared" si="125"/>
        <v>1.1467692923558412</v>
      </c>
      <c r="J50" s="382">
        <f t="shared" si="125"/>
        <v>0.15099400961095388</v>
      </c>
      <c r="K50" s="382">
        <f t="shared" si="125"/>
        <v>-8.1091456966114417E-2</v>
      </c>
      <c r="L50" s="382">
        <f t="shared" si="125"/>
        <v>-0.62750319006911215</v>
      </c>
      <c r="M50" s="382">
        <f t="shared" si="125"/>
        <v>-0.7369215121206989</v>
      </c>
      <c r="N50" s="382">
        <f t="shared" si="125"/>
        <v>-1.1595247286921462</v>
      </c>
      <c r="O50" s="382">
        <f t="shared" si="125"/>
        <v>-1.792478263268668</v>
      </c>
      <c r="P50" s="382">
        <f t="shared" si="125"/>
        <v>-2.5230683933309574</v>
      </c>
      <c r="Q50" s="382">
        <f t="shared" si="125"/>
        <v>-2.7251433726399927</v>
      </c>
      <c r="R50" s="382">
        <f t="shared" si="125"/>
        <v>-1.1566729407546827</v>
      </c>
      <c r="S50" s="382">
        <f t="shared" si="125"/>
        <v>-1.0924174151771056</v>
      </c>
      <c r="T50" s="382">
        <f t="shared" si="125"/>
        <v>-0.2403858654671206</v>
      </c>
      <c r="U50" s="382">
        <f t="shared" si="125"/>
        <v>-0.15936128490055301</v>
      </c>
      <c r="V50" s="382">
        <f t="shared" si="125"/>
        <v>-29.337814645308971</v>
      </c>
      <c r="W50" s="382">
        <f t="shared" si="125"/>
        <v>-12.189107738671883</v>
      </c>
      <c r="X50" s="382">
        <f t="shared" si="125"/>
        <v>-1.1627473129321559</v>
      </c>
      <c r="Y50" s="382">
        <f t="shared" si="125"/>
        <v>-1.6637341153470204</v>
      </c>
      <c r="Z50" s="382">
        <f t="shared" si="125"/>
        <v>7.0910173717307678E-2</v>
      </c>
      <c r="AA50" s="382">
        <f t="shared" si="125"/>
        <v>0.49125608418784528</v>
      </c>
      <c r="AB50" s="382">
        <f t="shared" si="125"/>
        <v>-11.410137764223343</v>
      </c>
      <c r="AC50" s="382">
        <f t="shared" si="125"/>
        <v>1.5915785245682121</v>
      </c>
      <c r="AD50" s="382">
        <f t="shared" si="125"/>
        <v>-2.7029143966671061</v>
      </c>
      <c r="AE50" s="382">
        <f t="shared" si="125"/>
        <v>-2.6138826534561495</v>
      </c>
      <c r="AF50" s="382">
        <f t="shared" si="125"/>
        <v>-3.6552581068794843</v>
      </c>
      <c r="AG50" s="382">
        <f t="shared" si="125"/>
        <v>1.5188696303567295</v>
      </c>
      <c r="AH50" s="382">
        <f t="shared" si="125"/>
        <v>-7.5552529764374987E-2</v>
      </c>
      <c r="AI50" s="382">
        <f t="shared" si="125"/>
        <v>-0.91342821856377154</v>
      </c>
      <c r="AJ50" s="382">
        <f t="shared" si="125"/>
        <v>-1.5074797218121776</v>
      </c>
      <c r="AK50" s="382">
        <f t="shared" si="125"/>
        <v>-1.0889317321792991</v>
      </c>
      <c r="AL50" s="382">
        <f t="shared" si="125"/>
        <v>-1.0810865829636154</v>
      </c>
      <c r="AM50" s="382">
        <f t="shared" si="125"/>
        <v>-14.696398891966725</v>
      </c>
      <c r="AN50" s="382">
        <f t="shared" si="125"/>
        <v>1.4378804690077081</v>
      </c>
      <c r="AO50" s="382">
        <f t="shared" si="125"/>
        <v>11.53574723247233</v>
      </c>
      <c r="AP50" s="382">
        <f t="shared" si="125"/>
        <v>8.1063279923207183</v>
      </c>
      <c r="AQ50" s="382">
        <f t="shared" si="125"/>
        <v>-0.58371086481676249</v>
      </c>
      <c r="AR50" s="382">
        <f t="shared" si="125"/>
        <v>-0.88243886538083061</v>
      </c>
      <c r="AS50" s="382">
        <f t="shared" si="125"/>
        <v>-1.173746665440162</v>
      </c>
      <c r="AT50" s="382">
        <f t="shared" si="125"/>
        <v>-1.4969390320043454</v>
      </c>
      <c r="AU50" s="382">
        <f t="shared" si="125"/>
        <v>-1.6069248084989236</v>
      </c>
      <c r="AV50" s="382">
        <f t="shared" si="125"/>
        <v>-2.7881189672761533</v>
      </c>
      <c r="AW50" s="382">
        <f t="shared" si="125"/>
        <v>-0.39996293943244365</v>
      </c>
      <c r="AX50" s="382">
        <f t="shared" si="125"/>
        <v>-1.7449825408739366</v>
      </c>
      <c r="AY50" s="382">
        <f t="shared" si="125"/>
        <v>-1.0951383515222677</v>
      </c>
      <c r="AZ50" s="382">
        <f t="shared" si="125"/>
        <v>0.15170133707832512</v>
      </c>
      <c r="BA50" s="382">
        <f t="shared" si="125"/>
        <v>8.0755724180526638</v>
      </c>
      <c r="BB50" s="382">
        <f t="shared" si="125"/>
        <v>-6.6639726657467557</v>
      </c>
      <c r="BC50" s="382">
        <f t="shared" si="125"/>
        <v>-15.319029589117827</v>
      </c>
      <c r="BD50" s="382">
        <f t="shared" si="125"/>
        <v>0.51371811807742884</v>
      </c>
      <c r="BE50" s="382">
        <f t="shared" si="125"/>
        <v>-0.88333430554745374</v>
      </c>
      <c r="BF50" s="382">
        <f t="shared" si="125"/>
        <v>-2.5119876256767215</v>
      </c>
      <c r="BG50" s="382">
        <f t="shared" si="125"/>
        <v>-4.2122535721630801</v>
      </c>
      <c r="BH50" s="382">
        <f t="shared" si="125"/>
        <v>-2.2419024603094675</v>
      </c>
      <c r="BI50" s="382">
        <f t="shared" si="125"/>
        <v>-1.375</v>
      </c>
      <c r="BJ50" s="382">
        <f t="shared" si="125"/>
        <v>-0.45268542199488493</v>
      </c>
      <c r="BK50" s="382">
        <f t="shared" si="125"/>
        <v>-0.15853658536585369</v>
      </c>
      <c r="BL50" s="382">
        <f t="shared" si="125"/>
        <v>-0.81081081081081074</v>
      </c>
      <c r="BM50" s="382">
        <f t="shared" si="125"/>
        <v>27.888888888888889</v>
      </c>
      <c r="BN50" s="382">
        <f t="shared" si="125"/>
        <v>-0.32242990654205606</v>
      </c>
      <c r="BO50" s="382">
        <f t="shared" si="125"/>
        <v>-0.25724637681159424</v>
      </c>
      <c r="BP50" s="382">
        <f t="shared" si="125"/>
        <v>-2.6785714285714288</v>
      </c>
      <c r="BQ50" s="382">
        <f t="shared" si="125"/>
        <v>-1.65</v>
      </c>
      <c r="BR50" s="382">
        <f t="shared" ref="BR50:EC50" si="126">BR48/BN48-1</f>
        <v>-1.896551724137931</v>
      </c>
      <c r="BS50" s="382">
        <f t="shared" si="126"/>
        <v>-1.6731707317073172</v>
      </c>
      <c r="BT50" s="382">
        <f t="shared" si="126"/>
        <v>2.0638297872340425</v>
      </c>
      <c r="BU50" s="382">
        <f t="shared" si="126"/>
        <v>-0.16568047337278102</v>
      </c>
      <c r="BV50" s="382">
        <f t="shared" si="126"/>
        <v>-0.29230769230769227</v>
      </c>
      <c r="BW50" s="382">
        <f t="shared" si="126"/>
        <v>-0.17391304347826086</v>
      </c>
      <c r="BX50" s="382">
        <f t="shared" si="126"/>
        <v>1.388888888888884E-2</v>
      </c>
      <c r="BY50" s="382">
        <f t="shared" si="126"/>
        <v>0.21985815602836878</v>
      </c>
      <c r="BZ50" s="382">
        <f t="shared" si="126"/>
        <v>0.5</v>
      </c>
      <c r="CA50" s="382">
        <f t="shared" si="126"/>
        <v>-0.24561403508771928</v>
      </c>
      <c r="CB50" s="382">
        <f t="shared" si="126"/>
        <v>-1.8493150684931505</v>
      </c>
      <c r="CC50" s="382">
        <f t="shared" si="126"/>
        <v>-1.3197674418604652</v>
      </c>
      <c r="CD50" s="382">
        <f t="shared" si="126"/>
        <v>-1.3333333333333333</v>
      </c>
      <c r="CE50" s="382">
        <f t="shared" si="126"/>
        <v>-1.2325581395348837</v>
      </c>
      <c r="CF50" s="382">
        <f t="shared" si="126"/>
        <v>-1.629032258064516</v>
      </c>
      <c r="CG50" s="382">
        <f t="shared" si="126"/>
        <v>-2.6545454545454543</v>
      </c>
      <c r="CH50" s="382">
        <f t="shared" si="126"/>
        <v>-2.4347826086956523</v>
      </c>
      <c r="CI50" s="382">
        <f t="shared" si="126"/>
        <v>-4.3499999999999996</v>
      </c>
      <c r="CJ50" s="382">
        <f t="shared" si="126"/>
        <v>-0.15384615384615385</v>
      </c>
      <c r="CK50" s="382">
        <f t="shared" si="126"/>
        <v>-0.60439560439560447</v>
      </c>
      <c r="CL50" s="382">
        <f t="shared" si="126"/>
        <v>-1.7121212121212122</v>
      </c>
      <c r="CM50" s="382">
        <f t="shared" si="126"/>
        <v>-2.5522388059701493</v>
      </c>
      <c r="CN50" s="382">
        <f t="shared" si="126"/>
        <v>-2.666666666666667</v>
      </c>
      <c r="CO50" s="382">
        <f t="shared" si="126"/>
        <v>-2.5277777777777777</v>
      </c>
      <c r="CP50" s="382">
        <f t="shared" si="126"/>
        <v>0.65957446808510634</v>
      </c>
      <c r="CQ50" s="382">
        <f t="shared" si="126"/>
        <v>-0.60576923076923084</v>
      </c>
      <c r="CR50" s="382">
        <f t="shared" si="126"/>
        <v>-1.209090909090909</v>
      </c>
      <c r="CS50" s="382">
        <f t="shared" si="126"/>
        <v>-0.38181818181818183</v>
      </c>
      <c r="CT50" s="382">
        <f t="shared" si="126"/>
        <v>-0.28205128205128205</v>
      </c>
      <c r="CU50" s="382">
        <f t="shared" si="126"/>
        <v>-1</v>
      </c>
      <c r="CV50" s="382">
        <f t="shared" si="126"/>
        <v>4.4782608695652177</v>
      </c>
      <c r="CW50" s="382">
        <f t="shared" si="126"/>
        <v>-3.4117647058823528</v>
      </c>
      <c r="CX50" s="382">
        <f t="shared" si="126"/>
        <v>-3.1428571428571428</v>
      </c>
      <c r="CY50" s="382" t="e">
        <f t="shared" si="126"/>
        <v>#DIV/0!</v>
      </c>
      <c r="CZ50" s="382">
        <f t="shared" si="126"/>
        <v>0.19047619047619047</v>
      </c>
      <c r="DA50" s="382">
        <f t="shared" si="126"/>
        <v>-0.65853658536585358</v>
      </c>
      <c r="DB50" s="382">
        <f t="shared" si="126"/>
        <v>-1.1416666666666666</v>
      </c>
      <c r="DC50" s="382">
        <f t="shared" si="126"/>
        <v>-0.56862745098039214</v>
      </c>
      <c r="DD50" s="382">
        <f t="shared" si="126"/>
        <v>0.24</v>
      </c>
      <c r="DE50" s="382">
        <f t="shared" si="126"/>
        <v>11.428571428571429</v>
      </c>
      <c r="DF50" s="382">
        <f t="shared" si="126"/>
        <v>-11.411764705882353</v>
      </c>
      <c r="DG50" s="382">
        <f t="shared" si="126"/>
        <v>1.6212121212121211</v>
      </c>
      <c r="DH50" s="382">
        <f t="shared" si="126"/>
        <v>1.413978494623656</v>
      </c>
      <c r="DI50" s="382">
        <f t="shared" si="126"/>
        <v>0.67816091954022983</v>
      </c>
      <c r="DJ50" s="383">
        <f t="shared" si="126"/>
        <v>2.8248587570621471</v>
      </c>
      <c r="DK50" s="383">
        <f t="shared" si="126"/>
        <v>3.8612716763005777</v>
      </c>
      <c r="DL50" s="383">
        <f t="shared" si="126"/>
        <v>1.1291759465478841</v>
      </c>
      <c r="DM50" s="383">
        <f t="shared" si="126"/>
        <v>1.0821917808219177</v>
      </c>
      <c r="DN50" s="383">
        <f t="shared" si="126"/>
        <v>1.4564254062038406</v>
      </c>
      <c r="DO50" s="383">
        <f t="shared" si="126"/>
        <v>1.0487514863258025</v>
      </c>
      <c r="DP50" s="383">
        <f t="shared" si="126"/>
        <v>4.0794979079497917E-2</v>
      </c>
      <c r="DQ50" s="383">
        <f t="shared" si="126"/>
        <v>-0.21710526315789469</v>
      </c>
      <c r="DR50" s="383">
        <f t="shared" si="126"/>
        <v>-0.52315093205051111</v>
      </c>
      <c r="DS50" s="383">
        <f t="shared" si="126"/>
        <v>-0.58212420197330239</v>
      </c>
      <c r="DT50" s="383">
        <f t="shared" si="126"/>
        <v>-7.2361809045226155E-2</v>
      </c>
      <c r="DU50" s="383">
        <f t="shared" si="126"/>
        <v>9.0336134453781414E-2</v>
      </c>
      <c r="DV50" s="382">
        <f t="shared" si="126"/>
        <v>-3.9092055485498101E-2</v>
      </c>
      <c r="DW50" s="382">
        <f t="shared" si="126"/>
        <v>0.27499999999999991</v>
      </c>
      <c r="DX50" s="382">
        <f t="shared" si="126"/>
        <v>0.47778981581798474</v>
      </c>
      <c r="DY50" s="383">
        <f t="shared" si="126"/>
        <v>0.62524084778420042</v>
      </c>
      <c r="DZ50" s="383">
        <f t="shared" si="126"/>
        <v>0.85695538057742793</v>
      </c>
      <c r="EA50" s="383">
        <f t="shared" si="126"/>
        <v>-0.42483660130718959</v>
      </c>
      <c r="EB50" s="383">
        <f t="shared" si="126"/>
        <v>0.3335777126099706</v>
      </c>
      <c r="EC50" s="383">
        <f t="shared" si="126"/>
        <v>0.40367516301126249</v>
      </c>
      <c r="ED50" s="383">
        <f t="shared" ref="ED50:EW50" si="127">ED48/DZ48-1</f>
        <v>0.45088339222614837</v>
      </c>
      <c r="EE50" s="384">
        <f t="shared" si="127"/>
        <v>3.7068535950595942</v>
      </c>
      <c r="EF50" s="384">
        <f t="shared" si="127"/>
        <v>0.47290262471711886</v>
      </c>
      <c r="EG50" s="384">
        <f t="shared" si="127"/>
        <v>0.88164625893966519</v>
      </c>
      <c r="EH50" s="384">
        <f t="shared" si="127"/>
        <v>1.3519433006034043</v>
      </c>
      <c r="EI50" s="384">
        <f t="shared" si="127"/>
        <v>1.184199744229276</v>
      </c>
      <c r="EJ50" s="384">
        <f t="shared" si="127"/>
        <v>1.3936636299361216</v>
      </c>
      <c r="EK50" s="384">
        <f t="shared" si="127"/>
        <v>0.59383042490859395</v>
      </c>
      <c r="EL50" s="384">
        <f t="shared" si="127"/>
        <v>0.4447638156894691</v>
      </c>
      <c r="EM50" s="384">
        <f t="shared" si="127"/>
        <v>0.39343904984808109</v>
      </c>
      <c r="EN50" s="384">
        <f t="shared" si="127"/>
        <v>0.34246076255792879</v>
      </c>
      <c r="EO50" s="384">
        <f t="shared" si="127"/>
        <v>0.3443962919204695</v>
      </c>
      <c r="EP50" s="384">
        <f t="shared" si="127"/>
        <v>0.28895823861826164</v>
      </c>
      <c r="EQ50" s="384">
        <f t="shared" si="127"/>
        <v>0.24958643701927152</v>
      </c>
      <c r="ER50" s="384">
        <f t="shared" si="127"/>
        <v>0.22695706758490664</v>
      </c>
      <c r="ES50" s="384">
        <f t="shared" si="127"/>
        <v>0.15632520846152653</v>
      </c>
      <c r="ET50" s="384">
        <f t="shared" si="127"/>
        <v>0.14060428974437089</v>
      </c>
      <c r="EU50" s="384">
        <f t="shared" si="127"/>
        <v>0.14713427067713813</v>
      </c>
      <c r="EV50" s="384">
        <f t="shared" si="127"/>
        <v>0.18507185672031934</v>
      </c>
      <c r="EW50" s="384">
        <f t="shared" si="127"/>
        <v>0.2116931591633453</v>
      </c>
      <c r="EX50" s="384"/>
      <c r="FA50" s="382">
        <f>FA48/EZ48-1</f>
        <v>0.68213064615001362</v>
      </c>
      <c r="FB50" s="382">
        <f t="shared" ref="FB50:GG50" si="128">FB48/FA48-1</f>
        <v>-0.32128136820627573</v>
      </c>
      <c r="FC50" s="386" t="s">
        <v>199</v>
      </c>
      <c r="FD50" s="386" t="s">
        <v>199</v>
      </c>
      <c r="FE50" s="386" t="s">
        <v>199</v>
      </c>
      <c r="FF50" s="386" t="s">
        <v>199</v>
      </c>
      <c r="FG50" s="386" t="s">
        <v>199</v>
      </c>
      <c r="FH50" s="382">
        <f t="shared" si="128"/>
        <v>-0.9573022809923305</v>
      </c>
      <c r="FI50" s="386" t="s">
        <v>199</v>
      </c>
      <c r="FJ50" s="386" t="s">
        <v>199</v>
      </c>
      <c r="FK50" s="386" t="s">
        <v>199</v>
      </c>
      <c r="FL50" s="382">
        <f t="shared" si="128"/>
        <v>1.9321056915935442E-2</v>
      </c>
      <c r="FM50" s="382">
        <f t="shared" si="128"/>
        <v>1.1751260489691604</v>
      </c>
      <c r="FN50" s="386" t="s">
        <v>199</v>
      </c>
      <c r="FO50" s="386" t="s">
        <v>199</v>
      </c>
      <c r="FP50" s="386" t="s">
        <v>199</v>
      </c>
      <c r="FQ50" s="386" t="s">
        <v>199</v>
      </c>
      <c r="FR50" s="382">
        <f t="shared" si="128"/>
        <v>-5.2441229656419508E-2</v>
      </c>
      <c r="FS50" s="382">
        <f t="shared" si="128"/>
        <v>-0.91412213740458015</v>
      </c>
      <c r="FT50" s="382">
        <f t="shared" si="128"/>
        <v>1.2888888888888888</v>
      </c>
      <c r="FU50" s="382">
        <f t="shared" si="128"/>
        <v>1.2815533980582523</v>
      </c>
      <c r="FV50" s="386" t="s">
        <v>199</v>
      </c>
      <c r="FW50" s="386" t="s">
        <v>199</v>
      </c>
      <c r="FX50" s="386" t="s">
        <v>199</v>
      </c>
      <c r="FY50" s="382">
        <f t="shared" si="128"/>
        <v>1.9671052631578947</v>
      </c>
      <c r="FZ50" s="382">
        <f t="shared" si="128"/>
        <v>0.29268292682926833</v>
      </c>
      <c r="GA50" s="382">
        <f t="shared" si="128"/>
        <v>1.3722126929674099</v>
      </c>
      <c r="GB50" s="382">
        <f t="shared" si="128"/>
        <v>1.6681127982646422</v>
      </c>
      <c r="GC50" s="382">
        <f t="shared" si="128"/>
        <v>0.44525745257452565</v>
      </c>
      <c r="GD50" s="382">
        <f t="shared" si="128"/>
        <v>-0.3485842865179074</v>
      </c>
      <c r="GE50" s="382">
        <f t="shared" si="128"/>
        <v>0.36183074265975823</v>
      </c>
      <c r="GF50" s="382">
        <f t="shared" si="128"/>
        <v>0.29570915239907003</v>
      </c>
      <c r="GG50" s="384">
        <f t="shared" si="128"/>
        <v>0.90426866455481769</v>
      </c>
      <c r="GH50" s="384">
        <f>GH48/GG48-1</f>
        <v>1.0364287072730805</v>
      </c>
      <c r="GI50" s="384">
        <f t="shared" ref="GI50:GK50" si="129">GI48/GH48-1</f>
        <v>0.37545988113312112</v>
      </c>
      <c r="GJ50" s="384">
        <f t="shared" si="129"/>
        <v>0.22479586483553571</v>
      </c>
      <c r="GK50" s="384">
        <f t="shared" si="129"/>
        <v>0.17347236125423238</v>
      </c>
      <c r="GN50" s="70"/>
    </row>
    <row r="51" spans="1:196" s="382" customFormat="1">
      <c r="A51" s="381" t="s">
        <v>202</v>
      </c>
      <c r="B51" s="382">
        <f>B48/B$4</f>
        <v>0.20382001457908419</v>
      </c>
      <c r="C51" s="382">
        <f>C48/C$4</f>
        <v>0.20920721989185798</v>
      </c>
      <c r="D51" s="382">
        <f t="shared" ref="D51:BO51" si="130">D48/D$4</f>
        <v>0.19473599919684662</v>
      </c>
      <c r="E51" s="382">
        <f t="shared" si="130"/>
        <v>0.13293775580304018</v>
      </c>
      <c r="F51" s="382">
        <f t="shared" si="130"/>
        <v>0.23685974896702269</v>
      </c>
      <c r="G51" s="382">
        <f t="shared" si="130"/>
        <v>0.25886888544282083</v>
      </c>
      <c r="H51" s="382">
        <f t="shared" si="130"/>
        <v>0.24962899133515251</v>
      </c>
      <c r="I51" s="382">
        <f t="shared" si="130"/>
        <v>0.21641035423942712</v>
      </c>
      <c r="J51" s="382">
        <f t="shared" si="130"/>
        <v>0.225574749716173</v>
      </c>
      <c r="K51" s="382">
        <f t="shared" si="130"/>
        <v>0.20258090684654137</v>
      </c>
      <c r="L51" s="382">
        <f t="shared" si="130"/>
        <v>8.5540791178637637E-2</v>
      </c>
      <c r="M51" s="382">
        <f t="shared" si="130"/>
        <v>5.2338081274271503E-2</v>
      </c>
      <c r="N51" s="382">
        <f t="shared" si="130"/>
        <v>-4.1002403475116356E-2</v>
      </c>
      <c r="O51" s="382">
        <f t="shared" si="130"/>
        <v>-0.22091426286101035</v>
      </c>
      <c r="P51" s="382">
        <f t="shared" si="130"/>
        <v>-0.16836156213473649</v>
      </c>
      <c r="Q51" s="382">
        <f t="shared" si="130"/>
        <v>-0.10776504021188729</v>
      </c>
      <c r="R51" s="382">
        <f t="shared" si="130"/>
        <v>6.3333448067840609E-3</v>
      </c>
      <c r="S51" s="382">
        <f t="shared" si="130"/>
        <v>1.5626655633315931E-2</v>
      </c>
      <c r="T51" s="382">
        <f t="shared" si="130"/>
        <v>-9.7927742506419252E-2</v>
      </c>
      <c r="U51" s="382">
        <f t="shared" si="130"/>
        <v>-7.3408559765546472E-2</v>
      </c>
      <c r="V51" s="382">
        <f t="shared" si="130"/>
        <v>-0.1831707515493958</v>
      </c>
      <c r="W51" s="382">
        <f t="shared" si="130"/>
        <v>-0.19743684216523774</v>
      </c>
      <c r="X51" s="382">
        <f t="shared" si="130"/>
        <v>1.386299125125562E-2</v>
      </c>
      <c r="Y51" s="382">
        <f t="shared" si="130"/>
        <v>3.7874293248142815E-2</v>
      </c>
      <c r="Z51" s="382">
        <f t="shared" si="130"/>
        <v>-0.16797842914661812</v>
      </c>
      <c r="AA51" s="382">
        <f t="shared" si="130"/>
        <v>-0.26050353800732295</v>
      </c>
      <c r="AB51" s="382">
        <f t="shared" si="130"/>
        <v>-0.14948836591200124</v>
      </c>
      <c r="AC51" s="382">
        <f t="shared" si="130"/>
        <v>7.9926913111250997E-2</v>
      </c>
      <c r="AD51" s="382">
        <f t="shared" si="130"/>
        <v>0.16544340855416834</v>
      </c>
      <c r="AE51" s="382">
        <f t="shared" si="130"/>
        <v>0.21376374807016518</v>
      </c>
      <c r="AF51" s="382">
        <f t="shared" si="130"/>
        <v>0.21784776250280755</v>
      </c>
      <c r="AG51" s="382">
        <f t="shared" si="130"/>
        <v>0.16595528143965313</v>
      </c>
      <c r="AH51" s="382">
        <f t="shared" si="130"/>
        <v>0.14050003911681799</v>
      </c>
      <c r="AI51" s="382">
        <f t="shared" si="130"/>
        <v>2.1983955569268798E-2</v>
      </c>
      <c r="AJ51" s="382">
        <f t="shared" si="130"/>
        <v>-0.17416532831942755</v>
      </c>
      <c r="AK51" s="382">
        <f t="shared" si="130"/>
        <v>-1.8220918126682858E-2</v>
      </c>
      <c r="AL51" s="382">
        <f t="shared" si="130"/>
        <v>-1.5013197379813012E-2</v>
      </c>
      <c r="AM51" s="382">
        <f t="shared" si="130"/>
        <v>-0.49419372679281492</v>
      </c>
      <c r="AN51" s="382">
        <f t="shared" si="130"/>
        <v>-0.63984007146412936</v>
      </c>
      <c r="AO51" s="382">
        <f t="shared" si="130"/>
        <v>-0.31674023571230864</v>
      </c>
      <c r="AP51" s="382">
        <f t="shared" si="130"/>
        <v>-0.17259273253983257</v>
      </c>
      <c r="AQ51" s="382">
        <f t="shared" si="130"/>
        <v>-0.19139232031689499</v>
      </c>
      <c r="AR51" s="382">
        <f t="shared" si="130"/>
        <v>-4.0082452695072851E-2</v>
      </c>
      <c r="AS51" s="382">
        <f t="shared" si="130"/>
        <v>3.1333957645739513E-2</v>
      </c>
      <c r="AT51" s="382">
        <f t="shared" si="130"/>
        <v>4.9566777981499964E-2</v>
      </c>
      <c r="AU51" s="382">
        <f t="shared" si="130"/>
        <v>5.9400699139429289E-2</v>
      </c>
      <c r="AV51" s="382">
        <f t="shared" si="130"/>
        <v>5.5151481412454975E-2</v>
      </c>
      <c r="AW51" s="382">
        <f t="shared" si="130"/>
        <v>1.7936925202539224E-2</v>
      </c>
      <c r="AX51" s="382">
        <f t="shared" si="130"/>
        <v>-3.7221553722889128E-2</v>
      </c>
      <c r="AY51" s="382">
        <f t="shared" si="130"/>
        <v>-5.6598921517115068E-3</v>
      </c>
      <c r="AZ51" s="382">
        <f t="shared" si="130"/>
        <v>5.1701028727536714E-2</v>
      </c>
      <c r="BA51" s="382">
        <f t="shared" si="130"/>
        <v>0.11190702593081779</v>
      </c>
      <c r="BB51" s="382">
        <f t="shared" si="130"/>
        <v>0.19412111776531002</v>
      </c>
      <c r="BC51" s="382">
        <f t="shared" si="130"/>
        <v>8.3945881465051289E-2</v>
      </c>
      <c r="BD51" s="382">
        <f t="shared" si="130"/>
        <v>8.9763501960648501E-2</v>
      </c>
      <c r="BE51" s="382">
        <f t="shared" si="130"/>
        <v>1.3536379018612521E-2</v>
      </c>
      <c r="BF51" s="382">
        <f t="shared" si="130"/>
        <v>-0.31711273317112731</v>
      </c>
      <c r="BG51" s="382">
        <f t="shared" si="130"/>
        <v>-0.23802612481857766</v>
      </c>
      <c r="BH51" s="382">
        <f t="shared" si="130"/>
        <v>-9.0686274509803919E-2</v>
      </c>
      <c r="BI51" s="382">
        <f t="shared" si="130"/>
        <v>-5.084745762711864E-3</v>
      </c>
      <c r="BJ51" s="382">
        <f t="shared" si="130"/>
        <v>-0.14219269102990034</v>
      </c>
      <c r="BK51" s="382">
        <f t="shared" si="130"/>
        <v>-0.20459599703484063</v>
      </c>
      <c r="BL51" s="382">
        <f t="shared" si="130"/>
        <v>-1.7434620174346202E-2</v>
      </c>
      <c r="BM51" s="382">
        <f t="shared" si="130"/>
        <v>-0.22375215146299485</v>
      </c>
      <c r="BN51" s="382">
        <f t="shared" si="130"/>
        <v>-0.1231945624468989</v>
      </c>
      <c r="BO51" s="382">
        <f t="shared" si="130"/>
        <v>-0.17314189189189189</v>
      </c>
      <c r="BP51" s="382">
        <f t="shared" ref="BP51:EA51" si="131">BP48/BP$4</f>
        <v>3.36676217765043E-2</v>
      </c>
      <c r="BQ51" s="382">
        <f t="shared" si="131"/>
        <v>0.10267314702308628</v>
      </c>
      <c r="BR51" s="382">
        <f t="shared" si="131"/>
        <v>8.2592121982210928E-2</v>
      </c>
      <c r="BS51" s="382">
        <f t="shared" si="131"/>
        <v>8.3484573502722328E-2</v>
      </c>
      <c r="BT51" s="382">
        <f t="shared" si="131"/>
        <v>8.8998763906056863E-2</v>
      </c>
      <c r="BU51" s="382">
        <f t="shared" si="131"/>
        <v>8.550636749545179E-2</v>
      </c>
      <c r="BV51" s="382">
        <f t="shared" si="131"/>
        <v>5.7036577805331681E-2</v>
      </c>
      <c r="BW51" s="382">
        <f t="shared" si="131"/>
        <v>7.2426937738246502E-2</v>
      </c>
      <c r="BX51" s="382">
        <f t="shared" si="131"/>
        <v>8.6390532544378701E-2</v>
      </c>
      <c r="BY51" s="382">
        <f t="shared" si="131"/>
        <v>0.10171496156120639</v>
      </c>
      <c r="BZ51" s="382">
        <f t="shared" si="131"/>
        <v>8.7066246056782329E-2</v>
      </c>
      <c r="CA51" s="382">
        <f t="shared" si="131"/>
        <v>6.0863411181882522E-2</v>
      </c>
      <c r="CB51" s="382">
        <f t="shared" si="131"/>
        <v>-9.7714736012608355E-2</v>
      </c>
      <c r="CC51" s="382">
        <f t="shared" si="131"/>
        <v>-4.7619047619047616E-2</v>
      </c>
      <c r="CD51" s="382">
        <f t="shared" si="131"/>
        <v>-4.2279411764705885E-2</v>
      </c>
      <c r="CE51" s="382">
        <f t="shared" si="131"/>
        <v>-1.7226528854435832E-2</v>
      </c>
      <c r="CF51" s="382">
        <f t="shared" si="131"/>
        <v>5.3388090349075976E-2</v>
      </c>
      <c r="CG51" s="382">
        <f t="shared" si="131"/>
        <v>5.7268722466960353E-2</v>
      </c>
      <c r="CH51" s="382">
        <f t="shared" si="131"/>
        <v>4.7244094488188976E-2</v>
      </c>
      <c r="CI51" s="382">
        <f t="shared" si="131"/>
        <v>4.6495489243580844E-2</v>
      </c>
      <c r="CJ51" s="382">
        <f t="shared" si="131"/>
        <v>4.6186144156752977E-2</v>
      </c>
      <c r="CK51" s="382">
        <f t="shared" si="131"/>
        <v>2.9055690072639227E-2</v>
      </c>
      <c r="CL51" s="382">
        <f t="shared" si="131"/>
        <v>-4.5631067961165048E-2</v>
      </c>
      <c r="CM51" s="382">
        <f t="shared" si="131"/>
        <v>-0.11040339702760085</v>
      </c>
      <c r="CN51" s="382">
        <f t="shared" si="131"/>
        <v>-0.10367577756833177</v>
      </c>
      <c r="CO51" s="382">
        <f t="shared" si="131"/>
        <v>-5.7411273486430062E-2</v>
      </c>
      <c r="CP51" s="382">
        <f t="shared" si="131"/>
        <v>-9.375E-2</v>
      </c>
      <c r="CQ51" s="382">
        <f t="shared" si="131"/>
        <v>-3.9922103213242452E-2</v>
      </c>
      <c r="CR51" s="382">
        <f t="shared" si="131"/>
        <v>1.7597551644988524E-2</v>
      </c>
      <c r="CS51" s="382">
        <f t="shared" si="131"/>
        <v>-3.074141048824593E-2</v>
      </c>
      <c r="CT51" s="382">
        <f t="shared" si="131"/>
        <v>-5.6910569105691054E-2</v>
      </c>
      <c r="CU51" s="382">
        <f t="shared" si="131"/>
        <v>0</v>
      </c>
      <c r="CV51" s="382">
        <f>CV48/CV$4</f>
        <v>7.6688983566646385E-2</v>
      </c>
      <c r="CW51" s="382">
        <f t="shared" si="131"/>
        <v>5.5405405405405408E-2</v>
      </c>
      <c r="CX51" s="382">
        <f t="shared" si="131"/>
        <v>7.2859744990892539E-2</v>
      </c>
      <c r="CY51" s="382">
        <f t="shared" si="131"/>
        <v>8.7129840546697035E-2</v>
      </c>
      <c r="CZ51" s="382">
        <f t="shared" si="131"/>
        <v>9.0744101633393831E-2</v>
      </c>
      <c r="DA51" s="382">
        <f t="shared" si="131"/>
        <v>1.9732205778717406E-2</v>
      </c>
      <c r="DB51" s="382">
        <f t="shared" si="131"/>
        <v>-1.3364779874213837E-2</v>
      </c>
      <c r="DC51" s="382">
        <f t="shared" si="131"/>
        <v>4.3109079033311563E-2</v>
      </c>
      <c r="DD51" s="382">
        <f t="shared" si="131"/>
        <v>0.10327595780122155</v>
      </c>
      <c r="DE51" s="382">
        <f t="shared" si="131"/>
        <v>0.16361071932299012</v>
      </c>
      <c r="DF51" s="382">
        <f t="shared" si="131"/>
        <v>9.9104143337066075E-2</v>
      </c>
      <c r="DG51" s="382">
        <f t="shared" si="131"/>
        <v>8.9544513457556929E-2</v>
      </c>
      <c r="DH51" s="382">
        <f t="shared" si="131"/>
        <v>0.16029989289539451</v>
      </c>
      <c r="DI51" s="382">
        <f t="shared" si="131"/>
        <v>0.18002466091245375</v>
      </c>
      <c r="DJ51" s="383">
        <f t="shared" si="131"/>
        <v>0.19651669085631349</v>
      </c>
      <c r="DK51" s="383">
        <f t="shared" si="131"/>
        <v>0.21844155844155844</v>
      </c>
      <c r="DL51" s="383">
        <f t="shared" si="131"/>
        <v>0.22165546023649432</v>
      </c>
      <c r="DM51" s="383">
        <f t="shared" si="131"/>
        <v>0.25196850393700787</v>
      </c>
      <c r="DN51" s="383">
        <f t="shared" si="131"/>
        <v>0.282486835400034</v>
      </c>
      <c r="DO51" s="383">
        <f t="shared" si="131"/>
        <v>0.2630534351145038</v>
      </c>
      <c r="DP51" s="383">
        <f t="shared" si="131"/>
        <v>0.17879604672057503</v>
      </c>
      <c r="DQ51" s="383">
        <f t="shared" si="131"/>
        <v>0.17003036256474371</v>
      </c>
      <c r="DR51" s="383">
        <f t="shared" si="131"/>
        <v>0.14814122921726136</v>
      </c>
      <c r="DS51" s="383">
        <f t="shared" si="131"/>
        <v>0.13435342414629595</v>
      </c>
      <c r="DT51" s="383">
        <f t="shared" si="131"/>
        <v>0.15913793103448276</v>
      </c>
      <c r="DU51" s="383">
        <f t="shared" si="131"/>
        <v>0.16828793774319067</v>
      </c>
      <c r="DV51" s="382">
        <f t="shared" si="131"/>
        <v>0.13922894207929837</v>
      </c>
      <c r="DW51" s="382">
        <f t="shared" si="131"/>
        <v>0.15732647814910025</v>
      </c>
      <c r="DX51" s="382">
        <f t="shared" si="131"/>
        <v>0.20002932981375568</v>
      </c>
      <c r="DY51" s="383">
        <f t="shared" si="131"/>
        <v>0.22029250457038391</v>
      </c>
      <c r="DZ51" s="383">
        <f t="shared" si="131"/>
        <v>0.19023931164291477</v>
      </c>
      <c r="EA51" s="383">
        <f t="shared" si="131"/>
        <v>6.8705270006506183E-2</v>
      </c>
      <c r="EB51" s="383">
        <f t="shared" ref="EB51:EW51" si="132">EB48/EB$4</f>
        <v>0.19673372269089337</v>
      </c>
      <c r="EC51" s="383">
        <f t="shared" si="132"/>
        <v>0.23057448880233691</v>
      </c>
      <c r="ED51" s="383">
        <f t="shared" si="132"/>
        <v>0.20023407783087876</v>
      </c>
      <c r="EE51" s="384">
        <f t="shared" si="132"/>
        <v>0.22144936773368065</v>
      </c>
      <c r="EF51" s="384">
        <f t="shared" si="132"/>
        <v>0.22338625592310457</v>
      </c>
      <c r="EG51" s="384">
        <f t="shared" si="132"/>
        <v>0.27518868058384666</v>
      </c>
      <c r="EH51" s="384">
        <f t="shared" si="132"/>
        <v>0.27694782040724714</v>
      </c>
      <c r="EI51" s="384">
        <f t="shared" si="132"/>
        <v>0.28254995987223364</v>
      </c>
      <c r="EJ51" s="384">
        <f t="shared" si="132"/>
        <v>0.28971702847125064</v>
      </c>
      <c r="EK51" s="384">
        <f t="shared" si="132"/>
        <v>0.2896461471128588</v>
      </c>
      <c r="EL51" s="384">
        <f t="shared" si="132"/>
        <v>0.2913814330945842</v>
      </c>
      <c r="EM51" s="384">
        <f t="shared" si="132"/>
        <v>0.30215551251808243</v>
      </c>
      <c r="EN51" s="384">
        <f t="shared" si="132"/>
        <v>0.32038532022647431</v>
      </c>
      <c r="EO51" s="384">
        <f t="shared" si="132"/>
        <v>0.3320624391397593</v>
      </c>
      <c r="EP51" s="384">
        <f t="shared" si="132"/>
        <v>0.31912693181677576</v>
      </c>
      <c r="EQ51" s="384">
        <f t="shared" si="132"/>
        <v>0.32172504157887744</v>
      </c>
      <c r="ER51" s="384">
        <f t="shared" si="132"/>
        <v>0.33305860148917826</v>
      </c>
      <c r="ES51" s="384">
        <f t="shared" si="132"/>
        <v>0.33339146120367225</v>
      </c>
      <c r="ET51" s="384">
        <f t="shared" si="132"/>
        <v>0.32340068638954761</v>
      </c>
      <c r="EU51" s="384">
        <f t="shared" si="132"/>
        <v>0.32801155949777744</v>
      </c>
      <c r="EV51" s="384">
        <f t="shared" si="132"/>
        <v>0.3446521679612104</v>
      </c>
      <c r="EW51" s="384">
        <f t="shared" si="132"/>
        <v>0.35205462476408861</v>
      </c>
      <c r="EX51" s="384"/>
      <c r="EZ51" s="382">
        <f t="shared" ref="EZ51:GF51" si="133">EZ48/EZ$4</f>
        <v>0.18507353119615599</v>
      </c>
      <c r="FA51" s="382">
        <f t="shared" si="133"/>
        <v>0.24038452980077854</v>
      </c>
      <c r="FB51" s="382">
        <f t="shared" si="133"/>
        <v>0.1433401489222644</v>
      </c>
      <c r="FC51" s="382">
        <f t="shared" si="133"/>
        <v>-0.12970175917387389</v>
      </c>
      <c r="FD51" s="382">
        <f t="shared" si="133"/>
        <v>-3.8471380828603241E-2</v>
      </c>
      <c r="FE51" s="382">
        <f t="shared" si="133"/>
        <v>-6.4371724463749225E-2</v>
      </c>
      <c r="FF51" s="382">
        <f t="shared" si="133"/>
        <v>-9.8924133644829687E-2</v>
      </c>
      <c r="FG51" s="382">
        <f t="shared" si="133"/>
        <v>0.19136524864308863</v>
      </c>
      <c r="FH51" s="382">
        <f t="shared" si="133"/>
        <v>9.7506163030859905E-3</v>
      </c>
      <c r="FI51" s="382">
        <f t="shared" si="133"/>
        <v>-0.31620386729249123</v>
      </c>
      <c r="FJ51" s="382">
        <f t="shared" si="133"/>
        <v>-7.0266040154945697E-2</v>
      </c>
      <c r="FK51" s="382">
        <f t="shared" si="133"/>
        <v>4.5439958731843963E-2</v>
      </c>
      <c r="FL51" s="382">
        <f t="shared" si="133"/>
        <v>3.9615724598410604E-2</v>
      </c>
      <c r="FM51" s="382">
        <f t="shared" si="133"/>
        <v>8.9195944095630711E-2</v>
      </c>
      <c r="FN51" s="382">
        <f t="shared" si="133"/>
        <v>-0.14568435057375687</v>
      </c>
      <c r="FO51" s="382">
        <f t="shared" si="133"/>
        <v>-0.1383849163998577</v>
      </c>
      <c r="FP51" s="382">
        <f t="shared" si="133"/>
        <v>-2.4801036461225244E-2</v>
      </c>
      <c r="FQ51" s="382">
        <f t="shared" si="133"/>
        <v>8.5155528179858331E-2</v>
      </c>
      <c r="FR51" s="382">
        <f t="shared" si="133"/>
        <v>7.9780755176613885E-2</v>
      </c>
      <c r="FS51" s="382">
        <f t="shared" si="133"/>
        <v>8.2995204721504987E-3</v>
      </c>
      <c r="FT51" s="382">
        <f t="shared" si="133"/>
        <v>1.9437629741460651E-2</v>
      </c>
      <c r="FU51" s="382">
        <f t="shared" si="133"/>
        <v>4.2680711950599345E-2</v>
      </c>
      <c r="FV51" s="382">
        <f t="shared" si="133"/>
        <v>-7.9178150839388631E-2</v>
      </c>
      <c r="FW51" s="382">
        <f t="shared" si="133"/>
        <v>-3.0430711610486893E-2</v>
      </c>
      <c r="FX51" s="382">
        <f t="shared" si="133"/>
        <v>2.85231750797523E-2</v>
      </c>
      <c r="FY51" s="382">
        <f t="shared" si="133"/>
        <v>6.9652509652509659E-2</v>
      </c>
      <c r="FZ51" s="382">
        <f t="shared" si="133"/>
        <v>8.6614173228346455E-2</v>
      </c>
      <c r="GA51" s="382">
        <f t="shared" si="133"/>
        <v>0.14165727747618559</v>
      </c>
      <c r="GB51" s="382">
        <f t="shared" si="133"/>
        <v>0.22453450164293537</v>
      </c>
      <c r="GC51" s="382">
        <f t="shared" si="133"/>
        <v>0.22596500148298801</v>
      </c>
      <c r="GD51" s="382">
        <f t="shared" si="133"/>
        <v>0.15317460317460319</v>
      </c>
      <c r="GE51" s="382">
        <f t="shared" si="133"/>
        <v>0.18347876672484004</v>
      </c>
      <c r="GF51" s="382">
        <f t="shared" si="133"/>
        <v>0.17696815727936718</v>
      </c>
      <c r="GG51" s="387">
        <f>GG48/GG$4</f>
        <v>0.23505839755456412</v>
      </c>
      <c r="GH51" s="387">
        <f>GH48/GH$4</f>
        <v>0.28537063944707197</v>
      </c>
      <c r="GI51" s="387">
        <f t="shared" ref="GI51:GK51" si="134">GI48/GI$4</f>
        <v>0.3125936028468001</v>
      </c>
      <c r="GJ51" s="387">
        <f t="shared" si="134"/>
        <v>0.32722060228008765</v>
      </c>
      <c r="GK51" s="387">
        <f t="shared" si="134"/>
        <v>0.33787410448729399</v>
      </c>
      <c r="GN51" s="70"/>
    </row>
    <row r="52" spans="1:196" s="382" customFormat="1">
      <c r="A52" s="381" t="s">
        <v>211</v>
      </c>
      <c r="AX52" s="382">
        <f t="shared" ref="AX52:DI52" si="135">(AX48+AX59)/AX4</f>
        <v>-1.5978764548012961E-2</v>
      </c>
      <c r="AY52" s="382">
        <f t="shared" si="135"/>
        <v>5.1492239971172679E-2</v>
      </c>
      <c r="AZ52" s="382">
        <f t="shared" si="135"/>
        <v>5.728104652422758E-2</v>
      </c>
      <c r="BA52" s="382">
        <f t="shared" si="135"/>
        <v>0.11652929157536736</v>
      </c>
      <c r="BB52" s="382">
        <f t="shared" si="135"/>
        <v>0.20763302851463555</v>
      </c>
      <c r="BC52" s="382">
        <f t="shared" si="135"/>
        <v>0.10038828741654454</v>
      </c>
      <c r="BD52" s="382">
        <f t="shared" si="135"/>
        <v>0.10219173831105546</v>
      </c>
      <c r="BE52" s="382">
        <f t="shared" si="135"/>
        <v>2.8764805414551606E-2</v>
      </c>
      <c r="BF52" s="382">
        <f t="shared" si="135"/>
        <v>-0.28642511124262954</v>
      </c>
      <c r="BG52" s="382">
        <f t="shared" si="135"/>
        <v>-0.21552975326560231</v>
      </c>
      <c r="BH52" s="382">
        <f t="shared" si="135"/>
        <v>-7.4142156862745098E-2</v>
      </c>
      <c r="BI52" s="382">
        <f t="shared" si="135"/>
        <v>4.6113910520690195E-3</v>
      </c>
      <c r="BJ52" s="382">
        <f t="shared" si="135"/>
        <v>-0.12823920265780731</v>
      </c>
      <c r="BK52" s="382">
        <f t="shared" si="135"/>
        <v>-0.18902891030392885</v>
      </c>
      <c r="BL52" s="382">
        <f t="shared" si="135"/>
        <v>-4.3586550435865505E-3</v>
      </c>
      <c r="BM52" s="382">
        <f t="shared" si="135"/>
        <v>-0.20567986230636834</v>
      </c>
      <c r="BN52" s="382">
        <f t="shared" si="135"/>
        <v>-0.10535259133389975</v>
      </c>
      <c r="BO52" s="382">
        <f t="shared" si="135"/>
        <v>-0.1579391891891892</v>
      </c>
      <c r="BP52" s="382">
        <f t="shared" si="135"/>
        <v>4.7277936962750719E-2</v>
      </c>
      <c r="BQ52" s="382">
        <f t="shared" si="135"/>
        <v>0.11360874848116646</v>
      </c>
      <c r="BR52" s="382">
        <f t="shared" si="135"/>
        <v>9.5298602287166453E-2</v>
      </c>
      <c r="BS52" s="382">
        <f t="shared" si="135"/>
        <v>9.5583787053841504E-2</v>
      </c>
      <c r="BT52" s="382">
        <f t="shared" si="135"/>
        <v>0.10259579728059333</v>
      </c>
      <c r="BU52" s="382">
        <f t="shared" si="135"/>
        <v>9.8847786537295326E-2</v>
      </c>
      <c r="BV52" s="382">
        <f t="shared" si="135"/>
        <v>7.0055796652200866E-2</v>
      </c>
      <c r="BW52" s="382">
        <f t="shared" si="135"/>
        <v>8.5133418043202028E-2</v>
      </c>
      <c r="BX52" s="382">
        <f t="shared" si="135"/>
        <v>9.9408284023668636E-2</v>
      </c>
      <c r="BY52" s="382">
        <f t="shared" si="135"/>
        <v>0.11413364872856298</v>
      </c>
      <c r="BZ52" s="382">
        <f t="shared" si="135"/>
        <v>0.10031545741324921</v>
      </c>
      <c r="CA52" s="382">
        <f t="shared" si="135"/>
        <v>7.9263977353149329E-2</v>
      </c>
      <c r="CB52" s="382">
        <f t="shared" si="135"/>
        <v>-7.6438140267927501E-2</v>
      </c>
      <c r="CC52" s="382">
        <f t="shared" si="135"/>
        <v>-2.7705627705627706E-2</v>
      </c>
      <c r="CD52" s="382">
        <f t="shared" si="135"/>
        <v>-2.0220588235294119E-2</v>
      </c>
      <c r="CE52" s="382">
        <f t="shared" si="135"/>
        <v>0</v>
      </c>
      <c r="CF52" s="382">
        <f t="shared" si="135"/>
        <v>6.913073237508556E-2</v>
      </c>
      <c r="CG52" s="382">
        <f t="shared" si="135"/>
        <v>7.23725613593455E-2</v>
      </c>
      <c r="CH52" s="382">
        <f t="shared" si="135"/>
        <v>6.3707945597709384E-2</v>
      </c>
      <c r="CI52" s="382">
        <f t="shared" si="135"/>
        <v>6.1068702290076333E-2</v>
      </c>
      <c r="CJ52" s="382">
        <f t="shared" si="135"/>
        <v>6.0881735479356193E-2</v>
      </c>
      <c r="CK52" s="382">
        <f t="shared" si="135"/>
        <v>4.1969330104923326E-2</v>
      </c>
      <c r="CL52" s="382">
        <f t="shared" si="135"/>
        <v>-2.9126213592233011E-2</v>
      </c>
      <c r="CM52" s="382">
        <f t="shared" si="135"/>
        <v>-9.2356687898089165E-2</v>
      </c>
      <c r="CN52" s="382">
        <f t="shared" si="135"/>
        <v>-9.1423185673892557E-2</v>
      </c>
      <c r="CO52" s="382">
        <f t="shared" si="135"/>
        <v>-4.07098121085595E-2</v>
      </c>
      <c r="CP52" s="382">
        <f t="shared" si="135"/>
        <v>-7.4519230769230768E-2</v>
      </c>
      <c r="CQ52" s="382">
        <f t="shared" si="135"/>
        <v>-2.2395326192794548E-2</v>
      </c>
      <c r="CR52" s="382">
        <f t="shared" si="135"/>
        <v>3.5195103289977048E-2</v>
      </c>
      <c r="CS52" s="382">
        <f t="shared" si="135"/>
        <v>-4.5207956600361665E-3</v>
      </c>
      <c r="CT52" s="382">
        <f t="shared" si="135"/>
        <v>-3.3536585365853661E-2</v>
      </c>
      <c r="CU52" s="382">
        <f t="shared" si="135"/>
        <v>1.9639934533551555E-2</v>
      </c>
      <c r="CV52" s="382">
        <f t="shared" si="135"/>
        <v>9.4339622641509441E-2</v>
      </c>
      <c r="CW52" s="382">
        <f t="shared" si="135"/>
        <v>6.9594594594594592E-2</v>
      </c>
      <c r="CX52" s="382">
        <f t="shared" si="135"/>
        <v>9.2289010321797205E-2</v>
      </c>
      <c r="CY52" s="382">
        <f t="shared" si="135"/>
        <v>0.10592255125284739</v>
      </c>
      <c r="CZ52" s="382">
        <f t="shared" si="135"/>
        <v>0.11252268602540835</v>
      </c>
      <c r="DA52" s="382">
        <f t="shared" si="135"/>
        <v>4.510218463706836E-2</v>
      </c>
      <c r="DB52" s="382">
        <f t="shared" si="135"/>
        <v>1.8867924528301886E-2</v>
      </c>
      <c r="DC52" s="382">
        <f t="shared" si="135"/>
        <v>7.2501632919660358E-2</v>
      </c>
      <c r="DD52" s="382">
        <f t="shared" si="135"/>
        <v>0.13325930038867295</v>
      </c>
      <c r="DE52" s="382">
        <f t="shared" si="135"/>
        <v>0.19040902679830748</v>
      </c>
      <c r="DF52" s="382">
        <f t="shared" si="135"/>
        <v>0.13213885778275475</v>
      </c>
      <c r="DG52" s="382">
        <f t="shared" si="135"/>
        <v>0.12060041407867494</v>
      </c>
      <c r="DH52" s="382">
        <f t="shared" si="135"/>
        <v>0.18743305962156373</v>
      </c>
      <c r="DI52" s="382">
        <f t="shared" si="135"/>
        <v>0.20437731196054254</v>
      </c>
      <c r="DJ52" s="383">
        <f t="shared" ref="DJ52:EW52" si="136">(DJ48+DJ59)/DJ4</f>
        <v>0.2211901306240929</v>
      </c>
      <c r="DK52" s="383">
        <f t="shared" si="136"/>
        <v>0.24</v>
      </c>
      <c r="DL52" s="383">
        <f t="shared" si="136"/>
        <v>0.24460932065847438</v>
      </c>
      <c r="DM52" s="383">
        <f t="shared" si="136"/>
        <v>0.27517612929962704</v>
      </c>
      <c r="DN52" s="383">
        <f t="shared" si="136"/>
        <v>0.31204348564633938</v>
      </c>
      <c r="DO52" s="383">
        <f t="shared" si="136"/>
        <v>0.30259541984732824</v>
      </c>
      <c r="DP52" s="383">
        <f t="shared" si="136"/>
        <v>0.22713387241689129</v>
      </c>
      <c r="DQ52" s="383">
        <f t="shared" si="136"/>
        <v>0.22539739239149847</v>
      </c>
      <c r="DR52" s="383">
        <f t="shared" si="136"/>
        <v>0.20511862507005418</v>
      </c>
      <c r="DS52" s="383">
        <f t="shared" si="136"/>
        <v>0.19929091248367234</v>
      </c>
      <c r="DT52" s="383">
        <f t="shared" si="136"/>
        <v>0.22</v>
      </c>
      <c r="DU52" s="383">
        <f>(DU48+DU59)/DU4</f>
        <v>0.22892347600518806</v>
      </c>
      <c r="DV52" s="382">
        <f>(DV48+DV59)/DV4</f>
        <v>0.20701626164809062</v>
      </c>
      <c r="DW52" s="382">
        <f>(DW48+DW59)/DW4</f>
        <v>0.21662382176520995</v>
      </c>
      <c r="DX52" s="382">
        <f>(DX48+DX59)/DX4</f>
        <v>0.25150315295497871</v>
      </c>
      <c r="DY52" s="383">
        <f t="shared" si="136"/>
        <v>0.26455993732044919</v>
      </c>
      <c r="DZ52" s="383">
        <f t="shared" si="136"/>
        <v>0.2391771981715515</v>
      </c>
      <c r="EA52" s="383">
        <f t="shared" si="136"/>
        <v>0.11672088484059857</v>
      </c>
      <c r="EB52" s="383">
        <f t="shared" si="136"/>
        <v>0.24205061648280338</v>
      </c>
      <c r="EC52" s="383">
        <f t="shared" si="136"/>
        <v>0.27789678675754625</v>
      </c>
      <c r="ED52" s="383">
        <f t="shared" si="136"/>
        <v>0.24773237101336193</v>
      </c>
      <c r="EE52" s="384">
        <f t="shared" si="136"/>
        <v>0.26571217607649544</v>
      </c>
      <c r="EF52" s="384">
        <f t="shared" si="136"/>
        <v>0.265631616253305</v>
      </c>
      <c r="EG52" s="384">
        <f t="shared" si="136"/>
        <v>0.30710702546890772</v>
      </c>
      <c r="EH52" s="384">
        <f t="shared" si="136"/>
        <v>0.30659010215637861</v>
      </c>
      <c r="EI52" s="384">
        <f t="shared" si="136"/>
        <v>0.30998893802032423</v>
      </c>
      <c r="EJ52" s="384">
        <f t="shared" si="136"/>
        <v>0.31400739040531733</v>
      </c>
      <c r="EK52" s="384">
        <f t="shared" si="136"/>
        <v>0.31201460042134671</v>
      </c>
      <c r="EL52" s="384">
        <f t="shared" si="136"/>
        <v>0.31428901317438812</v>
      </c>
      <c r="EM52" s="384">
        <f t="shared" si="136"/>
        <v>0.32450233319523769</v>
      </c>
      <c r="EN52" s="384">
        <f t="shared" si="136"/>
        <v>0.34161930428637421</v>
      </c>
      <c r="EO52" s="384">
        <f t="shared" si="136"/>
        <v>0.35230479998812941</v>
      </c>
      <c r="EP52" s="384">
        <f t="shared" si="136"/>
        <v>0.33978275293205323</v>
      </c>
      <c r="EQ52" s="384">
        <f t="shared" si="136"/>
        <v>0.34193215598510379</v>
      </c>
      <c r="ER52" s="384">
        <f t="shared" si="136"/>
        <v>0.35215056874828293</v>
      </c>
      <c r="ES52" s="384">
        <f t="shared" si="136"/>
        <v>0.35204307451760197</v>
      </c>
      <c r="ET52" s="384">
        <f t="shared" si="136"/>
        <v>0.34287604480807965</v>
      </c>
      <c r="EU52" s="384">
        <f t="shared" si="136"/>
        <v>0.34707032841632052</v>
      </c>
      <c r="EV52" s="384">
        <f t="shared" si="136"/>
        <v>0.36234375821013065</v>
      </c>
      <c r="EW52" s="384">
        <f t="shared" si="136"/>
        <v>0.36930425713196852</v>
      </c>
      <c r="EX52" s="384"/>
      <c r="FL52" s="382">
        <f t="shared" ref="FL52:GF52" si="137">(FL48+FL59)/FL4</f>
        <v>5.9291908426344797E-2</v>
      </c>
      <c r="FM52" s="382">
        <f t="shared" si="137"/>
        <v>0.10362290094416024</v>
      </c>
      <c r="FN52" s="382">
        <f t="shared" si="137"/>
        <v>-0.12689173457508732</v>
      </c>
      <c r="FO52" s="382">
        <f t="shared" si="137"/>
        <v>-0.12344361437210957</v>
      </c>
      <c r="FP52" s="382">
        <f t="shared" si="137"/>
        <v>-1.073477697575421E-2</v>
      </c>
      <c r="FQ52" s="382">
        <f t="shared" si="137"/>
        <v>9.8090545118570988E-2</v>
      </c>
      <c r="FR52" s="382">
        <f t="shared" si="137"/>
        <v>9.2570036540803896E-2</v>
      </c>
      <c r="FS52" s="382">
        <f t="shared" si="137"/>
        <v>2.6189597934341571E-2</v>
      </c>
      <c r="FT52" s="382">
        <f t="shared" si="137"/>
        <v>3.6610681260615209E-2</v>
      </c>
      <c r="FU52" s="382">
        <f t="shared" si="137"/>
        <v>5.7391936069742099E-2</v>
      </c>
      <c r="FV52" s="382">
        <f t="shared" si="137"/>
        <v>-6.3392633425206721E-2</v>
      </c>
      <c r="FW52" s="382">
        <f t="shared" si="137"/>
        <v>-1.0299625468164793E-2</v>
      </c>
      <c r="FX52" s="382">
        <f t="shared" si="137"/>
        <v>4.6725464439857381E-2</v>
      </c>
      <c r="FY52" s="382">
        <f t="shared" si="137"/>
        <v>9.0810810810810813E-2</v>
      </c>
      <c r="FZ52" s="382">
        <f t="shared" si="137"/>
        <v>0.11588174119744465</v>
      </c>
      <c r="GA52" s="382">
        <f t="shared" si="137"/>
        <v>0.1697224213868688</v>
      </c>
      <c r="GB52" s="382">
        <f t="shared" si="137"/>
        <v>0.24759644639162712</v>
      </c>
      <c r="GC52" s="382">
        <f t="shared" si="137"/>
        <v>0.26884454048557266</v>
      </c>
      <c r="GD52" s="382">
        <f t="shared" si="137"/>
        <v>0.21402116402116403</v>
      </c>
      <c r="GE52" s="382">
        <f t="shared" si="137"/>
        <v>0.23804537521815008</v>
      </c>
      <c r="GF52" s="382">
        <f t="shared" si="137"/>
        <v>0.22425589653280983</v>
      </c>
      <c r="GG52" s="384">
        <f>(GG48+GG59)/GG4</f>
        <v>0.27547713293011022</v>
      </c>
      <c r="GH52" s="384">
        <f>(GH48+GH59)/GH4</f>
        <v>0.31094162948820048</v>
      </c>
      <c r="GI52" s="384">
        <f t="shared" ref="GI52:GK52" si="138">(GI48+GI59)/GI4</f>
        <v>0.33420440704239696</v>
      </c>
      <c r="GJ52" s="384">
        <f t="shared" si="138"/>
        <v>0.34682115353942922</v>
      </c>
      <c r="GK52" s="384">
        <f t="shared" si="138"/>
        <v>0.3561765955750143</v>
      </c>
      <c r="GN52" s="70"/>
    </row>
    <row r="53" spans="1:196" s="382" customFormat="1">
      <c r="A53" s="381"/>
      <c r="DD53" s="411"/>
      <c r="DE53" s="411"/>
      <c r="DF53" s="384"/>
      <c r="DG53" s="384"/>
      <c r="DH53" s="384"/>
      <c r="DJ53" s="383"/>
      <c r="DK53" s="383"/>
      <c r="DL53" s="383"/>
      <c r="DM53" s="383"/>
      <c r="DN53" s="383"/>
      <c r="DO53" s="412"/>
      <c r="DP53" s="412"/>
      <c r="DQ53" s="412"/>
      <c r="DR53" s="412"/>
      <c r="DS53" s="412"/>
      <c r="DT53" s="412"/>
      <c r="DU53" s="412"/>
      <c r="DV53" s="413"/>
      <c r="DW53" s="413"/>
      <c r="DX53" s="413"/>
      <c r="DY53" s="412"/>
      <c r="DZ53" s="412"/>
      <c r="EA53" s="412"/>
      <c r="EB53" s="412"/>
      <c r="EC53" s="412"/>
      <c r="ED53" s="412"/>
      <c r="EE53" s="384"/>
      <c r="EF53" s="384"/>
      <c r="EG53" s="384"/>
      <c r="EH53" s="384"/>
      <c r="EI53" s="384"/>
      <c r="EJ53" s="384"/>
      <c r="EK53" s="384"/>
      <c r="EL53" s="384"/>
      <c r="EM53" s="384"/>
      <c r="EN53" s="384"/>
      <c r="EO53" s="384"/>
      <c r="EP53" s="384"/>
      <c r="EQ53" s="384"/>
      <c r="ER53" s="384"/>
      <c r="ES53" s="384"/>
      <c r="ET53" s="384"/>
      <c r="EU53" s="384"/>
      <c r="EV53" s="384"/>
      <c r="EW53" s="384"/>
      <c r="EX53" s="384"/>
      <c r="FZ53" s="376"/>
      <c r="GG53" s="384"/>
      <c r="GH53" s="384"/>
      <c r="GI53" s="384"/>
      <c r="GJ53" s="384"/>
      <c r="GK53" s="384"/>
      <c r="GN53" s="70"/>
    </row>
    <row r="54" spans="1:196" s="379" customFormat="1">
      <c r="A54" s="376" t="s">
        <v>217</v>
      </c>
      <c r="B54" s="377">
        <f>AMD!AF69</f>
        <v>0</v>
      </c>
      <c r="C54" s="377">
        <f>AMD!AG69</f>
        <v>0</v>
      </c>
      <c r="D54" s="377">
        <f>AMD!AH69</f>
        <v>0</v>
      </c>
      <c r="E54" s="377">
        <f>AMD!AI69</f>
        <v>0</v>
      </c>
      <c r="F54" s="377">
        <f>AMD!AK69</f>
        <v>-58.390140251032982</v>
      </c>
      <c r="G54" s="377">
        <f>AMD!AL69</f>
        <v>0.35086888544282668</v>
      </c>
      <c r="H54" s="377">
        <f>AMD!AM69</f>
        <v>24.135628991335143</v>
      </c>
      <c r="I54" s="377">
        <f>AMD!AN69</f>
        <v>13.726410354239425</v>
      </c>
      <c r="J54" s="377">
        <f>AMD!AP69</f>
        <v>20.607574749716171</v>
      </c>
      <c r="K54" s="377">
        <f>AMD!AQ69</f>
        <v>48.550580906846534</v>
      </c>
      <c r="L54" s="377">
        <f>AMD!AR69</f>
        <v>1.7645407911786397</v>
      </c>
      <c r="M54" s="377">
        <f>AMD!AS69</f>
        <v>10.906338081274271</v>
      </c>
      <c r="N54" s="377">
        <f>AMD!AU69</f>
        <v>-80.597002403475116</v>
      </c>
      <c r="O54" s="377">
        <f>AMD!AV69</f>
        <v>-51.728914262861004</v>
      </c>
      <c r="P54" s="377">
        <f>AMD!AW69</f>
        <v>-71.967361562134741</v>
      </c>
      <c r="Q54" s="377">
        <f>AMD!AX69</f>
        <v>96.064234959788109</v>
      </c>
      <c r="R54" s="377">
        <f>AMD!AZ69</f>
        <v>14.858333344806786</v>
      </c>
      <c r="S54" s="377">
        <f>AMD!BA69</f>
        <v>-58.794373344366683</v>
      </c>
      <c r="T54" s="377">
        <f>AMD!BB69</f>
        <v>-49.447927742506415</v>
      </c>
      <c r="U54" s="377">
        <f>AMD!BC69</f>
        <v>107.24459144023444</v>
      </c>
      <c r="V54" s="377">
        <f>AMD!BE69</f>
        <v>-65.947170751549393</v>
      </c>
      <c r="W54" s="377">
        <f>AMD!BF69</f>
        <v>50.662563157834747</v>
      </c>
      <c r="X54" s="377">
        <f>AMD!BG69</f>
        <v>-165.73213700874874</v>
      </c>
      <c r="Y54" s="377">
        <f>AMD!BH69</f>
        <v>59.831874293248099</v>
      </c>
      <c r="Z54" s="377">
        <f>AMD!BJ69</f>
        <v>27.722021570853382</v>
      </c>
      <c r="AA54" s="377">
        <f>AMD!BK69</f>
        <v>14.329496461992674</v>
      </c>
      <c r="AB54" s="377">
        <f>AMD!BL69</f>
        <v>-70.224488365912009</v>
      </c>
      <c r="AC54" s="377">
        <f>AMD!BM69</f>
        <v>150.12092691311125</v>
      </c>
      <c r="AD54" s="377">
        <f>AMD!BO69</f>
        <v>83.346443408554165</v>
      </c>
      <c r="AE54" s="377">
        <f>AMD!BP69</f>
        <v>-105.01223625192985</v>
      </c>
      <c r="AF54" s="377">
        <f>AMD!BQ69</f>
        <v>-26.113152237497182</v>
      </c>
      <c r="AG54" s="377">
        <f>AMD!BR69</f>
        <v>-73.620044718560322</v>
      </c>
      <c r="AH54" s="377">
        <f>AMD!BT69</f>
        <v>-134.85749996088319</v>
      </c>
      <c r="AI54" s="377">
        <f>AMD!BU69</f>
        <v>-336.10301604443072</v>
      </c>
      <c r="AJ54" s="377">
        <f>AMD!BV69</f>
        <v>56.91683467168064</v>
      </c>
      <c r="AK54" s="377">
        <f>AMD!BW69</f>
        <v>-14.110220918126668</v>
      </c>
      <c r="AL54" s="377">
        <f>AMD!BY69</f>
        <v>53.987986802620199</v>
      </c>
      <c r="AM54" s="377">
        <f>AMD!BZ69</f>
        <v>-6.972193726792824</v>
      </c>
      <c r="AN54" s="377">
        <f>AMD!CA69</f>
        <v>95.60915992853586</v>
      </c>
      <c r="AO54" s="377">
        <f>AMD!CB69</f>
        <v>18.750259764287698</v>
      </c>
      <c r="AP54" s="377">
        <f>AMD!CD69</f>
        <v>-124.60059273253982</v>
      </c>
      <c r="AQ54" s="377">
        <f>AMD!CE69</f>
        <v>-66.955392320316903</v>
      </c>
      <c r="AR54" s="377">
        <f>AMD!CF69</f>
        <v>-244.52708245269503</v>
      </c>
      <c r="AS54" s="377">
        <f>AMD!CG69</f>
        <v>129.94633395764569</v>
      </c>
      <c r="AT54" s="377">
        <f>AMD!CI69</f>
        <v>-101.91643322201853</v>
      </c>
      <c r="AU54" s="377">
        <f>AMD!CJ69</f>
        <v>-59.853599300860566</v>
      </c>
      <c r="AV54" s="377">
        <f>AMD!CK69</f>
        <v>-37.060848518587449</v>
      </c>
      <c r="AW54" s="377">
        <f>AMD!CL69</f>
        <v>77.298936925202455</v>
      </c>
      <c r="AX54" s="377">
        <f>AMD!CN69</f>
        <v>11.688778446277118</v>
      </c>
      <c r="AY54" s="377">
        <f>AMD!CO69</f>
        <v>13.252340107848283</v>
      </c>
      <c r="AZ54" s="377">
        <f>AMD!CP69</f>
        <v>110.53770102872753</v>
      </c>
      <c r="BA54" s="377">
        <f>AMD!CQ69</f>
        <v>83.918907025930835</v>
      </c>
      <c r="BB54" s="377">
        <f>AMD!CS69</f>
        <v>200.21212111776532</v>
      </c>
      <c r="BC54" s="377">
        <f>AMD!CT69</f>
        <v>-70.994054118534919</v>
      </c>
      <c r="BD54" s="377">
        <f>AMD!CU69</f>
        <v>-94.097236498039365</v>
      </c>
      <c r="BE54" s="377">
        <f>AMD!CV69</f>
        <v>137.26053637901859</v>
      </c>
      <c r="BF54" s="377">
        <f>AMD!CX69</f>
        <v>305.68288726682886</v>
      </c>
      <c r="BG54" s="377">
        <f>AMD!CY69</f>
        <v>-410.23802612481859</v>
      </c>
      <c r="BH54" s="377">
        <f>AMD!CZ69</f>
        <v>238.90931372549019</v>
      </c>
      <c r="BI54" s="377">
        <f>AMD!DA69</f>
        <v>-108.00508474576272</v>
      </c>
      <c r="BJ54" s="377">
        <f>AMD!DC69</f>
        <v>104.8578073089701</v>
      </c>
      <c r="BK54" s="377">
        <f>AMD!DD69</f>
        <v>-88.204595997034843</v>
      </c>
      <c r="BL54" s="377">
        <f>AMD!DE69</f>
        <v>-488.01743462017436</v>
      </c>
      <c r="BM54" s="377">
        <f>AMD!DF69</f>
        <v>129.776247848537</v>
      </c>
      <c r="BN54" s="377">
        <f>AMD!DH69</f>
        <v>-253.12319456244691</v>
      </c>
      <c r="BO54" s="377">
        <f>AMD!DI69</f>
        <v>-129.1731418918919</v>
      </c>
      <c r="BP54" s="377">
        <f>AMD!DJ69</f>
        <v>-292.96633237822351</v>
      </c>
      <c r="BQ54" s="377">
        <f>AMD!DK69</f>
        <v>-57.897326852976917</v>
      </c>
      <c r="BR54" s="377">
        <f>AMD!DM69</f>
        <v>-40.917407878017791</v>
      </c>
      <c r="BS54" s="377">
        <f>AMD!DN69</f>
        <v>-278.91651542649726</v>
      </c>
      <c r="BT54" s="377">
        <f>AMD!DO69</f>
        <v>-344.91100123609397</v>
      </c>
      <c r="BU54" s="377">
        <f>AMD!DP69</f>
        <v>-654.91449363250456</v>
      </c>
      <c r="BV54" s="377">
        <f>AMD!DR69</f>
        <v>-325.94296342219468</v>
      </c>
      <c r="BW54" s="377">
        <f>AMD!DS69</f>
        <v>8.0724269377382463</v>
      </c>
      <c r="BX54" s="377">
        <f>AMD!DT69</f>
        <v>-8.9136094674556219</v>
      </c>
      <c r="BY54" s="377">
        <f>AMD!DU69</f>
        <v>65.1017149615612</v>
      </c>
      <c r="BZ54" s="377">
        <f>AMD!DW69</f>
        <v>368.08706624605679</v>
      </c>
      <c r="CA54" s="377">
        <f>AMD!DX69</f>
        <v>-50.939136588818116</v>
      </c>
      <c r="CB54" s="377">
        <f>AMD!DY69</f>
        <v>-180.09771473601262</v>
      </c>
      <c r="CC54" s="377">
        <f>AMD!DZ69</f>
        <v>82.952380952380949</v>
      </c>
      <c r="CD54" s="377">
        <f>AMD!EB69</f>
        <v>16</v>
      </c>
      <c r="CE54" s="377">
        <f>AMD!EC69</f>
        <v>-27.017226528854437</v>
      </c>
      <c r="CF54" s="377">
        <f>AMD!ED69</f>
        <v>-74.946611909650926</v>
      </c>
      <c r="CG54" s="377">
        <f>AMD!EE69</f>
        <v>-132.94273127753303</v>
      </c>
      <c r="CH54" s="377">
        <f>AMD!EG69</f>
        <v>116</v>
      </c>
      <c r="CI54" s="377">
        <f>AMD!EH69</f>
        <v>116</v>
      </c>
      <c r="CJ54" s="377">
        <f>AMD!EI69</f>
        <v>112</v>
      </c>
      <c r="CK54" s="377">
        <f>AMD!EJ69</f>
        <v>80</v>
      </c>
      <c r="CL54" s="377">
        <f>AMD!EL69</f>
        <v>-4</v>
      </c>
      <c r="CM54" s="377">
        <f>AMD!EM69</f>
        <v>-59</v>
      </c>
      <c r="CN54" s="377">
        <f>AMD!EN69</f>
        <v>-68</v>
      </c>
      <c r="CO54" s="377">
        <f>AMD!EO69</f>
        <v>-21</v>
      </c>
      <c r="CP54" s="377">
        <f>AMD!EQ69</f>
        <v>-45</v>
      </c>
      <c r="CQ54" s="377">
        <f>AMD!ER69</f>
        <v>-8</v>
      </c>
      <c r="CR54" s="377">
        <f>AMD!ES69</f>
        <v>56</v>
      </c>
      <c r="CS54" s="377">
        <f>AMD!ET69</f>
        <v>0</v>
      </c>
      <c r="CT54" s="377">
        <f>AMD!EV69</f>
        <v>5</v>
      </c>
      <c r="CU54" s="377">
        <f>AMD!EW69</f>
        <v>60</v>
      </c>
      <c r="CV54" s="377">
        <f>AMD!EX69</f>
        <v>162</v>
      </c>
      <c r="CW54" s="377">
        <f>AMD!EY69</f>
        <v>121</v>
      </c>
      <c r="CX54" s="377">
        <f>AMD!FA69</f>
        <v>164</v>
      </c>
      <c r="CY54" s="377">
        <f>AMD!FB69</f>
        <v>195</v>
      </c>
      <c r="CZ54" s="377">
        <f>AMD!FC69</f>
        <v>191</v>
      </c>
      <c r="DA54" s="377">
        <f>AMD!FD69</f>
        <v>71</v>
      </c>
      <c r="DB54" s="377">
        <f>AMD!FF69</f>
        <v>24</v>
      </c>
      <c r="DC54" s="377">
        <f>AMD!FG69</f>
        <v>111</v>
      </c>
      <c r="DD54" s="377">
        <f>AMD!FH69</f>
        <v>246</v>
      </c>
      <c r="DE54" s="377">
        <f>AMD!FI69</f>
        <v>412</v>
      </c>
      <c r="DF54" s="377">
        <f>AMD!FK69</f>
        <v>245</v>
      </c>
      <c r="DG54" s="377">
        <f>AMD!FL69</f>
        <v>245</v>
      </c>
      <c r="DH54" s="377">
        <f>AMD!FM69</f>
        <v>531</v>
      </c>
      <c r="DI54" s="376">
        <f t="shared" ref="DI54:EW54" si="139">DI48+DI14</f>
        <v>664</v>
      </c>
      <c r="DJ54" s="397">
        <f t="shared" si="139"/>
        <v>772</v>
      </c>
      <c r="DK54" s="397">
        <f t="shared" si="139"/>
        <v>938</v>
      </c>
      <c r="DL54" s="397">
        <f t="shared" si="139"/>
        <v>1053</v>
      </c>
      <c r="DM54" s="397">
        <f t="shared" si="139"/>
        <v>1334</v>
      </c>
      <c r="DN54" s="397">
        <f t="shared" si="139"/>
        <v>1793</v>
      </c>
      <c r="DO54" s="397">
        <f t="shared" si="139"/>
        <v>1880</v>
      </c>
      <c r="DP54" s="397">
        <f t="shared" si="139"/>
        <v>1158</v>
      </c>
      <c r="DQ54" s="397">
        <f t="shared" si="139"/>
        <v>1128</v>
      </c>
      <c r="DR54" s="397">
        <f t="shared" si="139"/>
        <v>952</v>
      </c>
      <c r="DS54" s="397">
        <f t="shared" si="139"/>
        <v>876</v>
      </c>
      <c r="DT54" s="397">
        <f t="shared" si="139"/>
        <v>1086</v>
      </c>
      <c r="DU54" s="397">
        <f>DU48+DU14</f>
        <v>1202</v>
      </c>
      <c r="DV54" s="376">
        <f>DV48+DV14</f>
        <v>924</v>
      </c>
      <c r="DW54" s="376">
        <f>DW48+DW14</f>
        <v>1084</v>
      </c>
      <c r="DX54" s="376">
        <f>DX48+DX14</f>
        <v>1535</v>
      </c>
      <c r="DY54" s="397">
        <f t="shared" si="139"/>
        <v>1859</v>
      </c>
      <c r="DZ54" s="397">
        <f t="shared" si="139"/>
        <v>1590</v>
      </c>
      <c r="EA54" s="397">
        <f t="shared" si="139"/>
        <v>717</v>
      </c>
      <c r="EB54" s="397">
        <f t="shared" si="139"/>
        <v>2011</v>
      </c>
      <c r="EC54" s="397">
        <f t="shared" si="139"/>
        <v>2562</v>
      </c>
      <c r="ED54" s="397">
        <f t="shared" si="139"/>
        <v>2259</v>
      </c>
      <c r="EE54" s="380">
        <f t="shared" si="139"/>
        <v>2691.2186981914656</v>
      </c>
      <c r="EF54" s="380">
        <f t="shared" si="139"/>
        <v>2885.2098743604392</v>
      </c>
      <c r="EG54" s="380">
        <f t="shared" si="139"/>
        <v>4661.7383411691271</v>
      </c>
      <c r="EH54" s="380">
        <f t="shared" si="139"/>
        <v>5039.5395961387894</v>
      </c>
      <c r="EI54" s="380">
        <f t="shared" si="139"/>
        <v>5639.2140449436138</v>
      </c>
      <c r="EJ54" s="380">
        <f t="shared" si="139"/>
        <v>6624.1272332223089</v>
      </c>
      <c r="EK54" s="380">
        <f t="shared" si="139"/>
        <v>7312.6913335871031</v>
      </c>
      <c r="EL54" s="380">
        <f t="shared" si="139"/>
        <v>7192.0992911251651</v>
      </c>
      <c r="EM54" s="380">
        <f t="shared" si="139"/>
        <v>7779.8854211582384</v>
      </c>
      <c r="EN54" s="380">
        <f t="shared" si="139"/>
        <v>8825.3716758926403</v>
      </c>
      <c r="EO54" s="380">
        <f t="shared" si="139"/>
        <v>9763.4874952382361</v>
      </c>
      <c r="EP54" s="380">
        <f t="shared" si="139"/>
        <v>9212.9006547147965</v>
      </c>
      <c r="EQ54" s="380">
        <f t="shared" si="139"/>
        <v>9672.7286334471355</v>
      </c>
      <c r="ER54" s="380">
        <f t="shared" si="139"/>
        <v>10784.329425201788</v>
      </c>
      <c r="ES54" s="380">
        <f t="shared" si="139"/>
        <v>11261.000468215172</v>
      </c>
      <c r="ET54" s="380">
        <f t="shared" si="139"/>
        <v>10482.200459722913</v>
      </c>
      <c r="EU54" s="380">
        <f t="shared" si="139"/>
        <v>11068.401832567602</v>
      </c>
      <c r="EV54" s="380">
        <f t="shared" si="139"/>
        <v>12744.304415072267</v>
      </c>
      <c r="EW54" s="380">
        <f t="shared" si="139"/>
        <v>13603.093044496452</v>
      </c>
      <c r="EX54" s="380"/>
      <c r="EZ54" s="376"/>
      <c r="FA54" s="376">
        <f>F54+G54+H54+I54</f>
        <v>-20.177232020015587</v>
      </c>
      <c r="FB54" s="376">
        <f>J54+K54+L54+M54</f>
        <v>81.82903452901563</v>
      </c>
      <c r="FC54" s="376">
        <f>N54+O54+P54+Q54</f>
        <v>-108.22904326868274</v>
      </c>
      <c r="FD54" s="376">
        <f>R54+S54+T54+U54</f>
        <v>13.860623698168126</v>
      </c>
      <c r="FE54" s="376">
        <f>V54+W54+X54+Y54</f>
        <v>-121.18487030921528</v>
      </c>
      <c r="FF54" s="376">
        <f>Z54+AA54+AB54+AC54</f>
        <v>121.94795658004529</v>
      </c>
      <c r="FG54" s="376">
        <f>AD54+AE54+AF54+AG54</f>
        <v>-121.3989897994332</v>
      </c>
      <c r="FH54" s="376">
        <f>AH54+AI54+AJ54+AK54</f>
        <v>-428.15390225175997</v>
      </c>
      <c r="FI54" s="376">
        <f>AL54+AM54+AN54+AO54</f>
        <v>161.37521276865095</v>
      </c>
      <c r="FJ54" s="376">
        <f>AP54+AQ54+AR54+AS54</f>
        <v>-306.13673354790603</v>
      </c>
      <c r="FK54" s="376">
        <f>AT54+AU54+AV54+AW54</f>
        <v>-121.53194411626409</v>
      </c>
      <c r="FL54" s="376">
        <f>AX54+AY54+AZ54+BA54</f>
        <v>219.39772660878378</v>
      </c>
      <c r="FM54" s="376">
        <f>BB54+BC54+BD54+BE54</f>
        <v>172.38136688020964</v>
      </c>
      <c r="FN54" s="376">
        <f>BF54+BG54+BH54+BI54</f>
        <v>26.349090121737746</v>
      </c>
      <c r="FO54" s="376">
        <f>BJ54+BK54+BL54+BM54</f>
        <v>-341.58797545970208</v>
      </c>
      <c r="FP54" s="376">
        <f>BN54+BO54+BP54+BQ54</f>
        <v>-733.15999568553923</v>
      </c>
      <c r="FQ54" s="376">
        <f>BR54+BS54+BT54+BU54</f>
        <v>-1319.6594181731134</v>
      </c>
      <c r="FR54" s="376">
        <f>BV54+BW54+BX54+BY54</f>
        <v>-261.68243099035084</v>
      </c>
      <c r="FS54" s="376">
        <f>BZ54+CA54+CB54+CC54</f>
        <v>220.00259587360705</v>
      </c>
      <c r="FT54" s="376">
        <f>CD54+CE54+CF54+CG54</f>
        <v>-218.9065697160384</v>
      </c>
      <c r="FU54" s="376">
        <f>CH54+CI54+CJ54+CK54</f>
        <v>424</v>
      </c>
      <c r="FV54" s="376">
        <f>CL54+CM54+CN54+CO54</f>
        <v>-152</v>
      </c>
      <c r="FW54" s="376">
        <f>CP54+CQ54+CR54+CS54</f>
        <v>3</v>
      </c>
      <c r="FX54" s="376">
        <f>CT54+CU54+CV54+CW54</f>
        <v>348</v>
      </c>
      <c r="FY54" s="376">
        <f>CX54+CY54+CZ54+DA54</f>
        <v>621</v>
      </c>
      <c r="FZ54" s="376">
        <f>DB54+DC54+DD54+DE54</f>
        <v>793</v>
      </c>
      <c r="GA54" s="376">
        <f>SUM(DF54:DI54)</f>
        <v>1685</v>
      </c>
      <c r="GB54" s="376">
        <f>SUM(DJ54:DM54)</f>
        <v>4097</v>
      </c>
      <c r="GC54" s="376">
        <f>SUM(DN54:DQ54)</f>
        <v>5959</v>
      </c>
      <c r="GD54" s="376">
        <f>SUM(DR54:DU54)</f>
        <v>4116</v>
      </c>
      <c r="GE54" s="376">
        <f>SUM(DV54:DY54)</f>
        <v>5402</v>
      </c>
      <c r="GF54" s="376">
        <f>SUM(DZ54:EC54)</f>
        <v>6880</v>
      </c>
      <c r="GG54" s="380">
        <f>SUM(ED54:EG54)</f>
        <v>12497.166913721032</v>
      </c>
      <c r="GH54" s="380">
        <f>SUM(EH54:EK54)</f>
        <v>24615.572207891815</v>
      </c>
      <c r="GI54" s="380">
        <f>SUM(EL54:EO54)</f>
        <v>33560.84388341428</v>
      </c>
      <c r="GJ54" s="380">
        <f>SUM(EP54:ES54)</f>
        <v>40930.959181578888</v>
      </c>
      <c r="GK54" s="380">
        <f>SUM(ET54:EW54)</f>
        <v>47897.999751859235</v>
      </c>
      <c r="GN54" s="70"/>
    </row>
    <row r="55" spans="1:196" s="382" customFormat="1">
      <c r="A55" s="381" t="s">
        <v>198</v>
      </c>
      <c r="G55" s="382">
        <f t="shared" ref="G55:BR55" si="140">G54/F54-1</f>
        <v>-1.0060090433750348</v>
      </c>
      <c r="H55" s="382">
        <f t="shared" si="140"/>
        <v>67.788171287613338</v>
      </c>
      <c r="I55" s="382">
        <f t="shared" si="140"/>
        <v>-0.43128018916899569</v>
      </c>
      <c r="J55" s="382">
        <f t="shared" si="140"/>
        <v>0.50130836962421776</v>
      </c>
      <c r="K55" s="382">
        <f t="shared" si="140"/>
        <v>1.3559580152688868</v>
      </c>
      <c r="L55" s="382">
        <f t="shared" si="140"/>
        <v>-0.96365561939280919</v>
      </c>
      <c r="M55" s="382">
        <f t="shared" si="140"/>
        <v>5.1808364736013219</v>
      </c>
      <c r="N55" s="382">
        <f t="shared" si="140"/>
        <v>-8.3899233457522122</v>
      </c>
      <c r="O55" s="382">
        <f t="shared" si="140"/>
        <v>-0.35817818628164511</v>
      </c>
      <c r="P55" s="382">
        <f t="shared" si="140"/>
        <v>0.39124051969140239</v>
      </c>
      <c r="Q55" s="382">
        <f t="shared" si="140"/>
        <v>-2.3348305797878774</v>
      </c>
      <c r="R55" s="382">
        <f t="shared" si="140"/>
        <v>-0.84532918675689872</v>
      </c>
      <c r="S55" s="382">
        <f t="shared" si="140"/>
        <v>-4.9569965204015443</v>
      </c>
      <c r="T55" s="382">
        <f t="shared" si="140"/>
        <v>-0.15896836840350115</v>
      </c>
      <c r="U55" s="382">
        <f t="shared" si="140"/>
        <v>-3.1688389450554237</v>
      </c>
      <c r="V55" s="382">
        <f t="shared" si="140"/>
        <v>-1.6149230452176286</v>
      </c>
      <c r="W55" s="382">
        <f t="shared" si="140"/>
        <v>-1.7682295173617355</v>
      </c>
      <c r="X55" s="382">
        <f t="shared" si="140"/>
        <v>-4.2712939630082456</v>
      </c>
      <c r="Y55" s="382">
        <f t="shared" si="140"/>
        <v>-1.3610155240446193</v>
      </c>
      <c r="Z55" s="382">
        <f t="shared" si="140"/>
        <v>-0.53666800683892735</v>
      </c>
      <c r="AA55" s="382">
        <f t="shared" si="140"/>
        <v>-0.4831005947611503</v>
      </c>
      <c r="AB55" s="382">
        <f t="shared" si="140"/>
        <v>-5.9006947698528212</v>
      </c>
      <c r="AC55" s="382">
        <f t="shared" si="140"/>
        <v>-3.1377290231135686</v>
      </c>
      <c r="AD55" s="382">
        <f t="shared" si="140"/>
        <v>-0.44480463102393175</v>
      </c>
      <c r="AE55" s="382">
        <f t="shared" si="140"/>
        <v>-2.2599486187691609</v>
      </c>
      <c r="AF55" s="382">
        <f t="shared" si="140"/>
        <v>-0.75133229069753016</v>
      </c>
      <c r="AG55" s="382">
        <f t="shared" si="140"/>
        <v>1.8192706896889153</v>
      </c>
      <c r="AH55" s="382">
        <f t="shared" si="140"/>
        <v>0.83180410276067529</v>
      </c>
      <c r="AI55" s="382">
        <f t="shared" si="140"/>
        <v>1.4922827142867163</v>
      </c>
      <c r="AJ55" s="382">
        <f t="shared" si="140"/>
        <v>-1.1693434213757743</v>
      </c>
      <c r="AK55" s="382">
        <f t="shared" si="140"/>
        <v>-1.2479094454131214</v>
      </c>
      <c r="AL55" s="382">
        <f t="shared" si="140"/>
        <v>-4.8261616962541414</v>
      </c>
      <c r="AM55" s="382">
        <f t="shared" si="140"/>
        <v>-1.1291434287461604</v>
      </c>
      <c r="AN55" s="382">
        <f t="shared" si="140"/>
        <v>-14.712923604105823</v>
      </c>
      <c r="AO55" s="382">
        <f t="shared" si="140"/>
        <v>-0.80388636634499466</v>
      </c>
      <c r="AP55" s="382">
        <f t="shared" si="140"/>
        <v>-7.6452728814913709</v>
      </c>
      <c r="AQ55" s="382">
        <f t="shared" si="140"/>
        <v>-0.46263985706681721</v>
      </c>
      <c r="AR55" s="382">
        <f t="shared" si="140"/>
        <v>2.652089458050952</v>
      </c>
      <c r="AS55" s="382">
        <f t="shared" si="140"/>
        <v>-1.5314189849821009</v>
      </c>
      <c r="AT55" s="382">
        <f t="shared" si="140"/>
        <v>-1.7842963330942205</v>
      </c>
      <c r="AU55" s="382">
        <f t="shared" si="140"/>
        <v>-0.41271885790514984</v>
      </c>
      <c r="AV55" s="382">
        <f t="shared" si="140"/>
        <v>-0.38080835653179179</v>
      </c>
      <c r="AW55" s="382">
        <f t="shared" si="140"/>
        <v>-3.0857303600707913</v>
      </c>
      <c r="AX55" s="382">
        <f t="shared" si="140"/>
        <v>-0.84878474515648716</v>
      </c>
      <c r="AY55" s="382">
        <f t="shared" si="140"/>
        <v>0.13376604482302956</v>
      </c>
      <c r="AZ55" s="382">
        <f t="shared" si="140"/>
        <v>7.3409948831048357</v>
      </c>
      <c r="BA55" s="382">
        <f t="shared" si="140"/>
        <v>-0.24081190177710277</v>
      </c>
      <c r="BB55" s="382">
        <f t="shared" si="140"/>
        <v>1.385780847406652</v>
      </c>
      <c r="BC55" s="382">
        <f t="shared" si="140"/>
        <v>-1.3545941860172193</v>
      </c>
      <c r="BD55" s="382">
        <f t="shared" si="140"/>
        <v>0.32542418750914437</v>
      </c>
      <c r="BE55" s="382">
        <f t="shared" si="140"/>
        <v>-2.4587095379987973</v>
      </c>
      <c r="BF55" s="382">
        <f t="shared" si="140"/>
        <v>1.2270267575142233</v>
      </c>
      <c r="BG55" s="382">
        <f t="shared" si="140"/>
        <v>-2.3420379197306005</v>
      </c>
      <c r="BH55" s="382">
        <f t="shared" si="140"/>
        <v>-1.5823675488649116</v>
      </c>
      <c r="BI55" s="382">
        <f t="shared" si="140"/>
        <v>-1.4520756560786992</v>
      </c>
      <c r="BJ55" s="382">
        <f t="shared" si="140"/>
        <v>-1.9708599141956964</v>
      </c>
      <c r="BK55" s="382">
        <f t="shared" si="140"/>
        <v>-1.8411829148509131</v>
      </c>
      <c r="BL55" s="382">
        <f t="shared" si="140"/>
        <v>4.5327891829647964</v>
      </c>
      <c r="BM55" s="382">
        <f t="shared" si="140"/>
        <v>-1.2659254334828063</v>
      </c>
      <c r="BN55" s="382">
        <f t="shared" si="140"/>
        <v>-2.9504585681801281</v>
      </c>
      <c r="BO55" s="382">
        <f t="shared" si="140"/>
        <v>-0.48968271313427914</v>
      </c>
      <c r="BP55" s="382">
        <f t="shared" si="140"/>
        <v>1.2680127469796627</v>
      </c>
      <c r="BQ55" s="382">
        <f t="shared" si="140"/>
        <v>-0.80237549351496584</v>
      </c>
      <c r="BR55" s="382">
        <f t="shared" si="140"/>
        <v>-0.29327638939320166</v>
      </c>
      <c r="BS55" s="382">
        <f t="shared" ref="BS55:ED55" si="141">BS54/BR54-1</f>
        <v>5.8165734314841728</v>
      </c>
      <c r="BT55" s="382">
        <f t="shared" si="141"/>
        <v>0.23661017601873846</v>
      </c>
      <c r="BU55" s="382">
        <f t="shared" si="141"/>
        <v>0.898792706771945</v>
      </c>
      <c r="BV55" s="382">
        <f t="shared" si="141"/>
        <v>-0.50231218488639429</v>
      </c>
      <c r="BW55" s="382">
        <f t="shared" si="141"/>
        <v>-1.0247663789179029</v>
      </c>
      <c r="BX55" s="382">
        <f t="shared" si="141"/>
        <v>-2.1042044153766053</v>
      </c>
      <c r="BY55" s="382">
        <f t="shared" si="141"/>
        <v>-8.3036310598140215</v>
      </c>
      <c r="BZ55" s="382">
        <f t="shared" si="141"/>
        <v>4.6540302580875315</v>
      </c>
      <c r="CA55" s="382">
        <f t="shared" si="141"/>
        <v>-1.138388824981877</v>
      </c>
      <c r="CB55" s="382">
        <f t="shared" si="141"/>
        <v>2.5355470625614549</v>
      </c>
      <c r="CC55" s="382">
        <f t="shared" si="141"/>
        <v>-1.4605965215825898</v>
      </c>
      <c r="CD55" s="382">
        <f t="shared" si="141"/>
        <v>-0.80711825487944888</v>
      </c>
      <c r="CE55" s="382">
        <f t="shared" si="141"/>
        <v>-2.6885766580534023</v>
      </c>
      <c r="CF55" s="382">
        <f t="shared" si="141"/>
        <v>1.7740305552684261</v>
      </c>
      <c r="CG55" s="382">
        <f t="shared" si="141"/>
        <v>0.7738324373861909</v>
      </c>
      <c r="CH55" s="382">
        <f t="shared" si="141"/>
        <v>-1.8725561667439856</v>
      </c>
      <c r="CI55" s="382">
        <f t="shared" si="141"/>
        <v>0</v>
      </c>
      <c r="CJ55" s="382">
        <f t="shared" si="141"/>
        <v>-3.4482758620689613E-2</v>
      </c>
      <c r="CK55" s="382">
        <f t="shared" si="141"/>
        <v>-0.2857142857142857</v>
      </c>
      <c r="CL55" s="382">
        <f t="shared" si="141"/>
        <v>-1.05</v>
      </c>
      <c r="CM55" s="382">
        <f t="shared" si="141"/>
        <v>13.75</v>
      </c>
      <c r="CN55" s="382">
        <f t="shared" si="141"/>
        <v>0.15254237288135597</v>
      </c>
      <c r="CO55" s="382">
        <f t="shared" si="141"/>
        <v>-0.69117647058823528</v>
      </c>
      <c r="CP55" s="382">
        <f t="shared" si="141"/>
        <v>1.1428571428571428</v>
      </c>
      <c r="CQ55" s="382">
        <f t="shared" si="141"/>
        <v>-0.82222222222222219</v>
      </c>
      <c r="CR55" s="382">
        <f t="shared" si="141"/>
        <v>-8</v>
      </c>
      <c r="CS55" s="382">
        <f t="shared" si="141"/>
        <v>-1</v>
      </c>
      <c r="CT55" s="382" t="e">
        <f t="shared" si="141"/>
        <v>#DIV/0!</v>
      </c>
      <c r="CU55" s="382">
        <f t="shared" si="141"/>
        <v>11</v>
      </c>
      <c r="CV55" s="382">
        <f t="shared" si="141"/>
        <v>1.7000000000000002</v>
      </c>
      <c r="CW55" s="382">
        <f t="shared" si="141"/>
        <v>-0.25308641975308643</v>
      </c>
      <c r="CX55" s="382">
        <f t="shared" si="141"/>
        <v>0.35537190082644621</v>
      </c>
      <c r="CY55" s="382">
        <f t="shared" si="141"/>
        <v>0.18902439024390238</v>
      </c>
      <c r="CZ55" s="382">
        <f t="shared" si="141"/>
        <v>-2.0512820512820551E-2</v>
      </c>
      <c r="DA55" s="382">
        <f t="shared" si="141"/>
        <v>-0.62827225130890052</v>
      </c>
      <c r="DB55" s="382">
        <f t="shared" si="141"/>
        <v>-0.6619718309859155</v>
      </c>
      <c r="DC55" s="382">
        <f t="shared" si="141"/>
        <v>3.625</v>
      </c>
      <c r="DD55" s="382">
        <f t="shared" si="141"/>
        <v>1.2162162162162162</v>
      </c>
      <c r="DE55" s="382">
        <f t="shared" si="141"/>
        <v>0.67479674796747968</v>
      </c>
      <c r="DF55" s="382">
        <f t="shared" si="141"/>
        <v>-0.40533980582524276</v>
      </c>
      <c r="DG55" s="382">
        <f t="shared" si="141"/>
        <v>0</v>
      </c>
      <c r="DH55" s="382">
        <f t="shared" si="141"/>
        <v>1.16734693877551</v>
      </c>
      <c r="DI55" s="382">
        <f t="shared" si="141"/>
        <v>0.25047080979284364</v>
      </c>
      <c r="DJ55" s="383">
        <f t="shared" si="141"/>
        <v>0.16265060240963858</v>
      </c>
      <c r="DK55" s="383">
        <f t="shared" si="141"/>
        <v>0.21502590673575139</v>
      </c>
      <c r="DL55" s="383">
        <f t="shared" si="141"/>
        <v>0.12260127931769715</v>
      </c>
      <c r="DM55" s="383">
        <f t="shared" si="141"/>
        <v>0.26685660018993351</v>
      </c>
      <c r="DN55" s="383">
        <f t="shared" si="141"/>
        <v>0.34407796101949017</v>
      </c>
      <c r="DO55" s="383">
        <f t="shared" si="141"/>
        <v>4.8522030117122084E-2</v>
      </c>
      <c r="DP55" s="383">
        <f t="shared" si="141"/>
        <v>-0.38404255319148939</v>
      </c>
      <c r="DQ55" s="383">
        <f t="shared" si="141"/>
        <v>-2.5906735751295318E-2</v>
      </c>
      <c r="DR55" s="383">
        <f t="shared" si="141"/>
        <v>-0.15602836879432624</v>
      </c>
      <c r="DS55" s="383">
        <f t="shared" si="141"/>
        <v>-7.9831932773109293E-2</v>
      </c>
      <c r="DT55" s="383">
        <f t="shared" si="141"/>
        <v>0.23972602739726034</v>
      </c>
      <c r="DU55" s="383">
        <f t="shared" si="141"/>
        <v>0.1068139963167587</v>
      </c>
      <c r="DV55" s="382">
        <f t="shared" si="141"/>
        <v>-0.2312811980033278</v>
      </c>
      <c r="DW55" s="382">
        <f t="shared" si="141"/>
        <v>0.17316017316017307</v>
      </c>
      <c r="DX55" s="382">
        <f t="shared" si="141"/>
        <v>0.41605166051660514</v>
      </c>
      <c r="DY55" s="383">
        <f t="shared" si="141"/>
        <v>0.21107491856677529</v>
      </c>
      <c r="DZ55" s="383">
        <f t="shared" si="141"/>
        <v>-0.14470145239376009</v>
      </c>
      <c r="EA55" s="383">
        <f t="shared" si="141"/>
        <v>-0.54905660377358489</v>
      </c>
      <c r="EB55" s="383">
        <f t="shared" si="141"/>
        <v>1.8047419804741982</v>
      </c>
      <c r="EC55" s="383">
        <f t="shared" si="141"/>
        <v>0.27399303828940824</v>
      </c>
      <c r="ED55" s="383">
        <f t="shared" si="141"/>
        <v>-0.11826697892271665</v>
      </c>
      <c r="EE55" s="384">
        <f t="shared" ref="EE55:EW55" si="142">EE54/ED54-1</f>
        <v>0.19133187170936949</v>
      </c>
      <c r="EF55" s="384">
        <f t="shared" si="142"/>
        <v>7.2083021829232319E-2</v>
      </c>
      <c r="EG55" s="384">
        <f t="shared" si="142"/>
        <v>0.61573630486845898</v>
      </c>
      <c r="EH55" s="384">
        <f t="shared" si="142"/>
        <v>8.104299883869337E-2</v>
      </c>
      <c r="EI55" s="384">
        <f t="shared" si="142"/>
        <v>0.11899389564560314</v>
      </c>
      <c r="EJ55" s="384">
        <f t="shared" si="142"/>
        <v>0.17465433665562213</v>
      </c>
      <c r="EK55" s="384">
        <f t="shared" si="142"/>
        <v>0.10394789775646296</v>
      </c>
      <c r="EL55" s="384">
        <f t="shared" si="142"/>
        <v>-1.6490787995940726E-2</v>
      </c>
      <c r="EM55" s="384">
        <f t="shared" si="142"/>
        <v>8.1726642839648145E-2</v>
      </c>
      <c r="EN55" s="384">
        <f t="shared" si="142"/>
        <v>0.13438324578548277</v>
      </c>
      <c r="EO55" s="384">
        <f t="shared" si="142"/>
        <v>0.10629759899043689</v>
      </c>
      <c r="EP55" s="384">
        <f t="shared" si="142"/>
        <v>-5.6392435673417673E-2</v>
      </c>
      <c r="EQ55" s="384">
        <f t="shared" si="142"/>
        <v>4.991131414154748E-2</v>
      </c>
      <c r="ER55" s="384">
        <f t="shared" si="142"/>
        <v>0.11492111831927865</v>
      </c>
      <c r="ES55" s="384">
        <f t="shared" si="142"/>
        <v>4.4200341460217007E-2</v>
      </c>
      <c r="ET55" s="384">
        <f t="shared" si="142"/>
        <v>-6.9159042368434953E-2</v>
      </c>
      <c r="EU55" s="384">
        <f t="shared" si="142"/>
        <v>5.5923503380528317E-2</v>
      </c>
      <c r="EV55" s="384">
        <f t="shared" si="142"/>
        <v>0.15141323994702627</v>
      </c>
      <c r="EW55" s="384">
        <f t="shared" si="142"/>
        <v>6.7386073139348746E-2</v>
      </c>
      <c r="EX55" s="384"/>
      <c r="FZ55" s="386" t="s">
        <v>199</v>
      </c>
      <c r="GA55" s="386" t="s">
        <v>199</v>
      </c>
      <c r="GB55" s="386" t="s">
        <v>199</v>
      </c>
      <c r="GC55" s="386" t="s">
        <v>199</v>
      </c>
      <c r="GD55" s="386" t="s">
        <v>199</v>
      </c>
      <c r="GE55" s="386" t="s">
        <v>199</v>
      </c>
      <c r="GF55" s="386" t="s">
        <v>199</v>
      </c>
      <c r="GG55" s="386" t="s">
        <v>199</v>
      </c>
      <c r="GH55" s="386" t="s">
        <v>199</v>
      </c>
      <c r="GI55" s="386" t="s">
        <v>199</v>
      </c>
      <c r="GJ55" s="386" t="s">
        <v>199</v>
      </c>
      <c r="GK55" s="386" t="s">
        <v>199</v>
      </c>
      <c r="GN55" s="70"/>
    </row>
    <row r="56" spans="1:196" s="382" customFormat="1">
      <c r="A56" s="381" t="s">
        <v>200</v>
      </c>
      <c r="J56" s="382">
        <f t="shared" ref="J56:BU56" si="143">J54/F54-1</f>
        <v>-1.3529290161167511</v>
      </c>
      <c r="K56" s="382">
        <f t="shared" si="143"/>
        <v>137.37243175772491</v>
      </c>
      <c r="L56" s="382">
        <f t="shared" si="143"/>
        <v>-0.92689062332653016</v>
      </c>
      <c r="M56" s="382">
        <f t="shared" si="143"/>
        <v>-0.20544863516295575</v>
      </c>
      <c r="N56" s="382">
        <f t="shared" si="143"/>
        <v>-4.91103773162755</v>
      </c>
      <c r="O56" s="382">
        <f t="shared" si="143"/>
        <v>-2.0654643733740841</v>
      </c>
      <c r="P56" s="382">
        <f t="shared" si="143"/>
        <v>-41.785320419860369</v>
      </c>
      <c r="Q56" s="382">
        <f t="shared" si="143"/>
        <v>7.808110865802556</v>
      </c>
      <c r="R56" s="382">
        <f t="shared" si="143"/>
        <v>-1.1843534238460229</v>
      </c>
      <c r="S56" s="382">
        <f t="shared" si="143"/>
        <v>0.13658626287036446</v>
      </c>
      <c r="T56" s="382">
        <f t="shared" si="143"/>
        <v>-0.31291176070399129</v>
      </c>
      <c r="U56" s="382">
        <f t="shared" si="143"/>
        <v>0.11638417237306231</v>
      </c>
      <c r="V56" s="382">
        <f t="shared" si="143"/>
        <v>-5.4383962333567473</v>
      </c>
      <c r="W56" s="382">
        <f t="shared" si="143"/>
        <v>-1.8616906733761271</v>
      </c>
      <c r="X56" s="382">
        <f t="shared" si="143"/>
        <v>2.3516497975764943</v>
      </c>
      <c r="Y56" s="382">
        <f t="shared" si="143"/>
        <v>-0.44209891156523851</v>
      </c>
      <c r="Z56" s="382">
        <f t="shared" si="143"/>
        <v>-1.4203671098384774</v>
      </c>
      <c r="AA56" s="382">
        <f t="shared" si="143"/>
        <v>-0.71715808342838105</v>
      </c>
      <c r="AB56" s="382">
        <f t="shared" si="143"/>
        <v>-0.57627718055548294</v>
      </c>
      <c r="AC56" s="382">
        <f t="shared" si="143"/>
        <v>1.5090460341813507</v>
      </c>
      <c r="AD56" s="382">
        <f t="shared" si="143"/>
        <v>2.0065066934434417</v>
      </c>
      <c r="AE56" s="382">
        <f t="shared" si="143"/>
        <v>-8.3283968163474977</v>
      </c>
      <c r="AF56" s="382">
        <f t="shared" si="143"/>
        <v>-0.62814749035362305</v>
      </c>
      <c r="AG56" s="382">
        <f t="shared" si="143"/>
        <v>-1.490404943750254</v>
      </c>
      <c r="AH56" s="382">
        <f t="shared" si="143"/>
        <v>-2.6180354487332842</v>
      </c>
      <c r="AI56" s="382">
        <f t="shared" si="143"/>
        <v>2.2006081199728191</v>
      </c>
      <c r="AJ56" s="382">
        <f t="shared" si="143"/>
        <v>-3.1796232853860862</v>
      </c>
      <c r="AK56" s="382">
        <f t="shared" si="143"/>
        <v>-0.80833724059706602</v>
      </c>
      <c r="AL56" s="382">
        <f t="shared" si="143"/>
        <v>-1.4003335878114305</v>
      </c>
      <c r="AM56" s="382">
        <f t="shared" si="143"/>
        <v>-0.97925578351290032</v>
      </c>
      <c r="AN56" s="382">
        <f t="shared" si="143"/>
        <v>0.67980458646458874</v>
      </c>
      <c r="AO56" s="382">
        <f t="shared" si="143"/>
        <v>-2.3288423953873192</v>
      </c>
      <c r="AP56" s="382">
        <f t="shared" si="143"/>
        <v>-3.3079318217232094</v>
      </c>
      <c r="AQ56" s="382">
        <f t="shared" si="143"/>
        <v>8.6032030870025853</v>
      </c>
      <c r="AR56" s="382">
        <f t="shared" si="143"/>
        <v>-3.5575696160856296</v>
      </c>
      <c r="AS56" s="382">
        <f t="shared" si="143"/>
        <v>5.9303751303299457</v>
      </c>
      <c r="AT56" s="382">
        <f t="shared" si="143"/>
        <v>-0.1820549887689038</v>
      </c>
      <c r="AU56" s="382">
        <f t="shared" si="143"/>
        <v>-0.10606752904203909</v>
      </c>
      <c r="AV56" s="382">
        <f t="shared" si="143"/>
        <v>-0.84843867539393292</v>
      </c>
      <c r="AW56" s="382">
        <f t="shared" si="143"/>
        <v>-0.40514722831352035</v>
      </c>
      <c r="AX56" s="382">
        <f t="shared" si="143"/>
        <v>-1.1146898304497554</v>
      </c>
      <c r="AY56" s="382">
        <f t="shared" si="143"/>
        <v>-1.2214125844167527</v>
      </c>
      <c r="AZ56" s="382">
        <f t="shared" si="143"/>
        <v>-3.9826003841571138</v>
      </c>
      <c r="BA56" s="382">
        <f t="shared" si="143"/>
        <v>8.5641153217076216E-2</v>
      </c>
      <c r="BB56" s="382">
        <f t="shared" si="143"/>
        <v>16.128575243166917</v>
      </c>
      <c r="BC56" s="382">
        <f t="shared" si="143"/>
        <v>-6.3570956933478424</v>
      </c>
      <c r="BD56" s="382">
        <f t="shared" si="143"/>
        <v>-1.8512682607139128</v>
      </c>
      <c r="BE56" s="382">
        <f t="shared" si="143"/>
        <v>0.63563303245364322</v>
      </c>
      <c r="BF56" s="382">
        <f t="shared" si="143"/>
        <v>0.52679510890864267</v>
      </c>
      <c r="BG56" s="382">
        <f t="shared" si="143"/>
        <v>4.7784842860201566</v>
      </c>
      <c r="BH56" s="382">
        <f t="shared" si="143"/>
        <v>-3.538962063253241</v>
      </c>
      <c r="BI56" s="382">
        <f t="shared" si="143"/>
        <v>-1.786861887582367</v>
      </c>
      <c r="BJ56" s="382">
        <f t="shared" si="143"/>
        <v>-0.65697194158781835</v>
      </c>
      <c r="BK56" s="382">
        <f t="shared" si="143"/>
        <v>-0.78499166244964869</v>
      </c>
      <c r="BL56" s="382">
        <f t="shared" si="143"/>
        <v>-3.042689031290394</v>
      </c>
      <c r="BM56" s="382">
        <f t="shared" si="143"/>
        <v>-2.2015753531791793</v>
      </c>
      <c r="BN56" s="382">
        <f t="shared" si="143"/>
        <v>-3.4139661228715528</v>
      </c>
      <c r="BO56" s="382">
        <f t="shared" si="143"/>
        <v>0.46447178213065321</v>
      </c>
      <c r="BP56" s="382">
        <f t="shared" si="143"/>
        <v>-0.39968060238208458</v>
      </c>
      <c r="BQ56" s="382">
        <f t="shared" si="143"/>
        <v>-1.4461319217716126</v>
      </c>
      <c r="BR56" s="382">
        <f t="shared" si="143"/>
        <v>-0.83834982823779414</v>
      </c>
      <c r="BS56" s="382">
        <f t="shared" si="143"/>
        <v>1.1592454231695406</v>
      </c>
      <c r="BT56" s="382">
        <f t="shared" si="143"/>
        <v>0.1773059328565072</v>
      </c>
      <c r="BU56" s="382">
        <f t="shared" si="143"/>
        <v>10.311653391106963</v>
      </c>
      <c r="BV56" s="382">
        <f t="shared" ref="BV56:EG56" si="144">BV54/BR54-1</f>
        <v>6.9658751696561456</v>
      </c>
      <c r="BW56" s="382">
        <f t="shared" si="144"/>
        <v>-1.0289420901641286</v>
      </c>
      <c r="BX56" s="382">
        <f t="shared" si="144"/>
        <v>-0.97415678411094175</v>
      </c>
      <c r="BY56" s="382">
        <f t="shared" si="144"/>
        <v>-1.0994049079605377</v>
      </c>
      <c r="BZ56" s="382">
        <f t="shared" si="144"/>
        <v>-2.1292990110336349</v>
      </c>
      <c r="CA56" s="382">
        <f t="shared" si="144"/>
        <v>-7.3102629459152935</v>
      </c>
      <c r="CB56" s="382">
        <f t="shared" si="144"/>
        <v>19.204802038227648</v>
      </c>
      <c r="CC56" s="382">
        <f t="shared" si="144"/>
        <v>0.2741965553650858</v>
      </c>
      <c r="CD56" s="382">
        <f t="shared" si="144"/>
        <v>-0.95653202335203924</v>
      </c>
      <c r="CE56" s="382">
        <f t="shared" si="144"/>
        <v>-0.46961750162869642</v>
      </c>
      <c r="CF56" s="382">
        <f t="shared" si="144"/>
        <v>-0.5838558417051114</v>
      </c>
      <c r="CG56" s="382">
        <f t="shared" si="144"/>
        <v>-2.6026391256189401</v>
      </c>
      <c r="CH56" s="382">
        <f t="shared" si="144"/>
        <v>6.25</v>
      </c>
      <c r="CI56" s="382">
        <f t="shared" si="144"/>
        <v>-5.2935569228807342</v>
      </c>
      <c r="CJ56" s="382">
        <f t="shared" si="144"/>
        <v>-2.4943971067700486</v>
      </c>
      <c r="CK56" s="382">
        <f t="shared" si="144"/>
        <v>-1.6017628736165419</v>
      </c>
      <c r="CL56" s="382">
        <f t="shared" si="144"/>
        <v>-1.0344827586206897</v>
      </c>
      <c r="CM56" s="382">
        <f t="shared" si="144"/>
        <v>-1.5086206896551724</v>
      </c>
      <c r="CN56" s="382">
        <f t="shared" si="144"/>
        <v>-1.6071428571428572</v>
      </c>
      <c r="CO56" s="382">
        <f t="shared" si="144"/>
        <v>-1.2625</v>
      </c>
      <c r="CP56" s="382">
        <f t="shared" si="144"/>
        <v>10.25</v>
      </c>
      <c r="CQ56" s="382">
        <f t="shared" si="144"/>
        <v>-0.86440677966101698</v>
      </c>
      <c r="CR56" s="382">
        <f t="shared" si="144"/>
        <v>-1.8235294117647058</v>
      </c>
      <c r="CS56" s="382">
        <f t="shared" si="144"/>
        <v>-1</v>
      </c>
      <c r="CT56" s="382">
        <f t="shared" si="144"/>
        <v>-1.1111111111111112</v>
      </c>
      <c r="CU56" s="382">
        <f t="shared" si="144"/>
        <v>-8.5</v>
      </c>
      <c r="CV56" s="382">
        <f t="shared" si="144"/>
        <v>1.8928571428571428</v>
      </c>
      <c r="CW56" s="382" t="e">
        <f t="shared" si="144"/>
        <v>#DIV/0!</v>
      </c>
      <c r="CX56" s="382">
        <f t="shared" si="144"/>
        <v>31.799999999999997</v>
      </c>
      <c r="CY56" s="382">
        <f t="shared" si="144"/>
        <v>2.25</v>
      </c>
      <c r="CZ56" s="382">
        <f t="shared" si="144"/>
        <v>0.17901234567901225</v>
      </c>
      <c r="DA56" s="382">
        <f t="shared" si="144"/>
        <v>-0.41322314049586772</v>
      </c>
      <c r="DB56" s="382">
        <f t="shared" si="144"/>
        <v>-0.85365853658536583</v>
      </c>
      <c r="DC56" s="382">
        <f t="shared" si="144"/>
        <v>-0.43076923076923079</v>
      </c>
      <c r="DD56" s="382">
        <f t="shared" si="144"/>
        <v>0.28795811518324599</v>
      </c>
      <c r="DE56" s="382">
        <f t="shared" si="144"/>
        <v>4.802816901408451</v>
      </c>
      <c r="DF56" s="382">
        <f t="shared" si="144"/>
        <v>9.2083333333333339</v>
      </c>
      <c r="DG56" s="382">
        <f t="shared" si="144"/>
        <v>1.2072072072072073</v>
      </c>
      <c r="DH56" s="382">
        <f t="shared" si="144"/>
        <v>1.1585365853658538</v>
      </c>
      <c r="DI56" s="382">
        <f t="shared" si="144"/>
        <v>0.61165048543689315</v>
      </c>
      <c r="DJ56" s="383">
        <f t="shared" si="144"/>
        <v>2.1510204081632653</v>
      </c>
      <c r="DK56" s="383">
        <f t="shared" si="144"/>
        <v>2.8285714285714287</v>
      </c>
      <c r="DL56" s="383">
        <f t="shared" si="144"/>
        <v>0.98305084745762716</v>
      </c>
      <c r="DM56" s="383">
        <f t="shared" si="144"/>
        <v>1.0090361445783134</v>
      </c>
      <c r="DN56" s="383">
        <f t="shared" si="144"/>
        <v>1.3225388601036268</v>
      </c>
      <c r="DO56" s="383">
        <f t="shared" si="144"/>
        <v>1.0042643923240937</v>
      </c>
      <c r="DP56" s="383">
        <f t="shared" si="144"/>
        <v>9.9715099715099731E-2</v>
      </c>
      <c r="DQ56" s="383">
        <f t="shared" si="144"/>
        <v>-0.15442278860569714</v>
      </c>
      <c r="DR56" s="383">
        <f t="shared" si="144"/>
        <v>-0.46904629113218066</v>
      </c>
      <c r="DS56" s="383">
        <f t="shared" si="144"/>
        <v>-0.53404255319148941</v>
      </c>
      <c r="DT56" s="383">
        <f t="shared" si="144"/>
        <v>-6.2176165803108807E-2</v>
      </c>
      <c r="DU56" s="383">
        <f t="shared" si="144"/>
        <v>6.560283687943258E-2</v>
      </c>
      <c r="DV56" s="382">
        <f t="shared" si="144"/>
        <v>-2.9411764705882359E-2</v>
      </c>
      <c r="DW56" s="382">
        <f t="shared" si="144"/>
        <v>0.23744292237442921</v>
      </c>
      <c r="DX56" s="382">
        <f t="shared" si="144"/>
        <v>0.4134438305709025</v>
      </c>
      <c r="DY56" s="383">
        <f t="shared" si="144"/>
        <v>0.54658901830282858</v>
      </c>
      <c r="DZ56" s="383">
        <f t="shared" si="144"/>
        <v>0.72077922077922074</v>
      </c>
      <c r="EA56" s="383">
        <f t="shared" si="144"/>
        <v>-0.33856088560885611</v>
      </c>
      <c r="EB56" s="383">
        <f t="shared" si="144"/>
        <v>0.3100977198697068</v>
      </c>
      <c r="EC56" s="383">
        <f t="shared" si="144"/>
        <v>0.37816030123722433</v>
      </c>
      <c r="ED56" s="383">
        <f t="shared" si="144"/>
        <v>0.42075471698113209</v>
      </c>
      <c r="EE56" s="384">
        <f t="shared" si="144"/>
        <v>2.7534430937119465</v>
      </c>
      <c r="EF56" s="384">
        <f t="shared" si="144"/>
        <v>0.43471401012453459</v>
      </c>
      <c r="EG56" s="384">
        <f t="shared" si="144"/>
        <v>0.81957000045633377</v>
      </c>
      <c r="EH56" s="384">
        <f t="shared" ref="EH56:EW56" si="145">EH54/ED54-1</f>
        <v>1.2308718885076537</v>
      </c>
      <c r="EI56" s="384">
        <f t="shared" si="145"/>
        <v>1.0954127766477098</v>
      </c>
      <c r="EJ56" s="384">
        <f t="shared" si="145"/>
        <v>1.2958909478606544</v>
      </c>
      <c r="EK56" s="384">
        <f t="shared" si="145"/>
        <v>0.56866190215067669</v>
      </c>
      <c r="EL56" s="384">
        <f t="shared" si="145"/>
        <v>0.42713419627372917</v>
      </c>
      <c r="EM56" s="384">
        <f t="shared" si="145"/>
        <v>0.3796045617622994</v>
      </c>
      <c r="EN56" s="384">
        <f t="shared" si="145"/>
        <v>0.33230708969935274</v>
      </c>
      <c r="EO56" s="384">
        <f t="shared" si="145"/>
        <v>0.33514284274445649</v>
      </c>
      <c r="EP56" s="384">
        <f t="shared" si="145"/>
        <v>0.28097517592439791</v>
      </c>
      <c r="EQ56" s="384">
        <f t="shared" si="145"/>
        <v>0.24329962587123788</v>
      </c>
      <c r="ER56" s="384">
        <f t="shared" si="145"/>
        <v>0.22196886672322602</v>
      </c>
      <c r="ES56" s="384">
        <f t="shared" si="145"/>
        <v>0.15337890008127619</v>
      </c>
      <c r="ET56" s="384">
        <f t="shared" si="145"/>
        <v>0.13777417694811889</v>
      </c>
      <c r="EU56" s="384">
        <f t="shared" si="145"/>
        <v>0.14428950216740244</v>
      </c>
      <c r="EV56" s="384">
        <f t="shared" si="145"/>
        <v>0.18174287084463825</v>
      </c>
      <c r="EW56" s="384">
        <f t="shared" si="145"/>
        <v>0.20798263732356403</v>
      </c>
      <c r="EX56" s="384"/>
      <c r="FB56" s="386" t="s">
        <v>199</v>
      </c>
      <c r="FC56" s="386" t="s">
        <v>199</v>
      </c>
      <c r="FD56" s="386" t="s">
        <v>199</v>
      </c>
      <c r="FE56" s="386" t="s">
        <v>199</v>
      </c>
      <c r="FF56" s="386" t="s">
        <v>199</v>
      </c>
      <c r="FG56" s="386" t="s">
        <v>199</v>
      </c>
      <c r="FH56" s="386" t="s">
        <v>199</v>
      </c>
      <c r="FI56" s="386" t="s">
        <v>199</v>
      </c>
      <c r="FJ56" s="386" t="s">
        <v>199</v>
      </c>
      <c r="FK56" s="386" t="s">
        <v>199</v>
      </c>
      <c r="FL56" s="386" t="s">
        <v>199</v>
      </c>
      <c r="FM56" s="382">
        <f t="shared" ref="FM56:GK56" si="146">FM54/FL54-1</f>
        <v>-0.21429738792330677</v>
      </c>
      <c r="FN56" s="382">
        <f t="shared" si="146"/>
        <v>-0.84714652982158967</v>
      </c>
      <c r="FO56" s="386" t="s">
        <v>199</v>
      </c>
      <c r="FP56" s="386" t="s">
        <v>199</v>
      </c>
      <c r="FQ56" s="386" t="s">
        <v>199</v>
      </c>
      <c r="FR56" s="386" t="s">
        <v>199</v>
      </c>
      <c r="FS56" s="386" t="s">
        <v>199</v>
      </c>
      <c r="FT56" s="386" t="s">
        <v>199</v>
      </c>
      <c r="FU56" s="386" t="s">
        <v>199</v>
      </c>
      <c r="FV56" s="386" t="s">
        <v>199</v>
      </c>
      <c r="FW56" s="382">
        <f t="shared" si="146"/>
        <v>-1.0197368421052631</v>
      </c>
      <c r="FX56" s="386" t="s">
        <v>199</v>
      </c>
      <c r="FY56" s="386">
        <f t="shared" si="146"/>
        <v>0.78448275862068972</v>
      </c>
      <c r="FZ56" s="382">
        <f t="shared" si="146"/>
        <v>0.27697262479871165</v>
      </c>
      <c r="GA56" s="382">
        <f t="shared" si="146"/>
        <v>1.1248423707440103</v>
      </c>
      <c r="GB56" s="382">
        <f t="shared" si="146"/>
        <v>1.4314540059347181</v>
      </c>
      <c r="GC56" s="382">
        <f t="shared" si="146"/>
        <v>0.45447888699048078</v>
      </c>
      <c r="GD56" s="382">
        <f t="shared" si="146"/>
        <v>-0.30928008055042788</v>
      </c>
      <c r="GE56" s="382">
        <f t="shared" si="146"/>
        <v>0.31243926141885336</v>
      </c>
      <c r="GF56" s="382">
        <f t="shared" si="146"/>
        <v>0.2736023694927805</v>
      </c>
      <c r="GG56" s="384">
        <f t="shared" si="146"/>
        <v>0.81644867931991749</v>
      </c>
      <c r="GH56" s="384">
        <f t="shared" si="146"/>
        <v>0.96969220126728128</v>
      </c>
      <c r="GI56" s="384">
        <f t="shared" si="146"/>
        <v>0.36339889237490852</v>
      </c>
      <c r="GJ56" s="384">
        <f t="shared" si="146"/>
        <v>0.21960458812559569</v>
      </c>
      <c r="GK56" s="384">
        <f t="shared" si="146"/>
        <v>0.17021444670702679</v>
      </c>
      <c r="GN56" s="70"/>
    </row>
    <row r="57" spans="1:196" s="382" customFormat="1">
      <c r="A57" s="381" t="s">
        <v>202</v>
      </c>
      <c r="B57" s="382">
        <f>B54/B$4</f>
        <v>0</v>
      </c>
      <c r="C57" s="382">
        <f>C54/C$4</f>
        <v>0</v>
      </c>
      <c r="D57" s="382">
        <f t="shared" ref="D57:BO57" si="147">D54/D$4</f>
        <v>0</v>
      </c>
      <c r="E57" s="382">
        <f t="shared" si="147"/>
        <v>0</v>
      </c>
      <c r="F57" s="382">
        <f t="shared" si="147"/>
        <v>-0.11380318907584193</v>
      </c>
      <c r="G57" s="382">
        <f t="shared" si="147"/>
        <v>6.5792398127652448E-4</v>
      </c>
      <c r="H57" s="382">
        <f t="shared" si="147"/>
        <v>4.4439342368885984E-2</v>
      </c>
      <c r="I57" s="382">
        <f t="shared" si="147"/>
        <v>2.5178312656354417E-2</v>
      </c>
      <c r="J57" s="382">
        <f t="shared" si="147"/>
        <v>3.3232878053908059E-2</v>
      </c>
      <c r="K57" s="382">
        <f t="shared" si="147"/>
        <v>7.7530334529164996E-2</v>
      </c>
      <c r="L57" s="382">
        <f t="shared" si="147"/>
        <v>2.9887967871450659E-3</v>
      </c>
      <c r="M57" s="382">
        <f t="shared" si="147"/>
        <v>1.8390901762433659E-2</v>
      </c>
      <c r="N57" s="382">
        <f t="shared" si="147"/>
        <v>-0.14809853954612379</v>
      </c>
      <c r="O57" s="382">
        <f t="shared" si="147"/>
        <v>-0.11367068487939624</v>
      </c>
      <c r="P57" s="382">
        <f t="shared" si="147"/>
        <v>-0.15752538307439606</v>
      </c>
      <c r="Q57" s="382">
        <f t="shared" si="147"/>
        <v>0.19333954885359514</v>
      </c>
      <c r="R57" s="382">
        <f t="shared" si="147"/>
        <v>2.6917319315445835E-2</v>
      </c>
      <c r="S57" s="382">
        <f t="shared" si="147"/>
        <v>-9.8887033196537744E-2</v>
      </c>
      <c r="T57" s="382">
        <f t="shared" si="147"/>
        <v>-8.287677030608942E-2</v>
      </c>
      <c r="U57" s="382">
        <f t="shared" si="147"/>
        <v>0.17490160402275129</v>
      </c>
      <c r="V57" s="382">
        <f t="shared" si="147"/>
        <v>-0.12193110689638165</v>
      </c>
      <c r="W57" s="382">
        <f t="shared" si="147"/>
        <v>9.6218246656147796E-2</v>
      </c>
      <c r="X57" s="382">
        <f t="shared" si="147"/>
        <v>-0.2416177479655251</v>
      </c>
      <c r="Y57" s="382">
        <f t="shared" si="147"/>
        <v>7.58498444426461E-2</v>
      </c>
      <c r="Z57" s="382">
        <f t="shared" si="147"/>
        <v>4.3892224218528994E-2</v>
      </c>
      <c r="AA57" s="382">
        <f t="shared" si="147"/>
        <v>2.4078776261143207E-2</v>
      </c>
      <c r="AB57" s="382">
        <f t="shared" si="147"/>
        <v>-0.10604853028413513</v>
      </c>
      <c r="AC57" s="382">
        <f t="shared" si="147"/>
        <v>0.15496993621735219</v>
      </c>
      <c r="AD57" s="382">
        <f t="shared" si="147"/>
        <v>7.6322554994926115E-2</v>
      </c>
      <c r="AE57" s="382">
        <f t="shared" si="147"/>
        <v>-8.9720537074554088E-2</v>
      </c>
      <c r="AF57" s="382">
        <f t="shared" si="147"/>
        <v>-2.1642844374739179E-2</v>
      </c>
      <c r="AG57" s="382">
        <f t="shared" si="147"/>
        <v>-6.2646186871845422E-2</v>
      </c>
      <c r="AH57" s="382">
        <f t="shared" si="147"/>
        <v>-0.11344508121651048</v>
      </c>
      <c r="AI57" s="382">
        <f t="shared" si="147"/>
        <v>-0.34112990634432061</v>
      </c>
      <c r="AJ57" s="382">
        <f t="shared" si="147"/>
        <v>7.4316574185802606E-2</v>
      </c>
      <c r="AK57" s="382">
        <f t="shared" si="147"/>
        <v>-1.4823638151441072E-2</v>
      </c>
      <c r="AL57" s="382">
        <f t="shared" si="147"/>
        <v>5.9848800266297963E-2</v>
      </c>
      <c r="AM57" s="382">
        <f t="shared" si="147"/>
        <v>-1.1614534968062289E-2</v>
      </c>
      <c r="AN57" s="382">
        <f t="shared" si="147"/>
        <v>0.18812294492133608</v>
      </c>
      <c r="AO57" s="382">
        <f t="shared" si="147"/>
        <v>2.7315618146479172E-2</v>
      </c>
      <c r="AP57" s="382">
        <f t="shared" si="147"/>
        <v>-0.17437509041646876</v>
      </c>
      <c r="AQ57" s="382">
        <f t="shared" si="147"/>
        <v>-0.10376482124336804</v>
      </c>
      <c r="AR57" s="382">
        <f t="shared" si="147"/>
        <v>-0.2563824639690897</v>
      </c>
      <c r="AS57" s="382">
        <f t="shared" si="147"/>
        <v>0.10778623794070277</v>
      </c>
      <c r="AT57" s="382">
        <f t="shared" si="147"/>
        <v>-8.2427784782530489E-2</v>
      </c>
      <c r="AU57" s="382">
        <f t="shared" si="147"/>
        <v>-4.7433701263206396E-2</v>
      </c>
      <c r="AV57" s="382">
        <f t="shared" si="147"/>
        <v>-2.9900826504618103E-2</v>
      </c>
      <c r="AW57" s="382">
        <f t="shared" si="147"/>
        <v>6.1168449722643133E-2</v>
      </c>
      <c r="AX57" s="382">
        <f t="shared" si="147"/>
        <v>9.5291958493342061E-3</v>
      </c>
      <c r="AY57" s="382">
        <f t="shared" si="147"/>
        <v>1.0518414776079303E-2</v>
      </c>
      <c r="AZ57" s="382">
        <f t="shared" si="147"/>
        <v>7.2590601264633847E-2</v>
      </c>
      <c r="BA57" s="382">
        <f t="shared" si="147"/>
        <v>4.5650874529140802E-2</v>
      </c>
      <c r="BB57" s="382">
        <f t="shared" si="147"/>
        <v>0.15029157285979991</v>
      </c>
      <c r="BC57" s="382">
        <f t="shared" si="147"/>
        <v>-5.8365652897961653E-2</v>
      </c>
      <c r="BD57" s="382">
        <f t="shared" si="147"/>
        <v>-7.0876526976834789E-2</v>
      </c>
      <c r="BE57" s="382">
        <f t="shared" si="147"/>
        <v>7.741711019685199E-2</v>
      </c>
      <c r="BF57" s="382">
        <f t="shared" si="147"/>
        <v>0.24791799453919616</v>
      </c>
      <c r="BG57" s="382">
        <f t="shared" si="147"/>
        <v>-0.29770538906010058</v>
      </c>
      <c r="BH57" s="382">
        <f t="shared" si="147"/>
        <v>0.14639051086120722</v>
      </c>
      <c r="BI57" s="382">
        <f t="shared" si="147"/>
        <v>-6.1019821890261422E-2</v>
      </c>
      <c r="BJ57" s="382">
        <f t="shared" si="147"/>
        <v>6.9672961667089764E-2</v>
      </c>
      <c r="BK57" s="382">
        <f t="shared" si="147"/>
        <v>-6.5385171235756004E-2</v>
      </c>
      <c r="BL57" s="382">
        <f t="shared" si="147"/>
        <v>-0.30387137896648464</v>
      </c>
      <c r="BM57" s="382">
        <f t="shared" si="147"/>
        <v>0.11168351794194234</v>
      </c>
      <c r="BN57" s="382">
        <f t="shared" si="147"/>
        <v>-0.21505793930539244</v>
      </c>
      <c r="BO57" s="382">
        <f t="shared" si="147"/>
        <v>-0.10909893740869249</v>
      </c>
      <c r="BP57" s="382">
        <f t="shared" ref="BP57:EA57" si="148">BP54/BP$4</f>
        <v>-0.20986126961190796</v>
      </c>
      <c r="BQ57" s="382">
        <f t="shared" si="148"/>
        <v>-3.5174560664019999E-2</v>
      </c>
      <c r="BR57" s="382">
        <f t="shared" si="148"/>
        <v>-2.599581186659326E-2</v>
      </c>
      <c r="BS57" s="382">
        <f t="shared" si="148"/>
        <v>-0.16873352415396084</v>
      </c>
      <c r="BT57" s="382">
        <f t="shared" si="148"/>
        <v>-0.21317119977508897</v>
      </c>
      <c r="BU57" s="382">
        <f t="shared" si="148"/>
        <v>-0.39715857709672803</v>
      </c>
      <c r="BV57" s="382">
        <f t="shared" si="148"/>
        <v>-0.20207251297098244</v>
      </c>
      <c r="BW57" s="382">
        <f t="shared" si="148"/>
        <v>5.1286066948781741E-3</v>
      </c>
      <c r="BX57" s="382">
        <f t="shared" si="148"/>
        <v>-5.2743251286719653E-3</v>
      </c>
      <c r="BY57" s="382">
        <f t="shared" si="148"/>
        <v>3.8498944388859375E-2</v>
      </c>
      <c r="BZ57" s="382">
        <f t="shared" si="148"/>
        <v>0.23223158753694434</v>
      </c>
      <c r="CA57" s="382">
        <f t="shared" si="148"/>
        <v>-3.6050344365759462E-2</v>
      </c>
      <c r="CB57" s="382">
        <f t="shared" si="148"/>
        <v>-0.14192097299922193</v>
      </c>
      <c r="CC57" s="382">
        <f t="shared" si="148"/>
        <v>7.1820243248814669E-2</v>
      </c>
      <c r="CD57" s="382">
        <f t="shared" si="148"/>
        <v>1.4705882352941176E-2</v>
      </c>
      <c r="CE57" s="382">
        <f t="shared" si="148"/>
        <v>-2.327065161830701E-2</v>
      </c>
      <c r="CF57" s="382">
        <f t="shared" si="148"/>
        <v>-5.1298160102430476E-2</v>
      </c>
      <c r="CG57" s="382">
        <f t="shared" si="148"/>
        <v>-8.3664399797062944E-2</v>
      </c>
      <c r="CH57" s="382">
        <f t="shared" si="148"/>
        <v>8.3035075161059416E-2</v>
      </c>
      <c r="CI57" s="382">
        <f t="shared" si="148"/>
        <v>8.0499653018736989E-2</v>
      </c>
      <c r="CJ57" s="382">
        <f t="shared" si="148"/>
        <v>7.8376487053883837E-2</v>
      </c>
      <c r="CK57" s="382">
        <f t="shared" si="148"/>
        <v>6.4568200161420494E-2</v>
      </c>
      <c r="CL57" s="382">
        <f t="shared" si="148"/>
        <v>-3.8834951456310678E-3</v>
      </c>
      <c r="CM57" s="382">
        <f t="shared" si="148"/>
        <v>-6.2632696390658174E-2</v>
      </c>
      <c r="CN57" s="382">
        <f t="shared" si="148"/>
        <v>-6.4090480678605094E-2</v>
      </c>
      <c r="CO57" s="382">
        <f t="shared" si="148"/>
        <v>-2.1920668058455117E-2</v>
      </c>
      <c r="CP57" s="382">
        <f t="shared" si="148"/>
        <v>-5.4086538461538464E-2</v>
      </c>
      <c r="CQ57" s="382">
        <f t="shared" si="148"/>
        <v>-7.7896786757546254E-3</v>
      </c>
      <c r="CR57" s="382">
        <f t="shared" si="148"/>
        <v>4.2846212700841622E-2</v>
      </c>
      <c r="CS57" s="382">
        <f t="shared" si="148"/>
        <v>0</v>
      </c>
      <c r="CT57" s="382">
        <f t="shared" si="148"/>
        <v>5.08130081300813E-3</v>
      </c>
      <c r="CU57" s="382">
        <f t="shared" si="148"/>
        <v>4.9099836333878884E-2</v>
      </c>
      <c r="CV57" s="382">
        <f>CV54/CV$4</f>
        <v>9.8600121728545348E-2</v>
      </c>
      <c r="CW57" s="382">
        <f t="shared" si="148"/>
        <v>8.1756756756756754E-2</v>
      </c>
      <c r="CX57" s="382">
        <f t="shared" si="148"/>
        <v>9.9574984820886461E-2</v>
      </c>
      <c r="CY57" s="382">
        <f t="shared" si="148"/>
        <v>0.11104783599088838</v>
      </c>
      <c r="CZ57" s="382">
        <f t="shared" si="148"/>
        <v>0.11554748941318814</v>
      </c>
      <c r="DA57" s="382">
        <f t="shared" si="148"/>
        <v>5.003523608174771E-2</v>
      </c>
      <c r="DB57" s="382">
        <f t="shared" si="148"/>
        <v>1.8867924528301886E-2</v>
      </c>
      <c r="DC57" s="382">
        <f t="shared" si="148"/>
        <v>7.2501632919660358E-2</v>
      </c>
      <c r="DD57" s="382">
        <f t="shared" si="148"/>
        <v>0.13659078289838977</v>
      </c>
      <c r="DE57" s="382">
        <f t="shared" si="148"/>
        <v>0.19370004701457452</v>
      </c>
      <c r="DF57" s="382">
        <f t="shared" si="148"/>
        <v>0.13717805151175813</v>
      </c>
      <c r="DG57" s="382">
        <f t="shared" si="148"/>
        <v>0.12681159420289856</v>
      </c>
      <c r="DH57" s="382">
        <f t="shared" si="148"/>
        <v>0.18957515173152445</v>
      </c>
      <c r="DI57" s="382">
        <f t="shared" si="148"/>
        <v>0.20468557336621454</v>
      </c>
      <c r="DJ57" s="383">
        <f t="shared" si="148"/>
        <v>0.22409288824383164</v>
      </c>
      <c r="DK57" s="383">
        <f t="shared" si="148"/>
        <v>0.24363636363636362</v>
      </c>
      <c r="DL57" s="383">
        <f t="shared" si="148"/>
        <v>0.24414560630651519</v>
      </c>
      <c r="DM57" s="383">
        <f t="shared" si="148"/>
        <v>0.27641939494405304</v>
      </c>
      <c r="DN57" s="383">
        <f t="shared" si="148"/>
        <v>0.30456939018175644</v>
      </c>
      <c r="DO57" s="383">
        <f t="shared" si="148"/>
        <v>0.28702290076335879</v>
      </c>
      <c r="DP57" s="383">
        <f t="shared" si="148"/>
        <v>0.20808625336927225</v>
      </c>
      <c r="DQ57" s="383">
        <f t="shared" si="148"/>
        <v>0.20146454724057866</v>
      </c>
      <c r="DR57" s="383">
        <f t="shared" si="148"/>
        <v>0.17784419951429106</v>
      </c>
      <c r="DS57" s="383">
        <f t="shared" si="148"/>
        <v>0.16346333271132674</v>
      </c>
      <c r="DT57" s="383">
        <f>DT54/DT$4</f>
        <v>0.18724137931034482</v>
      </c>
      <c r="DU57" s="383">
        <f>DU54/DU$4</f>
        <v>0.19487678339818418</v>
      </c>
      <c r="DV57" s="382">
        <f>DV54/DV$4</f>
        <v>0.1688287959071807</v>
      </c>
      <c r="DW57" s="382">
        <f>DW54/DW$4</f>
        <v>0.18577549271636676</v>
      </c>
      <c r="DX57" s="382">
        <f>DX54/DX$4</f>
        <v>0.22510632057486435</v>
      </c>
      <c r="DY57" s="383">
        <f t="shared" si="148"/>
        <v>0.24275267693914859</v>
      </c>
      <c r="DZ57" s="383">
        <f t="shared" si="148"/>
        <v>0.21376714170475936</v>
      </c>
      <c r="EA57" s="383">
        <f t="shared" si="148"/>
        <v>9.3298633702016923E-2</v>
      </c>
      <c r="EB57" s="383">
        <f t="shared" ref="EB57:EW57" si="149">EB54/EB$4</f>
        <v>0.21749945922561106</v>
      </c>
      <c r="EC57" s="383">
        <f t="shared" si="149"/>
        <v>0.24946445959104188</v>
      </c>
      <c r="ED57" s="383">
        <f t="shared" si="149"/>
        <v>0.22032575831463963</v>
      </c>
      <c r="EE57" s="384">
        <f t="shared" si="149"/>
        <v>0.23980532561631512</v>
      </c>
      <c r="EF57" s="384">
        <f t="shared" si="149"/>
        <v>0.24056205434059305</v>
      </c>
      <c r="EG57" s="384">
        <f t="shared" si="149"/>
        <v>0.28791134602326246</v>
      </c>
      <c r="EH57" s="384">
        <f t="shared" si="149"/>
        <v>0.2890500283196889</v>
      </c>
      <c r="EI57" s="384">
        <f t="shared" si="149"/>
        <v>0.29353295373346056</v>
      </c>
      <c r="EJ57" s="384">
        <f t="shared" si="149"/>
        <v>0.29924908526419197</v>
      </c>
      <c r="EK57" s="384">
        <f t="shared" si="149"/>
        <v>0.29825189103639027</v>
      </c>
      <c r="EL57" s="384">
        <f t="shared" si="149"/>
        <v>0.30040343621149784</v>
      </c>
      <c r="EM57" s="384">
        <f t="shared" si="149"/>
        <v>0.31078409254936373</v>
      </c>
      <c r="EN57" s="384">
        <f t="shared" si="149"/>
        <v>0.32842344795218242</v>
      </c>
      <c r="EO57" s="384">
        <f t="shared" si="149"/>
        <v>0.33957493778298464</v>
      </c>
      <c r="EP57" s="384">
        <f t="shared" si="149"/>
        <v>0.32697032940753179</v>
      </c>
      <c r="EQ57" s="384">
        <f t="shared" si="149"/>
        <v>0.32924760564586975</v>
      </c>
      <c r="ER57" s="384">
        <f t="shared" si="149"/>
        <v>0.34002666505761159</v>
      </c>
      <c r="ES57" s="384">
        <f t="shared" si="149"/>
        <v>0.3400653298450857</v>
      </c>
      <c r="ET57" s="384">
        <f t="shared" si="149"/>
        <v>0.33052696628345801</v>
      </c>
      <c r="EU57" s="384">
        <f t="shared" si="149"/>
        <v>0.3348486619766608</v>
      </c>
      <c r="EV57" s="384">
        <f t="shared" si="149"/>
        <v>0.35087436765987329</v>
      </c>
      <c r="EW57" s="384">
        <f t="shared" si="149"/>
        <v>0.35800243008562055</v>
      </c>
      <c r="EX57" s="384"/>
      <c r="EZ57" s="382">
        <f t="shared" ref="EZ57:GF57" si="150">EZ54/EZ$4</f>
        <v>0</v>
      </c>
      <c r="FA57" s="382">
        <f t="shared" si="150"/>
        <v>-9.4522038508331237E-3</v>
      </c>
      <c r="FB57" s="382">
        <f t="shared" si="150"/>
        <v>3.367832499864825E-2</v>
      </c>
      <c r="FC57" s="382">
        <f t="shared" si="150"/>
        <v>-5.5416277705789212E-2</v>
      </c>
      <c r="FD57" s="382">
        <f t="shared" si="150"/>
        <v>5.8821807641687446E-3</v>
      </c>
      <c r="FE57" s="382">
        <f t="shared" si="150"/>
        <v>-4.7670396846286371E-2</v>
      </c>
      <c r="FF57" s="382">
        <f t="shared" si="150"/>
        <v>4.2674897074628002E-2</v>
      </c>
      <c r="FG57" s="382">
        <f t="shared" si="150"/>
        <v>-2.6139987429324701E-2</v>
      </c>
      <c r="FH57" s="382">
        <f t="shared" si="150"/>
        <v>-0.11001566446691131</v>
      </c>
      <c r="FI57" s="382">
        <f t="shared" si="150"/>
        <v>5.9834437363725408E-2</v>
      </c>
      <c r="FJ57" s="382">
        <f t="shared" si="150"/>
        <v>-8.6991224501901041E-2</v>
      </c>
      <c r="FK57" s="382">
        <f t="shared" si="150"/>
        <v>-2.4299414891179046E-2</v>
      </c>
      <c r="FL57" s="382">
        <f t="shared" si="150"/>
        <v>3.7519424987269734E-2</v>
      </c>
      <c r="FM57" s="382">
        <f t="shared" si="150"/>
        <v>3.0514583330936446E-2</v>
      </c>
      <c r="FN57" s="382">
        <f t="shared" si="150"/>
        <v>4.3820206422314559E-3</v>
      </c>
      <c r="FO57" s="382">
        <f t="shared" si="150"/>
        <v>-6.0759156076076501E-2</v>
      </c>
      <c r="FP57" s="382">
        <f t="shared" si="150"/>
        <v>-0.13569498346946868</v>
      </c>
      <c r="FQ57" s="382">
        <f t="shared" si="150"/>
        <v>-0.2032121062785823</v>
      </c>
      <c r="FR57" s="382">
        <f t="shared" si="150"/>
        <v>-3.9842026642867061E-2</v>
      </c>
      <c r="FS57" s="382">
        <f t="shared" si="150"/>
        <v>4.0575912186205654E-2</v>
      </c>
      <c r="FT57" s="382">
        <f t="shared" si="150"/>
        <v>-4.1310920874889301E-2</v>
      </c>
      <c r="FU57" s="382">
        <f t="shared" si="150"/>
        <v>7.7006901561932434E-2</v>
      </c>
      <c r="FV57" s="382">
        <f t="shared" si="150"/>
        <v>-3.8085692808819842E-2</v>
      </c>
      <c r="FW57" s="382">
        <f t="shared" si="150"/>
        <v>7.0224719101123594E-4</v>
      </c>
      <c r="FX57" s="382">
        <f t="shared" si="150"/>
        <v>6.5303058735222366E-2</v>
      </c>
      <c r="FY57" s="382">
        <f t="shared" si="150"/>
        <v>9.5907335907335911E-2</v>
      </c>
      <c r="FZ57" s="382">
        <f t="shared" si="150"/>
        <v>0.1178131035507354</v>
      </c>
      <c r="GA57" s="382">
        <f t="shared" si="150"/>
        <v>0.17259039229744955</v>
      </c>
      <c r="GB57" s="382">
        <f t="shared" si="150"/>
        <v>0.24930023122794207</v>
      </c>
      <c r="GC57" s="382">
        <f t="shared" si="150"/>
        <v>0.25248930130079233</v>
      </c>
      <c r="GD57" s="382">
        <f t="shared" si="150"/>
        <v>0.18148148148148149</v>
      </c>
      <c r="GE57" s="382">
        <f t="shared" si="150"/>
        <v>0.20950164824510376</v>
      </c>
      <c r="GF57" s="382">
        <f t="shared" si="150"/>
        <v>0.19862005254193249</v>
      </c>
      <c r="GG57" s="384">
        <f>GG54/GG$4</f>
        <v>0.25165099157952348</v>
      </c>
      <c r="GH57" s="384">
        <f>GH54/GH$4</f>
        <v>0.29550260790027211</v>
      </c>
      <c r="GI57" s="384">
        <f t="shared" ref="GI57:GK57" si="151">GI54/GI$4</f>
        <v>0.32085375400458921</v>
      </c>
      <c r="GJ57" s="384">
        <f t="shared" si="151"/>
        <v>0.33444369782409722</v>
      </c>
      <c r="GK57" s="384">
        <f t="shared" si="151"/>
        <v>0.34437361915021492</v>
      </c>
      <c r="GN57" s="70"/>
    </row>
    <row r="58" spans="1:196" s="382" customFormat="1">
      <c r="A58" s="381" t="s">
        <v>211</v>
      </c>
      <c r="B58" s="382" t="e">
        <f>#REF!/B$4</f>
        <v>#REF!</v>
      </c>
      <c r="C58" s="382" t="e">
        <f>#REF!/C$4</f>
        <v>#REF!</v>
      </c>
      <c r="D58" s="382" t="e">
        <f>#REF!/D$4</f>
        <v>#REF!</v>
      </c>
      <c r="E58" s="382" t="e">
        <f>#REF!/E$4</f>
        <v>#REF!</v>
      </c>
      <c r="F58" s="382" t="e">
        <f>#REF!/F$4</f>
        <v>#REF!</v>
      </c>
      <c r="G58" s="382" t="e">
        <f>#REF!/G$4</f>
        <v>#REF!</v>
      </c>
      <c r="H58" s="382" t="e">
        <f>#REF!/H$4</f>
        <v>#REF!</v>
      </c>
      <c r="I58" s="382" t="e">
        <f>#REF!/I$4</f>
        <v>#REF!</v>
      </c>
      <c r="J58" s="382" t="e">
        <f>#REF!/J$4</f>
        <v>#REF!</v>
      </c>
      <c r="K58" s="382" t="e">
        <f>#REF!/K$4</f>
        <v>#REF!</v>
      </c>
      <c r="L58" s="382" t="e">
        <f>#REF!/L$4</f>
        <v>#REF!</v>
      </c>
      <c r="M58" s="382" t="e">
        <f>#REF!/M$4</f>
        <v>#REF!</v>
      </c>
      <c r="N58" s="382" t="e">
        <f>#REF!/N$4</f>
        <v>#REF!</v>
      </c>
      <c r="O58" s="382" t="e">
        <f>#REF!/O$4</f>
        <v>#REF!</v>
      </c>
      <c r="P58" s="382" t="e">
        <f>#REF!/P$4</f>
        <v>#REF!</v>
      </c>
      <c r="Q58" s="382" t="e">
        <f>#REF!/Q$4</f>
        <v>#REF!</v>
      </c>
      <c r="R58" s="382" t="e">
        <f>#REF!/R$4</f>
        <v>#REF!</v>
      </c>
      <c r="S58" s="382" t="e">
        <f>#REF!/S$4</f>
        <v>#REF!</v>
      </c>
      <c r="T58" s="382" t="e">
        <f>#REF!/T$4</f>
        <v>#REF!</v>
      </c>
      <c r="U58" s="382" t="e">
        <f>#REF!/U$4</f>
        <v>#REF!</v>
      </c>
      <c r="V58" s="382" t="e">
        <f>#REF!/V$4</f>
        <v>#REF!</v>
      </c>
      <c r="W58" s="382" t="e">
        <f>#REF!/W$4</f>
        <v>#REF!</v>
      </c>
      <c r="X58" s="382" t="e">
        <f>#REF!/X$4</f>
        <v>#REF!</v>
      </c>
      <c r="Y58" s="382" t="e">
        <f>#REF!/Y$4</f>
        <v>#REF!</v>
      </c>
      <c r="Z58" s="382" t="e">
        <f>#REF!/Z$4</f>
        <v>#REF!</v>
      </c>
      <c r="AA58" s="382" t="e">
        <f>#REF!/AA$4</f>
        <v>#REF!</v>
      </c>
      <c r="AB58" s="382" t="e">
        <f>#REF!/AB$4</f>
        <v>#REF!</v>
      </c>
      <c r="AC58" s="382" t="e">
        <f>#REF!/AC$4</f>
        <v>#REF!</v>
      </c>
      <c r="AD58" s="382">
        <f t="shared" ref="AD58:AW58" si="152">(AD54+AD59)/AD$4</f>
        <v>7.6322554994926115E-2</v>
      </c>
      <c r="AE58" s="382">
        <f t="shared" si="152"/>
        <v>-8.9720537074554088E-2</v>
      </c>
      <c r="AF58" s="382">
        <f t="shared" si="152"/>
        <v>-2.1642844374739179E-2</v>
      </c>
      <c r="AG58" s="382">
        <f t="shared" si="152"/>
        <v>-6.2646186871845422E-2</v>
      </c>
      <c r="AH58" s="382">
        <f t="shared" si="152"/>
        <v>-0.11344508121651048</v>
      </c>
      <c r="AI58" s="382">
        <f t="shared" si="152"/>
        <v>-0.34112990634432061</v>
      </c>
      <c r="AJ58" s="382">
        <f t="shared" si="152"/>
        <v>7.4316574185802606E-2</v>
      </c>
      <c r="AK58" s="382">
        <f t="shared" si="152"/>
        <v>-1.4823638151441072E-2</v>
      </c>
      <c r="AL58" s="382">
        <f t="shared" si="152"/>
        <v>5.9848800266297963E-2</v>
      </c>
      <c r="AM58" s="382">
        <f t="shared" si="152"/>
        <v>-1.1614534968062289E-2</v>
      </c>
      <c r="AN58" s="382">
        <f t="shared" si="152"/>
        <v>0.18812294492133608</v>
      </c>
      <c r="AO58" s="382">
        <f t="shared" si="152"/>
        <v>2.7315618146479172E-2</v>
      </c>
      <c r="AP58" s="382">
        <f t="shared" si="152"/>
        <v>-0.17437509041646876</v>
      </c>
      <c r="AQ58" s="382">
        <f t="shared" si="152"/>
        <v>-0.10376482124336804</v>
      </c>
      <c r="AR58" s="382">
        <f t="shared" si="152"/>
        <v>-0.2563824639690897</v>
      </c>
      <c r="AS58" s="382">
        <f t="shared" si="152"/>
        <v>0.10778623794070277</v>
      </c>
      <c r="AT58" s="382">
        <f t="shared" si="152"/>
        <v>-8.2427784782530489E-2</v>
      </c>
      <c r="AU58" s="382">
        <f t="shared" si="152"/>
        <v>-4.7433701263206396E-2</v>
      </c>
      <c r="AV58" s="382">
        <f t="shared" si="152"/>
        <v>-2.9900826504618103E-2</v>
      </c>
      <c r="AW58" s="382">
        <f t="shared" si="152"/>
        <v>6.1168449722643133E-2</v>
      </c>
      <c r="AX58" s="382">
        <f>(AX54+AX59)/AX$4</f>
        <v>3.0771985024210368E-2</v>
      </c>
      <c r="AY58" s="382">
        <f>(AY54+AY59)/AY$4</f>
        <v>6.7670546898963485E-2</v>
      </c>
      <c r="AZ58" s="382">
        <f>(AZ54+AZ59)/AZ$4</f>
        <v>7.817061906132472E-2</v>
      </c>
      <c r="BA58" s="382">
        <f>(BA54+BA59)/BA$4</f>
        <v>5.0273140173690369E-2</v>
      </c>
      <c r="BB58" s="382">
        <f t="shared" ref="BB58:DM58" si="153">(BB54+BB59)/BB$4</f>
        <v>0.16380348360912544</v>
      </c>
      <c r="BC58" s="382">
        <f t="shared" si="153"/>
        <v>-4.1923246946468394E-2</v>
      </c>
      <c r="BD58" s="382">
        <f t="shared" si="153"/>
        <v>-5.8448290626427826E-2</v>
      </c>
      <c r="BE58" s="382">
        <f t="shared" si="153"/>
        <v>9.2645536592791081E-2</v>
      </c>
      <c r="BF58" s="382">
        <f t="shared" si="153"/>
        <v>0.278605616467694</v>
      </c>
      <c r="BG58" s="382">
        <f t="shared" si="153"/>
        <v>-0.27520901750712523</v>
      </c>
      <c r="BH58" s="382">
        <f t="shared" si="153"/>
        <v>0.16293462850826604</v>
      </c>
      <c r="BI58" s="382">
        <f t="shared" si="153"/>
        <v>-5.1323685075480539E-2</v>
      </c>
      <c r="BJ58" s="382">
        <f t="shared" si="153"/>
        <v>8.3626450039182787E-2</v>
      </c>
      <c r="BK58" s="382">
        <f t="shared" si="153"/>
        <v>-4.9818084504844214E-2</v>
      </c>
      <c r="BL58" s="382">
        <f t="shared" si="153"/>
        <v>-0.29079541383572499</v>
      </c>
      <c r="BM58" s="382">
        <f t="shared" si="153"/>
        <v>0.12975580709856885</v>
      </c>
      <c r="BN58" s="382">
        <f t="shared" si="153"/>
        <v>-0.19721596819239329</v>
      </c>
      <c r="BO58" s="382">
        <f t="shared" si="153"/>
        <v>-9.3896234705989776E-2</v>
      </c>
      <c r="BP58" s="382">
        <f t="shared" si="153"/>
        <v>-0.19625095442566154</v>
      </c>
      <c r="BQ58" s="382">
        <f t="shared" si="153"/>
        <v>-2.4238959205939804E-2</v>
      </c>
      <c r="BR58" s="382">
        <f t="shared" si="153"/>
        <v>-1.3289331561637733E-2</v>
      </c>
      <c r="BS58" s="382">
        <f t="shared" si="153"/>
        <v>-0.15663431060284166</v>
      </c>
      <c r="BT58" s="382">
        <f t="shared" si="153"/>
        <v>-0.19957416640055251</v>
      </c>
      <c r="BU58" s="382">
        <f t="shared" si="153"/>
        <v>-0.38381715805488453</v>
      </c>
      <c r="BV58" s="382">
        <f t="shared" si="153"/>
        <v>-0.18905329412411326</v>
      </c>
      <c r="BW58" s="382">
        <f t="shared" si="153"/>
        <v>1.7835086999833702E-2</v>
      </c>
      <c r="BX58" s="382">
        <f t="shared" si="153"/>
        <v>7.7434263506179751E-3</v>
      </c>
      <c r="BY58" s="382">
        <f t="shared" si="153"/>
        <v>5.0917631556215967E-2</v>
      </c>
      <c r="BZ58" s="382">
        <f t="shared" si="153"/>
        <v>0.24548079889341123</v>
      </c>
      <c r="CA58" s="382">
        <f t="shared" si="153"/>
        <v>-1.7649778194492649E-2</v>
      </c>
      <c r="CB58" s="382">
        <f t="shared" si="153"/>
        <v>-0.12064437725454107</v>
      </c>
      <c r="CC58" s="382">
        <f t="shared" si="153"/>
        <v>9.1733663162234594E-2</v>
      </c>
      <c r="CD58" s="382">
        <f t="shared" si="153"/>
        <v>3.6764705882352942E-2</v>
      </c>
      <c r="CE58" s="382">
        <f t="shared" si="153"/>
        <v>-6.0441227638711771E-3</v>
      </c>
      <c r="CF58" s="382">
        <f t="shared" si="153"/>
        <v>-3.5555518076420892E-2</v>
      </c>
      <c r="CG58" s="382">
        <f t="shared" si="153"/>
        <v>-6.8560560904677798E-2</v>
      </c>
      <c r="CH58" s="382">
        <f t="shared" si="153"/>
        <v>9.949892627057981E-2</v>
      </c>
      <c r="CI58" s="382">
        <f t="shared" si="153"/>
        <v>9.5072866065232478E-2</v>
      </c>
      <c r="CJ58" s="382">
        <f t="shared" si="153"/>
        <v>9.3072078376487052E-2</v>
      </c>
      <c r="CK58" s="382">
        <f t="shared" si="153"/>
        <v>7.7481840193704604E-2</v>
      </c>
      <c r="CL58" s="382">
        <f t="shared" si="153"/>
        <v>1.262135922330097E-2</v>
      </c>
      <c r="CM58" s="382">
        <f t="shared" si="153"/>
        <v>-4.4585987261146494E-2</v>
      </c>
      <c r="CN58" s="382">
        <f t="shared" si="153"/>
        <v>-5.1837888784165884E-2</v>
      </c>
      <c r="CO58" s="382">
        <f t="shared" si="153"/>
        <v>-5.2192066805845511E-3</v>
      </c>
      <c r="CP58" s="382">
        <f t="shared" si="153"/>
        <v>-3.4855769230769232E-2</v>
      </c>
      <c r="CQ58" s="382">
        <f t="shared" si="153"/>
        <v>9.7370983446932822E-3</v>
      </c>
      <c r="CR58" s="382">
        <f t="shared" si="153"/>
        <v>6.0443764345830146E-2</v>
      </c>
      <c r="CS58" s="382">
        <f t="shared" si="153"/>
        <v>2.6220614828209764E-2</v>
      </c>
      <c r="CT58" s="382">
        <f t="shared" si="153"/>
        <v>2.8455284552845527E-2</v>
      </c>
      <c r="CU58" s="382">
        <f t="shared" si="153"/>
        <v>6.8739770867430439E-2</v>
      </c>
      <c r="CV58" s="382">
        <f t="shared" si="153"/>
        <v>0.1162507608034084</v>
      </c>
      <c r="CW58" s="382">
        <f t="shared" si="153"/>
        <v>9.5945945945945951E-2</v>
      </c>
      <c r="CX58" s="382">
        <f t="shared" si="153"/>
        <v>0.11900425015179114</v>
      </c>
      <c r="CY58" s="382">
        <f t="shared" si="153"/>
        <v>0.12984054669703873</v>
      </c>
      <c r="CZ58" s="382">
        <f t="shared" si="153"/>
        <v>0.13732607380520268</v>
      </c>
      <c r="DA58" s="382">
        <f t="shared" si="153"/>
        <v>7.5405214940098664E-2</v>
      </c>
      <c r="DB58" s="382">
        <f t="shared" si="153"/>
        <v>5.1100628930817613E-2</v>
      </c>
      <c r="DC58" s="382">
        <f t="shared" si="153"/>
        <v>0.10189418680600915</v>
      </c>
      <c r="DD58" s="382">
        <f t="shared" si="153"/>
        <v>0.16657412548584119</v>
      </c>
      <c r="DE58" s="382">
        <f t="shared" si="153"/>
        <v>0.22049835448989186</v>
      </c>
      <c r="DF58" s="382">
        <f t="shared" si="153"/>
        <v>0.1702127659574468</v>
      </c>
      <c r="DG58" s="382">
        <f t="shared" si="153"/>
        <v>0.15786749482401657</v>
      </c>
      <c r="DH58" s="382">
        <f t="shared" si="153"/>
        <v>0.21670831845769367</v>
      </c>
      <c r="DI58" s="382">
        <f t="shared" si="153"/>
        <v>0.22903822441430333</v>
      </c>
      <c r="DJ58" s="383">
        <f t="shared" si="153"/>
        <v>0.24876632801161103</v>
      </c>
      <c r="DK58" s="383">
        <f t="shared" si="153"/>
        <v>0.26519480519480521</v>
      </c>
      <c r="DL58" s="383">
        <f t="shared" si="153"/>
        <v>0.26709946672849527</v>
      </c>
      <c r="DM58" s="383">
        <f t="shared" si="153"/>
        <v>0.29962702030667221</v>
      </c>
      <c r="DN58" s="383">
        <f t="shared" ref="DN58:EW58" si="154">(DN54+DN59)/DN$4</f>
        <v>0.33412604042806182</v>
      </c>
      <c r="DO58" s="383">
        <f t="shared" si="154"/>
        <v>0.32656488549618323</v>
      </c>
      <c r="DP58" s="383">
        <f t="shared" si="154"/>
        <v>0.25642407906558851</v>
      </c>
      <c r="DQ58" s="383">
        <f t="shared" si="154"/>
        <v>0.25683157706733345</v>
      </c>
      <c r="DR58" s="383">
        <f t="shared" si="154"/>
        <v>0.23482159536708389</v>
      </c>
      <c r="DS58" s="383">
        <f t="shared" si="154"/>
        <v>0.22840082104870313</v>
      </c>
      <c r="DT58" s="383">
        <f t="shared" si="154"/>
        <v>0.24810344827586206</v>
      </c>
      <c r="DU58" s="383">
        <f t="shared" si="154"/>
        <v>0.25551232166018156</v>
      </c>
      <c r="DV58" s="382">
        <f t="shared" si="154"/>
        <v>0.23661611547597297</v>
      </c>
      <c r="DW58" s="382">
        <f t="shared" si="154"/>
        <v>0.24507283633247642</v>
      </c>
      <c r="DX58" s="382">
        <f t="shared" si="154"/>
        <v>0.27658014371608741</v>
      </c>
      <c r="DY58" s="383">
        <f t="shared" si="154"/>
        <v>0.28702010968921388</v>
      </c>
      <c r="DZ58" s="383">
        <f t="shared" si="154"/>
        <v>0.26270502823339609</v>
      </c>
      <c r="EA58" s="383">
        <f t="shared" si="154"/>
        <v>0.1413142485361093</v>
      </c>
      <c r="EB58" s="383">
        <f t="shared" si="154"/>
        <v>0.2628163530175211</v>
      </c>
      <c r="EC58" s="383">
        <f t="shared" si="154"/>
        <v>0.29678675754625122</v>
      </c>
      <c r="ED58" s="383">
        <f t="shared" si="154"/>
        <v>0.26782405149712279</v>
      </c>
      <c r="EE58" s="384">
        <f t="shared" si="154"/>
        <v>0.28406813395912989</v>
      </c>
      <c r="EF58" s="384">
        <f t="shared" si="154"/>
        <v>0.28280741467079351</v>
      </c>
      <c r="EG58" s="384">
        <f t="shared" si="154"/>
        <v>0.31982969090832353</v>
      </c>
      <c r="EH58" s="384">
        <f t="shared" si="154"/>
        <v>0.31869231006882037</v>
      </c>
      <c r="EI58" s="384">
        <f t="shared" si="154"/>
        <v>0.32097193188155115</v>
      </c>
      <c r="EJ58" s="384">
        <f t="shared" si="154"/>
        <v>0.32353944719825867</v>
      </c>
      <c r="EK58" s="384">
        <f t="shared" si="154"/>
        <v>0.32062034434487818</v>
      </c>
      <c r="EL58" s="384">
        <f t="shared" si="154"/>
        <v>0.32331101629130171</v>
      </c>
      <c r="EM58" s="384">
        <f t="shared" si="154"/>
        <v>0.333130913226519</v>
      </c>
      <c r="EN58" s="384">
        <f t="shared" si="154"/>
        <v>0.34965743201208227</v>
      </c>
      <c r="EO58" s="384">
        <f t="shared" si="154"/>
        <v>0.35981729863135475</v>
      </c>
      <c r="EP58" s="384">
        <f t="shared" si="154"/>
        <v>0.34762615052280921</v>
      </c>
      <c r="EQ58" s="384">
        <f t="shared" si="154"/>
        <v>0.34945472005209616</v>
      </c>
      <c r="ER58" s="384">
        <f t="shared" si="154"/>
        <v>0.35911863231671626</v>
      </c>
      <c r="ES58" s="384">
        <f t="shared" si="154"/>
        <v>0.35871694315901548</v>
      </c>
      <c r="ET58" s="384">
        <f t="shared" si="154"/>
        <v>0.35000232470199</v>
      </c>
      <c r="EU58" s="384">
        <f t="shared" si="154"/>
        <v>0.35390743089520388</v>
      </c>
      <c r="EV58" s="384">
        <f t="shared" si="154"/>
        <v>0.3685659579087936</v>
      </c>
      <c r="EW58" s="384">
        <f t="shared" si="154"/>
        <v>0.37525206245350046</v>
      </c>
      <c r="EX58" s="384"/>
      <c r="EZ58" s="382" t="e">
        <f>#REF!/EZ$4</f>
        <v>#REF!</v>
      </c>
      <c r="FA58" s="382" t="e">
        <f>#REF!/FA$4</f>
        <v>#REF!</v>
      </c>
      <c r="FB58" s="382" t="e">
        <f>#REF!/FB$4</f>
        <v>#REF!</v>
      </c>
      <c r="FC58" s="382" t="e">
        <f>#REF!/FC$4</f>
        <v>#REF!</v>
      </c>
      <c r="FD58" s="382" t="e">
        <f>#REF!/FD$4</f>
        <v>#REF!</v>
      </c>
      <c r="FE58" s="382" t="e">
        <f>#REF!/FE$4</f>
        <v>#REF!</v>
      </c>
      <c r="FF58" s="382" t="e">
        <f>#REF!/FF$4</f>
        <v>#REF!</v>
      </c>
      <c r="FG58" s="382" t="e">
        <f>#REF!/FG$4</f>
        <v>#REF!</v>
      </c>
      <c r="FH58" s="382" t="e">
        <f>#REF!/FH$4</f>
        <v>#REF!</v>
      </c>
      <c r="FI58" s="382" t="e">
        <f>#REF!/FI$4</f>
        <v>#REF!</v>
      </c>
      <c r="FJ58" s="382" t="e">
        <f>#REF!/FJ$4</f>
        <v>#REF!</v>
      </c>
      <c r="FK58" s="382" t="e">
        <f>#REF!/FK$4</f>
        <v>#REF!</v>
      </c>
      <c r="FL58" s="382" t="e">
        <f>#REF!/FL$4</f>
        <v>#REF!</v>
      </c>
      <c r="FM58" s="382" t="e">
        <f>#REF!/FM$4</f>
        <v>#REF!</v>
      </c>
      <c r="FN58" s="382" t="e">
        <f>#REF!/FN$4</f>
        <v>#REF!</v>
      </c>
      <c r="FO58" s="382" t="e">
        <f>#REF!/FO$4</f>
        <v>#REF!</v>
      </c>
      <c r="FP58" s="382" t="e">
        <f>#REF!/FP$4</f>
        <v>#REF!</v>
      </c>
      <c r="FQ58" s="382" t="e">
        <f>#REF!/FQ$4</f>
        <v>#REF!</v>
      </c>
      <c r="FR58" s="382" t="e">
        <f>#REF!/FR$4</f>
        <v>#REF!</v>
      </c>
      <c r="FS58" s="382" t="e">
        <f>#REF!/FS$4</f>
        <v>#REF!</v>
      </c>
      <c r="FT58" s="382" t="e">
        <f>#REF!/FT$4</f>
        <v>#REF!</v>
      </c>
      <c r="FU58" s="382" t="e">
        <f>#REF!/FU$4</f>
        <v>#REF!</v>
      </c>
      <c r="FV58" s="382" t="e">
        <f>#REF!/FV$4</f>
        <v>#REF!</v>
      </c>
      <c r="FW58" s="382" t="e">
        <f>#REF!/FW$4</f>
        <v>#REF!</v>
      </c>
      <c r="FX58" s="382" t="e">
        <f>#REF!/FX$4</f>
        <v>#REF!</v>
      </c>
      <c r="FY58" s="382" t="e">
        <f>#REF!/FY$4</f>
        <v>#REF!</v>
      </c>
      <c r="FZ58" s="382">
        <f t="shared" ref="FZ58:GE58" si="155">(FZ54+FZ59)/FZ$4</f>
        <v>0.14708067151983362</v>
      </c>
      <c r="GA58" s="382">
        <f t="shared" si="155"/>
        <v>0.20065553620813276</v>
      </c>
      <c r="GB58" s="382">
        <f t="shared" si="155"/>
        <v>0.27236217597663381</v>
      </c>
      <c r="GC58" s="382">
        <f t="shared" si="155"/>
        <v>0.29536884030337696</v>
      </c>
      <c r="GD58" s="382">
        <f t="shared" si="155"/>
        <v>0.24232804232804234</v>
      </c>
      <c r="GE58" s="382">
        <f t="shared" si="155"/>
        <v>0.26406825673841383</v>
      </c>
      <c r="GF58" s="382">
        <f>(GF54+GF59)/GF$4</f>
        <v>0.24590779179537514</v>
      </c>
      <c r="GG58" s="384">
        <f>(GG54+GG59)/GG$4</f>
        <v>0.29206972695506961</v>
      </c>
      <c r="GH58" s="384">
        <f>(GH54+GH59)/GH$4</f>
        <v>0.32107359794140061</v>
      </c>
      <c r="GI58" s="384">
        <f t="shared" ref="GI58:GK58" si="156">(GI54+GI59)/GI$4</f>
        <v>0.34246455820018612</v>
      </c>
      <c r="GJ58" s="384">
        <f t="shared" si="156"/>
        <v>0.35404424908343884</v>
      </c>
      <c r="GK58" s="384">
        <f t="shared" si="156"/>
        <v>0.36267611023793528</v>
      </c>
      <c r="GN58" s="70"/>
    </row>
    <row r="59" spans="1:196" s="379" customFormat="1">
      <c r="A59" s="376" t="s">
        <v>210</v>
      </c>
      <c r="B59" s="377"/>
      <c r="C59" s="377"/>
      <c r="D59" s="377"/>
      <c r="E59" s="377"/>
      <c r="F59" s="377"/>
      <c r="G59" s="37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7"/>
      <c r="AD59" s="377"/>
      <c r="AE59" s="377"/>
      <c r="AF59" s="377"/>
      <c r="AG59" s="377"/>
      <c r="AH59" s="377"/>
      <c r="AI59" s="377"/>
      <c r="AJ59" s="377"/>
      <c r="AK59" s="377"/>
      <c r="AL59" s="377"/>
      <c r="AM59" s="377"/>
      <c r="AN59" s="377"/>
      <c r="AO59" s="377"/>
      <c r="AP59" s="377"/>
      <c r="AQ59" s="377"/>
      <c r="AR59" s="377"/>
      <c r="AS59" s="377"/>
      <c r="AT59" s="377"/>
      <c r="AU59" s="377"/>
      <c r="AV59" s="377"/>
      <c r="AW59" s="377"/>
      <c r="AX59" s="377">
        <f>AMD!CN54</f>
        <v>26.056999999999999</v>
      </c>
      <c r="AY59" s="377">
        <f>AMD!CO54</f>
        <v>72.006999999999991</v>
      </c>
      <c r="AZ59" s="377">
        <f>AMD!CP54</f>
        <v>8.4969999999999999</v>
      </c>
      <c r="BA59" s="377">
        <f>AMD!CQ54</f>
        <v>8.4969999999999999</v>
      </c>
      <c r="BB59" s="377">
        <f>AMD!CS54</f>
        <v>18</v>
      </c>
      <c r="BC59" s="377">
        <f>AMD!CT54</f>
        <v>20</v>
      </c>
      <c r="BD59" s="377">
        <f>AMD!CU54</f>
        <v>16.5</v>
      </c>
      <c r="BE59" s="377">
        <f>AMD!CV54</f>
        <v>27</v>
      </c>
      <c r="BF59" s="377">
        <f>AMD!CX54</f>
        <v>37.837837837837839</v>
      </c>
      <c r="BG59" s="377">
        <f>AMD!CY54</f>
        <v>31.000000000000004</v>
      </c>
      <c r="BH59" s="377">
        <f>AMD!CZ54</f>
        <v>27</v>
      </c>
      <c r="BI59" s="377">
        <f>AMD!DA54</f>
        <v>17.162162162162165</v>
      </c>
      <c r="BJ59" s="377">
        <f>AMD!DC54</f>
        <v>21</v>
      </c>
      <c r="BK59" s="377">
        <f>AMD!DD54</f>
        <v>21</v>
      </c>
      <c r="BL59" s="377">
        <f>AMD!DE54</f>
        <v>21</v>
      </c>
      <c r="BM59" s="377">
        <f>AMD!DF54</f>
        <v>21</v>
      </c>
      <c r="BN59" s="377">
        <f>AMD!DH54</f>
        <v>21</v>
      </c>
      <c r="BO59" s="377">
        <f>AMD!DI54</f>
        <v>18</v>
      </c>
      <c r="BP59" s="377">
        <f>AMD!DJ54</f>
        <v>19</v>
      </c>
      <c r="BQ59" s="377">
        <f>AMD!DK54</f>
        <v>18</v>
      </c>
      <c r="BR59" s="377">
        <f>AMD!DM54</f>
        <v>20</v>
      </c>
      <c r="BS59" s="377">
        <f>AMD!DN54</f>
        <v>20</v>
      </c>
      <c r="BT59" s="377">
        <f>AMD!DO54</f>
        <v>22</v>
      </c>
      <c r="BU59" s="377">
        <f>AMD!DP54</f>
        <v>22</v>
      </c>
      <c r="BV59" s="377">
        <f>AMD!DR54</f>
        <v>21</v>
      </c>
      <c r="BW59" s="377">
        <f>AMD!DS54</f>
        <v>20</v>
      </c>
      <c r="BX59" s="377">
        <f>AMD!DT54</f>
        <v>22</v>
      </c>
      <c r="BY59" s="377">
        <f>AMD!DU54</f>
        <v>21</v>
      </c>
      <c r="BZ59" s="377">
        <f>AMD!DW54</f>
        <v>21</v>
      </c>
      <c r="CA59" s="377">
        <f>AMD!DX54</f>
        <v>26</v>
      </c>
      <c r="CB59" s="377">
        <f>AMD!DY54</f>
        <v>27</v>
      </c>
      <c r="CC59" s="377">
        <f>AMD!DZ54</f>
        <v>23</v>
      </c>
      <c r="CD59" s="377">
        <f>AMD!EB54</f>
        <v>24</v>
      </c>
      <c r="CE59" s="377">
        <f>AMD!EC54</f>
        <v>20</v>
      </c>
      <c r="CF59" s="377">
        <f>AMD!ED54</f>
        <v>23</v>
      </c>
      <c r="CG59" s="377">
        <f>AMD!EE54</f>
        <v>24</v>
      </c>
      <c r="CH59" s="377">
        <f>AMD!EG54</f>
        <v>23</v>
      </c>
      <c r="CI59" s="377">
        <f>AMD!EH54</f>
        <v>21</v>
      </c>
      <c r="CJ59" s="377">
        <f>AMD!EI54</f>
        <v>21</v>
      </c>
      <c r="CK59" s="377">
        <f>AMD!EJ54</f>
        <v>16</v>
      </c>
      <c r="CL59" s="377">
        <f>AMD!EL54</f>
        <v>17</v>
      </c>
      <c r="CM59" s="377">
        <f>AMD!EM54</f>
        <v>17</v>
      </c>
      <c r="CN59" s="377">
        <f>AMD!EN54</f>
        <v>13</v>
      </c>
      <c r="CO59" s="377">
        <f>AMD!EO54</f>
        <v>16</v>
      </c>
      <c r="CP59" s="377">
        <f>AMD!EQ54</f>
        <v>16</v>
      </c>
      <c r="CQ59" s="377">
        <f>AMD!ER54</f>
        <v>18</v>
      </c>
      <c r="CR59" s="377">
        <f>AMD!ES54</f>
        <v>23</v>
      </c>
      <c r="CS59" s="377">
        <f>AMD!ET54</f>
        <v>29</v>
      </c>
      <c r="CT59" s="376">
        <f>AMD!EV54</f>
        <v>23</v>
      </c>
      <c r="CU59" s="376">
        <f>AMD!EW54</f>
        <v>24</v>
      </c>
      <c r="CV59" s="376">
        <f>AMD!EX54</f>
        <v>29</v>
      </c>
      <c r="CW59" s="376">
        <f>AMD!EY54</f>
        <v>21</v>
      </c>
      <c r="CX59" s="376">
        <f>AMD!FA54</f>
        <v>32</v>
      </c>
      <c r="CY59" s="376">
        <f>AMD!FB54</f>
        <v>33</v>
      </c>
      <c r="CZ59" s="376">
        <f>AMD!FC54</f>
        <v>36</v>
      </c>
      <c r="DA59" s="376">
        <f>AMD!FD54</f>
        <v>36</v>
      </c>
      <c r="DB59" s="376">
        <f>AMD!FF54</f>
        <v>41</v>
      </c>
      <c r="DC59" s="376">
        <f>AMD!FG54</f>
        <v>45</v>
      </c>
      <c r="DD59" s="376">
        <f>AMD!FH54</f>
        <v>54</v>
      </c>
      <c r="DE59" s="376">
        <f>AMD!FI54</f>
        <v>57</v>
      </c>
      <c r="DF59" s="376">
        <f>AMD!FK54</f>
        <v>59</v>
      </c>
      <c r="DG59" s="376">
        <f>AMD!FL54</f>
        <v>60</v>
      </c>
      <c r="DH59" s="376">
        <f>AMD!FM54</f>
        <v>76</v>
      </c>
      <c r="DI59" s="376">
        <f>AMD!FN54</f>
        <v>79</v>
      </c>
      <c r="DJ59" s="397">
        <f>AMD!FP54</f>
        <v>85</v>
      </c>
      <c r="DK59" s="397">
        <f>AMD!FQ54</f>
        <v>83</v>
      </c>
      <c r="DL59" s="397">
        <f>AMD!FR54</f>
        <v>99</v>
      </c>
      <c r="DM59" s="397">
        <f>AMD!FS54</f>
        <v>112</v>
      </c>
      <c r="DN59" s="397">
        <f>AMD!FU54</f>
        <v>174</v>
      </c>
      <c r="DO59" s="397">
        <f>AMD!FV54</f>
        <v>259</v>
      </c>
      <c r="DP59" s="397">
        <f>AMD!FW54</f>
        <v>269</v>
      </c>
      <c r="DQ59" s="397">
        <f>AMD!FX54</f>
        <v>310</v>
      </c>
      <c r="DR59" s="397">
        <f>AMD!FZ54</f>
        <v>305</v>
      </c>
      <c r="DS59" s="397">
        <f>AMD!GA54</f>
        <v>348</v>
      </c>
      <c r="DT59" s="397">
        <f>AMD!GB54</f>
        <v>353</v>
      </c>
      <c r="DU59" s="397">
        <f>AMD!GC54</f>
        <v>374</v>
      </c>
      <c r="DV59" s="376">
        <f>AMD!GE54</f>
        <v>371</v>
      </c>
      <c r="DW59" s="376">
        <f>AMD!GF54</f>
        <v>346</v>
      </c>
      <c r="DX59" s="376">
        <f>AMD!GG54</f>
        <v>351</v>
      </c>
      <c r="DY59" s="376">
        <f>AMD!GH54</f>
        <v>339</v>
      </c>
      <c r="DZ59" s="376">
        <f>AMD!GJ54</f>
        <v>364</v>
      </c>
      <c r="EA59" s="376">
        <f>AMD!GK54</f>
        <v>369</v>
      </c>
      <c r="EB59" s="376">
        <f>AMD!GL54</f>
        <v>419</v>
      </c>
      <c r="EC59" s="376">
        <f>AMD!GM54</f>
        <v>486</v>
      </c>
      <c r="ED59" s="376">
        <f>AMD!GO54</f>
        <v>487</v>
      </c>
      <c r="EE59" s="380">
        <f>AMD!GP54</f>
        <v>496.74</v>
      </c>
      <c r="EF59" s="380">
        <f>AMD!GQ54</f>
        <v>506.6748</v>
      </c>
      <c r="EG59" s="380">
        <f>AMD!GR54</f>
        <v>516.80829600000004</v>
      </c>
      <c r="EH59" s="380">
        <f>AMD!GT54</f>
        <v>516.80829600000004</v>
      </c>
      <c r="EI59" s="380">
        <f>AMD!GU54</f>
        <v>527.14446192000003</v>
      </c>
      <c r="EJ59" s="380">
        <f>AMD!GV54</f>
        <v>537.68735115840002</v>
      </c>
      <c r="EK59" s="380">
        <f>AMD!GW54</f>
        <v>548.44109818156801</v>
      </c>
      <c r="EL59" s="380">
        <f>AMD!GY54</f>
        <v>548.44109818156801</v>
      </c>
      <c r="EM59" s="380">
        <f>AMD!GZ54</f>
        <v>559.40992014519941</v>
      </c>
      <c r="EN59" s="380">
        <f>AMD!HA54</f>
        <v>570.59811854810346</v>
      </c>
      <c r="EO59" s="380">
        <f>AMD!HB54</f>
        <v>582.01008091906556</v>
      </c>
      <c r="EP59" s="380">
        <f>AMD!HD54</f>
        <v>582.01008091906556</v>
      </c>
      <c r="EQ59" s="380">
        <f>AMD!HE54</f>
        <v>593.65028253744686</v>
      </c>
      <c r="ER59" s="380">
        <f>AMD!HF54</f>
        <v>605.52328818819581</v>
      </c>
      <c r="ES59" s="380">
        <f>AMD!HG54</f>
        <v>617.63375395195976</v>
      </c>
      <c r="ET59" s="380">
        <f>AMD!HI54</f>
        <v>617.63375395195976</v>
      </c>
      <c r="EU59" s="380">
        <f>AMD!HJ54</f>
        <v>629.98642903099892</v>
      </c>
      <c r="EV59" s="380">
        <f>AMD!HK54</f>
        <v>642.58615761161889</v>
      </c>
      <c r="EW59" s="380">
        <f>AMD!HL54</f>
        <v>655.43788076385124</v>
      </c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>
        <f>AX59+AY59+AZ59+BA59</f>
        <v>115.05799999999999</v>
      </c>
      <c r="FM59" s="376">
        <f>BB59+BC59+BD59+BE59</f>
        <v>81.5</v>
      </c>
      <c r="FN59" s="376">
        <f>BF59+BG59+BH59+BI59</f>
        <v>113</v>
      </c>
      <c r="FO59" s="376">
        <f>BJ59+BK59+BL59+BM59</f>
        <v>84</v>
      </c>
      <c r="FP59" s="376">
        <f>BN59+BO59+BP59+BQ59</f>
        <v>76</v>
      </c>
      <c r="FQ59" s="376">
        <f>BR59+BS59+BT59+BU59</f>
        <v>84</v>
      </c>
      <c r="FR59" s="376">
        <f>BV59+BW59+BX59+BY59</f>
        <v>84</v>
      </c>
      <c r="FS59" s="376">
        <f>BZ59+CA59+CB59+CC59</f>
        <v>97</v>
      </c>
      <c r="FT59" s="376">
        <f>CD59+CE59+CF59+CG59</f>
        <v>91</v>
      </c>
      <c r="FU59" s="376">
        <f>CH59+CI59+CJ59+CK59</f>
        <v>81</v>
      </c>
      <c r="FV59" s="376">
        <f>CL59+CM59+CN59+CO59</f>
        <v>63</v>
      </c>
      <c r="FW59" s="376">
        <f>CP59+CQ59+CR59+CS59</f>
        <v>86</v>
      </c>
      <c r="FX59" s="376">
        <f>CT59+CU59+CV59+CW59</f>
        <v>97</v>
      </c>
      <c r="FY59" s="376">
        <f>CX59+CY59+CZ59+DA59</f>
        <v>137</v>
      </c>
      <c r="FZ59" s="376">
        <f>DB59+DC59+DD59+DE59</f>
        <v>197</v>
      </c>
      <c r="GA59" s="376">
        <f>SUM(DF59:DI59)</f>
        <v>274</v>
      </c>
      <c r="GB59" s="376">
        <f>SUM(DJ59:DM59)</f>
        <v>379</v>
      </c>
      <c r="GC59" s="376">
        <f>SUM(DN59:DQ59)</f>
        <v>1012</v>
      </c>
      <c r="GD59" s="376">
        <f>SUM(DR59:DU59)</f>
        <v>1380</v>
      </c>
      <c r="GE59" s="376">
        <f>SUM(DV59:DY59)</f>
        <v>1407</v>
      </c>
      <c r="GF59" s="376">
        <f>SUM(DZ59:EC59)</f>
        <v>1638</v>
      </c>
      <c r="GG59" s="380">
        <f>SUM(ED59:EG59)</f>
        <v>2007.2230960000002</v>
      </c>
      <c r="GH59" s="380">
        <f>SUM(EH59:EK59)</f>
        <v>2130.0812072599683</v>
      </c>
      <c r="GI59" s="380">
        <f>SUM(EL59:EO59)</f>
        <v>2260.4592177939367</v>
      </c>
      <c r="GJ59" s="380">
        <f>SUM(EP59:ES59)</f>
        <v>2398.8174055966683</v>
      </c>
      <c r="GK59" s="380">
        <f>SUM(ET59:EW59)</f>
        <v>2545.6442213584291</v>
      </c>
      <c r="GN59" s="70"/>
    </row>
    <row r="60" spans="1:196" s="382" customFormat="1">
      <c r="A60" s="381" t="s">
        <v>198</v>
      </c>
      <c r="AY60" s="382">
        <f t="shared" ref="AY60:DJ60" si="157">AY59/AX59-1</f>
        <v>1.7634416855355566</v>
      </c>
      <c r="AZ60" s="382">
        <f t="shared" si="157"/>
        <v>-0.88199758356826419</v>
      </c>
      <c r="BA60" s="382">
        <f t="shared" si="157"/>
        <v>0</v>
      </c>
      <c r="BB60" s="382">
        <f t="shared" si="157"/>
        <v>1.1183947275509003</v>
      </c>
      <c r="BC60" s="382">
        <f t="shared" si="157"/>
        <v>0.11111111111111116</v>
      </c>
      <c r="BD60" s="382">
        <f t="shared" si="157"/>
        <v>-0.17500000000000004</v>
      </c>
      <c r="BE60" s="382">
        <f t="shared" si="157"/>
        <v>0.63636363636363646</v>
      </c>
      <c r="BF60" s="382">
        <f t="shared" si="157"/>
        <v>0.40140140140140135</v>
      </c>
      <c r="BG60" s="382">
        <f t="shared" si="157"/>
        <v>-0.18071428571428561</v>
      </c>
      <c r="BH60" s="382">
        <f t="shared" si="157"/>
        <v>-0.12903225806451624</v>
      </c>
      <c r="BI60" s="382">
        <f t="shared" si="157"/>
        <v>-0.36436436436436426</v>
      </c>
      <c r="BJ60" s="382">
        <f t="shared" si="157"/>
        <v>0.22362204724409418</v>
      </c>
      <c r="BK60" s="382">
        <f t="shared" si="157"/>
        <v>0</v>
      </c>
      <c r="BL60" s="382">
        <f t="shared" si="157"/>
        <v>0</v>
      </c>
      <c r="BM60" s="382">
        <f t="shared" si="157"/>
        <v>0</v>
      </c>
      <c r="BN60" s="382">
        <f t="shared" si="157"/>
        <v>0</v>
      </c>
      <c r="BO60" s="382">
        <f t="shared" si="157"/>
        <v>-0.1428571428571429</v>
      </c>
      <c r="BP60" s="382">
        <f t="shared" si="157"/>
        <v>5.555555555555558E-2</v>
      </c>
      <c r="BQ60" s="382">
        <f t="shared" si="157"/>
        <v>-5.2631578947368474E-2</v>
      </c>
      <c r="BR60" s="382">
        <f t="shared" si="157"/>
        <v>0.11111111111111116</v>
      </c>
      <c r="BS60" s="382">
        <f t="shared" si="157"/>
        <v>0</v>
      </c>
      <c r="BT60" s="382">
        <f t="shared" si="157"/>
        <v>0.10000000000000009</v>
      </c>
      <c r="BU60" s="382">
        <f t="shared" si="157"/>
        <v>0</v>
      </c>
      <c r="BV60" s="382">
        <f t="shared" si="157"/>
        <v>-4.5454545454545414E-2</v>
      </c>
      <c r="BW60" s="382">
        <f t="shared" si="157"/>
        <v>-4.7619047619047672E-2</v>
      </c>
      <c r="BX60" s="382">
        <f t="shared" si="157"/>
        <v>0.10000000000000009</v>
      </c>
      <c r="BY60" s="382">
        <f t="shared" si="157"/>
        <v>-4.5454545454545414E-2</v>
      </c>
      <c r="BZ60" s="382">
        <f t="shared" si="157"/>
        <v>0</v>
      </c>
      <c r="CA60" s="382">
        <f t="shared" si="157"/>
        <v>0.23809523809523814</v>
      </c>
      <c r="CB60" s="382">
        <f t="shared" si="157"/>
        <v>3.8461538461538547E-2</v>
      </c>
      <c r="CC60" s="382">
        <f t="shared" si="157"/>
        <v>-0.14814814814814814</v>
      </c>
      <c r="CD60" s="382">
        <f t="shared" si="157"/>
        <v>4.3478260869565188E-2</v>
      </c>
      <c r="CE60" s="382">
        <f t="shared" si="157"/>
        <v>-0.16666666666666663</v>
      </c>
      <c r="CF60" s="382">
        <f t="shared" si="157"/>
        <v>0.14999999999999991</v>
      </c>
      <c r="CG60" s="382">
        <f t="shared" si="157"/>
        <v>4.3478260869565188E-2</v>
      </c>
      <c r="CH60" s="382">
        <f t="shared" si="157"/>
        <v>-4.166666666666663E-2</v>
      </c>
      <c r="CI60" s="382">
        <f t="shared" si="157"/>
        <v>-8.6956521739130488E-2</v>
      </c>
      <c r="CJ60" s="382">
        <f t="shared" si="157"/>
        <v>0</v>
      </c>
      <c r="CK60" s="382">
        <f t="shared" si="157"/>
        <v>-0.23809523809523814</v>
      </c>
      <c r="CL60" s="382">
        <f t="shared" si="157"/>
        <v>6.25E-2</v>
      </c>
      <c r="CM60" s="382">
        <f t="shared" si="157"/>
        <v>0</v>
      </c>
      <c r="CN60" s="382">
        <f t="shared" si="157"/>
        <v>-0.23529411764705888</v>
      </c>
      <c r="CO60" s="382">
        <f t="shared" si="157"/>
        <v>0.23076923076923084</v>
      </c>
      <c r="CP60" s="382">
        <f t="shared" si="157"/>
        <v>0</v>
      </c>
      <c r="CQ60" s="382">
        <f t="shared" si="157"/>
        <v>0.125</v>
      </c>
      <c r="CR60" s="382">
        <f t="shared" si="157"/>
        <v>0.27777777777777768</v>
      </c>
      <c r="CS60" s="382">
        <f t="shared" si="157"/>
        <v>0.26086956521739135</v>
      </c>
      <c r="CT60" s="382">
        <f t="shared" si="157"/>
        <v>-0.2068965517241379</v>
      </c>
      <c r="CU60" s="382">
        <f t="shared" si="157"/>
        <v>4.3478260869565188E-2</v>
      </c>
      <c r="CV60" s="382">
        <f t="shared" si="157"/>
        <v>0.20833333333333326</v>
      </c>
      <c r="CW60" s="382">
        <f t="shared" si="157"/>
        <v>-0.27586206896551724</v>
      </c>
      <c r="CX60" s="382">
        <f t="shared" si="157"/>
        <v>0.52380952380952372</v>
      </c>
      <c r="CY60" s="382">
        <f t="shared" si="157"/>
        <v>3.125E-2</v>
      </c>
      <c r="CZ60" s="382">
        <f t="shared" si="157"/>
        <v>9.0909090909090828E-2</v>
      </c>
      <c r="DA60" s="382">
        <f t="shared" si="157"/>
        <v>0</v>
      </c>
      <c r="DB60" s="382">
        <f t="shared" si="157"/>
        <v>0.13888888888888884</v>
      </c>
      <c r="DC60" s="382">
        <f t="shared" si="157"/>
        <v>9.7560975609756184E-2</v>
      </c>
      <c r="DD60" s="382">
        <f t="shared" si="157"/>
        <v>0.19999999999999996</v>
      </c>
      <c r="DE60" s="382">
        <f t="shared" si="157"/>
        <v>5.555555555555558E-2</v>
      </c>
      <c r="DF60" s="382">
        <f t="shared" si="157"/>
        <v>3.5087719298245723E-2</v>
      </c>
      <c r="DG60" s="382">
        <f t="shared" si="157"/>
        <v>1.6949152542372836E-2</v>
      </c>
      <c r="DH60" s="382">
        <f t="shared" si="157"/>
        <v>0.26666666666666661</v>
      </c>
      <c r="DI60" s="382">
        <f t="shared" si="157"/>
        <v>3.9473684210526327E-2</v>
      </c>
      <c r="DJ60" s="383">
        <f t="shared" si="157"/>
        <v>7.5949367088607556E-2</v>
      </c>
      <c r="DK60" s="383">
        <f t="shared" ref="DK60:EW60" si="158">DK59/DJ59-1</f>
        <v>-2.352941176470591E-2</v>
      </c>
      <c r="DL60" s="383">
        <f t="shared" si="158"/>
        <v>0.19277108433734935</v>
      </c>
      <c r="DM60" s="383">
        <f t="shared" si="158"/>
        <v>0.13131313131313127</v>
      </c>
      <c r="DN60" s="383">
        <f t="shared" si="158"/>
        <v>0.5535714285714286</v>
      </c>
      <c r="DO60" s="383">
        <f t="shared" si="158"/>
        <v>0.48850574712643668</v>
      </c>
      <c r="DP60" s="383">
        <f t="shared" si="158"/>
        <v>3.8610038610038533E-2</v>
      </c>
      <c r="DQ60" s="383">
        <f t="shared" si="158"/>
        <v>0.15241635687732336</v>
      </c>
      <c r="DR60" s="383">
        <f t="shared" si="158"/>
        <v>-1.6129032258064502E-2</v>
      </c>
      <c r="DS60" s="383">
        <f t="shared" si="158"/>
        <v>0.14098360655737707</v>
      </c>
      <c r="DT60" s="383">
        <f t="shared" si="158"/>
        <v>1.4367816091954033E-2</v>
      </c>
      <c r="DU60" s="383">
        <f t="shared" si="158"/>
        <v>5.9490084985835745E-2</v>
      </c>
      <c r="DV60" s="382">
        <f t="shared" si="158"/>
        <v>-8.0213903743315829E-3</v>
      </c>
      <c r="DW60" s="382">
        <f t="shared" si="158"/>
        <v>-6.7385444743935263E-2</v>
      </c>
      <c r="DX60" s="382">
        <f t="shared" si="158"/>
        <v>1.4450867052023142E-2</v>
      </c>
      <c r="DY60" s="383">
        <f t="shared" si="158"/>
        <v>-3.4188034188034178E-2</v>
      </c>
      <c r="DZ60" s="383">
        <f t="shared" si="158"/>
        <v>7.3746312684365822E-2</v>
      </c>
      <c r="EA60" s="383">
        <f t="shared" si="158"/>
        <v>1.3736263736263687E-2</v>
      </c>
      <c r="EB60" s="383">
        <f t="shared" si="158"/>
        <v>0.13550135501355021</v>
      </c>
      <c r="EC60" s="383">
        <f t="shared" si="158"/>
        <v>0.15990453460620535</v>
      </c>
      <c r="ED60" s="383">
        <f t="shared" si="158"/>
        <v>2.057613168724215E-3</v>
      </c>
      <c r="EE60" s="384">
        <f t="shared" si="158"/>
        <v>2.0000000000000018E-2</v>
      </c>
      <c r="EF60" s="384">
        <f t="shared" si="158"/>
        <v>2.0000000000000018E-2</v>
      </c>
      <c r="EG60" s="384">
        <f t="shared" si="158"/>
        <v>2.0000000000000018E-2</v>
      </c>
      <c r="EH60" s="384">
        <f t="shared" si="158"/>
        <v>0</v>
      </c>
      <c r="EI60" s="384">
        <f t="shared" si="158"/>
        <v>2.0000000000000018E-2</v>
      </c>
      <c r="EJ60" s="384">
        <f t="shared" si="158"/>
        <v>2.0000000000000018E-2</v>
      </c>
      <c r="EK60" s="384">
        <f t="shared" si="158"/>
        <v>2.0000000000000018E-2</v>
      </c>
      <c r="EL60" s="384">
        <f t="shared" si="158"/>
        <v>0</v>
      </c>
      <c r="EM60" s="384">
        <f t="shared" si="158"/>
        <v>2.0000000000000018E-2</v>
      </c>
      <c r="EN60" s="384">
        <f t="shared" si="158"/>
        <v>2.0000000000000018E-2</v>
      </c>
      <c r="EO60" s="384">
        <f t="shared" si="158"/>
        <v>2.0000000000000018E-2</v>
      </c>
      <c r="EP60" s="384">
        <f t="shared" si="158"/>
        <v>0</v>
      </c>
      <c r="EQ60" s="384">
        <f t="shared" si="158"/>
        <v>2.0000000000000018E-2</v>
      </c>
      <c r="ER60" s="384">
        <f t="shared" si="158"/>
        <v>2.0000000000000018E-2</v>
      </c>
      <c r="ES60" s="384">
        <f t="shared" si="158"/>
        <v>2.0000000000000018E-2</v>
      </c>
      <c r="ET60" s="384">
        <f t="shared" si="158"/>
        <v>0</v>
      </c>
      <c r="EU60" s="384">
        <f t="shared" si="158"/>
        <v>2.0000000000000018E-2</v>
      </c>
      <c r="EV60" s="384">
        <f t="shared" si="158"/>
        <v>2.0000000000000018E-2</v>
      </c>
      <c r="EW60" s="384">
        <f t="shared" si="158"/>
        <v>2.0000000000000018E-2</v>
      </c>
      <c r="FZ60" s="386" t="s">
        <v>199</v>
      </c>
      <c r="GA60" s="386" t="s">
        <v>199</v>
      </c>
      <c r="GB60" s="386" t="s">
        <v>199</v>
      </c>
      <c r="GC60" s="386" t="s">
        <v>199</v>
      </c>
      <c r="GD60" s="386" t="s">
        <v>199</v>
      </c>
      <c r="GE60" s="386" t="s">
        <v>199</v>
      </c>
      <c r="GF60" s="386" t="s">
        <v>199</v>
      </c>
      <c r="GG60" s="386" t="s">
        <v>199</v>
      </c>
      <c r="GH60" s="386" t="s">
        <v>199</v>
      </c>
      <c r="GI60" s="386" t="s">
        <v>199</v>
      </c>
      <c r="GJ60" s="386" t="s">
        <v>199</v>
      </c>
      <c r="GK60" s="386" t="s">
        <v>199</v>
      </c>
      <c r="GN60" s="70"/>
    </row>
    <row r="61" spans="1:196" s="382" customFormat="1">
      <c r="A61" s="381" t="s">
        <v>200</v>
      </c>
      <c r="BB61" s="382">
        <f t="shared" ref="BB61:DM61" si="159">BB59/AX59-1</f>
        <v>-0.30920673907203433</v>
      </c>
      <c r="BC61" s="382">
        <f t="shared" si="159"/>
        <v>-0.72224922576971684</v>
      </c>
      <c r="BD61" s="382">
        <f t="shared" si="159"/>
        <v>0.94186183358832531</v>
      </c>
      <c r="BE61" s="382">
        <f t="shared" si="159"/>
        <v>2.1775920913263507</v>
      </c>
      <c r="BF61" s="382">
        <f t="shared" si="159"/>
        <v>1.1021021021021022</v>
      </c>
      <c r="BG61" s="382">
        <f t="shared" si="159"/>
        <v>0.55000000000000027</v>
      </c>
      <c r="BH61" s="382">
        <f t="shared" si="159"/>
        <v>0.63636363636363646</v>
      </c>
      <c r="BI61" s="382">
        <f t="shared" si="159"/>
        <v>-0.36436436436436426</v>
      </c>
      <c r="BJ61" s="382">
        <f t="shared" si="159"/>
        <v>-0.44500000000000006</v>
      </c>
      <c r="BK61" s="382">
        <f t="shared" si="159"/>
        <v>-0.32258064516129037</v>
      </c>
      <c r="BL61" s="382">
        <f t="shared" si="159"/>
        <v>-0.22222222222222221</v>
      </c>
      <c r="BM61" s="382">
        <f t="shared" si="159"/>
        <v>0.22362204724409418</v>
      </c>
      <c r="BN61" s="382">
        <f t="shared" si="159"/>
        <v>0</v>
      </c>
      <c r="BO61" s="382">
        <f t="shared" si="159"/>
        <v>-0.1428571428571429</v>
      </c>
      <c r="BP61" s="382">
        <f t="shared" si="159"/>
        <v>-9.5238095238095233E-2</v>
      </c>
      <c r="BQ61" s="382">
        <f t="shared" si="159"/>
        <v>-0.1428571428571429</v>
      </c>
      <c r="BR61" s="382">
        <f t="shared" si="159"/>
        <v>-4.7619047619047672E-2</v>
      </c>
      <c r="BS61" s="382">
        <f t="shared" si="159"/>
        <v>0.11111111111111116</v>
      </c>
      <c r="BT61" s="382">
        <f t="shared" si="159"/>
        <v>0.15789473684210531</v>
      </c>
      <c r="BU61" s="382">
        <f t="shared" si="159"/>
        <v>0.22222222222222232</v>
      </c>
      <c r="BV61" s="382">
        <f t="shared" si="159"/>
        <v>5.0000000000000044E-2</v>
      </c>
      <c r="BW61" s="382">
        <f t="shared" si="159"/>
        <v>0</v>
      </c>
      <c r="BX61" s="382">
        <f t="shared" si="159"/>
        <v>0</v>
      </c>
      <c r="BY61" s="382">
        <f t="shared" si="159"/>
        <v>-4.5454545454545414E-2</v>
      </c>
      <c r="BZ61" s="382">
        <f t="shared" si="159"/>
        <v>0</v>
      </c>
      <c r="CA61" s="382">
        <f t="shared" si="159"/>
        <v>0.30000000000000004</v>
      </c>
      <c r="CB61" s="382">
        <f t="shared" si="159"/>
        <v>0.22727272727272729</v>
      </c>
      <c r="CC61" s="382">
        <f t="shared" si="159"/>
        <v>9.5238095238095344E-2</v>
      </c>
      <c r="CD61" s="382">
        <f t="shared" si="159"/>
        <v>0.14285714285714279</v>
      </c>
      <c r="CE61" s="382">
        <f t="shared" si="159"/>
        <v>-0.23076923076923073</v>
      </c>
      <c r="CF61" s="382">
        <f t="shared" si="159"/>
        <v>-0.14814814814814814</v>
      </c>
      <c r="CG61" s="382">
        <f t="shared" si="159"/>
        <v>4.3478260869565188E-2</v>
      </c>
      <c r="CH61" s="382">
        <f t="shared" si="159"/>
        <v>-4.166666666666663E-2</v>
      </c>
      <c r="CI61" s="382">
        <f t="shared" si="159"/>
        <v>5.0000000000000044E-2</v>
      </c>
      <c r="CJ61" s="382">
        <f t="shared" si="159"/>
        <v>-8.6956521739130488E-2</v>
      </c>
      <c r="CK61" s="382">
        <f t="shared" si="159"/>
        <v>-0.33333333333333337</v>
      </c>
      <c r="CL61" s="382">
        <f t="shared" si="159"/>
        <v>-0.26086956521739135</v>
      </c>
      <c r="CM61" s="382">
        <f t="shared" si="159"/>
        <v>-0.19047619047619047</v>
      </c>
      <c r="CN61" s="382">
        <f t="shared" si="159"/>
        <v>-0.38095238095238093</v>
      </c>
      <c r="CO61" s="382">
        <f t="shared" si="159"/>
        <v>0</v>
      </c>
      <c r="CP61" s="382">
        <f t="shared" si="159"/>
        <v>-5.8823529411764719E-2</v>
      </c>
      <c r="CQ61" s="382">
        <f t="shared" si="159"/>
        <v>5.8823529411764719E-2</v>
      </c>
      <c r="CR61" s="382">
        <f t="shared" si="159"/>
        <v>0.76923076923076916</v>
      </c>
      <c r="CS61" s="382">
        <f t="shared" si="159"/>
        <v>0.8125</v>
      </c>
      <c r="CT61" s="382">
        <f t="shared" si="159"/>
        <v>0.4375</v>
      </c>
      <c r="CU61" s="382">
        <f t="shared" si="159"/>
        <v>0.33333333333333326</v>
      </c>
      <c r="CV61" s="382">
        <f t="shared" si="159"/>
        <v>0.26086956521739135</v>
      </c>
      <c r="CW61" s="382">
        <f t="shared" si="159"/>
        <v>-0.27586206896551724</v>
      </c>
      <c r="CX61" s="382">
        <f t="shared" si="159"/>
        <v>0.39130434782608692</v>
      </c>
      <c r="CY61" s="382">
        <f t="shared" si="159"/>
        <v>0.375</v>
      </c>
      <c r="CZ61" s="382">
        <f t="shared" si="159"/>
        <v>0.24137931034482762</v>
      </c>
      <c r="DA61" s="382">
        <f t="shared" si="159"/>
        <v>0.71428571428571419</v>
      </c>
      <c r="DB61" s="382">
        <f t="shared" si="159"/>
        <v>0.28125</v>
      </c>
      <c r="DC61" s="382">
        <f t="shared" si="159"/>
        <v>0.36363636363636354</v>
      </c>
      <c r="DD61" s="382">
        <f t="shared" si="159"/>
        <v>0.5</v>
      </c>
      <c r="DE61" s="382">
        <f t="shared" si="159"/>
        <v>0.58333333333333326</v>
      </c>
      <c r="DF61" s="382">
        <f t="shared" si="159"/>
        <v>0.43902439024390238</v>
      </c>
      <c r="DG61" s="382">
        <f t="shared" si="159"/>
        <v>0.33333333333333326</v>
      </c>
      <c r="DH61" s="382">
        <f t="shared" si="159"/>
        <v>0.40740740740740744</v>
      </c>
      <c r="DI61" s="382">
        <f t="shared" si="159"/>
        <v>0.38596491228070184</v>
      </c>
      <c r="DJ61" s="383">
        <f t="shared" si="159"/>
        <v>0.44067796610169485</v>
      </c>
      <c r="DK61" s="383">
        <f t="shared" si="159"/>
        <v>0.3833333333333333</v>
      </c>
      <c r="DL61" s="383">
        <f t="shared" si="159"/>
        <v>0.30263157894736836</v>
      </c>
      <c r="DM61" s="383">
        <f t="shared" si="159"/>
        <v>0.41772151898734178</v>
      </c>
      <c r="DN61" s="383">
        <f t="shared" ref="DN61:EW61" si="160">DN59/DJ59-1</f>
        <v>1.0470588235294116</v>
      </c>
      <c r="DO61" s="383">
        <f t="shared" si="160"/>
        <v>2.1204819277108435</v>
      </c>
      <c r="DP61" s="383">
        <f t="shared" si="160"/>
        <v>1.7171717171717171</v>
      </c>
      <c r="DQ61" s="383">
        <f t="shared" si="160"/>
        <v>1.7678571428571428</v>
      </c>
      <c r="DR61" s="383">
        <f t="shared" si="160"/>
        <v>0.75287356321839072</v>
      </c>
      <c r="DS61" s="383">
        <f t="shared" si="160"/>
        <v>0.34362934362934361</v>
      </c>
      <c r="DT61" s="383">
        <f t="shared" si="160"/>
        <v>0.31226765799256495</v>
      </c>
      <c r="DU61" s="383">
        <f t="shared" si="160"/>
        <v>0.20645161290322589</v>
      </c>
      <c r="DV61" s="382">
        <f t="shared" si="160"/>
        <v>0.21639344262295079</v>
      </c>
      <c r="DW61" s="382">
        <f t="shared" si="160"/>
        <v>-5.7471264367816577E-3</v>
      </c>
      <c r="DX61" s="382">
        <f t="shared" si="160"/>
        <v>-5.6657223796033884E-3</v>
      </c>
      <c r="DY61" s="383">
        <f t="shared" si="160"/>
        <v>-9.35828877005348E-2</v>
      </c>
      <c r="DZ61" s="383">
        <f t="shared" si="160"/>
        <v>-1.8867924528301883E-2</v>
      </c>
      <c r="EA61" s="383">
        <f t="shared" si="160"/>
        <v>6.6473988439306408E-2</v>
      </c>
      <c r="EB61" s="383">
        <f t="shared" si="160"/>
        <v>0.19373219373219364</v>
      </c>
      <c r="EC61" s="383">
        <f t="shared" si="160"/>
        <v>0.4336283185840708</v>
      </c>
      <c r="ED61" s="383">
        <f t="shared" si="160"/>
        <v>0.33791208791208782</v>
      </c>
      <c r="EE61" s="384">
        <f t="shared" si="160"/>
        <v>0.3461788617886179</v>
      </c>
      <c r="EF61" s="384">
        <f t="shared" si="160"/>
        <v>0.20924773269689734</v>
      </c>
      <c r="EG61" s="384">
        <f t="shared" si="160"/>
        <v>6.3391555555555534E-2</v>
      </c>
      <c r="EH61" s="384">
        <f t="shared" si="160"/>
        <v>6.1208000000000151E-2</v>
      </c>
      <c r="EI61" s="384">
        <f t="shared" si="160"/>
        <v>6.1207999999999929E-2</v>
      </c>
      <c r="EJ61" s="384">
        <f t="shared" si="160"/>
        <v>6.1207999999999929E-2</v>
      </c>
      <c r="EK61" s="384">
        <f t="shared" si="160"/>
        <v>6.1207999999999929E-2</v>
      </c>
      <c r="EL61" s="384">
        <f t="shared" si="160"/>
        <v>6.1207999999999929E-2</v>
      </c>
      <c r="EM61" s="384">
        <f t="shared" si="160"/>
        <v>6.1207999999999929E-2</v>
      </c>
      <c r="EN61" s="384">
        <f t="shared" si="160"/>
        <v>6.1208000000000151E-2</v>
      </c>
      <c r="EO61" s="384">
        <f t="shared" si="160"/>
        <v>6.1208000000000151E-2</v>
      </c>
      <c r="EP61" s="384">
        <f t="shared" si="160"/>
        <v>6.1208000000000151E-2</v>
      </c>
      <c r="EQ61" s="384">
        <f t="shared" si="160"/>
        <v>6.1208000000000151E-2</v>
      </c>
      <c r="ER61" s="384">
        <f t="shared" si="160"/>
        <v>6.1208000000000151E-2</v>
      </c>
      <c r="ES61" s="384">
        <f t="shared" si="160"/>
        <v>6.1208000000000151E-2</v>
      </c>
      <c r="ET61" s="384">
        <f t="shared" si="160"/>
        <v>6.1208000000000151E-2</v>
      </c>
      <c r="EU61" s="384">
        <f t="shared" si="160"/>
        <v>6.1207999999999929E-2</v>
      </c>
      <c r="EV61" s="384">
        <f t="shared" si="160"/>
        <v>6.1207999999999929E-2</v>
      </c>
      <c r="EW61" s="384">
        <f t="shared" si="160"/>
        <v>6.1207999999999929E-2</v>
      </c>
      <c r="FM61" s="382">
        <f t="shared" ref="FM61:GK61" si="161">FM59/FL59-1</f>
        <v>-0.291661596759895</v>
      </c>
      <c r="FN61" s="382">
        <f t="shared" si="161"/>
        <v>0.38650306748466257</v>
      </c>
      <c r="FO61" s="382">
        <f t="shared" si="161"/>
        <v>-0.25663716814159288</v>
      </c>
      <c r="FP61" s="382">
        <f t="shared" si="161"/>
        <v>-9.5238095238095233E-2</v>
      </c>
      <c r="FQ61" s="382">
        <f t="shared" si="161"/>
        <v>0.10526315789473695</v>
      </c>
      <c r="FR61" s="382">
        <f t="shared" si="161"/>
        <v>0</v>
      </c>
      <c r="FS61" s="382">
        <f t="shared" si="161"/>
        <v>0.15476190476190466</v>
      </c>
      <c r="FT61" s="382">
        <f t="shared" si="161"/>
        <v>-6.1855670103092786E-2</v>
      </c>
      <c r="FU61" s="382">
        <f t="shared" si="161"/>
        <v>-0.10989010989010994</v>
      </c>
      <c r="FV61" s="382">
        <f t="shared" si="161"/>
        <v>-0.22222222222222221</v>
      </c>
      <c r="FW61" s="382">
        <f t="shared" si="161"/>
        <v>0.36507936507936511</v>
      </c>
      <c r="FX61" s="382">
        <f t="shared" si="161"/>
        <v>0.12790697674418605</v>
      </c>
      <c r="FY61" s="382">
        <f t="shared" si="161"/>
        <v>0.41237113402061865</v>
      </c>
      <c r="FZ61" s="382">
        <f t="shared" si="161"/>
        <v>0.43795620437956195</v>
      </c>
      <c r="GA61" s="382">
        <f t="shared" si="161"/>
        <v>0.3908629441624365</v>
      </c>
      <c r="GB61" s="382">
        <f t="shared" si="161"/>
        <v>0.38321167883211671</v>
      </c>
      <c r="GC61" s="382">
        <f t="shared" si="161"/>
        <v>1.6701846965699207</v>
      </c>
      <c r="GD61" s="382">
        <f t="shared" si="161"/>
        <v>0.36363636363636354</v>
      </c>
      <c r="GE61" s="382">
        <f t="shared" si="161"/>
        <v>1.9565217391304346E-2</v>
      </c>
      <c r="GF61" s="382">
        <f t="shared" si="161"/>
        <v>0.16417910447761197</v>
      </c>
      <c r="GG61" s="384">
        <f t="shared" si="161"/>
        <v>0.22541092551892561</v>
      </c>
      <c r="GH61" s="384">
        <f t="shared" si="161"/>
        <v>6.1208000000000151E-2</v>
      </c>
      <c r="GI61" s="384">
        <f t="shared" si="161"/>
        <v>6.1208000000000151E-2</v>
      </c>
      <c r="GJ61" s="384">
        <f t="shared" si="161"/>
        <v>6.1208000000000151E-2</v>
      </c>
      <c r="GK61" s="384">
        <f t="shared" si="161"/>
        <v>6.1207999999999929E-2</v>
      </c>
      <c r="GN61" s="70"/>
    </row>
    <row r="62" spans="1:196" s="382" customFormat="1">
      <c r="A62" s="381" t="s">
        <v>202</v>
      </c>
      <c r="AX62" s="382">
        <f t="shared" ref="AX62:DI62" si="162">AX59/AX$4</f>
        <v>2.1242789174876164E-2</v>
      </c>
      <c r="AY62" s="382">
        <f t="shared" si="162"/>
        <v>5.7152132122884183E-2</v>
      </c>
      <c r="AZ62" s="382">
        <f t="shared" si="162"/>
        <v>5.5800177966908657E-3</v>
      </c>
      <c r="BA62" s="382">
        <f t="shared" si="162"/>
        <v>4.6222656445495669E-3</v>
      </c>
      <c r="BB62" s="382">
        <f t="shared" si="162"/>
        <v>1.3511910749325531E-2</v>
      </c>
      <c r="BC62" s="382">
        <f t="shared" si="162"/>
        <v>1.6442405951493259E-2</v>
      </c>
      <c r="BD62" s="382">
        <f t="shared" si="162"/>
        <v>1.2428236350406968E-2</v>
      </c>
      <c r="BE62" s="382">
        <f t="shared" si="162"/>
        <v>1.5228426395939087E-2</v>
      </c>
      <c r="BF62" s="382">
        <f t="shared" si="162"/>
        <v>3.0687621928497843E-2</v>
      </c>
      <c r="BG62" s="382">
        <f t="shared" si="162"/>
        <v>2.249637155297533E-2</v>
      </c>
      <c r="BH62" s="382">
        <f t="shared" si="162"/>
        <v>1.6544117647058824E-2</v>
      </c>
      <c r="BI62" s="382">
        <f t="shared" si="162"/>
        <v>9.6961368147808844E-3</v>
      </c>
      <c r="BJ62" s="382">
        <f t="shared" si="162"/>
        <v>1.3953488372093023E-2</v>
      </c>
      <c r="BK62" s="382">
        <f t="shared" si="162"/>
        <v>1.5567086730911787E-2</v>
      </c>
      <c r="BL62" s="382">
        <f t="shared" si="162"/>
        <v>1.3075965130759652E-2</v>
      </c>
      <c r="BM62" s="382">
        <f t="shared" si="162"/>
        <v>1.8072289156626505E-2</v>
      </c>
      <c r="BN62" s="382">
        <f t="shared" si="162"/>
        <v>1.784197111299915E-2</v>
      </c>
      <c r="BO62" s="382">
        <f t="shared" si="162"/>
        <v>1.5202702702702704E-2</v>
      </c>
      <c r="BP62" s="382">
        <f t="shared" si="162"/>
        <v>1.3610315186246419E-2</v>
      </c>
      <c r="BQ62" s="382">
        <f t="shared" si="162"/>
        <v>1.0935601458080195E-2</v>
      </c>
      <c r="BR62" s="382">
        <f t="shared" si="162"/>
        <v>1.2706480304955527E-2</v>
      </c>
      <c r="BS62" s="382">
        <f t="shared" si="162"/>
        <v>1.2099213551119177E-2</v>
      </c>
      <c r="BT62" s="382">
        <f t="shared" si="162"/>
        <v>1.3597033374536464E-2</v>
      </c>
      <c r="BU62" s="382">
        <f t="shared" si="162"/>
        <v>1.3341419041843541E-2</v>
      </c>
      <c r="BV62" s="382">
        <f t="shared" si="162"/>
        <v>1.3019218846869188E-2</v>
      </c>
      <c r="BW62" s="382">
        <f t="shared" si="162"/>
        <v>1.2706480304955527E-2</v>
      </c>
      <c r="BX62" s="382">
        <f t="shared" si="162"/>
        <v>1.301775147928994E-2</v>
      </c>
      <c r="BY62" s="382">
        <f t="shared" si="162"/>
        <v>1.2418687167356593E-2</v>
      </c>
      <c r="BZ62" s="382">
        <f t="shared" si="162"/>
        <v>1.3249211356466877E-2</v>
      </c>
      <c r="CA62" s="382">
        <f t="shared" si="162"/>
        <v>1.840056617126681E-2</v>
      </c>
      <c r="CB62" s="382">
        <f t="shared" si="162"/>
        <v>2.1276595744680851E-2</v>
      </c>
      <c r="CC62" s="382">
        <f t="shared" si="162"/>
        <v>1.9913419913419914E-2</v>
      </c>
      <c r="CD62" s="382">
        <f t="shared" si="162"/>
        <v>2.2058823529411766E-2</v>
      </c>
      <c r="CE62" s="382">
        <f t="shared" si="162"/>
        <v>1.7226528854435832E-2</v>
      </c>
      <c r="CF62" s="382">
        <f t="shared" si="162"/>
        <v>1.5742642026009581E-2</v>
      </c>
      <c r="CG62" s="382">
        <f t="shared" si="162"/>
        <v>1.5103838892385148E-2</v>
      </c>
      <c r="CH62" s="382">
        <f t="shared" si="162"/>
        <v>1.6463851109520401E-2</v>
      </c>
      <c r="CI62" s="382">
        <f t="shared" si="162"/>
        <v>1.457321304649549E-2</v>
      </c>
      <c r="CJ62" s="382">
        <f t="shared" si="162"/>
        <v>1.4695591322603219E-2</v>
      </c>
      <c r="CK62" s="382">
        <f t="shared" si="162"/>
        <v>1.29136400322841E-2</v>
      </c>
      <c r="CL62" s="382">
        <f t="shared" si="162"/>
        <v>1.6504854368932041E-2</v>
      </c>
      <c r="CM62" s="382">
        <f t="shared" si="162"/>
        <v>1.8046709129511677E-2</v>
      </c>
      <c r="CN62" s="382">
        <f t="shared" si="162"/>
        <v>1.2252591894439209E-2</v>
      </c>
      <c r="CO62" s="382">
        <f t="shared" si="162"/>
        <v>1.6701461377870562E-2</v>
      </c>
      <c r="CP62" s="382">
        <f t="shared" si="162"/>
        <v>1.9230769230769232E-2</v>
      </c>
      <c r="CQ62" s="382">
        <f t="shared" si="162"/>
        <v>1.7526777020447908E-2</v>
      </c>
      <c r="CR62" s="382">
        <f t="shared" si="162"/>
        <v>1.7597551644988524E-2</v>
      </c>
      <c r="CS62" s="382">
        <f t="shared" si="162"/>
        <v>2.6220614828209764E-2</v>
      </c>
      <c r="CT62" s="382">
        <f t="shared" si="162"/>
        <v>2.3373983739837397E-2</v>
      </c>
      <c r="CU62" s="382">
        <f t="shared" si="162"/>
        <v>1.9639934533551555E-2</v>
      </c>
      <c r="CV62" s="382">
        <f>CV59/CV$4</f>
        <v>1.7650639074863056E-2</v>
      </c>
      <c r="CW62" s="382">
        <f t="shared" si="162"/>
        <v>1.418918918918919E-2</v>
      </c>
      <c r="CX62" s="382">
        <f t="shared" si="162"/>
        <v>1.9429265330904676E-2</v>
      </c>
      <c r="CY62" s="382">
        <f t="shared" si="162"/>
        <v>1.879271070615034E-2</v>
      </c>
      <c r="CZ62" s="382">
        <f t="shared" si="162"/>
        <v>2.1778584392014518E-2</v>
      </c>
      <c r="DA62" s="382">
        <f t="shared" si="162"/>
        <v>2.5369978858350951E-2</v>
      </c>
      <c r="DB62" s="382">
        <f t="shared" si="162"/>
        <v>3.2232704402515723E-2</v>
      </c>
      <c r="DC62" s="382">
        <f t="shared" si="162"/>
        <v>2.9392553886348791E-2</v>
      </c>
      <c r="DD62" s="382">
        <f t="shared" si="162"/>
        <v>2.9983342587451417E-2</v>
      </c>
      <c r="DE62" s="382">
        <f t="shared" si="162"/>
        <v>2.6798307475317348E-2</v>
      </c>
      <c r="DF62" s="382">
        <f t="shared" si="162"/>
        <v>3.3034714445688687E-2</v>
      </c>
      <c r="DG62" s="382">
        <f t="shared" si="162"/>
        <v>3.1055900621118012E-2</v>
      </c>
      <c r="DH62" s="382">
        <f t="shared" si="162"/>
        <v>2.7133166726169226E-2</v>
      </c>
      <c r="DI62" s="382">
        <f t="shared" si="162"/>
        <v>2.4352651048088779E-2</v>
      </c>
      <c r="DJ62" s="383">
        <f t="shared" ref="DJ62:EW62" si="163">DJ59/DJ$4</f>
        <v>2.4673439767779391E-2</v>
      </c>
      <c r="DK62" s="383">
        <f t="shared" si="163"/>
        <v>2.1558441558441558E-2</v>
      </c>
      <c r="DL62" s="383">
        <f t="shared" si="163"/>
        <v>2.2953860421980062E-2</v>
      </c>
      <c r="DM62" s="383">
        <f t="shared" si="163"/>
        <v>2.3207625362619146E-2</v>
      </c>
      <c r="DN62" s="383">
        <f t="shared" si="163"/>
        <v>2.9556650246305417E-2</v>
      </c>
      <c r="DO62" s="383">
        <f t="shared" si="163"/>
        <v>3.9541984732824428E-2</v>
      </c>
      <c r="DP62" s="383">
        <f t="shared" si="163"/>
        <v>4.8337825696316263E-2</v>
      </c>
      <c r="DQ62" s="383">
        <f t="shared" si="163"/>
        <v>5.5367029826754781E-2</v>
      </c>
      <c r="DR62" s="383">
        <f t="shared" si="163"/>
        <v>5.697739585279283E-2</v>
      </c>
      <c r="DS62" s="383">
        <f t="shared" si="163"/>
        <v>6.4937488337376378E-2</v>
      </c>
      <c r="DT62" s="383">
        <f t="shared" si="163"/>
        <v>6.0862068965517241E-2</v>
      </c>
      <c r="DU62" s="383">
        <f t="shared" si="163"/>
        <v>6.0635538261997406E-2</v>
      </c>
      <c r="DV62" s="382">
        <f t="shared" si="163"/>
        <v>6.7787319568792248E-2</v>
      </c>
      <c r="DW62" s="382">
        <f t="shared" si="163"/>
        <v>5.929734361610968E-2</v>
      </c>
      <c r="DX62" s="382">
        <f t="shared" si="163"/>
        <v>5.1473823141223056E-2</v>
      </c>
      <c r="DY62" s="383">
        <f t="shared" si="163"/>
        <v>4.426743275006529E-2</v>
      </c>
      <c r="DZ62" s="383">
        <f t="shared" si="163"/>
        <v>4.8937886528636731E-2</v>
      </c>
      <c r="EA62" s="383">
        <f t="shared" si="163"/>
        <v>4.8015614834092391E-2</v>
      </c>
      <c r="EB62" s="383">
        <f t="shared" si="163"/>
        <v>4.5316893791910014E-2</v>
      </c>
      <c r="EC62" s="383">
        <f t="shared" si="163"/>
        <v>4.7322297955209348E-2</v>
      </c>
      <c r="ED62" s="383">
        <f t="shared" si="163"/>
        <v>4.7498293182483178E-2</v>
      </c>
      <c r="EE62" s="384">
        <f t="shared" si="163"/>
        <v>4.4262808342814798E-2</v>
      </c>
      <c r="EF62" s="384">
        <f t="shared" si="163"/>
        <v>4.2245360330200446E-2</v>
      </c>
      <c r="EG62" s="384">
        <f t="shared" si="163"/>
        <v>3.191834488506106E-2</v>
      </c>
      <c r="EH62" s="384">
        <f t="shared" si="163"/>
        <v>2.9642281749131461E-2</v>
      </c>
      <c r="EI62" s="384">
        <f t="shared" si="163"/>
        <v>2.7438978148090584E-2</v>
      </c>
      <c r="EJ62" s="384">
        <f t="shared" si="163"/>
        <v>2.4290361934066678E-2</v>
      </c>
      <c r="EK62" s="384">
        <f t="shared" si="163"/>
        <v>2.2368453308487902E-2</v>
      </c>
      <c r="EL62" s="384">
        <f t="shared" si="163"/>
        <v>2.2907580079803886E-2</v>
      </c>
      <c r="EM62" s="384">
        <f t="shared" si="163"/>
        <v>2.234682067715528E-2</v>
      </c>
      <c r="EN62" s="384">
        <f t="shared" si="163"/>
        <v>2.1233984059899885E-2</v>
      </c>
      <c r="EO62" s="384">
        <f t="shared" si="163"/>
        <v>2.0242360848370101E-2</v>
      </c>
      <c r="EP62" s="384">
        <f t="shared" si="163"/>
        <v>2.0655821115277424E-2</v>
      </c>
      <c r="EQ62" s="384">
        <f t="shared" si="163"/>
        <v>2.0207114406226426E-2</v>
      </c>
      <c r="ER62" s="384">
        <f t="shared" si="163"/>
        <v>1.9091967259104638E-2</v>
      </c>
      <c r="ES62" s="384">
        <f t="shared" si="163"/>
        <v>1.8651613313929789E-2</v>
      </c>
      <c r="ET62" s="384">
        <f t="shared" si="163"/>
        <v>1.9475358418532034E-2</v>
      </c>
      <c r="EU62" s="384">
        <f t="shared" si="163"/>
        <v>1.9058768918543068E-2</v>
      </c>
      <c r="EV62" s="384">
        <f t="shared" si="163"/>
        <v>1.7691590248920301E-2</v>
      </c>
      <c r="EW62" s="384">
        <f t="shared" si="163"/>
        <v>1.7249632367879901E-2</v>
      </c>
      <c r="FL62" s="382">
        <f t="shared" ref="FL62:GF62" si="164">FL59/FL$4</f>
        <v>1.96761838279342E-2</v>
      </c>
      <c r="FM62" s="382">
        <f t="shared" si="164"/>
        <v>1.4426956848529522E-2</v>
      </c>
      <c r="FN62" s="382">
        <f t="shared" si="164"/>
        <v>1.8792615998669548E-2</v>
      </c>
      <c r="FO62" s="382">
        <f t="shared" si="164"/>
        <v>1.4941302027748132E-2</v>
      </c>
      <c r="FP62" s="382">
        <f t="shared" si="164"/>
        <v>1.4066259485471034E-2</v>
      </c>
      <c r="FQ62" s="382">
        <f t="shared" si="164"/>
        <v>1.2935016938712659E-2</v>
      </c>
      <c r="FR62" s="382">
        <f t="shared" si="164"/>
        <v>1.2789281364190013E-2</v>
      </c>
      <c r="FS62" s="382">
        <f t="shared" si="164"/>
        <v>1.7890077462191074E-2</v>
      </c>
      <c r="FT62" s="382">
        <f t="shared" si="164"/>
        <v>1.7173051519154558E-2</v>
      </c>
      <c r="FU62" s="382">
        <f t="shared" si="164"/>
        <v>1.4711224119142753E-2</v>
      </c>
      <c r="FV62" s="382">
        <f t="shared" si="164"/>
        <v>1.578551741418191E-2</v>
      </c>
      <c r="FW62" s="382">
        <f t="shared" si="164"/>
        <v>2.0131086142322098E-2</v>
      </c>
      <c r="FX62" s="382">
        <f t="shared" si="164"/>
        <v>1.8202289360105085E-2</v>
      </c>
      <c r="FY62" s="382">
        <f t="shared" si="164"/>
        <v>2.1158301158301158E-2</v>
      </c>
      <c r="FZ62" s="382">
        <f t="shared" si="164"/>
        <v>2.9267567969098202E-2</v>
      </c>
      <c r="GA62" s="382">
        <f t="shared" si="164"/>
        <v>2.8065143910683193E-2</v>
      </c>
      <c r="GB62" s="382">
        <f t="shared" si="164"/>
        <v>2.3061944748691738E-2</v>
      </c>
      <c r="GC62" s="382">
        <f t="shared" si="164"/>
        <v>4.2879539002584635E-2</v>
      </c>
      <c r="GD62" s="382">
        <f t="shared" si="164"/>
        <v>6.0846560846560843E-2</v>
      </c>
      <c r="GE62" s="382">
        <f t="shared" si="164"/>
        <v>5.4566608493310062E-2</v>
      </c>
      <c r="GF62" s="382">
        <f t="shared" si="164"/>
        <v>4.7287739253442651E-2</v>
      </c>
      <c r="GG62" s="384">
        <f>GG59/GG$4</f>
        <v>4.041873537554614E-2</v>
      </c>
      <c r="GH62" s="384">
        <f>GH59/GH$4</f>
        <v>2.5570990041128484E-2</v>
      </c>
      <c r="GI62" s="384">
        <f t="shared" ref="GI62:GK62" si="165">GI59/GI$4</f>
        <v>2.1610804195596901E-2</v>
      </c>
      <c r="GJ62" s="384">
        <f t="shared" si="165"/>
        <v>1.9600551259341632E-2</v>
      </c>
      <c r="GK62" s="384">
        <f t="shared" si="165"/>
        <v>1.8302491087720307E-2</v>
      </c>
      <c r="GN62" s="70"/>
    </row>
    <row r="63" spans="1:196" s="382" customFormat="1">
      <c r="A63" s="414" t="s">
        <v>218</v>
      </c>
      <c r="B63" s="392"/>
      <c r="C63" s="392"/>
      <c r="D63" s="392"/>
      <c r="E63" s="392"/>
      <c r="F63" s="392"/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/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  <c r="AL63" s="392"/>
      <c r="AM63" s="392"/>
      <c r="AN63" s="392"/>
      <c r="AO63" s="392"/>
      <c r="AP63" s="392"/>
      <c r="AQ63" s="392"/>
      <c r="AR63" s="392"/>
      <c r="AS63" s="392"/>
      <c r="AT63" s="392"/>
      <c r="AU63" s="392"/>
      <c r="AV63" s="392"/>
      <c r="AW63" s="392"/>
      <c r="AX63" s="415">
        <f t="shared" ref="AX63:DI63" si="166">+AX59/AX83</f>
        <v>6.6289810902189647E-2</v>
      </c>
      <c r="AY63" s="415">
        <f t="shared" si="166"/>
        <v>0.17747123150596811</v>
      </c>
      <c r="AZ63" s="415">
        <f t="shared" si="166"/>
        <v>1.9151146882557514E-2</v>
      </c>
      <c r="BA63" s="415">
        <f t="shared" si="166"/>
        <v>1.8785248594477839E-2</v>
      </c>
      <c r="BB63" s="415">
        <f t="shared" si="166"/>
        <v>3.6339703548773937E-2</v>
      </c>
      <c r="BC63" s="415">
        <f t="shared" si="166"/>
        <v>3.9985924954416045E-2</v>
      </c>
      <c r="BD63" s="415">
        <f t="shared" si="166"/>
        <v>3.3214432375415687E-2</v>
      </c>
      <c r="BE63" s="415">
        <f t="shared" si="166"/>
        <v>5.0847457627118647E-2</v>
      </c>
      <c r="BF63" s="415">
        <f t="shared" si="166"/>
        <v>6.892138039679023E-2</v>
      </c>
      <c r="BG63" s="415">
        <f t="shared" si="166"/>
        <v>5.6159420289855079E-2</v>
      </c>
      <c r="BH63" s="415">
        <f t="shared" si="166"/>
        <v>4.8736462093862815E-2</v>
      </c>
      <c r="BI63" s="415">
        <f t="shared" si="166"/>
        <v>2.9641040003734308E-2</v>
      </c>
      <c r="BJ63" s="415">
        <f t="shared" si="166"/>
        <v>3.4653465346534656E-2</v>
      </c>
      <c r="BK63" s="415">
        <f t="shared" si="166"/>
        <v>3.459637561779242E-2</v>
      </c>
      <c r="BL63" s="415">
        <f t="shared" si="166"/>
        <v>3.453947368421053E-2</v>
      </c>
      <c r="BM63" s="415">
        <f t="shared" si="166"/>
        <v>3.4482758620689655E-2</v>
      </c>
      <c r="BN63" s="415">
        <f t="shared" si="166"/>
        <v>3.3546325878594248E-2</v>
      </c>
      <c r="BO63" s="415">
        <f t="shared" si="166"/>
        <v>2.6986506746626688E-2</v>
      </c>
      <c r="BP63" s="415">
        <f t="shared" si="166"/>
        <v>2.7377521613832854E-2</v>
      </c>
      <c r="BQ63" s="415">
        <f t="shared" si="166"/>
        <v>2.2756005056890013E-2</v>
      </c>
      <c r="BR63" s="415">
        <f t="shared" si="166"/>
        <v>2.6525198938992044E-2</v>
      </c>
      <c r="BS63" s="415">
        <f t="shared" si="166"/>
        <v>2.8208744710860368E-2</v>
      </c>
      <c r="BT63" s="415">
        <f t="shared" si="166"/>
        <v>3.0855539971949508E-2</v>
      </c>
      <c r="BU63" s="415">
        <f t="shared" si="166"/>
        <v>2.9023746701846966E-2</v>
      </c>
      <c r="BV63" s="415">
        <f t="shared" si="166"/>
        <v>2.7486910994764399E-2</v>
      </c>
      <c r="BW63" s="415">
        <f t="shared" si="166"/>
        <v>2.6917900403768506E-2</v>
      </c>
      <c r="BX63" s="415">
        <f t="shared" si="166"/>
        <v>2.9689608636977057E-2</v>
      </c>
      <c r="BY63" s="415">
        <f t="shared" si="166"/>
        <v>2.8688524590163935E-2</v>
      </c>
      <c r="BZ63" s="415">
        <f t="shared" si="166"/>
        <v>2.8610354223433242E-2</v>
      </c>
      <c r="CA63" s="415">
        <f t="shared" si="166"/>
        <v>3.443708609271523E-2</v>
      </c>
      <c r="CB63" s="415">
        <f t="shared" si="166"/>
        <v>3.6241610738255034E-2</v>
      </c>
      <c r="CC63" s="415">
        <f t="shared" si="166"/>
        <v>3.0789825970548863E-2</v>
      </c>
      <c r="CD63" s="415">
        <f t="shared" si="166"/>
        <v>3.2042723631508681E-2</v>
      </c>
      <c r="CE63" s="415">
        <f t="shared" si="166"/>
        <v>2.6595744680851064E-2</v>
      </c>
      <c r="CF63" s="415">
        <f t="shared" si="166"/>
        <v>3.0104712041884817E-2</v>
      </c>
      <c r="CG63" s="415">
        <f t="shared" si="166"/>
        <v>3.1331592689295036E-2</v>
      </c>
      <c r="CH63" s="415">
        <f t="shared" si="166"/>
        <v>3.0223390275952694E-2</v>
      </c>
      <c r="CI63" s="415">
        <f t="shared" si="166"/>
        <v>2.7486910994764399E-2</v>
      </c>
      <c r="CJ63" s="415">
        <f t="shared" si="166"/>
        <v>2.6751592356687899E-2</v>
      </c>
      <c r="CK63" s="415">
        <f t="shared" si="166"/>
        <v>2.0486555697823303E-2</v>
      </c>
      <c r="CL63" s="415">
        <f t="shared" si="166"/>
        <v>2.1879021879021878E-2</v>
      </c>
      <c r="CM63" s="415">
        <f t="shared" si="166"/>
        <v>2.1850899742930592E-2</v>
      </c>
      <c r="CN63" s="415">
        <f t="shared" si="166"/>
        <v>1.6560509554140127E-2</v>
      </c>
      <c r="CO63" s="415">
        <f t="shared" si="166"/>
        <v>2.0227560050568902E-2</v>
      </c>
      <c r="CP63" s="415">
        <f t="shared" si="166"/>
        <v>2.0176544766708701E-2</v>
      </c>
      <c r="CQ63" s="415">
        <f t="shared" si="166"/>
        <v>2.192448233861145E-2</v>
      </c>
      <c r="CR63" s="415">
        <f t="shared" si="166"/>
        <v>2.8220858895705522E-2</v>
      </c>
      <c r="CS63" s="415">
        <f t="shared" si="166"/>
        <v>3.1149301825993556E-2</v>
      </c>
      <c r="CT63" s="415">
        <f t="shared" si="166"/>
        <v>2.4494142705005325E-2</v>
      </c>
      <c r="CU63" s="415">
        <f t="shared" si="166"/>
        <v>2.3166023166023165E-2</v>
      </c>
      <c r="CV63" s="415">
        <f t="shared" si="166"/>
        <v>2.7831094049904029E-2</v>
      </c>
      <c r="CW63" s="415">
        <f t="shared" si="166"/>
        <v>2.0250723240115717E-2</v>
      </c>
      <c r="CX63" s="415">
        <f t="shared" si="166"/>
        <v>3.0798845043310877E-2</v>
      </c>
      <c r="CY63" s="415">
        <f t="shared" si="166"/>
        <v>3.1548757170172081E-2</v>
      </c>
      <c r="CZ63" s="415">
        <f t="shared" si="166"/>
        <v>3.3457249070631967E-2</v>
      </c>
      <c r="DA63" s="415">
        <f t="shared" si="166"/>
        <v>3.3364226135310475E-2</v>
      </c>
      <c r="DB63" s="415">
        <f t="shared" si="166"/>
        <v>3.7477148080438755E-2</v>
      </c>
      <c r="DC63" s="415">
        <f t="shared" si="166"/>
        <v>4.0577096483318302E-2</v>
      </c>
      <c r="DD63" s="415">
        <f t="shared" si="166"/>
        <v>4.8343777976723366E-2</v>
      </c>
      <c r="DE63" s="415">
        <f t="shared" si="166"/>
        <v>4.7979797979797977E-2</v>
      </c>
      <c r="DF63" s="415">
        <f t="shared" si="166"/>
        <v>4.820261437908497E-2</v>
      </c>
      <c r="DG63" s="415">
        <f t="shared" si="166"/>
        <v>4.8899755501222497E-2</v>
      </c>
      <c r="DH63" s="415">
        <f t="shared" si="166"/>
        <v>6.2551440329218111E-2</v>
      </c>
      <c r="DI63" s="415">
        <f t="shared" si="166"/>
        <v>6.4437194127243066E-2</v>
      </c>
      <c r="DJ63" s="416">
        <f>+DJ59/DJ83</f>
        <v>6.9049553208773359E-2</v>
      </c>
      <c r="DK63" s="416">
        <f>+DK59/DK83</f>
        <v>6.7370129870129872E-2</v>
      </c>
      <c r="DL63" s="416">
        <f>+DL59/DL83</f>
        <v>8.0487804878048783E-2</v>
      </c>
      <c r="DM63" s="416">
        <f>+DM59/DM83</f>
        <v>9.1653027823240585E-2</v>
      </c>
      <c r="DN63" s="416">
        <f t="shared" ref="DN63:EW63" si="167">+DN59/DN83</f>
        <v>0.12340425531914893</v>
      </c>
      <c r="DO63" s="416">
        <f t="shared" si="167"/>
        <v>0.15870098039215685</v>
      </c>
      <c r="DP63" s="416">
        <f t="shared" si="167"/>
        <v>0.16553846153846155</v>
      </c>
      <c r="DQ63" s="416">
        <f t="shared" si="167"/>
        <v>0.19159456118665019</v>
      </c>
      <c r="DR63" s="416">
        <f t="shared" si="167"/>
        <v>0.1893234016139044</v>
      </c>
      <c r="DS63" s="416">
        <f t="shared" si="167"/>
        <v>0.21389059618930548</v>
      </c>
      <c r="DT63" s="416">
        <f t="shared" si="167"/>
        <v>0.21669736034376919</v>
      </c>
      <c r="DU63" s="416">
        <f t="shared" si="167"/>
        <v>0.22972972972972974</v>
      </c>
      <c r="DV63" s="415">
        <f t="shared" si="167"/>
        <v>0.22635753508236731</v>
      </c>
      <c r="DW63" s="415">
        <f t="shared" si="167"/>
        <v>0.21136224801466097</v>
      </c>
      <c r="DX63" s="415">
        <f t="shared" si="167"/>
        <v>0.2145476772616137</v>
      </c>
      <c r="DY63" s="416">
        <f t="shared" si="167"/>
        <v>0.20746634026927785</v>
      </c>
      <c r="DZ63" s="416">
        <f t="shared" si="167"/>
        <v>0.22386223862238622</v>
      </c>
      <c r="EA63" s="416">
        <f t="shared" si="167"/>
        <v>0.22638036809815951</v>
      </c>
      <c r="EB63" s="416">
        <f t="shared" si="167"/>
        <v>0.25533211456429006</v>
      </c>
      <c r="EC63" s="416">
        <f t="shared" si="167"/>
        <v>0.29472407519708915</v>
      </c>
      <c r="ED63" s="416">
        <f t="shared" si="167"/>
        <v>0.29515151515151516</v>
      </c>
      <c r="EE63" s="417">
        <f t="shared" si="167"/>
        <v>0.2992409638554217</v>
      </c>
      <c r="EF63" s="417">
        <f t="shared" si="167"/>
        <v>0.30514612224257848</v>
      </c>
      <c r="EG63" s="417">
        <f t="shared" si="167"/>
        <v>0.3099184275631201</v>
      </c>
      <c r="EH63" s="417">
        <f t="shared" si="167"/>
        <v>0.30826342713538879</v>
      </c>
      <c r="EI63" s="417">
        <f t="shared" si="167"/>
        <v>0.31261173726263825</v>
      </c>
      <c r="EJ63" s="417">
        <f t="shared" si="167"/>
        <v>0.31652866293972914</v>
      </c>
      <c r="EK63" s="417">
        <f t="shared" si="167"/>
        <v>0.32022094454656391</v>
      </c>
      <c r="EL63" s="417">
        <f t="shared" si="167"/>
        <v>0.31783578993806921</v>
      </c>
      <c r="EM63" s="417">
        <f t="shared" si="167"/>
        <v>0.32166294303227078</v>
      </c>
      <c r="EN63" s="417">
        <f t="shared" si="167"/>
        <v>0.32555006278632964</v>
      </c>
      <c r="EO63" s="417">
        <f t="shared" si="167"/>
        <v>0.32917844262512291</v>
      </c>
      <c r="EP63" s="417">
        <f t="shared" si="167"/>
        <v>0.32587272976325143</v>
      </c>
      <c r="EQ63" s="417">
        <f t="shared" si="167"/>
        <v>0.32907933884310397</v>
      </c>
      <c r="ER63" s="417">
        <f t="shared" si="167"/>
        <v>0.33209179226702706</v>
      </c>
      <c r="ES63" s="417">
        <f t="shared" si="167"/>
        <v>0.33503749511253611</v>
      </c>
      <c r="ET63" s="417">
        <f t="shared" si="167"/>
        <v>0.33051212703174121</v>
      </c>
      <c r="EU63" s="417">
        <f t="shared" si="167"/>
        <v>0.33262332771090519</v>
      </c>
      <c r="EV63" s="417">
        <f t="shared" si="167"/>
        <v>0.33480136363286173</v>
      </c>
      <c r="EW63" s="417">
        <f t="shared" si="167"/>
        <v>0.33665022704045033</v>
      </c>
      <c r="FL63" s="415">
        <f>AX63+AY63+AZ63+BA63</f>
        <v>0.28169743788519314</v>
      </c>
      <c r="FM63" s="415">
        <f>BB63+BC63+BD63+BE63</f>
        <v>0.1603875185057243</v>
      </c>
      <c r="FN63" s="415">
        <f>BF63+BG63+BH63+BI63</f>
        <v>0.20345830278424243</v>
      </c>
      <c r="FO63" s="415">
        <f>BJ63+BK63+BL63+BM63</f>
        <v>0.13827207326922725</v>
      </c>
      <c r="FP63" s="415">
        <f>BN63+BO63+BP63+BQ63</f>
        <v>0.11066635929594382</v>
      </c>
      <c r="FQ63" s="415">
        <f>BR63+BS63+BT63+BU63</f>
        <v>0.1146132303236489</v>
      </c>
      <c r="FR63" s="415">
        <f>BV63+BW63+BX63+BY63</f>
        <v>0.1127829446256739</v>
      </c>
      <c r="FS63" s="415">
        <f>BZ63+CA63+CB63+CC63</f>
        <v>0.13007887702495238</v>
      </c>
      <c r="FT63" s="415">
        <f>CD63+CE63+CF63+CG63</f>
        <v>0.12007477304353961</v>
      </c>
      <c r="FU63" s="415">
        <f>CH63+CI63+CJ63+CK63</f>
        <v>0.1049484493252283</v>
      </c>
      <c r="FV63" s="415">
        <f>CL63+CM63+CN63+CO63</f>
        <v>8.0517991226661492E-2</v>
      </c>
      <c r="FW63" s="415">
        <f>CP63+CQ63+CR63+CS63</f>
        <v>0.10147118782701924</v>
      </c>
      <c r="FX63" s="415">
        <f>CT63+CU63+CV63+CW63</f>
        <v>9.5741983161048233E-2</v>
      </c>
      <c r="FY63" s="415">
        <f>CX63+CY63+CZ63+DA63</f>
        <v>0.1291690774194254</v>
      </c>
      <c r="FZ63" s="415">
        <f>DB63+DC63+DD63+DE63</f>
        <v>0.17437782052027842</v>
      </c>
      <c r="GA63" s="415">
        <f>SUM(DF63:DI63)</f>
        <v>0.22409100433676865</v>
      </c>
      <c r="GB63" s="415">
        <f>SUM(DJ63:DM63)</f>
        <v>0.30856051578019261</v>
      </c>
      <c r="GC63" s="415">
        <f>SUM(DN63:DQ63)</f>
        <v>0.63923825843641757</v>
      </c>
      <c r="GD63" s="415">
        <f>SUM(DR63:DU63)</f>
        <v>0.84964108787670878</v>
      </c>
      <c r="GE63" s="415">
        <f>SUM(DV63:DY63)</f>
        <v>0.85973380062791982</v>
      </c>
      <c r="GF63" s="415">
        <f>SUM(DZ63:EC63)</f>
        <v>1.000298796481925</v>
      </c>
      <c r="GG63" s="417">
        <f>SUM(ED63:EG63)</f>
        <v>1.2094570288126354</v>
      </c>
      <c r="GH63" s="417">
        <f>SUM(EH63:EK63)</f>
        <v>1.2576247718843201</v>
      </c>
      <c r="GI63" s="417">
        <f>SUM(EL63:EO63)</f>
        <v>1.2942272383817925</v>
      </c>
      <c r="GJ63" s="417">
        <f>SUM(EP63:ES63)</f>
        <v>1.3220813559859186</v>
      </c>
      <c r="GK63" s="417">
        <f>SUM(ET63:EW63)</f>
        <v>1.3345870454159585</v>
      </c>
      <c r="GN63" s="70"/>
    </row>
    <row r="64" spans="1:196" s="382" customFormat="1">
      <c r="A64" s="381" t="s">
        <v>198</v>
      </c>
      <c r="B64" s="415"/>
      <c r="C64" s="415"/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Y64" s="382">
        <f t="shared" ref="AY64:DJ64" si="168">AY63/AX63-1</f>
        <v>1.6772022591499951</v>
      </c>
      <c r="AZ64" s="382">
        <f t="shared" si="168"/>
        <v>-0.89208872491588309</v>
      </c>
      <c r="BA64" s="382">
        <f t="shared" si="168"/>
        <v>-1.9105815976636187E-2</v>
      </c>
      <c r="BB64" s="382">
        <f t="shared" si="168"/>
        <v>0.93448084362622974</v>
      </c>
      <c r="BC64" s="382">
        <f t="shared" si="168"/>
        <v>0.10033712577617138</v>
      </c>
      <c r="BD64" s="382">
        <f t="shared" si="168"/>
        <v>-0.16934690360970417</v>
      </c>
      <c r="BE64" s="382">
        <f t="shared" si="168"/>
        <v>0.53088443759630199</v>
      </c>
      <c r="BF64" s="382">
        <f t="shared" si="168"/>
        <v>0.35545381447020774</v>
      </c>
      <c r="BG64" s="382">
        <f t="shared" si="168"/>
        <v>-0.18516692546583835</v>
      </c>
      <c r="BH64" s="382">
        <f t="shared" si="168"/>
        <v>-0.13217654594153971</v>
      </c>
      <c r="BI64" s="382">
        <f t="shared" si="168"/>
        <v>-0.39180977177522935</v>
      </c>
      <c r="BJ64" s="382">
        <f t="shared" si="168"/>
        <v>0.1691042332579713</v>
      </c>
      <c r="BK64" s="382">
        <f t="shared" si="168"/>
        <v>-1.6474464579901982E-3</v>
      </c>
      <c r="BL64" s="382">
        <f t="shared" si="168"/>
        <v>-1.6447368421050879E-3</v>
      </c>
      <c r="BM64" s="382">
        <f t="shared" si="168"/>
        <v>-1.6420361247948545E-3</v>
      </c>
      <c r="BN64" s="382">
        <f t="shared" si="168"/>
        <v>-2.7156549520766848E-2</v>
      </c>
      <c r="BO64" s="382">
        <f t="shared" si="168"/>
        <v>-0.19554508460055675</v>
      </c>
      <c r="BP64" s="382">
        <f t="shared" si="168"/>
        <v>1.4489273134806302E-2</v>
      </c>
      <c r="BQ64" s="382">
        <f t="shared" si="168"/>
        <v>-0.16880697318517535</v>
      </c>
      <c r="BR64" s="382">
        <f t="shared" si="168"/>
        <v>0.16563513115237249</v>
      </c>
      <c r="BS64" s="382">
        <f t="shared" si="168"/>
        <v>6.3469675599435726E-2</v>
      </c>
      <c r="BT64" s="382">
        <f t="shared" si="168"/>
        <v>9.3828892005610065E-2</v>
      </c>
      <c r="BU64" s="382">
        <f t="shared" si="168"/>
        <v>-5.9366754617414252E-2</v>
      </c>
      <c r="BV64" s="382">
        <f t="shared" si="168"/>
        <v>-5.295097572584484E-2</v>
      </c>
      <c r="BW64" s="382">
        <f t="shared" si="168"/>
        <v>-2.0701147215279159E-2</v>
      </c>
      <c r="BX64" s="382">
        <f t="shared" si="168"/>
        <v>0.10296896086369767</v>
      </c>
      <c r="BY64" s="382">
        <f t="shared" si="168"/>
        <v>-3.3718330849478395E-2</v>
      </c>
      <c r="BZ64" s="382">
        <f t="shared" si="168"/>
        <v>-2.7247956403270157E-3</v>
      </c>
      <c r="CA64" s="382">
        <f t="shared" si="168"/>
        <v>0.20365815200252291</v>
      </c>
      <c r="CB64" s="382">
        <f t="shared" si="168"/>
        <v>5.2400619514713531E-2</v>
      </c>
      <c r="CC64" s="382">
        <f t="shared" si="168"/>
        <v>-0.1504288759978184</v>
      </c>
      <c r="CD64" s="382">
        <f t="shared" si="168"/>
        <v>4.069193707552099E-2</v>
      </c>
      <c r="CE64" s="382">
        <f t="shared" si="168"/>
        <v>-0.16999113475177308</v>
      </c>
      <c r="CF64" s="382">
        <f t="shared" si="168"/>
        <v>0.13193717277486905</v>
      </c>
      <c r="CG64" s="382">
        <f t="shared" si="168"/>
        <v>4.0753774548756727E-2</v>
      </c>
      <c r="CH64" s="382">
        <f t="shared" si="168"/>
        <v>-3.5370127025843079E-2</v>
      </c>
      <c r="CI64" s="382">
        <f t="shared" si="168"/>
        <v>-9.0541770999317039E-2</v>
      </c>
      <c r="CJ64" s="382">
        <f t="shared" si="168"/>
        <v>-2.6751592356687892E-2</v>
      </c>
      <c r="CK64" s="382">
        <f t="shared" si="168"/>
        <v>-0.23419303700993843</v>
      </c>
      <c r="CL64" s="382">
        <f t="shared" si="168"/>
        <v>6.7969755469755366E-2</v>
      </c>
      <c r="CM64" s="382">
        <f t="shared" si="168"/>
        <v>-1.2853470437017567E-3</v>
      </c>
      <c r="CN64" s="382">
        <f t="shared" si="168"/>
        <v>-0.24211315099288122</v>
      </c>
      <c r="CO64" s="382">
        <f t="shared" si="168"/>
        <v>0.22143343382281455</v>
      </c>
      <c r="CP64" s="382">
        <f t="shared" si="168"/>
        <v>-2.5220680958386588E-3</v>
      </c>
      <c r="CQ64" s="382">
        <f t="shared" si="168"/>
        <v>8.6632155907429897E-2</v>
      </c>
      <c r="CR64" s="382">
        <f t="shared" si="168"/>
        <v>0.28718473074301287</v>
      </c>
      <c r="CS64" s="382">
        <f t="shared" si="168"/>
        <v>0.10376873861672808</v>
      </c>
      <c r="CT64" s="382">
        <f t="shared" si="168"/>
        <v>-0.21365355660827734</v>
      </c>
      <c r="CU64" s="382">
        <f t="shared" si="168"/>
        <v>-5.4221923787141191E-2</v>
      </c>
      <c r="CV64" s="382">
        <f t="shared" si="168"/>
        <v>0.20137555982085731</v>
      </c>
      <c r="CW64" s="382">
        <f t="shared" si="168"/>
        <v>-0.27237056495860079</v>
      </c>
      <c r="CX64" s="382">
        <f t="shared" si="168"/>
        <v>0.52087630047206579</v>
      </c>
      <c r="CY64" s="382">
        <f t="shared" si="168"/>
        <v>2.4348709369024668E-2</v>
      </c>
      <c r="CZ64" s="382">
        <f t="shared" si="168"/>
        <v>6.0493409935789E-2</v>
      </c>
      <c r="DA64" s="382">
        <f t="shared" si="168"/>
        <v>-2.780352177942369E-3</v>
      </c>
      <c r="DB64" s="382">
        <f t="shared" si="168"/>
        <v>0.12327341052203922</v>
      </c>
      <c r="DC64" s="382">
        <f t="shared" si="168"/>
        <v>8.2715696408542039E-2</v>
      </c>
      <c r="DD64" s="382">
        <f t="shared" si="168"/>
        <v>0.19140555058191588</v>
      </c>
      <c r="DE64" s="382">
        <f t="shared" si="168"/>
        <v>-7.5289936401048418E-3</v>
      </c>
      <c r="DF64" s="382">
        <f t="shared" si="168"/>
        <v>4.6439628482972672E-3</v>
      </c>
      <c r="DG64" s="382">
        <f t="shared" si="168"/>
        <v>1.4462724296548046E-2</v>
      </c>
      <c r="DH64" s="382">
        <f t="shared" si="168"/>
        <v>0.27917695473251025</v>
      </c>
      <c r="DI64" s="382">
        <f t="shared" si="168"/>
        <v>3.0147248218425293E-2</v>
      </c>
      <c r="DJ64" s="383">
        <f t="shared" si="168"/>
        <v>7.1579142201976476E-2</v>
      </c>
      <c r="DK64" s="383">
        <f t="shared" ref="DK64:EW64" si="169">DK63/DJ63-1</f>
        <v>-2.4322001527883885E-2</v>
      </c>
      <c r="DL64" s="383">
        <f t="shared" si="169"/>
        <v>0.19471054951513378</v>
      </c>
      <c r="DM64" s="383">
        <f t="shared" si="169"/>
        <v>0.13871943659177699</v>
      </c>
      <c r="DN64" s="383">
        <f t="shared" si="169"/>
        <v>0.34642857142857153</v>
      </c>
      <c r="DO64" s="383">
        <f t="shared" si="169"/>
        <v>0.28602518593644355</v>
      </c>
      <c r="DP64" s="383">
        <f t="shared" si="169"/>
        <v>4.3084051084051112E-2</v>
      </c>
      <c r="DQ64" s="383">
        <f t="shared" si="169"/>
        <v>0.15740208895281249</v>
      </c>
      <c r="DR64" s="383">
        <f t="shared" si="169"/>
        <v>-1.1853987705492508E-2</v>
      </c>
      <c r="DS64" s="383">
        <f t="shared" si="169"/>
        <v>0.12976311626547909</v>
      </c>
      <c r="DT64" s="383">
        <f t="shared" si="169"/>
        <v>1.3122428963541433E-2</v>
      </c>
      <c r="DU64" s="383">
        <f t="shared" si="169"/>
        <v>6.0140877421330785E-2</v>
      </c>
      <c r="DV64" s="382">
        <f t="shared" si="169"/>
        <v>-1.4678964935577632E-2</v>
      </c>
      <c r="DW64" s="382">
        <f t="shared" si="169"/>
        <v>-6.6246025617171633E-2</v>
      </c>
      <c r="DX64" s="382">
        <f t="shared" si="169"/>
        <v>1.5070947044108607E-2</v>
      </c>
      <c r="DY64" s="383">
        <f t="shared" si="169"/>
        <v>-3.3005889799035404E-2</v>
      </c>
      <c r="DZ64" s="383">
        <f t="shared" si="169"/>
        <v>7.902919737161973E-2</v>
      </c>
      <c r="EA64" s="383">
        <f t="shared" si="169"/>
        <v>1.1248567383536745E-2</v>
      </c>
      <c r="EB64" s="383">
        <f t="shared" si="169"/>
        <v>0.12788982856312403</v>
      </c>
      <c r="EC64" s="383">
        <f t="shared" si="169"/>
        <v>0.1542773446263086</v>
      </c>
      <c r="ED64" s="383">
        <f t="shared" si="169"/>
        <v>1.4503055243795249E-3</v>
      </c>
      <c r="EE64" s="384">
        <f t="shared" si="169"/>
        <v>1.3855421686747027E-2</v>
      </c>
      <c r="EF64" s="384">
        <f t="shared" si="169"/>
        <v>1.9733790157185238E-2</v>
      </c>
      <c r="EG64" s="384">
        <f t="shared" si="169"/>
        <v>1.5639410015991784E-2</v>
      </c>
      <c r="EH64" s="384">
        <f t="shared" si="169"/>
        <v>-5.3401162387939349E-3</v>
      </c>
      <c r="EI64" s="384">
        <f t="shared" si="169"/>
        <v>1.4105825552051865E-2</v>
      </c>
      <c r="EJ64" s="384">
        <f t="shared" si="169"/>
        <v>1.2529682063089354E-2</v>
      </c>
      <c r="EK64" s="384">
        <f t="shared" si="169"/>
        <v>1.1664920239901955E-2</v>
      </c>
      <c r="EL64" s="384">
        <f t="shared" si="169"/>
        <v>-7.4484653459258032E-3</v>
      </c>
      <c r="EM64" s="384">
        <f t="shared" si="169"/>
        <v>1.2041290551159323E-2</v>
      </c>
      <c r="EN64" s="384">
        <f t="shared" si="169"/>
        <v>1.2084450006629721E-2</v>
      </c>
      <c r="EO64" s="384">
        <f t="shared" si="169"/>
        <v>1.1145382088820988E-2</v>
      </c>
      <c r="EP64" s="384">
        <f t="shared" si="169"/>
        <v>-1.004231272105538E-2</v>
      </c>
      <c r="EQ64" s="384">
        <f t="shared" si="169"/>
        <v>9.8400657280595105E-3</v>
      </c>
      <c r="ER64" s="384">
        <f t="shared" si="169"/>
        <v>9.1541858401489318E-3</v>
      </c>
      <c r="ES64" s="384">
        <f t="shared" si="169"/>
        <v>8.8701464899212379E-3</v>
      </c>
      <c r="ET64" s="384">
        <f t="shared" si="169"/>
        <v>-1.3507049649099323E-2</v>
      </c>
      <c r="EU64" s="384">
        <f t="shared" si="169"/>
        <v>6.3876647980338763E-3</v>
      </c>
      <c r="EV64" s="384">
        <f t="shared" si="169"/>
        <v>6.5480552339658438E-3</v>
      </c>
      <c r="EW64" s="384">
        <f t="shared" si="169"/>
        <v>5.5222696452814635E-3</v>
      </c>
      <c r="FM64" s="415"/>
      <c r="FN64" s="415"/>
      <c r="FO64" s="415"/>
      <c r="FP64" s="415"/>
      <c r="FQ64" s="415"/>
      <c r="FR64" s="415"/>
      <c r="FS64" s="415"/>
      <c r="FT64" s="415"/>
      <c r="FU64" s="415"/>
      <c r="FV64" s="415"/>
      <c r="FW64" s="415"/>
      <c r="FX64" s="415"/>
      <c r="FY64" s="415"/>
      <c r="FZ64" s="386" t="s">
        <v>199</v>
      </c>
      <c r="GA64" s="386" t="s">
        <v>199</v>
      </c>
      <c r="GB64" s="386" t="s">
        <v>199</v>
      </c>
      <c r="GC64" s="386" t="s">
        <v>199</v>
      </c>
      <c r="GD64" s="386" t="s">
        <v>199</v>
      </c>
      <c r="GE64" s="386" t="s">
        <v>199</v>
      </c>
      <c r="GF64" s="386" t="s">
        <v>199</v>
      </c>
      <c r="GG64" s="386" t="s">
        <v>199</v>
      </c>
      <c r="GH64" s="386" t="s">
        <v>199</v>
      </c>
      <c r="GI64" s="386" t="s">
        <v>199</v>
      </c>
      <c r="GJ64" s="386" t="s">
        <v>199</v>
      </c>
      <c r="GK64" s="386" t="s">
        <v>199</v>
      </c>
      <c r="GN64" s="70"/>
    </row>
    <row r="65" spans="1:196" s="382" customFormat="1">
      <c r="A65" s="381" t="s">
        <v>200</v>
      </c>
      <c r="B65" s="415"/>
      <c r="C65" s="415"/>
      <c r="D65" s="415"/>
      <c r="E65" s="415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15"/>
      <c r="Y65" s="415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5"/>
      <c r="AU65" s="415"/>
      <c r="AV65" s="415"/>
      <c r="AW65" s="415"/>
      <c r="BB65" s="382">
        <f t="shared" ref="BB65:DM65" si="170">BB63/AX63-1</f>
        <v>-0.45180559343587468</v>
      </c>
      <c r="BC65" s="382">
        <f t="shared" si="170"/>
        <v>-0.77469066611468596</v>
      </c>
      <c r="BD65" s="382">
        <f t="shared" si="170"/>
        <v>0.734331242880641</v>
      </c>
      <c r="BE65" s="382">
        <f t="shared" si="170"/>
        <v>1.7067758710452146</v>
      </c>
      <c r="BF65" s="382">
        <f t="shared" si="170"/>
        <v>0.89658620369002895</v>
      </c>
      <c r="BG65" s="382">
        <f t="shared" si="170"/>
        <v>0.40447971014492778</v>
      </c>
      <c r="BH65" s="382">
        <f t="shared" si="170"/>
        <v>0.46732786347226773</v>
      </c>
      <c r="BI65" s="382">
        <f t="shared" si="170"/>
        <v>-0.41705954659322531</v>
      </c>
      <c r="BJ65" s="382">
        <f t="shared" si="170"/>
        <v>-0.49720297029702964</v>
      </c>
      <c r="BK65" s="382">
        <f t="shared" si="170"/>
        <v>-0.38396131157995439</v>
      </c>
      <c r="BL65" s="382">
        <f t="shared" si="170"/>
        <v>-0.29130116959064323</v>
      </c>
      <c r="BM65" s="382">
        <f t="shared" si="170"/>
        <v>0.16334509910399109</v>
      </c>
      <c r="BN65" s="382">
        <f t="shared" si="170"/>
        <v>-3.1948881789137462E-2</v>
      </c>
      <c r="BO65" s="382">
        <f t="shared" si="170"/>
        <v>-0.21996144784750471</v>
      </c>
      <c r="BP65" s="382">
        <f t="shared" si="170"/>
        <v>-0.20735556470426786</v>
      </c>
      <c r="BQ65" s="382">
        <f t="shared" si="170"/>
        <v>-0.34007585335018964</v>
      </c>
      <c r="BR65" s="382">
        <f t="shared" si="170"/>
        <v>-0.20929645067576097</v>
      </c>
      <c r="BS65" s="382">
        <f t="shared" si="170"/>
        <v>4.5290706785770185E-2</v>
      </c>
      <c r="BT65" s="382">
        <f t="shared" si="170"/>
        <v>0.12703919687015564</v>
      </c>
      <c r="BU65" s="382">
        <f t="shared" si="170"/>
        <v>0.27543242450894168</v>
      </c>
      <c r="BV65" s="382">
        <f t="shared" si="170"/>
        <v>3.6256544502617727E-2</v>
      </c>
      <c r="BW65" s="382">
        <f t="shared" si="170"/>
        <v>-4.576043068640645E-2</v>
      </c>
      <c r="BX65" s="382">
        <f t="shared" si="170"/>
        <v>-3.7786774628879916E-2</v>
      </c>
      <c r="BY65" s="382">
        <f t="shared" si="170"/>
        <v>-1.1549925484351742E-2</v>
      </c>
      <c r="BZ65" s="382">
        <f t="shared" si="170"/>
        <v>4.0871934604904459E-2</v>
      </c>
      <c r="CA65" s="382">
        <f t="shared" si="170"/>
        <v>0.27933774834437086</v>
      </c>
      <c r="CB65" s="382">
        <f t="shared" si="170"/>
        <v>0.22068334350213559</v>
      </c>
      <c r="CC65" s="382">
        <f t="shared" si="170"/>
        <v>7.3245362401988867E-2</v>
      </c>
      <c r="CD65" s="382">
        <f t="shared" si="170"/>
        <v>0.11996948312035105</v>
      </c>
      <c r="CE65" s="382">
        <f t="shared" si="170"/>
        <v>-0.22770049099836331</v>
      </c>
      <c r="CF65" s="382">
        <f t="shared" si="170"/>
        <v>-0.16933294551095601</v>
      </c>
      <c r="CG65" s="382">
        <f t="shared" si="170"/>
        <v>1.7595640821886471E-2</v>
      </c>
      <c r="CH65" s="382">
        <f t="shared" si="170"/>
        <v>-5.6778361804643129E-2</v>
      </c>
      <c r="CI65" s="382">
        <f t="shared" si="170"/>
        <v>3.3507853403141441E-2</v>
      </c>
      <c r="CJ65" s="382">
        <f t="shared" si="170"/>
        <v>-0.11138188867349763</v>
      </c>
      <c r="CK65" s="382">
        <f t="shared" si="170"/>
        <v>-0.34613743064447289</v>
      </c>
      <c r="CL65" s="382">
        <f t="shared" si="170"/>
        <v>-0.27608975435062399</v>
      </c>
      <c r="CM65" s="382">
        <f t="shared" si="170"/>
        <v>-0.20504345697147752</v>
      </c>
      <c r="CN65" s="382">
        <f t="shared" si="170"/>
        <v>-0.38095238095238093</v>
      </c>
      <c r="CO65" s="382">
        <f t="shared" si="170"/>
        <v>-1.2642225031605392E-2</v>
      </c>
      <c r="CP65" s="382">
        <f t="shared" si="170"/>
        <v>-7.7813218603961065E-2</v>
      </c>
      <c r="CQ65" s="382">
        <f t="shared" si="170"/>
        <v>3.3674858493946136E-3</v>
      </c>
      <c r="CR65" s="382">
        <f t="shared" si="170"/>
        <v>0.70410571024067958</v>
      </c>
      <c r="CS65" s="382">
        <f t="shared" si="170"/>
        <v>0.53994360902255623</v>
      </c>
      <c r="CT65" s="382">
        <f t="shared" si="170"/>
        <v>0.21399094781682648</v>
      </c>
      <c r="CU65" s="382">
        <f t="shared" si="170"/>
        <v>5.6628056628056589E-2</v>
      </c>
      <c r="CV65" s="382">
        <f t="shared" si="170"/>
        <v>-1.3811232579487687E-2</v>
      </c>
      <c r="CW65" s="382">
        <f t="shared" si="170"/>
        <v>-0.34988195391214716</v>
      </c>
      <c r="CX65" s="382">
        <f t="shared" si="170"/>
        <v>0.25739632589864847</v>
      </c>
      <c r="CY65" s="382">
        <f t="shared" si="170"/>
        <v>0.36185468451242819</v>
      </c>
      <c r="CZ65" s="382">
        <f t="shared" si="170"/>
        <v>0.20215357005512113</v>
      </c>
      <c r="DA65" s="382">
        <f t="shared" si="170"/>
        <v>0.64755726201509356</v>
      </c>
      <c r="DB65" s="382">
        <f t="shared" si="170"/>
        <v>0.21683615173674564</v>
      </c>
      <c r="DC65" s="382">
        <f t="shared" si="170"/>
        <v>0.286170997622756</v>
      </c>
      <c r="DD65" s="382">
        <f t="shared" si="170"/>
        <v>0.44494180841539843</v>
      </c>
      <c r="DE65" s="382">
        <f t="shared" si="170"/>
        <v>0.43806116722783361</v>
      </c>
      <c r="DF65" s="382">
        <f t="shared" si="170"/>
        <v>0.28618683245655996</v>
      </c>
      <c r="DG65" s="382">
        <f t="shared" si="170"/>
        <v>0.20510730779679442</v>
      </c>
      <c r="DH65" s="382">
        <f t="shared" si="170"/>
        <v>0.29388812680993759</v>
      </c>
      <c r="DI65" s="382">
        <f t="shared" si="170"/>
        <v>0.34300678286253983</v>
      </c>
      <c r="DJ65" s="383">
        <f t="shared" si="170"/>
        <v>0.4324856462294675</v>
      </c>
      <c r="DK65" s="383">
        <f t="shared" si="170"/>
        <v>0.37771915584415572</v>
      </c>
      <c r="DL65" s="383">
        <f t="shared" si="170"/>
        <v>0.28674582798459558</v>
      </c>
      <c r="DM65" s="383">
        <f t="shared" si="170"/>
        <v>0.42236217862396153</v>
      </c>
      <c r="DN65" s="383">
        <f t="shared" ref="DN65:EW65" si="171">DN63/DJ63-1</f>
        <v>0.78718397997496847</v>
      </c>
      <c r="DO65" s="383">
        <f t="shared" si="171"/>
        <v>1.3556579258209305</v>
      </c>
      <c r="DP65" s="383">
        <f t="shared" si="171"/>
        <v>1.0566899766899769</v>
      </c>
      <c r="DQ65" s="383">
        <f t="shared" si="171"/>
        <v>1.0904335158043441</v>
      </c>
      <c r="DR65" s="383">
        <f t="shared" si="171"/>
        <v>0.53417239238853576</v>
      </c>
      <c r="DS65" s="383">
        <f t="shared" si="171"/>
        <v>0.34775850571794042</v>
      </c>
      <c r="DT65" s="383">
        <f t="shared" si="171"/>
        <v>0.30904539241124507</v>
      </c>
      <c r="DU65" s="383">
        <f t="shared" si="171"/>
        <v>0.19904097646033136</v>
      </c>
      <c r="DV65" s="382">
        <f t="shared" si="171"/>
        <v>0.19561307874653688</v>
      </c>
      <c r="DW65" s="382">
        <f t="shared" si="171"/>
        <v>-1.1820754253294874E-2</v>
      </c>
      <c r="DX65" s="382">
        <f t="shared" si="171"/>
        <v>-9.9202088975390845E-3</v>
      </c>
      <c r="DY65" s="383">
        <f t="shared" si="171"/>
        <v>-9.6911224710202304E-2</v>
      </c>
      <c r="DZ65" s="383">
        <f t="shared" si="171"/>
        <v>-1.1023695142611922E-2</v>
      </c>
      <c r="EA65" s="383">
        <f t="shared" si="171"/>
        <v>7.1053938082910717E-2</v>
      </c>
      <c r="EB65" s="383">
        <f t="shared" si="171"/>
        <v>0.19009498412301573</v>
      </c>
      <c r="EC65" s="383">
        <f t="shared" si="171"/>
        <v>0.42058743030101375</v>
      </c>
      <c r="ED65" s="383">
        <f t="shared" si="171"/>
        <v>0.31845154845154866</v>
      </c>
      <c r="EE65" s="384">
        <f t="shared" si="171"/>
        <v>0.32185032814183567</v>
      </c>
      <c r="EF65" s="384">
        <f t="shared" si="171"/>
        <v>0.19509495608608907</v>
      </c>
      <c r="EG65" s="384">
        <f t="shared" si="171"/>
        <v>5.1554500106142154E-2</v>
      </c>
      <c r="EH65" s="384">
        <f t="shared" si="171"/>
        <v>4.4424342450495757E-2</v>
      </c>
      <c r="EI65" s="384">
        <f t="shared" si="171"/>
        <v>4.4682296283728773E-2</v>
      </c>
      <c r="EJ65" s="384">
        <f t="shared" si="171"/>
        <v>3.7301934605945997E-2</v>
      </c>
      <c r="EK65" s="384">
        <f t="shared" si="171"/>
        <v>3.3242673126771427E-2</v>
      </c>
      <c r="EL65" s="384">
        <f t="shared" si="171"/>
        <v>3.1052541300905734E-2</v>
      </c>
      <c r="EM65" s="384">
        <f t="shared" si="171"/>
        <v>2.8953505869257379E-2</v>
      </c>
      <c r="EN65" s="384">
        <f t="shared" si="171"/>
        <v>2.8501051888366602E-2</v>
      </c>
      <c r="EO65" s="384">
        <f t="shared" si="171"/>
        <v>2.7972867581297356E-2</v>
      </c>
      <c r="EP65" s="384">
        <f t="shared" si="171"/>
        <v>2.5286453192537639E-2</v>
      </c>
      <c r="EQ65" s="384">
        <f t="shared" si="171"/>
        <v>2.305641968241634E-2</v>
      </c>
      <c r="ER65" s="384">
        <f t="shared" si="171"/>
        <v>2.0094388631683335E-2</v>
      </c>
      <c r="ES65" s="384">
        <f t="shared" si="171"/>
        <v>1.7799016365374953E-2</v>
      </c>
      <c r="ET65" s="384">
        <f t="shared" si="171"/>
        <v>1.4236838019125786E-2</v>
      </c>
      <c r="EU65" s="384">
        <f t="shared" si="171"/>
        <v>1.0769405579396985E-2</v>
      </c>
      <c r="EV65" s="384">
        <f t="shared" si="171"/>
        <v>8.1591036843691178E-3</v>
      </c>
      <c r="EW65" s="384">
        <f t="shared" si="171"/>
        <v>4.8135863938827406E-3</v>
      </c>
      <c r="FM65" s="382">
        <f t="shared" ref="FM65:GK65" si="172">FM63/FL63-1</f>
        <v>-0.43063905831088589</v>
      </c>
      <c r="FN65" s="382">
        <f t="shared" si="172"/>
        <v>0.26854199553552482</v>
      </c>
      <c r="FO65" s="382">
        <f t="shared" si="172"/>
        <v>-0.32039110040223817</v>
      </c>
      <c r="FP65" s="382">
        <f t="shared" si="172"/>
        <v>-0.19964779091388041</v>
      </c>
      <c r="FQ65" s="382">
        <f t="shared" si="172"/>
        <v>3.5664596294799678E-2</v>
      </c>
      <c r="FR65" s="382">
        <f t="shared" si="172"/>
        <v>-1.5969235775019852E-2</v>
      </c>
      <c r="FS65" s="382">
        <f t="shared" si="172"/>
        <v>0.15335592147096011</v>
      </c>
      <c r="FT65" s="382">
        <f t="shared" si="172"/>
        <v>-7.6907982373600414E-2</v>
      </c>
      <c r="FU65" s="382">
        <f t="shared" si="172"/>
        <v>-0.12597420203181597</v>
      </c>
      <c r="FV65" s="382">
        <f t="shared" si="172"/>
        <v>-0.23278531751201426</v>
      </c>
      <c r="FW65" s="382">
        <f t="shared" si="172"/>
        <v>0.26022999681367631</v>
      </c>
      <c r="FX65" s="382">
        <f t="shared" si="172"/>
        <v>-5.6461393511404778E-2</v>
      </c>
      <c r="FY65" s="382">
        <f t="shared" si="172"/>
        <v>0.34913726616827256</v>
      </c>
      <c r="FZ65" s="382">
        <f t="shared" si="172"/>
        <v>0.3499966400940957</v>
      </c>
      <c r="GA65" s="382">
        <f t="shared" si="172"/>
        <v>0.28508891594220298</v>
      </c>
      <c r="GB65" s="382">
        <f t="shared" si="172"/>
        <v>0.37694289288150729</v>
      </c>
      <c r="GC65" s="382">
        <f t="shared" si="172"/>
        <v>1.0716787331655482</v>
      </c>
      <c r="GD65" s="382">
        <f t="shared" si="172"/>
        <v>0.32914617775684829</v>
      </c>
      <c r="GE65" s="382">
        <f t="shared" si="172"/>
        <v>1.1878795523452279E-2</v>
      </c>
      <c r="GF65" s="382">
        <f t="shared" si="172"/>
        <v>0.16349827789874194</v>
      </c>
      <c r="GG65" s="384">
        <f t="shared" si="172"/>
        <v>0.20909575525465485</v>
      </c>
      <c r="GH65" s="384">
        <f t="shared" si="172"/>
        <v>3.9825923471603186E-2</v>
      </c>
      <c r="GI65" s="384">
        <f t="shared" si="172"/>
        <v>2.9104441416679672E-2</v>
      </c>
      <c r="GJ65" s="384">
        <f t="shared" si="172"/>
        <v>2.152181377279061E-2</v>
      </c>
      <c r="GK65" s="384">
        <f t="shared" si="172"/>
        <v>9.459092190823748E-3</v>
      </c>
      <c r="GN65" s="70"/>
    </row>
    <row r="66" spans="1:196" s="415" customFormat="1">
      <c r="A66" s="415" t="s">
        <v>219</v>
      </c>
      <c r="B66" s="415">
        <f>AMD!AF56</f>
        <v>0.30475600079349346</v>
      </c>
      <c r="C66" s="415">
        <f>AMD!AG56</f>
        <v>0.31565084316783881</v>
      </c>
      <c r="D66" s="415">
        <f>AMD!AH56</f>
        <v>0.29850208773347076</v>
      </c>
      <c r="E66" s="415">
        <f>AMD!AI56</f>
        <v>0.20398675327983709</v>
      </c>
      <c r="F66" s="415">
        <f>AMD!AK56</f>
        <v>0.40796276647053159</v>
      </c>
      <c r="G66" s="415">
        <f>AMD!AL56</f>
        <v>0.44716975702404849</v>
      </c>
      <c r="H66" s="415">
        <f>AMD!AM56</f>
        <v>0.41329430162483799</v>
      </c>
      <c r="I66" s="415">
        <f>AMD!AN56</f>
        <v>0.21241297459869357</v>
      </c>
      <c r="J66" s="415">
        <f>AMD!AP56</f>
        <v>0.45349382010363859</v>
      </c>
      <c r="K66" s="415">
        <f>AMD!AQ56</f>
        <v>0.42855878269458375</v>
      </c>
      <c r="L66" s="415">
        <f>AMD!AR56</f>
        <v>0.26166382467223881</v>
      </c>
      <c r="M66" s="415">
        <f>AMD!AS56</f>
        <v>0.2601709753836644</v>
      </c>
      <c r="N66" s="415">
        <f>AMD!AU56</f>
        <v>9.1499938583371188E-2</v>
      </c>
      <c r="O66" s="415">
        <f>AMD!AV56</f>
        <v>-0.1281622876406488</v>
      </c>
      <c r="P66" s="415">
        <f>AMD!AW56</f>
        <v>-0.14095177907438158</v>
      </c>
      <c r="Q66" s="415">
        <f>AMD!AX56</f>
        <v>-7.7169261619163224E-2</v>
      </c>
      <c r="R66" s="415">
        <f>AMD!AZ56</f>
        <v>4.3954738599801771E-2</v>
      </c>
      <c r="S66" s="415">
        <f>AMD!BA56</f>
        <v>3.3694116374502106E-2</v>
      </c>
      <c r="T66" s="415">
        <f>AMD!BB56</f>
        <v>-0.11174416143371202</v>
      </c>
      <c r="U66" s="415">
        <f>AMD!BC56</f>
        <v>-4.3463552495260023E-2</v>
      </c>
      <c r="V66" s="415">
        <f>AMD!BE56</f>
        <v>-0.22009010336624499</v>
      </c>
      <c r="W66" s="415">
        <f>AMD!BF56</f>
        <v>-0.22500731901130597</v>
      </c>
      <c r="X66" s="415">
        <f>AMD!BG56</f>
        <v>3.4301223387570266E-3</v>
      </c>
      <c r="Y66" s="415">
        <f>AMD!BH56</f>
        <v>7.4428639070617406E-2</v>
      </c>
      <c r="Z66" s="415">
        <f>AMD!BJ56</f>
        <v>-0.3884304600812834</v>
      </c>
      <c r="AA66" s="415">
        <f>AMD!BK56</f>
        <v>-0.5783618095492844</v>
      </c>
      <c r="AB66" s="415">
        <f>AMD!BL56</f>
        <v>-0.35805153743859713</v>
      </c>
      <c r="AC66" s="415">
        <f>AMD!BM56</f>
        <v>0.23168576104746308</v>
      </c>
      <c r="AD66" s="415">
        <f>AMD!BO56</f>
        <v>0.57319328610810594</v>
      </c>
      <c r="AE66" s="415">
        <f>AMD!BP56</f>
        <v>0.6053552985506585</v>
      </c>
      <c r="AF66" s="415">
        <f>AMD!BQ56</f>
        <v>0.64219352608297697</v>
      </c>
      <c r="AG66" s="415">
        <f>AMD!BR56</f>
        <v>0.52935542709459049</v>
      </c>
      <c r="AH66" s="415">
        <f>AMD!BT56</f>
        <v>0.36986227383202813</v>
      </c>
      <c r="AI66" s="415">
        <f>AMD!BU56</f>
        <v>5.0955414012738995E-2</v>
      </c>
      <c r="AJ66" s="415">
        <f>AMD!BV56</f>
        <v>-0.2814568576761215</v>
      </c>
      <c r="AK66" s="415">
        <f>AMD!BW56</f>
        <v>-4.6577815411664725E-2</v>
      </c>
      <c r="AL66" s="415">
        <f>AMD!BY56</f>
        <v>-2.6886263739488332E-2</v>
      </c>
      <c r="AM66" s="415">
        <f>AMD!BZ56</f>
        <v>-0.54109929721284322</v>
      </c>
      <c r="AN66" s="415">
        <f>AMD!CA56</f>
        <v>-0.74149892059046651</v>
      </c>
      <c r="AO66" s="415">
        <f>AMD!CB56</f>
        <v>-0.68366240343771922</v>
      </c>
      <c r="AP66" s="415">
        <f>AMD!CD56</f>
        <v>-0.42420553487994644</v>
      </c>
      <c r="AQ66" s="415">
        <f>AMD!CE56</f>
        <v>-0.40452760452760445</v>
      </c>
      <c r="AR66" s="415">
        <f>AMD!CF56</f>
        <v>-8.9916334133715622E-2</v>
      </c>
      <c r="AS66" s="415">
        <f>AMD!CG56</f>
        <v>0.11627621999567515</v>
      </c>
      <c r="AT66" s="415">
        <f>AMD!CI56</f>
        <v>0.11895500558929333</v>
      </c>
      <c r="AU66" s="415">
        <f>AMD!CJ56</f>
        <v>9.2518559418300797E-2</v>
      </c>
      <c r="AV66" s="415">
        <f>AMD!CK56</f>
        <v>0.11581364829396333</v>
      </c>
      <c r="AW66" s="415">
        <f>AMD!CL56</f>
        <v>3.1980912040215068E-2</v>
      </c>
      <c r="AX66" s="415">
        <f>AMD!CN56</f>
        <v>2.196516204204256E-2</v>
      </c>
      <c r="AY66" s="415">
        <f>AMD!CO56</f>
        <v>0.20536847579355186</v>
      </c>
      <c r="AZ66" s="415">
        <f>AMD!CP56</f>
        <v>0.19823476777234134</v>
      </c>
      <c r="BA66" s="415">
        <f>AMD!CQ56</f>
        <v>0.4725936996349952</v>
      </c>
      <c r="BB66" s="415">
        <f>AMD!CS56</f>
        <v>0.41633970354877392</v>
      </c>
      <c r="BC66" s="415">
        <f>AMD!CT56</f>
        <v>0.21761739867566626</v>
      </c>
      <c r="BD66" s="415">
        <f>AMD!CU56</f>
        <v>0.30387179631702288</v>
      </c>
      <c r="BE66" s="415">
        <f>AMD!CV56</f>
        <v>7.5310734463275575E-3</v>
      </c>
      <c r="BF66" s="415">
        <f>AMD!CX56</f>
        <v>-0.82990611269299797</v>
      </c>
      <c r="BG66" s="415">
        <f>AMD!CY56</f>
        <v>-0.79710144927536219</v>
      </c>
      <c r="BH66" s="415">
        <f>AMD!CZ56</f>
        <v>-0.44945848375451269</v>
      </c>
      <c r="BI66" s="415">
        <f>AMD!DA56</f>
        <v>-0.13788918452130888</v>
      </c>
      <c r="BJ66" s="415">
        <f>AMD!DC56</f>
        <v>-0.47359735973597361</v>
      </c>
      <c r="BK66" s="415">
        <f>AMD!DD56</f>
        <v>-0.56836902800658973</v>
      </c>
      <c r="BL66" s="415">
        <f>AMD!DE56</f>
        <v>-0.17434210526315788</v>
      </c>
      <c r="BM66" s="415">
        <f>AMD!DF56</f>
        <v>-0.65188834154351405</v>
      </c>
      <c r="BN66" s="415">
        <f>AMD!DH56</f>
        <v>-0.60862619808306706</v>
      </c>
      <c r="BO66" s="415">
        <f>AMD!DI56</f>
        <v>-0.59670164917541224</v>
      </c>
      <c r="BP66" s="415">
        <f>AMD!DJ56</f>
        <v>-0.23487031700288183</v>
      </c>
      <c r="BQ66" s="415">
        <f>AMD!DK56</f>
        <v>-2.275600505689002E-2</v>
      </c>
      <c r="BR66" s="415">
        <f>AMD!DM56</f>
        <v>-0.12334217506631298</v>
      </c>
      <c r="BS66" s="415">
        <f>AMD!DN56</f>
        <v>-2.3977433004231313E-2</v>
      </c>
      <c r="BT66" s="415">
        <f>AMD!DO56</f>
        <v>-7.8541374474053294E-2</v>
      </c>
      <c r="BU66" s="415">
        <f>AMD!DP56</f>
        <v>0.1927745078140857</v>
      </c>
      <c r="BV66" s="415">
        <f>AMD!DR56</f>
        <v>0.10994764397905764</v>
      </c>
      <c r="BW66" s="415">
        <f>AMD!DS56</f>
        <v>0.12113055181695828</v>
      </c>
      <c r="BX66" s="415">
        <f>AMD!DT56</f>
        <v>0.17813765182186234</v>
      </c>
      <c r="BY66" s="415">
        <f>AMD!DU56</f>
        <v>0.21584699453551912</v>
      </c>
      <c r="BZ66" s="415">
        <f>AMD!DW56</f>
        <v>0.15265694214326128</v>
      </c>
      <c r="CA66" s="415">
        <f>AMD!DX56</f>
        <v>9.5364238410596019E-2</v>
      </c>
      <c r="CB66" s="415">
        <f>AMD!DY56</f>
        <v>-0.16510067114093963</v>
      </c>
      <c r="CC66" s="415">
        <f>AMD!DZ56</f>
        <v>-0.1111111111111111</v>
      </c>
      <c r="CD66" s="415">
        <f>AMD!EB56</f>
        <v>-9.3457943925233655E-2</v>
      </c>
      <c r="CE66" s="415">
        <f>AMD!EC56</f>
        <v>-5.9840425531914904E-2</v>
      </c>
      <c r="CF66" s="415">
        <f>AMD!ED56</f>
        <v>7.0680628272251314E-2</v>
      </c>
      <c r="CG66" s="415">
        <f>AMD!EE56</f>
        <v>9.007832898172323E-2</v>
      </c>
      <c r="CH66" s="415">
        <f>AMD!EG56</f>
        <v>4.5992115637319322E-2</v>
      </c>
      <c r="CI66" s="415">
        <f>AMD!EH56</f>
        <v>4.9738219895287962E-2</v>
      </c>
      <c r="CJ66" s="415">
        <f>AMD!EI56</f>
        <v>5.2229299363057327E-2</v>
      </c>
      <c r="CK66" s="415">
        <f>AMD!EJ56</f>
        <v>2.3047375160051217E-2</v>
      </c>
      <c r="CL66" s="415">
        <f>AMD!EL56</f>
        <v>-9.3951093951093953E-2</v>
      </c>
      <c r="CM66" s="415">
        <f>AMD!EM56</f>
        <v>-0.16838046272493573</v>
      </c>
      <c r="CN66" s="415">
        <f>AMD!EN56</f>
        <v>-0.17324840764331212</v>
      </c>
      <c r="CO66" s="415">
        <f>AMD!EO56</f>
        <v>-9.9873577749683945E-2</v>
      </c>
      <c r="CP66" s="415">
        <f>AMD!EQ56</f>
        <v>-0.12105926860025219</v>
      </c>
      <c r="CQ66" s="415">
        <f>AMD!ER56</f>
        <v>-4.8721071863580989E-2</v>
      </c>
      <c r="CR66" s="415">
        <f>AMD!ES56</f>
        <v>3.3128834355828196E-2</v>
      </c>
      <c r="CS66" s="415">
        <f>AMD!ET56</f>
        <v>-8.5929108485499478E-3</v>
      </c>
      <c r="CT66" s="415">
        <f>AMD!EV56</f>
        <v>-4.0468583599574018E-2</v>
      </c>
      <c r="CU66" s="415">
        <f>AMD!EW56</f>
        <v>2.1593021593021594E-2</v>
      </c>
      <c r="CV66" s="415">
        <f>AMD!EX56</f>
        <v>9.6237970253718289E-2</v>
      </c>
      <c r="CW66" s="415">
        <f>AMD!EY56</f>
        <v>7.7396657871591903E-2</v>
      </c>
      <c r="CX66" s="415">
        <f>AMD!FA56</f>
        <v>0.10614035087719298</v>
      </c>
      <c r="CY66" s="415">
        <f>AMD!FB56</f>
        <v>0.13600697471665213</v>
      </c>
      <c r="CZ66" s="415">
        <f>AMD!FC56</f>
        <v>0.12744265080713679</v>
      </c>
      <c r="DA66" s="415">
        <f>AMD!FD56</f>
        <v>7.3728813559322037E-2</v>
      </c>
      <c r="DB66" s="415">
        <f>AMD!FF56</f>
        <v>5.1882845188284517E-2</v>
      </c>
      <c r="DC66" s="415">
        <f>AMD!FG56</f>
        <v>7.6033057851239663E-2</v>
      </c>
      <c r="DD66" s="415">
        <f>AMD!FH56</f>
        <v>0.18069306930693069</v>
      </c>
      <c r="DE66" s="415">
        <f>AMD!FI56</f>
        <v>0.31496710526315791</v>
      </c>
      <c r="DF66" s="415">
        <f>AMD!FK56</f>
        <v>0.18137254901960784</v>
      </c>
      <c r="DG66" s="415">
        <f>AMD!FL56</f>
        <v>0.17603911980440098</v>
      </c>
      <c r="DH66" s="415">
        <f>AMD!FM56</f>
        <v>0.40731707317073168</v>
      </c>
      <c r="DI66" s="415">
        <f>AMD!FN56</f>
        <v>0.51623376623376627</v>
      </c>
      <c r="DJ66" s="416">
        <f>AMD!FP56</f>
        <v>0.52068126520681268</v>
      </c>
      <c r="DK66" s="416">
        <f>AMD!FQ56</f>
        <v>0.63149350649350644</v>
      </c>
      <c r="DL66" s="416">
        <f>AMD!FR56</f>
        <v>0.72601626016260168</v>
      </c>
      <c r="DM66" s="416">
        <f>AMD!FS56</f>
        <v>0.91816693944353522</v>
      </c>
      <c r="DN66" s="416">
        <f>AMD!FU56</f>
        <v>1.1269503546099291</v>
      </c>
      <c r="DO66" s="416">
        <f>AMD!FV56</f>
        <v>1.0459558823529411</v>
      </c>
      <c r="DP66" s="416">
        <f>AMD!FW56</f>
        <v>0.67384615384615387</v>
      </c>
      <c r="DQ66" s="416">
        <f>AMD!FX56</f>
        <v>0.68788627935723112</v>
      </c>
      <c r="DR66" s="416">
        <f>AMD!FZ56</f>
        <v>0.60211049037864683</v>
      </c>
      <c r="DS66" s="416">
        <f>AMD!GA56</f>
        <v>0.58266748617086661</v>
      </c>
      <c r="DT66" s="416">
        <f>AMD!GB56</f>
        <v>0.69674647022713321</v>
      </c>
      <c r="DU66" s="416">
        <f>AMD!GC56</f>
        <v>0.76719901719901717</v>
      </c>
      <c r="DV66" s="415">
        <f>AMD!GE56</f>
        <v>0.61805979255643684</v>
      </c>
      <c r="DW66" s="415">
        <f>AMD!GF56</f>
        <v>0.68784361637141112</v>
      </c>
      <c r="DX66" s="415">
        <f>AMD!GG56</f>
        <v>0.9193154034229829</v>
      </c>
      <c r="DY66" s="416">
        <f>AMD!GH56</f>
        <v>1.087515299877601</v>
      </c>
      <c r="DZ66" s="416">
        <f>AMD!GJ56</f>
        <v>0.96309963099630991</v>
      </c>
      <c r="EA66" s="416">
        <f>AMD!GK56</f>
        <v>0.47914110429447854</v>
      </c>
      <c r="EB66" s="416">
        <f>AMD!GL56</f>
        <v>1.1974405850091407</v>
      </c>
      <c r="EC66" s="416">
        <f>AMD!GM56</f>
        <v>1.5275924802910854</v>
      </c>
      <c r="ED66" s="416">
        <f>AMD!GO56</f>
        <v>1.3727272727272728</v>
      </c>
      <c r="EE66" s="417">
        <f>AMD!GP56</f>
        <v>1.5942795586907077</v>
      </c>
      <c r="EF66" s="417">
        <f>AMD!GQ56</f>
        <v>1.7007124408320708</v>
      </c>
      <c r="EG66" s="417">
        <f>AMD!GR56</f>
        <v>2.6255783598599312</v>
      </c>
      <c r="EH66" s="417">
        <f>AMD!GT56</f>
        <v>2.8172758020437123</v>
      </c>
      <c r="EI66" s="417">
        <f>AMD!GU56</f>
        <v>3.1181736636061919</v>
      </c>
      <c r="EJ66" s="417">
        <f>AMD!GV56</f>
        <v>3.6091453008009347</v>
      </c>
      <c r="EK66" s="417">
        <f>AMD!GW56</f>
        <v>3.9396612049106117</v>
      </c>
      <c r="EL66" s="417">
        <f>AMD!GY56</f>
        <v>3.9265584813778802</v>
      </c>
      <c r="EM66" s="417">
        <f>AMD!GZ56</f>
        <v>4.2040958558275046</v>
      </c>
      <c r="EN66" s="417">
        <f>AMD!HA56</f>
        <v>4.7073976637350139</v>
      </c>
      <c r="EO66" s="417">
        <f>AMD!HB56</f>
        <v>5.1473059935718721</v>
      </c>
      <c r="EP66" s="417">
        <f>AMD!HD56</f>
        <v>4.9227982394340311</v>
      </c>
      <c r="EQ66" s="417">
        <f>AMD!HE56</f>
        <v>5.1189713655394113</v>
      </c>
      <c r="ER66" s="417">
        <f>AMD!HF56</f>
        <v>5.6265383155051216</v>
      </c>
      <c r="ES66" s="417">
        <f>AMD!HG56</f>
        <v>5.8184584273754973</v>
      </c>
      <c r="ET66" s="417">
        <f>AMD!HI56</f>
        <v>5.396163735288642</v>
      </c>
      <c r="EU66" s="417">
        <f>AMD!HJ56</f>
        <v>5.6369324363912536</v>
      </c>
      <c r="EV66" s="417">
        <f>AMD!HK56</f>
        <v>6.3871541399343883</v>
      </c>
      <c r="EW66" s="417">
        <f>AMD!HL56</f>
        <v>6.7388842408336265</v>
      </c>
      <c r="EZ66" s="415">
        <f>B66+C66+D66+E66</f>
        <v>1.1228956849746401</v>
      </c>
      <c r="FA66" s="415">
        <f>F66+G66+H66+I66</f>
        <v>1.4808397997181117</v>
      </c>
      <c r="FB66" s="415">
        <f>J66+K66+L66+M66</f>
        <v>1.4038874028541257</v>
      </c>
      <c r="FC66" s="415">
        <f>N66+O66+P66+Q66</f>
        <v>-0.25478338975082243</v>
      </c>
      <c r="FD66" s="415">
        <f>R66+S66+T66+U66</f>
        <v>-7.7558858954668158E-2</v>
      </c>
      <c r="FE66" s="415">
        <f>V66+W66+X66+Y66</f>
        <v>-0.36723866096817653</v>
      </c>
      <c r="FF66" s="415">
        <f>Z66+AA66+AB66+AC66</f>
        <v>-1.0931580460217019</v>
      </c>
      <c r="FG66" s="415">
        <f>AD66+AE66+AF66+AG66</f>
        <v>2.3500975378363318</v>
      </c>
      <c r="FH66" s="415">
        <f>AH66+AI66+AJ66+AK66</f>
        <v>9.2783014756980919E-2</v>
      </c>
      <c r="FI66" s="415">
        <f>AL66+AM66+AN66+AO66</f>
        <v>-1.9931468849805172</v>
      </c>
      <c r="FJ66" s="415">
        <f>AP66+AQ66+AR66+AS66</f>
        <v>-0.8023732535455913</v>
      </c>
      <c r="FK66" s="415">
        <f>AT66+AU66+AV66+AW66</f>
        <v>0.35926812534177255</v>
      </c>
      <c r="FL66" s="415">
        <f>AX66+AY66+AZ66+BA66</f>
        <v>0.89816210524293094</v>
      </c>
      <c r="FM66" s="415">
        <f>BB66+BC66+BD66+BE66</f>
        <v>0.94535997198779054</v>
      </c>
      <c r="FN66" s="415">
        <f>BF66+BG66+BH66+BI66</f>
        <v>-2.2143552302441818</v>
      </c>
      <c r="FO66" s="415">
        <f>BJ66+BK66+BL66+BM66</f>
        <v>-1.8681968345492352</v>
      </c>
      <c r="FP66" s="415">
        <f>BN66+BO66+BP66+BQ66</f>
        <v>-1.4629541693182513</v>
      </c>
      <c r="FQ66" s="415">
        <f>AMD!DQ56</f>
        <v>-2.5386769676351117E-2</v>
      </c>
      <c r="FR66" s="415">
        <f>AMD!DV56</f>
        <v>0.6228500587196335</v>
      </c>
      <c r="FS66" s="415">
        <f>AMD!EA56</f>
        <v>-2.9531729438444038E-2</v>
      </c>
      <c r="FT66" s="415">
        <f>AMD!EF56</f>
        <v>1.2241390192902296E-2</v>
      </c>
      <c r="FU66" s="415">
        <f>AMD!EK56</f>
        <v>0.16730765589406393</v>
      </c>
      <c r="FV66" s="415">
        <f>AMD!EP56</f>
        <v>-0.53442047846643148</v>
      </c>
      <c r="FW66" s="415">
        <f>AMD!EU56</f>
        <v>-0.13056290550273586</v>
      </c>
      <c r="FX66" s="415">
        <f>AMD!EZ56</f>
        <v>0.15701754385964911</v>
      </c>
      <c r="FY66" s="415">
        <f>AMD!FE56</f>
        <v>0.44272179155900088</v>
      </c>
      <c r="FZ66" s="415">
        <f>AMD!FJ56</f>
        <v>0.62569832402234637</v>
      </c>
      <c r="GA66" s="415">
        <f>AMD!FO56</f>
        <v>1.2823122328516181</v>
      </c>
      <c r="GB66" s="415">
        <f>+AMD!FT56</f>
        <v>2.7943868212324587</v>
      </c>
      <c r="GC66" s="415">
        <f>+AMD!FY56</f>
        <v>3.5029435163086715</v>
      </c>
      <c r="GD66" s="415">
        <f>+AMD!GD56</f>
        <v>2.6494226327944572</v>
      </c>
      <c r="GE66" s="415">
        <f>+AMD!GI56</f>
        <v>3.3119462267033302</v>
      </c>
      <c r="GF66" s="415">
        <f>+AMD!GN56</f>
        <v>4.1741521539871673</v>
      </c>
      <c r="GG66" s="417">
        <f>+AMD!GS56</f>
        <v>7.2996367431317557</v>
      </c>
      <c r="GH66" s="417">
        <f>+AMD!GX56</f>
        <v>13.496364043450992</v>
      </c>
      <c r="GI66" s="417">
        <f>+AMD!HC56</f>
        <v>17.998572645349036</v>
      </c>
      <c r="GJ66" s="417">
        <f>+AMD!HH56</f>
        <v>21.498805694544917</v>
      </c>
      <c r="GK66" s="417">
        <f>+AMD!HM56</f>
        <v>24.178813357009943</v>
      </c>
      <c r="GN66" s="70"/>
    </row>
    <row r="67" spans="1:196" s="382" customFormat="1">
      <c r="A67" s="381" t="s">
        <v>198</v>
      </c>
      <c r="C67" s="382">
        <f t="shared" ref="C67:N67" si="173">C66/B66-1</f>
        <v>3.5749394092252196E-2</v>
      </c>
      <c r="D67" s="382">
        <f t="shared" si="173"/>
        <v>-5.4328242124319859E-2</v>
      </c>
      <c r="E67" s="382">
        <f t="shared" si="173"/>
        <v>-0.31663207172616281</v>
      </c>
      <c r="F67" s="382">
        <f t="shared" si="173"/>
        <v>0.99994734908532101</v>
      </c>
      <c r="G67" s="382">
        <f t="shared" si="173"/>
        <v>9.6104335434123334E-2</v>
      </c>
      <c r="H67" s="382">
        <f t="shared" si="173"/>
        <v>-7.5755247011010884E-2</v>
      </c>
      <c r="I67" s="382">
        <f t="shared" si="173"/>
        <v>-0.48604910891922137</v>
      </c>
      <c r="J67" s="382">
        <f t="shared" si="173"/>
        <v>1.1349628993257728</v>
      </c>
      <c r="K67" s="382">
        <f t="shared" si="173"/>
        <v>-5.4984293729419154E-2</v>
      </c>
      <c r="L67" s="382">
        <f t="shared" si="173"/>
        <v>-0.38943305973800124</v>
      </c>
      <c r="M67" s="382">
        <f t="shared" si="173"/>
        <v>-5.7052184819370577E-3</v>
      </c>
      <c r="N67" s="382">
        <f t="shared" si="173"/>
        <v>-0.64830843083691536</v>
      </c>
      <c r="S67" s="382">
        <f>S66/R66-1</f>
        <v>-0.23343608794310833</v>
      </c>
      <c r="Y67" s="382">
        <f>Y66/X66-1</f>
        <v>20.698537754658659</v>
      </c>
      <c r="AD67" s="382">
        <f t="shared" ref="AD67:BE67" si="174">AD66/AC66-1</f>
        <v>1.4740117110204358</v>
      </c>
      <c r="AE67" s="382">
        <f t="shared" si="174"/>
        <v>5.6110239289311359E-2</v>
      </c>
      <c r="AF67" s="382">
        <f t="shared" si="174"/>
        <v>6.0853894597960201E-2</v>
      </c>
      <c r="AG67" s="382">
        <f t="shared" si="174"/>
        <v>-0.17570731314692012</v>
      </c>
      <c r="AH67" s="382">
        <f t="shared" si="174"/>
        <v>-0.30129690770897211</v>
      </c>
      <c r="AI67" s="382">
        <f t="shared" si="174"/>
        <v>-0.86223138282040557</v>
      </c>
      <c r="AT67" s="382">
        <f t="shared" si="174"/>
        <v>2.3038120724235833E-2</v>
      </c>
      <c r="AU67" s="382">
        <f t="shared" si="174"/>
        <v>-0.2222390393748338</v>
      </c>
      <c r="AV67" s="382">
        <f t="shared" si="174"/>
        <v>0.25178827926123759</v>
      </c>
      <c r="AW67" s="382">
        <f t="shared" si="174"/>
        <v>-0.72385886714284564</v>
      </c>
      <c r="AX67" s="382">
        <f t="shared" si="174"/>
        <v>-0.31317899832181129</v>
      </c>
      <c r="AY67" s="382">
        <f t="shared" si="174"/>
        <v>8.349736432650257</v>
      </c>
      <c r="AZ67" s="382">
        <f t="shared" si="174"/>
        <v>-3.4736139486090001E-2</v>
      </c>
      <c r="BA67" s="382">
        <f t="shared" si="174"/>
        <v>1.3840101559668674</v>
      </c>
      <c r="BB67" s="382">
        <f t="shared" si="174"/>
        <v>-0.11903247150706564</v>
      </c>
      <c r="BC67" s="382">
        <f t="shared" si="174"/>
        <v>-0.47730808082738496</v>
      </c>
      <c r="BD67" s="382">
        <f t="shared" si="174"/>
        <v>0.39635800338698512</v>
      </c>
      <c r="BE67" s="382">
        <f t="shared" si="174"/>
        <v>-0.97521628022868379</v>
      </c>
      <c r="BV67" s="382">
        <f t="shared" ref="BV67:CK67" si="175">BV66/BU66-1</f>
        <v>-0.42965672574771863</v>
      </c>
      <c r="BW67" s="382">
        <f t="shared" si="175"/>
        <v>0.10171120938281053</v>
      </c>
      <c r="BX67" s="382">
        <f t="shared" si="175"/>
        <v>0.47062528115159674</v>
      </c>
      <c r="BY67" s="382">
        <f t="shared" si="175"/>
        <v>0.21168653750620958</v>
      </c>
      <c r="BZ67" s="382">
        <f t="shared" si="175"/>
        <v>-0.29275391361476411</v>
      </c>
      <c r="CA67" s="382">
        <f t="shared" si="175"/>
        <v>-0.37530362476996815</v>
      </c>
      <c r="CG67" s="382">
        <f t="shared" si="175"/>
        <v>0.27444154337104698</v>
      </c>
      <c r="CH67" s="382">
        <f t="shared" si="175"/>
        <v>-0.48942086118570138</v>
      </c>
      <c r="CI67" s="382">
        <f t="shared" si="175"/>
        <v>8.1451009723261025E-2</v>
      </c>
      <c r="CJ67" s="382">
        <f t="shared" si="175"/>
        <v>5.0083808246731421E-2</v>
      </c>
      <c r="CK67" s="382">
        <f t="shared" si="175"/>
        <v>-0.55872708535023885</v>
      </c>
      <c r="CU67" s="382">
        <f t="shared" ref="CU67:EW67" si="176">CU66/CT66-1</f>
        <v>-1.5335749283117703</v>
      </c>
      <c r="CV67" s="382">
        <f t="shared" si="176"/>
        <v>3.4569014965844502</v>
      </c>
      <c r="CW67" s="382">
        <f t="shared" si="176"/>
        <v>-0.19577836411609506</v>
      </c>
      <c r="CX67" s="382">
        <f t="shared" si="176"/>
        <v>0.37138157894736845</v>
      </c>
      <c r="CY67" s="382">
        <f t="shared" si="176"/>
        <v>0.28138802625606152</v>
      </c>
      <c r="CZ67" s="382">
        <f t="shared" si="176"/>
        <v>-6.2969740539833952E-2</v>
      </c>
      <c r="DA67" s="382">
        <f t="shared" si="176"/>
        <v>-0.42147457627118645</v>
      </c>
      <c r="DB67" s="382">
        <f t="shared" si="176"/>
        <v>-0.29630163997499159</v>
      </c>
      <c r="DC67" s="382">
        <f t="shared" si="176"/>
        <v>0.46547587310050642</v>
      </c>
      <c r="DD67" s="382">
        <f t="shared" si="176"/>
        <v>1.376506672406371</v>
      </c>
      <c r="DE67" s="382">
        <f t="shared" si="176"/>
        <v>0.74310562364816168</v>
      </c>
      <c r="DF67" s="382">
        <f t="shared" si="176"/>
        <v>-0.42415399580197621</v>
      </c>
      <c r="DG67" s="382">
        <f t="shared" si="176"/>
        <v>-2.9405934051410787E-2</v>
      </c>
      <c r="DH67" s="382">
        <f t="shared" si="176"/>
        <v>1.3137872628726286</v>
      </c>
      <c r="DI67" s="382">
        <f t="shared" si="176"/>
        <v>0.26740026440625253</v>
      </c>
      <c r="DJ67" s="383">
        <f t="shared" si="176"/>
        <v>8.6152810295490045E-3</v>
      </c>
      <c r="DK67" s="383">
        <f t="shared" si="176"/>
        <v>0.21282164097584633</v>
      </c>
      <c r="DL67" s="383">
        <f t="shared" si="176"/>
        <v>0.14968127573306589</v>
      </c>
      <c r="DM67" s="383">
        <f t="shared" si="176"/>
        <v>0.26466442946869906</v>
      </c>
      <c r="DN67" s="383">
        <f t="shared" si="176"/>
        <v>0.22739156268568039</v>
      </c>
      <c r="DO67" s="383">
        <f t="shared" si="176"/>
        <v>-7.1870488283419132E-2</v>
      </c>
      <c r="DP67" s="383">
        <f t="shared" si="176"/>
        <v>-0.35576044342300928</v>
      </c>
      <c r="DQ67" s="383">
        <f t="shared" si="176"/>
        <v>2.0835802699087136E-2</v>
      </c>
      <c r="DR67" s="383">
        <f t="shared" si="176"/>
        <v>-0.12469472288171557</v>
      </c>
      <c r="DS67" s="383">
        <f t="shared" si="176"/>
        <v>-3.2291422452302987E-2</v>
      </c>
      <c r="DT67" s="383">
        <f t="shared" si="176"/>
        <v>0.19578745470416226</v>
      </c>
      <c r="DU67" s="383">
        <f t="shared" si="176"/>
        <v>0.10111647490502107</v>
      </c>
      <c r="DV67" s="382">
        <f t="shared" si="176"/>
        <v>-0.1943944417278789</v>
      </c>
      <c r="DW67" s="382">
        <f t="shared" si="176"/>
        <v>0.11290788473123681</v>
      </c>
      <c r="DX67" s="382">
        <f t="shared" si="176"/>
        <v>0.33651804209895464</v>
      </c>
      <c r="DY67" s="383">
        <f t="shared" si="176"/>
        <v>0.1829621214094117</v>
      </c>
      <c r="DZ67" s="383">
        <f t="shared" si="176"/>
        <v>-0.11440360323693277</v>
      </c>
      <c r="EA67" s="383">
        <f t="shared" si="176"/>
        <v>-0.50250099898925793</v>
      </c>
      <c r="EB67" s="383">
        <f t="shared" si="176"/>
        <v>1.499139761286683</v>
      </c>
      <c r="EC67" s="383">
        <f t="shared" si="176"/>
        <v>0.27571463621255532</v>
      </c>
      <c r="ED67" s="383">
        <f t="shared" si="176"/>
        <v>-0.10137861344689436</v>
      </c>
      <c r="EE67" s="384">
        <f t="shared" si="176"/>
        <v>0.16139570500647582</v>
      </c>
      <c r="EF67" s="384">
        <f t="shared" si="176"/>
        <v>6.6759234013368696E-2</v>
      </c>
      <c r="EG67" s="384">
        <f t="shared" si="176"/>
        <v>0.54381087409190187</v>
      </c>
      <c r="EH67" s="384">
        <f t="shared" si="176"/>
        <v>7.3011510574000793E-2</v>
      </c>
      <c r="EI67" s="384">
        <f t="shared" si="176"/>
        <v>0.10680454549185492</v>
      </c>
      <c r="EJ67" s="384">
        <f t="shared" si="176"/>
        <v>0.15745487267919844</v>
      </c>
      <c r="EK67" s="384">
        <f t="shared" si="176"/>
        <v>9.157733384586364E-2</v>
      </c>
      <c r="EL67" s="384">
        <f t="shared" si="176"/>
        <v>-3.3258503336275336E-3</v>
      </c>
      <c r="EM67" s="384">
        <f t="shared" si="176"/>
        <v>7.0682093687353564E-2</v>
      </c>
      <c r="EN67" s="384">
        <f t="shared" si="176"/>
        <v>0.11971701530303069</v>
      </c>
      <c r="EO67" s="384">
        <f t="shared" si="176"/>
        <v>9.3450428721124856E-2</v>
      </c>
      <c r="EP67" s="384">
        <f t="shared" si="176"/>
        <v>-4.3616554838242338E-2</v>
      </c>
      <c r="EQ67" s="384">
        <f t="shared" si="176"/>
        <v>3.9849922049199016E-2</v>
      </c>
      <c r="ER67" s="384">
        <f t="shared" si="176"/>
        <v>9.9154090484392832E-2</v>
      </c>
      <c r="ES67" s="384">
        <f t="shared" si="176"/>
        <v>3.4109802707909864E-2</v>
      </c>
      <c r="ET67" s="384">
        <f t="shared" si="176"/>
        <v>-7.2578449662883959E-2</v>
      </c>
      <c r="EU67" s="384">
        <f t="shared" si="176"/>
        <v>4.461849434406262E-2</v>
      </c>
      <c r="EV67" s="384">
        <f t="shared" si="176"/>
        <v>0.13309041965800539</v>
      </c>
      <c r="EW67" s="384">
        <f t="shared" si="176"/>
        <v>5.5068359584453663E-2</v>
      </c>
      <c r="FX67" s="385"/>
      <c r="FY67" s="385"/>
      <c r="FZ67" s="386" t="s">
        <v>199</v>
      </c>
      <c r="GA67" s="386" t="s">
        <v>199</v>
      </c>
      <c r="GB67" s="386" t="s">
        <v>199</v>
      </c>
      <c r="GC67" s="386" t="s">
        <v>199</v>
      </c>
      <c r="GD67" s="386" t="s">
        <v>199</v>
      </c>
      <c r="GE67" s="386" t="s">
        <v>199</v>
      </c>
      <c r="GF67" s="386" t="s">
        <v>199</v>
      </c>
      <c r="GG67" s="386" t="s">
        <v>199</v>
      </c>
      <c r="GH67" s="386" t="s">
        <v>199</v>
      </c>
      <c r="GI67" s="386" t="s">
        <v>199</v>
      </c>
      <c r="GJ67" s="386" t="s">
        <v>199</v>
      </c>
      <c r="GK67" s="386" t="s">
        <v>199</v>
      </c>
      <c r="GN67" s="70"/>
    </row>
    <row r="68" spans="1:196" s="382" customFormat="1">
      <c r="A68" s="381" t="s">
        <v>200</v>
      </c>
      <c r="F68" s="382">
        <f t="shared" ref="F68:R68" si="177">F66/B66-1</f>
        <v>0.33865376041265338</v>
      </c>
      <c r="G68" s="382">
        <f t="shared" si="177"/>
        <v>0.41665947265117254</v>
      </c>
      <c r="H68" s="382">
        <f t="shared" si="177"/>
        <v>0.38456084097429821</v>
      </c>
      <c r="I68" s="382">
        <f t="shared" si="177"/>
        <v>4.1307688775736651E-2</v>
      </c>
      <c r="J68" s="382">
        <f t="shared" si="177"/>
        <v>0.1116059046932556</v>
      </c>
      <c r="K68" s="382">
        <f t="shared" si="177"/>
        <v>-4.1619483511859845E-2</v>
      </c>
      <c r="L68" s="382">
        <f t="shared" si="177"/>
        <v>-0.36688257340223285</v>
      </c>
      <c r="M68" s="382">
        <f t="shared" si="177"/>
        <v>0.22483561032558774</v>
      </c>
      <c r="N68" s="382">
        <f t="shared" si="177"/>
        <v>-0.79823332859869978</v>
      </c>
      <c r="O68" s="382">
        <f t="shared" si="177"/>
        <v>-1.2990541620330875</v>
      </c>
      <c r="P68" s="382">
        <f t="shared" si="177"/>
        <v>-1.5386750700099197</v>
      </c>
      <c r="Q68" s="382">
        <f t="shared" si="177"/>
        <v>-1.2966098024784072</v>
      </c>
      <c r="R68" s="382">
        <f t="shared" si="177"/>
        <v>-0.51962002073092184</v>
      </c>
      <c r="V68" s="382">
        <f>V66/R66-1</f>
        <v>-6.0071985496289031</v>
      </c>
      <c r="W68" s="382">
        <f>W66/S66-1</f>
        <v>-7.6779409351592136</v>
      </c>
      <c r="AC68" s="382">
        <f>AC66/Y66-1</f>
        <v>2.1128576840917535</v>
      </c>
      <c r="AE68" s="382">
        <f t="shared" ref="AE68:BE68" si="178">AE66/AA66-1</f>
        <v>-2.0466723226805206</v>
      </c>
      <c r="AG68" s="382">
        <f t="shared" si="178"/>
        <v>1.2847991378552903</v>
      </c>
      <c r="AH68" s="382">
        <f t="shared" si="178"/>
        <v>-0.3547337646898554</v>
      </c>
      <c r="AI68" s="382">
        <f t="shared" si="178"/>
        <v>-0.91582560830848192</v>
      </c>
      <c r="AJ68" s="382">
        <f t="shared" si="178"/>
        <v>-1.4382742058968605</v>
      </c>
      <c r="AW68" s="382">
        <f t="shared" si="178"/>
        <v>-0.72495741570026451</v>
      </c>
      <c r="AX68" s="382">
        <f t="shared" si="178"/>
        <v>-0.81534898902968433</v>
      </c>
      <c r="AY68" s="382">
        <f t="shared" si="178"/>
        <v>1.2197543615549269</v>
      </c>
      <c r="AZ68" s="382">
        <f t="shared" si="178"/>
        <v>0.7116701761192521</v>
      </c>
      <c r="BA68" s="382">
        <f t="shared" si="178"/>
        <v>13.777367794912239</v>
      </c>
      <c r="BB68" s="382">
        <f t="shared" si="178"/>
        <v>17.954547330535338</v>
      </c>
      <c r="BC68" s="382">
        <f t="shared" si="178"/>
        <v>5.9643637295276664E-2</v>
      </c>
      <c r="BD68" s="382">
        <f t="shared" si="178"/>
        <v>0.53288850251535202</v>
      </c>
      <c r="BE68" s="382">
        <f t="shared" si="178"/>
        <v>-0.98406438035008903</v>
      </c>
      <c r="BY68" s="382">
        <f t="shared" ref="BY68:CK68" si="179">BY66/BU66-1</f>
        <v>0.11968639932249148</v>
      </c>
      <c r="BZ68" s="382">
        <f t="shared" si="179"/>
        <v>0.38845123568394735</v>
      </c>
      <c r="CA68" s="382">
        <f t="shared" si="179"/>
        <v>-0.21271523178807961</v>
      </c>
      <c r="CB68" s="382">
        <f t="shared" si="179"/>
        <v>-1.9268151311775474</v>
      </c>
      <c r="CC68" s="382">
        <f t="shared" si="179"/>
        <v>-1.5147679324894514</v>
      </c>
      <c r="CD68" s="382">
        <f t="shared" si="179"/>
        <v>-1.612208934707521</v>
      </c>
      <c r="CE68" s="382">
        <f t="shared" si="179"/>
        <v>-1.6274933510638299</v>
      </c>
      <c r="CJ68" s="382">
        <f t="shared" si="179"/>
        <v>-0.26105213493748525</v>
      </c>
      <c r="CK68" s="382">
        <f t="shared" si="179"/>
        <v>-0.74414073373044587</v>
      </c>
      <c r="CV68" s="382">
        <f t="shared" ref="CV68:EW68" si="180">CV66/CR66-1</f>
        <v>1.904960953954832</v>
      </c>
      <c r="CY68" s="382">
        <f t="shared" si="180"/>
        <v>5.298654133732108</v>
      </c>
      <c r="CZ68" s="382">
        <f t="shared" si="180"/>
        <v>0.32424499884143043</v>
      </c>
      <c r="DA68" s="382">
        <f t="shared" si="180"/>
        <v>-4.7390215716486828E-2</v>
      </c>
      <c r="DB68" s="382">
        <f t="shared" si="180"/>
        <v>-0.51118641723434421</v>
      </c>
      <c r="DC68" s="382">
        <f t="shared" si="180"/>
        <v>-0.44096206823479556</v>
      </c>
      <c r="DD68" s="382">
        <f t="shared" si="180"/>
        <v>0.41783828382838273</v>
      </c>
      <c r="DE68" s="382">
        <f t="shared" si="180"/>
        <v>3.271967634603751</v>
      </c>
      <c r="DF68" s="382">
        <f t="shared" si="180"/>
        <v>2.4958096141682478</v>
      </c>
      <c r="DG68" s="382">
        <f t="shared" si="180"/>
        <v>1.3152971191665785</v>
      </c>
      <c r="DH68" s="382">
        <f t="shared" si="180"/>
        <v>1.2541931172736382</v>
      </c>
      <c r="DI68" s="382">
        <f t="shared" si="180"/>
        <v>0.63900851107117429</v>
      </c>
      <c r="DJ68" s="383">
        <f t="shared" si="180"/>
        <v>1.8707831919510753</v>
      </c>
      <c r="DK68" s="383">
        <f t="shared" si="180"/>
        <v>2.5872339466089462</v>
      </c>
      <c r="DL68" s="383">
        <f t="shared" si="180"/>
        <v>0.78243512974051921</v>
      </c>
      <c r="DM68" s="383">
        <f t="shared" si="180"/>
        <v>0.77858753049439522</v>
      </c>
      <c r="DN68" s="383">
        <f t="shared" si="180"/>
        <v>1.1643766156293496</v>
      </c>
      <c r="DO68" s="383">
        <f t="shared" si="180"/>
        <v>0.6563208831090277</v>
      </c>
      <c r="DP68" s="383">
        <f t="shared" si="180"/>
        <v>-7.1858041174950538E-2</v>
      </c>
      <c r="DQ68" s="383">
        <f t="shared" si="180"/>
        <v>-0.25080478308864851</v>
      </c>
      <c r="DR68" s="383">
        <f t="shared" si="180"/>
        <v>-0.46571693427697169</v>
      </c>
      <c r="DS68" s="383">
        <f t="shared" si="180"/>
        <v>-0.44293301849393418</v>
      </c>
      <c r="DT68" s="383">
        <f t="shared" si="180"/>
        <v>3.398448777999219E-2</v>
      </c>
      <c r="DU68" s="383">
        <f t="shared" si="180"/>
        <v>0.11529920020486051</v>
      </c>
      <c r="DV68" s="382">
        <f t="shared" si="180"/>
        <v>2.6488995678783267E-2</v>
      </c>
      <c r="DW68" s="382">
        <f t="shared" si="180"/>
        <v>0.18050797873025948</v>
      </c>
      <c r="DX68" s="382">
        <f t="shared" si="180"/>
        <v>0.31944034552954981</v>
      </c>
      <c r="DY68" s="383">
        <f t="shared" si="180"/>
        <v>0.41751393771075618</v>
      </c>
      <c r="DZ68" s="383">
        <f t="shared" si="180"/>
        <v>0.55826287779166028</v>
      </c>
      <c r="EA68" s="383">
        <f t="shared" si="180"/>
        <v>-0.30341564144754762</v>
      </c>
      <c r="EB68" s="383">
        <f t="shared" si="180"/>
        <v>0.30253510443813436</v>
      </c>
      <c r="EC68" s="383">
        <f t="shared" si="180"/>
        <v>0.40466297850063793</v>
      </c>
      <c r="ED68" s="383">
        <f t="shared" si="180"/>
        <v>0.42532218739115302</v>
      </c>
      <c r="EE68" s="384">
        <f t="shared" si="180"/>
        <v>2.3273696295337434</v>
      </c>
      <c r="EF68" s="384">
        <f t="shared" si="180"/>
        <v>0.42028962616052334</v>
      </c>
      <c r="EG68" s="384">
        <f t="shared" si="180"/>
        <v>0.71876884295713639</v>
      </c>
      <c r="EH68" s="384">
        <f t="shared" si="180"/>
        <v>1.0523201206940951</v>
      </c>
      <c r="EI68" s="384">
        <f t="shared" si="180"/>
        <v>0.95585124742298833</v>
      </c>
      <c r="EJ68" s="384">
        <f t="shared" si="180"/>
        <v>1.1221372961999183</v>
      </c>
      <c r="EK68" s="384">
        <f t="shared" si="180"/>
        <v>0.50049271624891967</v>
      </c>
      <c r="EL68" s="384">
        <f t="shared" si="180"/>
        <v>0.39374301888706476</v>
      </c>
      <c r="EM68" s="384">
        <f t="shared" si="180"/>
        <v>0.34825584119822084</v>
      </c>
      <c r="EN68" s="384">
        <f t="shared" si="180"/>
        <v>0.30429707628849334</v>
      </c>
      <c r="EO68" s="384">
        <f t="shared" si="180"/>
        <v>0.30653518814155523</v>
      </c>
      <c r="EP68" s="384">
        <f t="shared" si="180"/>
        <v>0.25371830389918393</v>
      </c>
      <c r="EQ68" s="384">
        <f t="shared" si="180"/>
        <v>0.21761528306823763</v>
      </c>
      <c r="ER68" s="384">
        <f t="shared" si="180"/>
        <v>0.19525451585512088</v>
      </c>
      <c r="ES68" s="384">
        <f t="shared" si="180"/>
        <v>0.13038906850336529</v>
      </c>
      <c r="ET68" s="384">
        <f t="shared" si="180"/>
        <v>9.6157809609729972E-2</v>
      </c>
      <c r="EU68" s="384">
        <f t="shared" si="180"/>
        <v>0.10118460015985309</v>
      </c>
      <c r="EV68" s="384">
        <f t="shared" si="180"/>
        <v>0.13518362122110283</v>
      </c>
      <c r="EW68" s="384">
        <f t="shared" si="180"/>
        <v>0.15819066595502007</v>
      </c>
      <c r="FA68" s="382">
        <f>FA66/EZ66-1</f>
        <v>0.31876880420246301</v>
      </c>
      <c r="FB68" s="382">
        <f>FB66/FA66-1</f>
        <v>-5.1965375916175671E-2</v>
      </c>
      <c r="FC68" s="386" t="s">
        <v>199</v>
      </c>
      <c r="FD68" s="386" t="s">
        <v>199</v>
      </c>
      <c r="FE68" s="386" t="s">
        <v>199</v>
      </c>
      <c r="FF68" s="386" t="s">
        <v>199</v>
      </c>
      <c r="FG68" s="386" t="s">
        <v>199</v>
      </c>
      <c r="FH68" s="382">
        <f>FH66/FG66-1</f>
        <v>-0.96051950471706649</v>
      </c>
      <c r="FI68" s="386" t="s">
        <v>199</v>
      </c>
      <c r="FJ68" s="386" t="s">
        <v>199</v>
      </c>
      <c r="FK68" s="382">
        <f>FK66/FJ66-1</f>
        <v>-1.4477568559946505</v>
      </c>
      <c r="FL68" s="382">
        <f>FL66/FK66-1</f>
        <v>1.4999771532431589</v>
      </c>
      <c r="FM68" s="382">
        <f>FM66/FL66-1</f>
        <v>5.2549385538920967E-2</v>
      </c>
      <c r="FN68" s="386" t="s">
        <v>199</v>
      </c>
      <c r="FO68" s="386" t="s">
        <v>199</v>
      </c>
      <c r="FP68" s="386" t="s">
        <v>199</v>
      </c>
      <c r="FQ68" s="386" t="s">
        <v>199</v>
      </c>
      <c r="FR68" s="386" t="s">
        <v>199</v>
      </c>
      <c r="FS68" s="386" t="s">
        <v>199</v>
      </c>
      <c r="FT68" s="386" t="s">
        <v>199</v>
      </c>
      <c r="FU68" s="382">
        <f>FU66/FT66-1</f>
        <v>12.667373824181416</v>
      </c>
      <c r="FV68" s="386" t="s">
        <v>199</v>
      </c>
      <c r="FW68" s="386" t="s">
        <v>199</v>
      </c>
      <c r="FX68" s="386" t="s">
        <v>199</v>
      </c>
      <c r="FY68" s="382">
        <f t="shared" ref="FY68:GK68" si="181">FY66/FX66-1</f>
        <v>1.8195689518282738</v>
      </c>
      <c r="FZ68" s="382">
        <f t="shared" si="181"/>
        <v>0.41329913266526086</v>
      </c>
      <c r="GA68" s="382">
        <f t="shared" si="181"/>
        <v>1.0494097292896396</v>
      </c>
      <c r="GB68" s="382">
        <f t="shared" si="181"/>
        <v>1.1791781670976302</v>
      </c>
      <c r="GC68" s="382">
        <f t="shared" si="181"/>
        <v>0.25356428454801594</v>
      </c>
      <c r="GD68" s="382">
        <f t="shared" si="181"/>
        <v>-0.24365819190074656</v>
      </c>
      <c r="GE68" s="382">
        <f t="shared" si="181"/>
        <v>0.25006338577627441</v>
      </c>
      <c r="GF68" s="382">
        <f t="shared" si="181"/>
        <v>0.26033210332103307</v>
      </c>
      <c r="GG68" s="384">
        <f t="shared" si="181"/>
        <v>0.74877112137829305</v>
      </c>
      <c r="GH68" s="384">
        <f t="shared" si="181"/>
        <v>0.84890899621131832</v>
      </c>
      <c r="GI68" s="384">
        <f t="shared" si="181"/>
        <v>0.33358677843924234</v>
      </c>
      <c r="GJ68" s="384">
        <f t="shared" si="181"/>
        <v>0.19447281282609752</v>
      </c>
      <c r="GK68" s="384">
        <f t="shared" si="181"/>
        <v>0.12465844384765279</v>
      </c>
      <c r="GN68" s="70"/>
    </row>
    <row r="69" spans="1:196" s="415" customFormat="1">
      <c r="A69" s="415" t="s">
        <v>220</v>
      </c>
      <c r="B69" s="415">
        <f>AMD!AF52</f>
        <v>0.30475600079349346</v>
      </c>
      <c r="C69" s="415">
        <f>AMD!AG52</f>
        <v>0.31565084316783881</v>
      </c>
      <c r="D69" s="415">
        <f>AMD!AH52</f>
        <v>0.29850208773347076</v>
      </c>
      <c r="E69" s="415">
        <f>AMD!AI52</f>
        <v>0.20398675327983709</v>
      </c>
      <c r="F69" s="415">
        <f>AMD!AK52</f>
        <v>0.40796276647053159</v>
      </c>
      <c r="G69" s="415">
        <f>AMD!AL52</f>
        <v>0.44716975702404849</v>
      </c>
      <c r="H69" s="415">
        <f>AMD!AM52</f>
        <v>0.41329430162483799</v>
      </c>
      <c r="I69" s="415">
        <f>AMD!AN52</f>
        <v>0.21241297459869357</v>
      </c>
      <c r="J69" s="415">
        <f>AMD!AP52</f>
        <v>0.45349382010363859</v>
      </c>
      <c r="K69" s="415">
        <f>AMD!AQ52</f>
        <v>0.42855878269458375</v>
      </c>
      <c r="L69" s="415">
        <f>AMD!AR52</f>
        <v>0.26166382467223881</v>
      </c>
      <c r="M69" s="415">
        <f>AMD!AS52</f>
        <v>0.2601709753836644</v>
      </c>
      <c r="N69" s="415">
        <f>AMD!AU52</f>
        <v>9.1499938583371188E-2</v>
      </c>
      <c r="O69" s="415">
        <f>AMD!AV52</f>
        <v>-0.1281622876406488</v>
      </c>
      <c r="P69" s="415">
        <f>AMD!AW52</f>
        <v>-0.14095177907438158</v>
      </c>
      <c r="Q69" s="415">
        <f>AMD!AX52</f>
        <v>-7.7169261619163224E-2</v>
      </c>
      <c r="R69" s="415">
        <f>AMD!AZ52</f>
        <v>4.3954738599801771E-2</v>
      </c>
      <c r="S69" s="415">
        <f>AMD!BA52</f>
        <v>3.3694116374502106E-2</v>
      </c>
      <c r="T69" s="415">
        <f>AMD!BB52</f>
        <v>-0.11174416143371202</v>
      </c>
      <c r="U69" s="415">
        <f>AMD!BC52</f>
        <v>-4.3463552495260023E-2</v>
      </c>
      <c r="V69" s="415">
        <f>AMD!BE52</f>
        <v>-0.22009010336624499</v>
      </c>
      <c r="W69" s="415">
        <f>AMD!BF52</f>
        <v>-0.22500731901130597</v>
      </c>
      <c r="X69" s="415">
        <f>AMD!BG52</f>
        <v>3.4301223387570266E-3</v>
      </c>
      <c r="Y69" s="415">
        <f>AMD!BH52</f>
        <v>7.4428639070617406E-2</v>
      </c>
      <c r="Z69" s="415">
        <f>AMD!BJ52</f>
        <v>-0.3884304600812834</v>
      </c>
      <c r="AA69" s="415">
        <f>AMD!BK52</f>
        <v>-0.5783618095492844</v>
      </c>
      <c r="AB69" s="415">
        <f>AMD!BL52</f>
        <v>-0.35805153743859713</v>
      </c>
      <c r="AC69" s="415">
        <f>AMD!BM52</f>
        <v>0.23168576104746308</v>
      </c>
      <c r="AD69" s="415">
        <f>AMD!BO52</f>
        <v>0.57319328610810594</v>
      </c>
      <c r="AE69" s="415">
        <f>AMD!BP52</f>
        <v>0.6053552985506585</v>
      </c>
      <c r="AF69" s="415">
        <f>AMD!BQ52</f>
        <v>0.64219352608297697</v>
      </c>
      <c r="AG69" s="415">
        <f>AMD!BR52</f>
        <v>0.52935542709459049</v>
      </c>
      <c r="AH69" s="415">
        <f>AMD!BT52</f>
        <v>0.36986227383202813</v>
      </c>
      <c r="AI69" s="415">
        <f>AMD!BU52</f>
        <v>5.0955414012738995E-2</v>
      </c>
      <c r="AJ69" s="415">
        <f>AMD!BV52</f>
        <v>-0.2814568576761215</v>
      </c>
      <c r="AK69" s="415">
        <f>AMD!BW52</f>
        <v>-4.6577815411664725E-2</v>
      </c>
      <c r="AL69" s="415">
        <f>AMD!BY52</f>
        <v>-2.6886263739488332E-2</v>
      </c>
      <c r="AM69" s="415">
        <f>AMD!BZ52</f>
        <v>-0.54109929721284322</v>
      </c>
      <c r="AN69" s="415">
        <f>AMD!CA52</f>
        <v>-0.74149892059046651</v>
      </c>
      <c r="AO69" s="415">
        <f>AMD!CB52</f>
        <v>-0.68366240343771922</v>
      </c>
      <c r="AP69" s="415">
        <f>AMD!CD52</f>
        <v>-0.42420553487994644</v>
      </c>
      <c r="AQ69" s="415">
        <f>AMD!CE52</f>
        <v>-0.40452760452760445</v>
      </c>
      <c r="AR69" s="415">
        <f>AMD!CF52</f>
        <v>-8.9916334133715622E-2</v>
      </c>
      <c r="AS69" s="415">
        <f>AMD!CG52</f>
        <v>0.11627621999567515</v>
      </c>
      <c r="AT69" s="415">
        <f>AMD!CI52</f>
        <v>0.11895500558929333</v>
      </c>
      <c r="AU69" s="415">
        <f>AMD!CJ52</f>
        <v>9.2518559418300797E-2</v>
      </c>
      <c r="AV69" s="415">
        <f>AMD!CK52</f>
        <v>0.11581364829396333</v>
      </c>
      <c r="AW69" s="415">
        <f>AMD!CL52</f>
        <v>3.1980912040215068E-2</v>
      </c>
      <c r="AX69" s="415">
        <f>AMD!CN52</f>
        <v>-4.4324648860147087E-2</v>
      </c>
      <c r="AY69" s="415">
        <f>AMD!CO52</f>
        <v>2.7897244287583754E-2</v>
      </c>
      <c r="AZ69" s="415">
        <f>AMD!CP52</f>
        <v>0.17908362088978383</v>
      </c>
      <c r="BA69" s="415">
        <f>AMD!CQ52</f>
        <v>0.45380845104051737</v>
      </c>
      <c r="BB69" s="415">
        <f>AMD!CS52</f>
        <v>0.38</v>
      </c>
      <c r="BC69" s="415">
        <f>AMD!CT52</f>
        <v>0.17763147372125021</v>
      </c>
      <c r="BD69" s="415">
        <f>AMD!CU52</f>
        <v>0.27065736394160717</v>
      </c>
      <c r="BE69" s="415">
        <f>AMD!CV52</f>
        <v>-4.331638418079109E-2</v>
      </c>
      <c r="BF69" s="415">
        <f>AMD!CX52</f>
        <v>-0.89882749308978815</v>
      </c>
      <c r="BG69" s="415">
        <f>AMD!CY52</f>
        <v>-0.85326086956521729</v>
      </c>
      <c r="BH69" s="415">
        <f>AMD!CZ52</f>
        <v>-0.49819494584837554</v>
      </c>
      <c r="BI69" s="415">
        <f>AMD!DA52</f>
        <v>-0.16753022452504318</v>
      </c>
      <c r="BJ69" s="415">
        <f>AMD!DC52</f>
        <v>-0.5082508250825083</v>
      </c>
      <c r="BK69" s="415">
        <f>AMD!DD52</f>
        <v>-0.60296540362438211</v>
      </c>
      <c r="BL69" s="415">
        <f>AMD!DE52</f>
        <v>-0.20888157894736842</v>
      </c>
      <c r="BM69" s="415">
        <f>AMD!DF52</f>
        <v>-0.68637110016420366</v>
      </c>
      <c r="BN69" s="415">
        <f>AMD!DH52</f>
        <v>-0.64217252396166136</v>
      </c>
      <c r="BO69" s="415">
        <v>-4.5512010113780033E-2</v>
      </c>
      <c r="BP69" s="415">
        <f>AMD!DJ52</f>
        <v>-0.26224783861671469</v>
      </c>
      <c r="BQ69" s="415">
        <f>AMD!DK52</f>
        <v>-4.5512010113780033E-2</v>
      </c>
      <c r="BR69" s="415">
        <f>AMD!DM52</f>
        <v>-0.14986737400530503</v>
      </c>
      <c r="BS69" s="415">
        <f>AMD!DN52</f>
        <v>-5.2186177715091681E-2</v>
      </c>
      <c r="BT69" s="415">
        <f>AMD!DO52</f>
        <v>-0.1093969144460028</v>
      </c>
      <c r="BU69" s="415">
        <f>AMD!DP52</f>
        <v>0.16375076111223874</v>
      </c>
      <c r="BV69" s="415">
        <f>AMD!DR52</f>
        <v>8.2460732984293239E-2</v>
      </c>
      <c r="BW69" s="415">
        <f>AMD!DS52</f>
        <v>9.4212651413189769E-2</v>
      </c>
      <c r="BX69" s="415">
        <f>AMD!DT52</f>
        <v>0.14844804318488528</v>
      </c>
      <c r="BY69" s="415">
        <f>AMD!DU52</f>
        <v>0.18715846994535518</v>
      </c>
      <c r="BZ69" s="415">
        <f>AMD!DW52</f>
        <v>0.12404658791982803</v>
      </c>
      <c r="CA69" s="415">
        <f>AMD!DX52</f>
        <v>6.0927152317880796E-2</v>
      </c>
      <c r="CB69" s="415">
        <f>AMD!DY52</f>
        <v>-0.20134228187919465</v>
      </c>
      <c r="CC69" s="415">
        <f>AMD!DZ52</f>
        <v>-0.14190093708165996</v>
      </c>
      <c r="CD69" s="415">
        <f>AMD!EB52</f>
        <v>-0.12550066755674233</v>
      </c>
      <c r="CE69" s="415">
        <f>AMD!EC52</f>
        <v>-8.6436170212765964E-2</v>
      </c>
      <c r="CF69" s="415">
        <f>AMD!ED52</f>
        <v>4.0575916230366493E-2</v>
      </c>
      <c r="CG69" s="415">
        <f>AMD!EE52</f>
        <v>5.8746736292428194E-2</v>
      </c>
      <c r="CH69" s="415">
        <f>AMD!EG52</f>
        <v>1.5768725361366625E-2</v>
      </c>
      <c r="CI69" s="415">
        <f>AMD!EH52</f>
        <v>2.2251308900523563E-2</v>
      </c>
      <c r="CJ69" s="415">
        <f>AMD!EI52</f>
        <v>2.5477707006369425E-2</v>
      </c>
      <c r="CK69" s="415">
        <f>AMD!EJ52</f>
        <v>2.5608194622279146E-3</v>
      </c>
      <c r="CL69" s="415">
        <f>AMD!EL52</f>
        <v>-0.11583011583011583</v>
      </c>
      <c r="CM69" s="415">
        <f>AMD!EM52</f>
        <v>-0.19023136246786632</v>
      </c>
      <c r="CN69" s="415">
        <f>AMD!EN52</f>
        <v>-0.18980891719745224</v>
      </c>
      <c r="CO69" s="415">
        <f>AMD!EO52</f>
        <v>-0.12010113780025285</v>
      </c>
      <c r="CP69" s="415">
        <f>AMD!EQ52</f>
        <v>-0.14123581336696089</v>
      </c>
      <c r="CQ69" s="415">
        <f>AMD!ER52</f>
        <v>-7.0645554202192443E-2</v>
      </c>
      <c r="CR69" s="415">
        <f>AMD!ES52</f>
        <v>4.9079754601226711E-3</v>
      </c>
      <c r="CS69" s="415">
        <f>AMD!ET52</f>
        <v>-3.9742212674543503E-2</v>
      </c>
      <c r="CT69" s="415">
        <f>AMD!EV52</f>
        <v>-6.4962726304579346E-2</v>
      </c>
      <c r="CU69" s="415">
        <f>AMD!EW52</f>
        <v>-3.8038038038038045E-3</v>
      </c>
      <c r="CV69" s="415">
        <f>AMD!EX52</f>
        <v>7.7735124760076782E-2</v>
      </c>
      <c r="CW69" s="415">
        <f>AMD!EY52</f>
        <v>6.4609450337512059E-2</v>
      </c>
      <c r="CX69" s="415">
        <f>AMD!FA52</f>
        <v>8.5659287776708379E-2</v>
      </c>
      <c r="CY69" s="415">
        <f>AMD!FB52</f>
        <v>0.11759082217973231</v>
      </c>
      <c r="CZ69" s="415">
        <f>AMD!FC52</f>
        <v>0.10594795539033457</v>
      </c>
      <c r="DA69" s="415">
        <f>AMD!FD52</f>
        <v>4.7265987025023173E-2</v>
      </c>
      <c r="DB69" s="415">
        <f>AMD!FF52</f>
        <v>1.9195612431444242E-2</v>
      </c>
      <c r="DC69" s="415">
        <f>AMD!FG52</f>
        <v>4.2380522993688011E-2</v>
      </c>
      <c r="DD69" s="415">
        <f>AMD!FH52</f>
        <v>0.14771709937332139</v>
      </c>
      <c r="DE69" s="415">
        <f>AMD!FI52</f>
        <v>0.27441077441077444</v>
      </c>
      <c r="DF69" s="415">
        <f>AMD!FK52</f>
        <v>0.13660911416815957</v>
      </c>
      <c r="DG69" s="415">
        <f>AMD!FL52</f>
        <v>0.12713936430317849</v>
      </c>
      <c r="DH69" s="415">
        <f>AMD!FM52</f>
        <v>0.34979423868312753</v>
      </c>
      <c r="DI69" s="415">
        <f>AMD!FN52</f>
        <v>0.45432300163132144</v>
      </c>
      <c r="DJ69" s="416">
        <f>AMD!FP52</f>
        <v>0.45247766043866772</v>
      </c>
      <c r="DK69" s="416">
        <f>AMD!FQ52</f>
        <v>0.56412337662337664</v>
      </c>
      <c r="DL69" s="416">
        <f>AMD!FR52</f>
        <v>0.64552845528455283</v>
      </c>
      <c r="DM69" s="416">
        <f>AMD!FS52</f>
        <v>0.82651391162029453</v>
      </c>
      <c r="DN69" s="416">
        <f>AMD!FU52</f>
        <v>1.0035460992907801</v>
      </c>
      <c r="DO69" s="416">
        <f>AMD!FV52</f>
        <v>0.88725490196078438</v>
      </c>
      <c r="DP69" s="416">
        <f>AMD!FW52</f>
        <v>0.50830769230769235</v>
      </c>
      <c r="DQ69" s="416">
        <f>AMD!FX52</f>
        <v>0.49629171817058099</v>
      </c>
      <c r="DR69" s="416">
        <f>AMD!FZ52</f>
        <v>0.41278708876474235</v>
      </c>
      <c r="DS69" s="416">
        <f>AMD!GA52</f>
        <v>0.36877688998156116</v>
      </c>
      <c r="DT69" s="416">
        <f>AMD!GB52</f>
        <v>0.48004910988336402</v>
      </c>
      <c r="DU69" s="416">
        <f>AMD!GC52</f>
        <v>0.53746928746928746</v>
      </c>
      <c r="DV69" s="415">
        <f>AMD!GE52</f>
        <v>0.39170225747406956</v>
      </c>
      <c r="DW69" s="415">
        <f>AMD!GF52</f>
        <v>0.47648136835675015</v>
      </c>
      <c r="DX69" s="415">
        <f>AMD!GG52</f>
        <v>0.70476772616136918</v>
      </c>
      <c r="DY69" s="416">
        <f>AMD!GH52</f>
        <v>0.88004895960832319</v>
      </c>
      <c r="DZ69" s="416">
        <f>AMD!GJ52</f>
        <v>0.73923739237392372</v>
      </c>
      <c r="EA69" s="416">
        <f>AMD!GK52</f>
        <v>0.25276073619631906</v>
      </c>
      <c r="EB69" s="416">
        <f>AMD!GL52</f>
        <v>0.94210847044485069</v>
      </c>
      <c r="EC69" s="416">
        <f>AMD!GM52</f>
        <v>1.2328684050939964</v>
      </c>
      <c r="ED69" s="416">
        <f>AMD!GO52</f>
        <v>1.0775757575757576</v>
      </c>
      <c r="EE69" s="417">
        <f>AMD!GP52</f>
        <v>1.295038594835286</v>
      </c>
      <c r="EF69" s="417">
        <f>AMD!GQ52</f>
        <v>1.3955663185894922</v>
      </c>
      <c r="EG69" s="417">
        <f>AMD!GR52</f>
        <v>2.315659932296811</v>
      </c>
      <c r="EH69" s="417">
        <f>AMD!GT52</f>
        <v>2.5071318023758664</v>
      </c>
      <c r="EI69" s="417">
        <f>AMD!GU52</f>
        <v>2.8012401921240979</v>
      </c>
      <c r="EJ69" s="417">
        <f>AMD!GV52</f>
        <v>3.2843469600959745</v>
      </c>
      <c r="EK69" s="417">
        <f>AMD!GW52</f>
        <v>3.6064628429579999</v>
      </c>
      <c r="EL69" s="417">
        <f>AMD!GY52</f>
        <v>3.5893854787255992</v>
      </c>
      <c r="EM69" s="417">
        <f>AMD!GZ52</f>
        <v>3.8546008705190773</v>
      </c>
      <c r="EN69" s="417">
        <f>AMD!HA52</f>
        <v>4.3428074283684026</v>
      </c>
      <c r="EO69" s="417">
        <f>AMD!HB52</f>
        <v>4.7658799133836229</v>
      </c>
      <c r="EP69" s="417">
        <f>AMD!HD52</f>
        <v>4.5326276523126818</v>
      </c>
      <c r="EQ69" s="417">
        <f>AMD!HE52</f>
        <v>4.7084012877349499</v>
      </c>
      <c r="ER69" s="417">
        <f>AMD!HF52</f>
        <v>5.1878797151804639</v>
      </c>
      <c r="ES69" s="417">
        <f>AMD!HG52</f>
        <v>5.3553749873799426</v>
      </c>
      <c r="ET69" s="417">
        <f>AMD!HI52</f>
        <v>4.9181337649277346</v>
      </c>
      <c r="EU69" s="417">
        <f>AMD!HJ52</f>
        <v>5.1209210745787761</v>
      </c>
      <c r="EV69" s="417">
        <f>AMD!HK52</f>
        <v>5.8122000987649436</v>
      </c>
      <c r="EW69" s="417">
        <f>AMD!HL52</f>
        <v>6.1125984525941464</v>
      </c>
      <c r="EZ69" s="415">
        <f>B69+C69+D69+E69</f>
        <v>1.1228956849746401</v>
      </c>
      <c r="FA69" s="415">
        <f>F69+G69+H69+I69</f>
        <v>1.4808397997181117</v>
      </c>
      <c r="FB69" s="415">
        <f>J69+K69+L69+M69</f>
        <v>1.4038874028541257</v>
      </c>
      <c r="FC69" s="415">
        <f>N69+O69+P69+Q69</f>
        <v>-0.25478338975082243</v>
      </c>
      <c r="FD69" s="415">
        <f>R69+S69+T69+U69</f>
        <v>-7.7558858954668158E-2</v>
      </c>
      <c r="FE69" s="415">
        <f>V69+W69+X69+Y69</f>
        <v>-0.36723866096817653</v>
      </c>
      <c r="FF69" s="415">
        <f>Z69+AA69+AB69+AC69</f>
        <v>-1.0931580460217019</v>
      </c>
      <c r="FG69" s="415">
        <f>AD69+AE69+AF69+AG69</f>
        <v>2.3500975378363318</v>
      </c>
      <c r="FH69" s="415">
        <f>AH69+AI69+AJ69+AK69</f>
        <v>9.2783014756980919E-2</v>
      </c>
      <c r="FI69" s="415">
        <f>AL69+AM69+AN69+AO69</f>
        <v>-1.9931468849805172</v>
      </c>
      <c r="FJ69" s="415">
        <f>AP69+AQ69+AR69+AS69</f>
        <v>-0.8023732535455913</v>
      </c>
      <c r="FK69" s="415">
        <f>AT69+AU69+AV69+AW69</f>
        <v>0.35926812534177255</v>
      </c>
      <c r="FL69" s="415">
        <f>AX69+AY69+AZ69+BA69</f>
        <v>0.61646466735773786</v>
      </c>
      <c r="FM69" s="415">
        <f>BB69+BC69+BD69+BE69</f>
        <v>0.78497245348206635</v>
      </c>
      <c r="FN69" s="415">
        <f>BF69+BG69+BH69+BI69</f>
        <v>-2.4178135330284243</v>
      </c>
      <c r="FO69" s="415">
        <f>BJ69+BK69+BL69+BM69</f>
        <v>-2.0064689078184625</v>
      </c>
      <c r="FP69" s="415">
        <f>BN69+BO69+BP69+BQ69</f>
        <v>-0.99544438280593606</v>
      </c>
      <c r="FQ69" s="415">
        <f>AMD!DQ52</f>
        <v>-0.14000000000000001</v>
      </c>
      <c r="FR69" s="415">
        <f>AMD!DV52</f>
        <v>0.51006711409395966</v>
      </c>
      <c r="FS69" s="415">
        <f>AMD!EA52</f>
        <v>-0.15961060646339642</v>
      </c>
      <c r="FT69" s="415">
        <f>AMD!EF52</f>
        <v>-0.10783338285063732</v>
      </c>
      <c r="FU69" s="415">
        <f>AMD!EK52</f>
        <v>6.2359206568835646E-2</v>
      </c>
      <c r="FV69" s="415">
        <f>AMD!EP52</f>
        <v>-0.61493846969309296</v>
      </c>
      <c r="FW69" s="415">
        <f>AMD!EU52</f>
        <v>-0.23203409332975511</v>
      </c>
      <c r="FX69" s="415">
        <f>AMD!EZ52</f>
        <v>7.476334454514999E-2</v>
      </c>
      <c r="FY69" s="415">
        <f>AMD!FE52</f>
        <v>0.3564640523717984</v>
      </c>
      <c r="FZ69" s="415">
        <f>AMD!FJ52</f>
        <v>0.48370400920922801</v>
      </c>
      <c r="GA69" s="55">
        <f>AMD!FO52</f>
        <v>1.0678657187857872</v>
      </c>
      <c r="GB69" s="55">
        <f>+AMD!FT52</f>
        <v>2.4886434039668917</v>
      </c>
      <c r="GC69" s="415">
        <f>+AMD!FY52</f>
        <v>2.8954004117298378</v>
      </c>
      <c r="GD69" s="415">
        <f>+AMD!GD52</f>
        <v>1.7990823760989549</v>
      </c>
      <c r="GE69" s="415">
        <f>+AMD!GI52</f>
        <v>2.4530003116005119</v>
      </c>
      <c r="GF69" s="415">
        <f>+AMD!GN52</f>
        <v>3.1669750041090898</v>
      </c>
      <c r="GG69" s="417">
        <f>+AMD!GS52</f>
        <v>6.0838406032973467</v>
      </c>
      <c r="GH69" s="417">
        <f>+AMD!GX52</f>
        <v>12.199181797553937</v>
      </c>
      <c r="GI69" s="417">
        <f>+AMD!HC52</f>
        <v>16.552673690996702</v>
      </c>
      <c r="GJ69" s="417">
        <f>+AMD!HH52</f>
        <v>19.784283642608038</v>
      </c>
      <c r="GK69" s="417">
        <f>+AMD!HM52</f>
        <v>21.963853390865602</v>
      </c>
      <c r="GN69" s="70"/>
    </row>
    <row r="70" spans="1:196" s="382" customFormat="1">
      <c r="A70" s="381" t="s">
        <v>198</v>
      </c>
      <c r="C70" s="382">
        <f t="shared" ref="C70:BD70" si="182">C69/B69-1</f>
        <v>3.5749394092252196E-2</v>
      </c>
      <c r="D70" s="382">
        <f t="shared" si="182"/>
        <v>-5.4328242124319859E-2</v>
      </c>
      <c r="E70" s="382">
        <f t="shared" si="182"/>
        <v>-0.31663207172616281</v>
      </c>
      <c r="F70" s="382">
        <f t="shared" si="182"/>
        <v>0.99994734908532101</v>
      </c>
      <c r="G70" s="382">
        <f t="shared" si="182"/>
        <v>9.6104335434123334E-2</v>
      </c>
      <c r="H70" s="382">
        <f t="shared" si="182"/>
        <v>-7.5755247011010884E-2</v>
      </c>
      <c r="I70" s="382">
        <f t="shared" si="182"/>
        <v>-0.48604910891922137</v>
      </c>
      <c r="J70" s="382">
        <f t="shared" si="182"/>
        <v>1.1349628993257728</v>
      </c>
      <c r="K70" s="382">
        <f t="shared" si="182"/>
        <v>-5.4984293729419154E-2</v>
      </c>
      <c r="L70" s="382">
        <f t="shared" si="182"/>
        <v>-0.38943305973800124</v>
      </c>
      <c r="M70" s="382">
        <f t="shared" si="182"/>
        <v>-5.7052184819370577E-3</v>
      </c>
      <c r="N70" s="382">
        <f t="shared" si="182"/>
        <v>-0.64830843083691536</v>
      </c>
      <c r="O70" s="382">
        <f t="shared" si="182"/>
        <v>-2.4006816794076018</v>
      </c>
      <c r="P70" s="382">
        <f t="shared" si="182"/>
        <v>9.9791379111404011E-2</v>
      </c>
      <c r="Q70" s="382">
        <f t="shared" si="182"/>
        <v>-0.452513035834473</v>
      </c>
      <c r="R70" s="382">
        <f t="shared" si="182"/>
        <v>-1.5695886895577944</v>
      </c>
      <c r="S70" s="382">
        <f t="shared" si="182"/>
        <v>-0.23343608794310833</v>
      </c>
      <c r="T70" s="382">
        <f t="shared" si="182"/>
        <v>-4.3164294974143909</v>
      </c>
      <c r="U70" s="382">
        <f t="shared" si="182"/>
        <v>-0.61104408554675915</v>
      </c>
      <c r="V70" s="382">
        <f t="shared" si="182"/>
        <v>4.0637854186044091</v>
      </c>
      <c r="W70" s="382">
        <f t="shared" si="182"/>
        <v>2.2341829868099072E-2</v>
      </c>
      <c r="X70" s="382">
        <f t="shared" si="182"/>
        <v>-1.0152444922850918</v>
      </c>
      <c r="Y70" s="382">
        <f t="shared" si="182"/>
        <v>20.698537754658659</v>
      </c>
      <c r="Z70" s="382">
        <f t="shared" si="182"/>
        <v>-6.218830613209831</v>
      </c>
      <c r="AA70" s="382">
        <f t="shared" si="182"/>
        <v>0.4889713062880181</v>
      </c>
      <c r="AB70" s="382">
        <f t="shared" si="182"/>
        <v>-0.38092119582095918</v>
      </c>
      <c r="AC70" s="382">
        <f t="shared" si="182"/>
        <v>-1.6470737779954241</v>
      </c>
      <c r="AD70" s="382">
        <f t="shared" si="182"/>
        <v>1.4740117110204358</v>
      </c>
      <c r="AE70" s="382">
        <f t="shared" si="182"/>
        <v>5.6110239289311359E-2</v>
      </c>
      <c r="AF70" s="382">
        <f t="shared" si="182"/>
        <v>6.0853894597960201E-2</v>
      </c>
      <c r="AG70" s="382">
        <f t="shared" si="182"/>
        <v>-0.17570731314692012</v>
      </c>
      <c r="AH70" s="382">
        <f t="shared" si="182"/>
        <v>-0.30129690770897211</v>
      </c>
      <c r="AI70" s="382">
        <f t="shared" si="182"/>
        <v>-0.86223138282040557</v>
      </c>
      <c r="AT70" s="382">
        <f t="shared" si="182"/>
        <v>2.3038120724235833E-2</v>
      </c>
      <c r="AU70" s="382">
        <f t="shared" si="182"/>
        <v>-0.2222390393748338</v>
      </c>
      <c r="AV70" s="382">
        <f t="shared" si="182"/>
        <v>0.25178827926123759</v>
      </c>
      <c r="AW70" s="382">
        <f t="shared" si="182"/>
        <v>-0.72385886714284564</v>
      </c>
      <c r="AZ70" s="382">
        <f t="shared" si="182"/>
        <v>5.4194018249138933</v>
      </c>
      <c r="BA70" s="382">
        <f t="shared" si="182"/>
        <v>1.5340589428879801</v>
      </c>
      <c r="BB70" s="382">
        <f t="shared" si="182"/>
        <v>-0.16264230177134253</v>
      </c>
      <c r="BC70" s="382">
        <f t="shared" si="182"/>
        <v>-0.53254875336513097</v>
      </c>
      <c r="BD70" s="382">
        <f t="shared" si="182"/>
        <v>0.52370161813969229</v>
      </c>
      <c r="BV70" s="382">
        <f t="shared" ref="BV70:CK70" si="183">BV69/BU69-1</f>
        <v>-0.49642534529795157</v>
      </c>
      <c r="BW70" s="382">
        <f t="shared" si="183"/>
        <v>0.14251532824884028</v>
      </c>
      <c r="BX70" s="382">
        <f t="shared" si="183"/>
        <v>0.5756699440909967</v>
      </c>
      <c r="BY70" s="382">
        <f t="shared" si="183"/>
        <v>0.26076751117734731</v>
      </c>
      <c r="BZ70" s="382">
        <f t="shared" si="183"/>
        <v>-0.33721093169843708</v>
      </c>
      <c r="CA70" s="382">
        <f t="shared" si="183"/>
        <v>-0.50883653198701173</v>
      </c>
      <c r="CF70" s="382">
        <f t="shared" si="183"/>
        <v>-1.4694321385420861</v>
      </c>
      <c r="CG70" s="382">
        <f t="shared" si="183"/>
        <v>0.44782279120693991</v>
      </c>
      <c r="CH70" s="382">
        <f t="shared" si="183"/>
        <v>-0.73158125273762586</v>
      </c>
      <c r="CI70" s="382">
        <f t="shared" si="183"/>
        <v>0.41110383944153583</v>
      </c>
      <c r="CJ70" s="382">
        <f t="shared" si="183"/>
        <v>0.14499812663919043</v>
      </c>
      <c r="CK70" s="382">
        <f t="shared" si="183"/>
        <v>-0.89948783610755434</v>
      </c>
      <c r="CV70" s="382">
        <f t="shared" ref="CV70:EW70" si="184">CV69/CU69-1</f>
        <v>-21.436155167188602</v>
      </c>
      <c r="CW70" s="382">
        <f t="shared" si="184"/>
        <v>-0.1688512684976845</v>
      </c>
      <c r="CX70" s="382">
        <f t="shared" si="184"/>
        <v>0.32580121529024741</v>
      </c>
      <c r="CY70" s="382">
        <f t="shared" si="184"/>
        <v>0.37277375555889725</v>
      </c>
      <c r="CZ70" s="382">
        <f t="shared" si="184"/>
        <v>-9.9011696436666963E-2</v>
      </c>
      <c r="DA70" s="382">
        <f t="shared" si="184"/>
        <v>-0.55387542071118478</v>
      </c>
      <c r="DB70" s="382">
        <f t="shared" si="184"/>
        <v>-0.59388106247983652</v>
      </c>
      <c r="DC70" s="382">
        <f t="shared" si="184"/>
        <v>1.2078234359568896</v>
      </c>
      <c r="DD70" s="382">
        <f t="shared" si="184"/>
        <v>2.4854949618087958</v>
      </c>
      <c r="DE70" s="382">
        <f t="shared" si="184"/>
        <v>0.85767778798081862</v>
      </c>
      <c r="DF70" s="382">
        <f t="shared" si="184"/>
        <v>-0.50217292137492775</v>
      </c>
      <c r="DG70" s="382">
        <f t="shared" si="184"/>
        <v>-6.9320044439525885E-2</v>
      </c>
      <c r="DH70" s="382">
        <f t="shared" si="184"/>
        <v>1.7512662234884453</v>
      </c>
      <c r="DI70" s="382">
        <f t="shared" si="184"/>
        <v>0.29882928701660139</v>
      </c>
      <c r="DJ70" s="383">
        <f t="shared" si="184"/>
        <v>-4.0617384240457799E-3</v>
      </c>
      <c r="DK70" s="383">
        <f t="shared" si="184"/>
        <v>0.24674304600247154</v>
      </c>
      <c r="DL70" s="383">
        <f t="shared" si="184"/>
        <v>0.144303679008013</v>
      </c>
      <c r="DM70" s="383">
        <f t="shared" si="184"/>
        <v>0.28036789835385689</v>
      </c>
      <c r="DN70" s="383">
        <f t="shared" si="184"/>
        <v>0.21419141914191431</v>
      </c>
      <c r="DO70" s="383">
        <f t="shared" si="184"/>
        <v>-0.11588027437123249</v>
      </c>
      <c r="DP70" s="383">
        <f t="shared" si="184"/>
        <v>-0.42710072248193798</v>
      </c>
      <c r="DQ70" s="383">
        <f t="shared" si="184"/>
        <v>-2.3639174301217869E-2</v>
      </c>
      <c r="DR70" s="383">
        <f t="shared" si="184"/>
        <v>-0.16825714866581187</v>
      </c>
      <c r="DS70" s="383">
        <f t="shared" si="184"/>
        <v>-0.10661718833038336</v>
      </c>
      <c r="DT70" s="383">
        <f t="shared" si="184"/>
        <v>0.30173316963372199</v>
      </c>
      <c r="DU70" s="383">
        <f t="shared" si="184"/>
        <v>0.11961313208116287</v>
      </c>
      <c r="DV70" s="382">
        <f t="shared" si="184"/>
        <v>-0.27120997123681689</v>
      </c>
      <c r="DW70" s="382">
        <f t="shared" si="184"/>
        <v>0.21643763666154747</v>
      </c>
      <c r="DX70" s="382">
        <f t="shared" si="184"/>
        <v>0.47910867657200185</v>
      </c>
      <c r="DY70" s="383">
        <f t="shared" si="184"/>
        <v>0.24870780391952896</v>
      </c>
      <c r="DZ70" s="383">
        <f t="shared" si="184"/>
        <v>-0.16000424260153601</v>
      </c>
      <c r="EA70" s="383">
        <f t="shared" si="184"/>
        <v>-0.65807907066953841</v>
      </c>
      <c r="EB70" s="383">
        <f t="shared" si="184"/>
        <v>2.727273802973559</v>
      </c>
      <c r="EC70" s="383">
        <f t="shared" si="184"/>
        <v>0.30862681291025118</v>
      </c>
      <c r="ED70" s="383">
        <f t="shared" si="184"/>
        <v>-0.12596044060874356</v>
      </c>
      <c r="EE70" s="384">
        <f t="shared" si="184"/>
        <v>0.20180746989776255</v>
      </c>
      <c r="EF70" s="384">
        <f t="shared" si="184"/>
        <v>7.7625272447569227E-2</v>
      </c>
      <c r="EG70" s="384">
        <f t="shared" si="184"/>
        <v>0.65929766393134459</v>
      </c>
      <c r="EH70" s="384">
        <f t="shared" si="184"/>
        <v>8.2685660104306447E-2</v>
      </c>
      <c r="EI70" s="384">
        <f t="shared" si="184"/>
        <v>0.1173087068934795</v>
      </c>
      <c r="EJ70" s="384">
        <f t="shared" si="184"/>
        <v>0.17246174366988187</v>
      </c>
      <c r="EK70" s="384">
        <f t="shared" si="184"/>
        <v>9.8076082331025383E-2</v>
      </c>
      <c r="EL70" s="384">
        <f t="shared" si="184"/>
        <v>-4.7352114734097173E-3</v>
      </c>
      <c r="EM70" s="384">
        <f t="shared" si="184"/>
        <v>7.3888801680794147E-2</v>
      </c>
      <c r="EN70" s="384">
        <f t="shared" si="184"/>
        <v>0.12665554080663632</v>
      </c>
      <c r="EO70" s="384">
        <f t="shared" si="184"/>
        <v>9.7419121615109017E-2</v>
      </c>
      <c r="EP70" s="384">
        <f t="shared" si="184"/>
        <v>-4.8942118834324422E-2</v>
      </c>
      <c r="EQ70" s="384">
        <f t="shared" si="184"/>
        <v>3.8779632677875764E-2</v>
      </c>
      <c r="ER70" s="384">
        <f t="shared" si="184"/>
        <v>0.10183465642457468</v>
      </c>
      <c r="ES70" s="384">
        <f t="shared" si="184"/>
        <v>3.2285881977826891E-2</v>
      </c>
      <c r="ET70" s="384">
        <f t="shared" si="184"/>
        <v>-8.164530466728781E-2</v>
      </c>
      <c r="EU70" s="384">
        <f t="shared" si="184"/>
        <v>4.1232573033527675E-2</v>
      </c>
      <c r="EV70" s="384">
        <f t="shared" si="184"/>
        <v>0.13499114985735816</v>
      </c>
      <c r="EW70" s="384">
        <f t="shared" si="184"/>
        <v>5.1684103906373791E-2</v>
      </c>
      <c r="FX70" s="385"/>
      <c r="FY70" s="385"/>
      <c r="FZ70" s="386" t="s">
        <v>199</v>
      </c>
      <c r="GA70" s="386" t="s">
        <v>199</v>
      </c>
      <c r="GB70" s="386" t="s">
        <v>199</v>
      </c>
      <c r="GC70" s="386" t="s">
        <v>199</v>
      </c>
      <c r="GD70" s="386" t="s">
        <v>199</v>
      </c>
      <c r="GE70" s="386" t="s">
        <v>199</v>
      </c>
      <c r="GF70" s="386" t="s">
        <v>199</v>
      </c>
      <c r="GG70" s="386" t="s">
        <v>199</v>
      </c>
      <c r="GH70" s="386" t="s">
        <v>199</v>
      </c>
      <c r="GI70" s="386" t="s">
        <v>199</v>
      </c>
      <c r="GJ70" s="386" t="s">
        <v>199</v>
      </c>
      <c r="GK70" s="386" t="s">
        <v>199</v>
      </c>
      <c r="GN70" s="70"/>
    </row>
    <row r="71" spans="1:196" s="382" customFormat="1">
      <c r="A71" s="381" t="s">
        <v>200</v>
      </c>
      <c r="F71" s="382">
        <f t="shared" ref="F71:BD71" si="185">F69/B69-1</f>
        <v>0.33865376041265338</v>
      </c>
      <c r="G71" s="382">
        <f t="shared" si="185"/>
        <v>0.41665947265117254</v>
      </c>
      <c r="H71" s="382">
        <f t="shared" si="185"/>
        <v>0.38456084097429821</v>
      </c>
      <c r="I71" s="382">
        <f t="shared" si="185"/>
        <v>4.1307688775736651E-2</v>
      </c>
      <c r="J71" s="382">
        <f t="shared" si="185"/>
        <v>0.1116059046932556</v>
      </c>
      <c r="K71" s="382">
        <f t="shared" si="185"/>
        <v>-4.1619483511859845E-2</v>
      </c>
      <c r="L71" s="382">
        <f t="shared" si="185"/>
        <v>-0.36688257340223285</v>
      </c>
      <c r="M71" s="382">
        <f t="shared" si="185"/>
        <v>0.22483561032558774</v>
      </c>
      <c r="N71" s="382">
        <f t="shared" si="185"/>
        <v>-0.79823332859869978</v>
      </c>
      <c r="O71" s="382">
        <f t="shared" si="185"/>
        <v>-1.2990541620330875</v>
      </c>
      <c r="P71" s="382">
        <f t="shared" si="185"/>
        <v>-1.5386750700099197</v>
      </c>
      <c r="Q71" s="382">
        <f t="shared" si="185"/>
        <v>-1.2966098024784072</v>
      </c>
      <c r="R71" s="382">
        <f t="shared" si="185"/>
        <v>-0.51962002073092184</v>
      </c>
      <c r="S71" s="382">
        <f t="shared" si="185"/>
        <v>-1.2629019580937588</v>
      </c>
      <c r="T71" s="382">
        <f t="shared" si="185"/>
        <v>-0.20721709106811936</v>
      </c>
      <c r="U71" s="382">
        <f t="shared" si="185"/>
        <v>-0.43677635909286916</v>
      </c>
      <c r="V71" s="382">
        <f t="shared" si="185"/>
        <v>-6.0071985496289031</v>
      </c>
      <c r="W71" s="382">
        <f t="shared" si="185"/>
        <v>-7.6779409351592136</v>
      </c>
      <c r="X71" s="382">
        <f t="shared" si="185"/>
        <v>-1.0306962108332776</v>
      </c>
      <c r="Y71" s="382">
        <f t="shared" si="185"/>
        <v>-2.7124380037442712</v>
      </c>
      <c r="Z71" s="382">
        <f t="shared" si="185"/>
        <v>0.76487017880539843</v>
      </c>
      <c r="AA71" s="382">
        <f t="shared" si="185"/>
        <v>1.5704133185117564</v>
      </c>
      <c r="AB71" s="382">
        <f t="shared" si="185"/>
        <v>-105.38448022479112</v>
      </c>
      <c r="AC71" s="382">
        <f t="shared" si="185"/>
        <v>2.1128576840917535</v>
      </c>
      <c r="AD71" s="382">
        <f t="shared" si="185"/>
        <v>-2.4756651318955747</v>
      </c>
      <c r="AE71" s="382">
        <f t="shared" si="185"/>
        <v>-2.0466723226805206</v>
      </c>
      <c r="AF71" s="382">
        <f t="shared" si="185"/>
        <v>-2.7935784626901867</v>
      </c>
      <c r="AG71" s="382">
        <f t="shared" si="185"/>
        <v>1.2847991378552903</v>
      </c>
      <c r="AH71" s="382">
        <f t="shared" si="185"/>
        <v>-0.3547337646898554</v>
      </c>
      <c r="AI71" s="382">
        <f t="shared" si="185"/>
        <v>-0.91582560830848192</v>
      </c>
      <c r="AS71" s="382">
        <f t="shared" si="185"/>
        <v>-1.1700784179603754</v>
      </c>
      <c r="AT71" s="382">
        <f t="shared" si="185"/>
        <v>-1.2804183251002572</v>
      </c>
      <c r="AU71" s="382">
        <f t="shared" si="185"/>
        <v>-1.2287076540211421</v>
      </c>
      <c r="AW71" s="382">
        <f t="shared" si="185"/>
        <v>-0.72495741570026451</v>
      </c>
      <c r="AY71" s="382">
        <f t="shared" si="185"/>
        <v>-0.69846866982166289</v>
      </c>
      <c r="AZ71" s="382">
        <f t="shared" si="185"/>
        <v>0.54630843193218337</v>
      </c>
      <c r="BA71" s="382">
        <f t="shared" si="185"/>
        <v>13.189978399298507</v>
      </c>
      <c r="BC71" s="382">
        <f t="shared" si="185"/>
        <v>5.3673483979315035</v>
      </c>
      <c r="BD71" s="382">
        <f t="shared" si="185"/>
        <v>0.51134627832984214</v>
      </c>
      <c r="BY71" s="382">
        <f>BY69/BU69-1</f>
        <v>0.14294717578181038</v>
      </c>
      <c r="BZ71" s="382">
        <f>BZ69/BV69-1</f>
        <v>0.50431100271029461</v>
      </c>
      <c r="CA71" s="382">
        <f>CA69/BW69-1</f>
        <v>-0.35330179754020807</v>
      </c>
      <c r="CJ71" s="382">
        <f>CJ69/CF69-1</f>
        <v>-0.37209780152044392</v>
      </c>
      <c r="CK71" s="382">
        <f>CK69/CG69-1</f>
        <v>-0.95640916204296478</v>
      </c>
      <c r="CV71" s="382">
        <f t="shared" ref="CV71:EW71" si="186">CV69/CR69-1</f>
        <v>14.838531669865736</v>
      </c>
      <c r="CZ71" s="382">
        <f t="shared" si="186"/>
        <v>0.362935426132452</v>
      </c>
      <c r="DA71" s="382">
        <f t="shared" si="186"/>
        <v>-0.26843539485150703</v>
      </c>
      <c r="DB71" s="382">
        <f t="shared" si="186"/>
        <v>-0.77590740094078015</v>
      </c>
      <c r="DC71" s="382">
        <f t="shared" si="186"/>
        <v>-0.63959327600489702</v>
      </c>
      <c r="DD71" s="382">
        <f t="shared" si="186"/>
        <v>0.39424209583941949</v>
      </c>
      <c r="DE71" s="382">
        <f t="shared" si="186"/>
        <v>4.8056710899848154</v>
      </c>
      <c r="DF71" s="382">
        <f t="shared" si="186"/>
        <v>6.1166843285698365</v>
      </c>
      <c r="DG71" s="382">
        <f t="shared" si="186"/>
        <v>1.9999479789835091</v>
      </c>
      <c r="DH71" s="382">
        <f t="shared" si="186"/>
        <v>1.3680009976306269</v>
      </c>
      <c r="DI71" s="382">
        <f t="shared" si="186"/>
        <v>0.65563106115953929</v>
      </c>
      <c r="DJ71" s="383">
        <f t="shared" si="186"/>
        <v>2.312206972381714</v>
      </c>
      <c r="DK71" s="383">
        <f t="shared" si="186"/>
        <v>3.4370473276723281</v>
      </c>
      <c r="DL71" s="383">
        <f t="shared" si="186"/>
        <v>0.84545193687231013</v>
      </c>
      <c r="DM71" s="383">
        <f t="shared" si="186"/>
        <v>0.81922092575669825</v>
      </c>
      <c r="DN71" s="383">
        <f t="shared" si="186"/>
        <v>1.217890930389498</v>
      </c>
      <c r="DO71" s="383">
        <f t="shared" si="186"/>
        <v>0.57280293412328964</v>
      </c>
      <c r="DP71" s="383">
        <f t="shared" si="186"/>
        <v>-0.21257120713040101</v>
      </c>
      <c r="DQ71" s="383">
        <f t="shared" si="186"/>
        <v>-0.39953615880747528</v>
      </c>
      <c r="DR71" s="383">
        <f t="shared" si="186"/>
        <v>-0.58867152285633439</v>
      </c>
      <c r="DS71" s="383">
        <f t="shared" si="186"/>
        <v>-0.58436195825282611</v>
      </c>
      <c r="DT71" s="383">
        <f t="shared" si="186"/>
        <v>-5.5593458159241549E-2</v>
      </c>
      <c r="DU71" s="383">
        <f t="shared" si="186"/>
        <v>8.2970494552063512E-2</v>
      </c>
      <c r="DV71" s="382">
        <f t="shared" si="186"/>
        <v>-5.1079192795900563E-2</v>
      </c>
      <c r="DW71" s="382">
        <f t="shared" si="186"/>
        <v>0.29205864386072089</v>
      </c>
      <c r="DX71" s="382">
        <f t="shared" si="186"/>
        <v>0.46811588991927167</v>
      </c>
      <c r="DY71" s="383">
        <f t="shared" si="186"/>
        <v>0.63739394999125731</v>
      </c>
      <c r="DZ71" s="383">
        <f t="shared" si="186"/>
        <v>0.88724312476769618</v>
      </c>
      <c r="EA71" s="383">
        <f t="shared" si="186"/>
        <v>-0.46952650621362269</v>
      </c>
      <c r="EB71" s="383">
        <f t="shared" si="186"/>
        <v>0.33676449058783664</v>
      </c>
      <c r="EC71" s="383">
        <f t="shared" si="186"/>
        <v>0.4009088831179346</v>
      </c>
      <c r="ED71" s="383">
        <f t="shared" si="186"/>
        <v>0.45768567538950244</v>
      </c>
      <c r="EE71" s="384">
        <f t="shared" si="186"/>
        <v>4.123575023256107</v>
      </c>
      <c r="EF71" s="384">
        <f t="shared" si="186"/>
        <v>0.4813223342854831</v>
      </c>
      <c r="EG71" s="384">
        <f t="shared" si="186"/>
        <v>0.87827015659490471</v>
      </c>
      <c r="EH71" s="384">
        <f t="shared" si="186"/>
        <v>1.3266408739708546</v>
      </c>
      <c r="EI71" s="384">
        <f t="shared" si="186"/>
        <v>1.1630553740217939</v>
      </c>
      <c r="EJ71" s="384">
        <f t="shared" si="186"/>
        <v>1.3534151808818979</v>
      </c>
      <c r="EK71" s="384">
        <f t="shared" si="186"/>
        <v>0.55742334729646292</v>
      </c>
      <c r="EL71" s="384">
        <f t="shared" si="186"/>
        <v>0.43167003638346513</v>
      </c>
      <c r="EM71" s="384">
        <f t="shared" si="186"/>
        <v>0.37603368727772213</v>
      </c>
      <c r="EN71" s="384">
        <f t="shared" si="186"/>
        <v>0.32227425455728897</v>
      </c>
      <c r="EO71" s="384">
        <f t="shared" si="186"/>
        <v>0.32148315979173536</v>
      </c>
      <c r="EP71" s="384">
        <f t="shared" si="186"/>
        <v>0.26278653523777495</v>
      </c>
      <c r="EQ71" s="384">
        <f t="shared" si="186"/>
        <v>0.22150164073949785</v>
      </c>
      <c r="ER71" s="384">
        <f t="shared" si="186"/>
        <v>0.194591240977396</v>
      </c>
      <c r="ES71" s="384">
        <f t="shared" si="186"/>
        <v>0.12369071078372951</v>
      </c>
      <c r="ET71" s="384">
        <f t="shared" si="186"/>
        <v>8.5051352589784468E-2</v>
      </c>
      <c r="EU71" s="384">
        <f t="shared" si="186"/>
        <v>8.7613557476167392E-2</v>
      </c>
      <c r="EV71" s="384">
        <f t="shared" si="186"/>
        <v>0.12034210850294591</v>
      </c>
      <c r="EW71" s="384">
        <f t="shared" si="186"/>
        <v>0.14139504086989563</v>
      </c>
      <c r="FA71" s="382">
        <f>FA69/EZ69-1</f>
        <v>0.31876880420246301</v>
      </c>
      <c r="FB71" s="382">
        <f>FB69/FA69-1</f>
        <v>-5.1965375916175671E-2</v>
      </c>
      <c r="FC71" s="386" t="s">
        <v>199</v>
      </c>
      <c r="FD71" s="386" t="s">
        <v>199</v>
      </c>
      <c r="FE71" s="386" t="s">
        <v>199</v>
      </c>
      <c r="FF71" s="386" t="s">
        <v>199</v>
      </c>
      <c r="FG71" s="386" t="s">
        <v>199</v>
      </c>
      <c r="FH71" s="382">
        <f>FH69/FG69-1</f>
        <v>-0.96051950471706649</v>
      </c>
      <c r="FI71" s="382">
        <f>FI69/FH69-1</f>
        <v>-22.481807744671869</v>
      </c>
      <c r="FJ71" s="386" t="s">
        <v>199</v>
      </c>
      <c r="FK71" s="386" t="s">
        <v>199</v>
      </c>
      <c r="FL71" s="382">
        <f>FL69/FK69-1</f>
        <v>0.71589023315467704</v>
      </c>
      <c r="FM71" s="382">
        <f>FM69/FL69-1</f>
        <v>0.27334540817493846</v>
      </c>
      <c r="FN71" s="386" t="s">
        <v>199</v>
      </c>
      <c r="FO71" s="386" t="s">
        <v>199</v>
      </c>
      <c r="FP71" s="386" t="s">
        <v>199</v>
      </c>
      <c r="FQ71" s="386" t="s">
        <v>199</v>
      </c>
      <c r="FR71" s="386" t="s">
        <v>199</v>
      </c>
      <c r="FS71" s="386" t="s">
        <v>199</v>
      </c>
      <c r="FT71" s="386" t="s">
        <v>199</v>
      </c>
      <c r="FU71" s="386" t="s">
        <v>199</v>
      </c>
      <c r="FV71" s="386" t="s">
        <v>199</v>
      </c>
      <c r="FW71" s="386" t="s">
        <v>199</v>
      </c>
      <c r="FX71" s="386" t="s">
        <v>199</v>
      </c>
      <c r="FY71" s="382">
        <f t="shared" ref="FY71:GK71" si="187">FY69/FX69-1</f>
        <v>3.7678986880599998</v>
      </c>
      <c r="FZ71" s="382">
        <f t="shared" si="187"/>
        <v>0.35695031796562771</v>
      </c>
      <c r="GA71" s="382">
        <f t="shared" si="187"/>
        <v>1.2076842417154285</v>
      </c>
      <c r="GB71" s="382">
        <f t="shared" si="187"/>
        <v>1.3304834682740774</v>
      </c>
      <c r="GC71" s="382">
        <f t="shared" si="187"/>
        <v>0.16344527589391733</v>
      </c>
      <c r="GD71" s="382">
        <f t="shared" si="187"/>
        <v>-0.37864125154831174</v>
      </c>
      <c r="GE71" s="382">
        <f t="shared" si="187"/>
        <v>0.3634730372488455</v>
      </c>
      <c r="GF71" s="382">
        <f t="shared" si="187"/>
        <v>0.29106180261458259</v>
      </c>
      <c r="GG71" s="384">
        <f t="shared" si="187"/>
        <v>0.92102577235490624</v>
      </c>
      <c r="GH71" s="384">
        <f t="shared" si="187"/>
        <v>1.0051777475797397</v>
      </c>
      <c r="GI71" s="384">
        <f t="shared" si="187"/>
        <v>0.356867531420483</v>
      </c>
      <c r="GJ71" s="384">
        <f t="shared" si="187"/>
        <v>0.19523190101723964</v>
      </c>
      <c r="GK71" s="384">
        <f t="shared" si="187"/>
        <v>0.11016672565104035</v>
      </c>
      <c r="GN71" s="70"/>
    </row>
    <row r="72" spans="1:196" s="418" customFormat="1">
      <c r="A72" s="415" t="s">
        <v>221</v>
      </c>
      <c r="AD72" s="415">
        <f>AMD!BO50</f>
        <v>0.57319328610810594</v>
      </c>
      <c r="AE72" s="415">
        <f>AMD!BP50</f>
        <v>0.6053552985506585</v>
      </c>
      <c r="AF72" s="415">
        <f>AMD!BQ50</f>
        <v>1.1759286809316138</v>
      </c>
      <c r="AG72" s="415">
        <f>AMD!BR50</f>
        <v>0.52917245598687201</v>
      </c>
      <c r="AH72" s="415">
        <f>AMD!BT50</f>
        <v>0.36986227383202813</v>
      </c>
      <c r="AI72" s="415">
        <f>AMD!BU50</f>
        <v>5.0955414012738995E-2</v>
      </c>
      <c r="AJ72" s="415">
        <f>AMD!BV50</f>
        <v>-0.54175119694879403</v>
      </c>
      <c r="AK72" s="415">
        <f>AMD!BW50</f>
        <v>-4.6577815411664725E-2</v>
      </c>
      <c r="AL72" s="415">
        <f>AMD!BY50</f>
        <v>-2.6886263739488332E-2</v>
      </c>
      <c r="AM72" s="415">
        <f>AMD!BZ50</f>
        <v>-0.54109929721284322</v>
      </c>
      <c r="AN72" s="415">
        <f>AMD!CA50</f>
        <v>-0.74149892059046651</v>
      </c>
      <c r="AO72" s="415">
        <f>AMD!CB50</f>
        <v>-2.4850777295471134</v>
      </c>
      <c r="AP72" s="415">
        <f>AMD!CD50</f>
        <v>-0.42420553487994644</v>
      </c>
      <c r="AQ72" s="415">
        <f>AMD!CE50</f>
        <v>-0.40452760452760445</v>
      </c>
      <c r="AR72" s="415">
        <f>AMD!CF50</f>
        <v>-8.9916334133715622E-2</v>
      </c>
      <c r="AS72" s="415">
        <f>AMD!CG50</f>
        <v>0.11627621999567515</v>
      </c>
      <c r="AT72" s="415">
        <f>AMD!CI50</f>
        <v>0.11895500558929333</v>
      </c>
      <c r="AU72" s="415">
        <f>AMD!CJ50</f>
        <v>8.7131861931708729E-2</v>
      </c>
      <c r="AV72" s="415">
        <f>AMD!CK50</f>
        <v>0.11581364829396333</v>
      </c>
      <c r="AW72" s="415">
        <f>AMD!CL50</f>
        <v>-7.9835761561171018E-2</v>
      </c>
      <c r="AX72" s="415">
        <f>AMD!CN50</f>
        <v>-4.4324648860147087E-2</v>
      </c>
      <c r="AY72" s="415">
        <f>AMD!CO50</f>
        <v>2.7897244287583754E-2</v>
      </c>
      <c r="AZ72" s="415">
        <f>AMD!CP50</f>
        <v>0.17908362088978383</v>
      </c>
      <c r="BA72" s="415">
        <f>AMD!CQ50</f>
        <v>0.21132465074736403</v>
      </c>
      <c r="BB72" s="415">
        <f>AMD!CS50</f>
        <v>0.38</v>
      </c>
      <c r="BC72" s="415">
        <f>AMD!CT50</f>
        <v>0.17763147372125021</v>
      </c>
      <c r="BD72" s="415">
        <f>AMD!CU50</f>
        <v>0.27065736394160717</v>
      </c>
      <c r="BE72" s="415">
        <f>AMD!CV50</f>
        <v>-1.0790979284369115</v>
      </c>
      <c r="BF72" s="415">
        <f>AMD!CX50</f>
        <v>-1.1129326047358834</v>
      </c>
      <c r="BG72" s="415">
        <f>AMD!CY50</f>
        <v>-1.0869565217391304</v>
      </c>
      <c r="BH72" s="415">
        <f>AMD!CZ50</f>
        <v>-0.71480144404332135</v>
      </c>
      <c r="BI72" s="415">
        <f>AMD!DA50</f>
        <v>-3.0604490500863557</v>
      </c>
      <c r="BJ72" s="415">
        <f>AMD!DC50</f>
        <v>-0.5907590759075908</v>
      </c>
      <c r="BK72" s="415">
        <f>AMD!DD50</f>
        <v>-0.44316309719934099</v>
      </c>
      <c r="BL72" s="415">
        <f>AMD!DE50</f>
        <v>3.7828947368421052E-2</v>
      </c>
      <c r="BM72" s="415">
        <f>AMD!DF50</f>
        <v>-2.3218390804597702</v>
      </c>
      <c r="BN72" s="415">
        <f>AMD!DH50</f>
        <v>-0.66453674121405748</v>
      </c>
      <c r="BO72" s="415">
        <v>-4.4912010113780002E-2</v>
      </c>
      <c r="BP72" s="415">
        <f>AMD!DJ50</f>
        <v>-0.18443804034582131</v>
      </c>
      <c r="BQ72" s="415">
        <f>AMD!DK50</f>
        <v>1.5195954487989887</v>
      </c>
      <c r="BR72" s="415">
        <f>AMD!DM50</f>
        <v>0.35013262599469497</v>
      </c>
      <c r="BS72" s="415">
        <f>AMD!DN50</f>
        <v>-6.0648801128349791E-2</v>
      </c>
      <c r="BT72" s="415">
        <f>AMD!DO50</f>
        <v>-0.16549789621318373</v>
      </c>
      <c r="BU72" s="415">
        <f>AMD!DP50</f>
        <v>0.50395778364116095</v>
      </c>
      <c r="BV72" s="415">
        <f>AMD!DR50</f>
        <v>0.67670157068062831</v>
      </c>
      <c r="BW72" s="415">
        <f>AMD!DS50</f>
        <v>8.2099596231493946E-2</v>
      </c>
      <c r="BX72" s="415">
        <f>AMD!DT50</f>
        <v>0.13090418353576247</v>
      </c>
      <c r="BY72" s="415">
        <f>AMD!DU50</f>
        <v>-0.24180327868852458</v>
      </c>
      <c r="BZ72" s="415">
        <f>AMD!DW50</f>
        <v>-0.80381471389645776</v>
      </c>
      <c r="CA72" s="415">
        <f>AMD!DX50</f>
        <v>4.900662251655629E-2</v>
      </c>
      <c r="CB72" s="415">
        <f>AMD!DY50</f>
        <v>-0.21073825503355706</v>
      </c>
      <c r="CC72" s="415">
        <f>AMD!DZ50</f>
        <v>-0.63319946452476572</v>
      </c>
      <c r="CD72" s="415">
        <f>AMD!EB50</f>
        <v>-0.19492656875834447</v>
      </c>
      <c r="CE72" s="415">
        <f>AMD!EC50</f>
        <v>-9.8404255319148939E-2</v>
      </c>
      <c r="CF72" s="415">
        <f>AMD!ED50</f>
        <v>6.2827225130890049E-2</v>
      </c>
      <c r="CG72" s="415">
        <f>AMD!EE50</f>
        <v>0.11618798955613577</v>
      </c>
      <c r="CH72" s="415">
        <f>AMD!EG50</f>
        <v>-2.6281208935611037E-2</v>
      </c>
      <c r="CI72" s="415">
        <f>AMD!EH50</f>
        <v>-4.712041884816754E-2</v>
      </c>
      <c r="CJ72" s="415">
        <f>AMD!EI50</f>
        <v>2.1656050955414011E-2</v>
      </c>
      <c r="CK72" s="415">
        <f>AMD!EJ50</f>
        <v>-0.46606914212548017</v>
      </c>
      <c r="CL72" s="415">
        <f>AMD!EL50</f>
        <v>-0.23166023166023167</v>
      </c>
      <c r="CM72" s="415">
        <f>AMD!EM50</f>
        <v>-0.2326478149100257</v>
      </c>
      <c r="CN72" s="415">
        <f>AMD!EN50</f>
        <v>-0.25095541401273885</v>
      </c>
      <c r="CO72" s="415">
        <f>AMD!EO50</f>
        <v>-0.12895069532237674</v>
      </c>
      <c r="CP72" s="415">
        <f>AMD!EQ50</f>
        <v>-0.13745271122320302</v>
      </c>
      <c r="CQ72" s="415">
        <f>AMD!ER50</f>
        <v>8.4043848964677217E-2</v>
      </c>
      <c r="CR72" s="415">
        <f>AMD!ES50</f>
        <v>-0.498159509202454</v>
      </c>
      <c r="CS72" s="415">
        <f>AMD!ET50</f>
        <v>-5.4779806659505909E-2</v>
      </c>
      <c r="CT72" s="415">
        <f>AMD!EV50</f>
        <v>-7.7742279020234298E-2</v>
      </c>
      <c r="CU72" s="415">
        <f>AMD!EW50</f>
        <v>-1.5444015444015444E-2</v>
      </c>
      <c r="CV72" s="415">
        <f>AMD!EX50</f>
        <v>6.8138195777351251E-2</v>
      </c>
      <c r="CW72" s="415">
        <f>AMD!EY50</f>
        <v>5.8823529411764705E-2</v>
      </c>
      <c r="CX72" s="415">
        <f>AMD!FA50</f>
        <v>7.795957651588066E-2</v>
      </c>
      <c r="CY72" s="415">
        <f>AMD!FB50</f>
        <v>0.11089866156787763</v>
      </c>
      <c r="CZ72" s="415">
        <f>AMD!FC50</f>
        <v>9.4795539033457249E-2</v>
      </c>
      <c r="DA72" s="415">
        <f>AMD!FD50</f>
        <v>3.5217794253938832E-2</v>
      </c>
      <c r="DB72" s="415">
        <f>AMD!FF50</f>
        <v>1.4625228519195612E-2</v>
      </c>
      <c r="DC72" s="415">
        <f>AMD!FG50</f>
        <v>3.1559963931469794E-2</v>
      </c>
      <c r="DD72" s="415">
        <f>AMD!FH50</f>
        <v>0.10743061772605192</v>
      </c>
      <c r="DE72" s="415">
        <f>AMD!FI50</f>
        <v>0.14309764309764308</v>
      </c>
      <c r="DF72" s="415">
        <f>AMD!FK50</f>
        <v>0.13579212070410729</v>
      </c>
      <c r="DG72" s="415">
        <f>AMD!FL50</f>
        <v>0.12795436022819887</v>
      </c>
      <c r="DH72" s="415">
        <f>AMD!FM50</f>
        <v>0.32098765432098764</v>
      </c>
      <c r="DI72" s="415">
        <f>AMD!FN50</f>
        <v>1.4526916802610115</v>
      </c>
      <c r="DJ72" s="416">
        <f>AMD!FP50</f>
        <v>0.45085296506904954</v>
      </c>
      <c r="DK72" s="416">
        <f>AMD!FQ50</f>
        <v>0.57629870129870131</v>
      </c>
      <c r="DL72" s="416">
        <f>AMD!FR50</f>
        <v>0.75040650406504061</v>
      </c>
      <c r="DM72" s="416">
        <f>AMD!FS50</f>
        <v>0.79705400981996721</v>
      </c>
      <c r="DN72" s="416">
        <f>AMD!FU50</f>
        <v>0.55744680851063833</v>
      </c>
      <c r="DO72" s="416">
        <f>AMD!FV50</f>
        <v>0.27389705882352944</v>
      </c>
      <c r="DP72" s="416">
        <f>AMD!FW50</f>
        <v>4.0615384615384616E-2</v>
      </c>
      <c r="DQ72" s="416">
        <f>AMD!FX50</f>
        <v>1.2978986402966625E-2</v>
      </c>
      <c r="DR72" s="416">
        <f>AMD!FZ50</f>
        <v>-8.6281812538795785E-2</v>
      </c>
      <c r="DS72" s="416">
        <f>AMD!GA50</f>
        <v>1.6594960049170254E-2</v>
      </c>
      <c r="DT72" s="416">
        <f>AMD!GB50</f>
        <v>0.18354818907305095</v>
      </c>
      <c r="DU72" s="416">
        <f>AMD!GC50</f>
        <v>0.40970515970515969</v>
      </c>
      <c r="DV72" s="415">
        <f>AMD!GE50</f>
        <v>7.5045759609517995E-2</v>
      </c>
      <c r="DW72" s="415">
        <f>AMD!GF50</f>
        <v>0.16188149053145998</v>
      </c>
      <c r="DX72" s="415">
        <f>AMD!GG50</f>
        <v>0.47127139364303178</v>
      </c>
      <c r="DY72" s="416">
        <f>AMD!GH50</f>
        <v>0.29498164014687883</v>
      </c>
      <c r="DZ72" s="416">
        <f>AMD!GJ50</f>
        <v>0.43603936039360391</v>
      </c>
      <c r="EA72" s="416">
        <f>AMD!GK50</f>
        <v>0.53496932515337425</v>
      </c>
      <c r="EB72" s="416">
        <f>AMD!GL50</f>
        <v>0.7574649603900061</v>
      </c>
      <c r="EC72" s="416">
        <f>AMD!GM50</f>
        <v>0.91631291691934502</v>
      </c>
      <c r="ED72" s="416">
        <f>AMD!GO50</f>
        <v>0.83818181818181814</v>
      </c>
      <c r="EE72" s="417">
        <f>AMD!GP50</f>
        <v>1.295038594835286</v>
      </c>
      <c r="EF72" s="417">
        <f>AMD!GQ50</f>
        <v>1.3955663185894922</v>
      </c>
      <c r="EG72" s="417">
        <f>AMD!GR50</f>
        <v>2.315659932296811</v>
      </c>
      <c r="EH72" s="417">
        <f>AMD!GT50</f>
        <v>2.5071318023758664</v>
      </c>
      <c r="EI72" s="417">
        <f>AMD!GU50</f>
        <v>2.8012401921240979</v>
      </c>
      <c r="EJ72" s="417">
        <f>AMD!GV50</f>
        <v>3.2843469600959745</v>
      </c>
      <c r="EK72" s="417">
        <f>AMD!GW50</f>
        <v>3.6064628429579999</v>
      </c>
      <c r="EL72" s="417">
        <f>AMD!GY50</f>
        <v>3.5893854787255992</v>
      </c>
      <c r="EM72" s="417">
        <f>AMD!GZ50</f>
        <v>3.8546008705190773</v>
      </c>
      <c r="EN72" s="417">
        <f>AMD!HA50</f>
        <v>4.3428074283684026</v>
      </c>
      <c r="EO72" s="417">
        <f>AMD!HB50</f>
        <v>4.7658799133836229</v>
      </c>
      <c r="EP72" s="417">
        <f>AMD!HD50</f>
        <v>4.5326276523126818</v>
      </c>
      <c r="EQ72" s="417">
        <f>AMD!HE50</f>
        <v>4.7084012877349499</v>
      </c>
      <c r="ER72" s="417">
        <f>AMD!HF50</f>
        <v>5.1878797151804639</v>
      </c>
      <c r="ES72" s="417">
        <f>AMD!HG50</f>
        <v>5.3553749873799426</v>
      </c>
      <c r="ET72" s="417">
        <f>AMD!HI50</f>
        <v>4.9181337649277346</v>
      </c>
      <c r="EU72" s="417">
        <f>AMD!HJ50</f>
        <v>5.1209210745787761</v>
      </c>
      <c r="EV72" s="417">
        <f>AMD!HK50</f>
        <v>5.8122000987649436</v>
      </c>
      <c r="EW72" s="417">
        <f>AMD!HL50</f>
        <v>6.1125984525941464</v>
      </c>
      <c r="EZ72" s="415">
        <f>B72+C72+D72+E72</f>
        <v>0</v>
      </c>
      <c r="FA72" s="415">
        <f>F72+G72+H72+I72</f>
        <v>0</v>
      </c>
      <c r="FB72" s="415">
        <f>J72+K72+L72+M72</f>
        <v>0</v>
      </c>
      <c r="FC72" s="415">
        <f>N72+O72+P72+Q72</f>
        <v>0</v>
      </c>
      <c r="FD72" s="415">
        <f>R72+S72+T72+U72</f>
        <v>0</v>
      </c>
      <c r="FE72" s="415">
        <f>V72+W72+X72+Y72</f>
        <v>0</v>
      </c>
      <c r="FF72" s="415">
        <f>Z72+AA72+AB72+AC72</f>
        <v>0</v>
      </c>
      <c r="FG72" s="415">
        <f>AD72+AE72+AF72+AG72</f>
        <v>2.8836497215772505</v>
      </c>
      <c r="FH72" s="415">
        <f>AH72+AI72+AJ72+AK72</f>
        <v>-0.16751132451569162</v>
      </c>
      <c r="FI72" s="415">
        <f>AL72+AM72+AN72+AO72</f>
        <v>-3.7945622110899113</v>
      </c>
      <c r="FJ72" s="415">
        <f>AP72+AQ72+AR72+AS72</f>
        <v>-0.8023732535455913</v>
      </c>
      <c r="FK72" s="415">
        <f>AT72+AU72+AV72+AW72</f>
        <v>0.24206475425379437</v>
      </c>
      <c r="FL72" s="415">
        <f>AX72+AY72+AZ72+BA72</f>
        <v>0.37398086706458455</v>
      </c>
      <c r="FM72" s="415">
        <f>BB72+BC72+BD72+BE72</f>
        <v>-0.25080909077405411</v>
      </c>
      <c r="FN72" s="415">
        <f>BF72+BG72+BH72+BI72</f>
        <v>-5.9751396206046907</v>
      </c>
      <c r="FO72" s="415">
        <f>BJ72+BK72+BL72+BM72</f>
        <v>-3.3179323061982808</v>
      </c>
      <c r="FP72" s="415">
        <f>BN72+BO72+BP72+BQ72</f>
        <v>0.62570865712532986</v>
      </c>
      <c r="FQ72" s="415">
        <f>BR72+BS72+BT72+BU72</f>
        <v>0.62794371229432233</v>
      </c>
      <c r="FR72" s="415">
        <f>BV72+BW72+BX72+BY72</f>
        <v>0.64790207175936021</v>
      </c>
      <c r="FS72" s="415">
        <f>BZ72+CA72+CB72+CC72</f>
        <v>-1.5987458109382242</v>
      </c>
      <c r="FT72" s="415">
        <f>CD72+CE72+CF72+CG72</f>
        <v>-0.11431560939046756</v>
      </c>
      <c r="FU72" s="415">
        <f>CH72+CI72+CJ72+CK72</f>
        <v>-0.51781471895384479</v>
      </c>
      <c r="FV72" s="415">
        <f>CL72+CM72+CN72+CO72</f>
        <v>-0.84421415590537285</v>
      </c>
      <c r="FW72" s="415">
        <f>CP72+CQ72+CR72+CS72</f>
        <v>-0.60634817812048569</v>
      </c>
      <c r="FX72" s="415">
        <f>CT72+CU72+CV72+CW72</f>
        <v>3.3775430724866218E-2</v>
      </c>
      <c r="FY72" s="415">
        <f>CX72+CY72+CZ72+DA72</f>
        <v>0.31887157137115435</v>
      </c>
      <c r="FZ72" s="415">
        <f>DB72+DC72+DD72+DE72</f>
        <v>0.29671345327436038</v>
      </c>
      <c r="GA72" s="415">
        <f>SUM(DF72:DI72)</f>
        <v>2.0374258155143052</v>
      </c>
      <c r="GB72" s="415">
        <f>SUM(DJ72:DM72)</f>
        <v>2.5746121802527586</v>
      </c>
      <c r="GC72" s="415">
        <f>SUM(DN72:DQ72)</f>
        <v>0.88493823835251895</v>
      </c>
      <c r="GD72" s="415">
        <f>SUM(DR72:DU72)</f>
        <v>0.52356649628858509</v>
      </c>
      <c r="GE72" s="415">
        <f>SUM(DV72:DY72)</f>
        <v>1.0031802839308885</v>
      </c>
      <c r="GF72" s="415">
        <f>SUM(DZ72:EC72)</f>
        <v>2.6447865628563294</v>
      </c>
      <c r="GG72" s="417">
        <f>SUM(ED72:EG72)</f>
        <v>5.8444466639034074</v>
      </c>
      <c r="GH72" s="417">
        <f>SUM(EH72:EK72)</f>
        <v>12.199181797553937</v>
      </c>
      <c r="GI72" s="417">
        <f>SUM(EL72:EO72)</f>
        <v>16.552673690996702</v>
      </c>
      <c r="GJ72" s="417">
        <f>SUM(EP72:ES72)</f>
        <v>19.784283642608038</v>
      </c>
      <c r="GK72" s="417">
        <f>SUM(ET72:EW72)</f>
        <v>21.963853390865602</v>
      </c>
      <c r="GN72" s="70"/>
    </row>
    <row r="73" spans="1:196" s="382" customFormat="1">
      <c r="A73" s="381" t="s">
        <v>198</v>
      </c>
      <c r="AD73" s="382" t="e">
        <f t="shared" ref="AD73:BD73" si="188">AD72/AC72-1</f>
        <v>#DIV/0!</v>
      </c>
      <c r="AE73" s="382">
        <f t="shared" si="188"/>
        <v>5.6110239289311359E-2</v>
      </c>
      <c r="AF73" s="382">
        <f t="shared" si="188"/>
        <v>0.94254297227929107</v>
      </c>
      <c r="AG73" s="382">
        <f t="shared" si="188"/>
        <v>-0.54999613108539691</v>
      </c>
      <c r="AH73" s="382">
        <f t="shared" si="188"/>
        <v>-0.30105531826621779</v>
      </c>
      <c r="AI73" s="382">
        <f t="shared" si="188"/>
        <v>-0.86223138282040557</v>
      </c>
      <c r="AJ73" s="382">
        <f t="shared" si="188"/>
        <v>-11.631867240120053</v>
      </c>
      <c r="AK73" s="382">
        <f t="shared" si="188"/>
        <v>-0.91402360405662897</v>
      </c>
      <c r="AL73" s="382">
        <f t="shared" si="188"/>
        <v>-0.42276675061159985</v>
      </c>
      <c r="AT73" s="382">
        <f t="shared" si="188"/>
        <v>2.3038120724235833E-2</v>
      </c>
      <c r="AU73" s="382">
        <f t="shared" si="188"/>
        <v>-0.26752252668927512</v>
      </c>
      <c r="AV73" s="382">
        <f t="shared" si="188"/>
        <v>0.32917678707169729</v>
      </c>
      <c r="AY73" s="382">
        <f t="shared" si="188"/>
        <v>-1.629384439696409</v>
      </c>
      <c r="AZ73" s="382">
        <f t="shared" si="188"/>
        <v>5.4194018249138933</v>
      </c>
      <c r="BA73" s="382">
        <f t="shared" si="188"/>
        <v>0.18003338159787829</v>
      </c>
      <c r="BB73" s="382">
        <f t="shared" si="188"/>
        <v>0.79818113341772534</v>
      </c>
      <c r="BC73" s="382">
        <f t="shared" si="188"/>
        <v>-0.53254875336513097</v>
      </c>
      <c r="BD73" s="382">
        <f t="shared" si="188"/>
        <v>0.52370161813969229</v>
      </c>
      <c r="BR73" s="382">
        <f>BR72/BQ72-1</f>
        <v>-0.76958826359250943</v>
      </c>
      <c r="BU73" s="382">
        <f>BU72/BT72-1</f>
        <v>-4.0451008452215911</v>
      </c>
      <c r="BV73" s="382">
        <f>BV72/BU72-1</f>
        <v>0.34277432087936188</v>
      </c>
      <c r="BW73" s="382">
        <f>BW72/BV72-1</f>
        <v>-0.87867680556893357</v>
      </c>
      <c r="BX73" s="382">
        <f>BX72/BW72-1</f>
        <v>0.59445587487002483</v>
      </c>
      <c r="CG73" s="382">
        <f>CG72/CF72-1</f>
        <v>0.84932550043516097</v>
      </c>
      <c r="CV73" s="382">
        <f t="shared" ref="CV73:EW73" si="189">CV72/CU72-1</f>
        <v>-5.4119481765834934</v>
      </c>
      <c r="CW73" s="382">
        <f t="shared" si="189"/>
        <v>-0.13670256835128425</v>
      </c>
      <c r="CX73" s="382">
        <f t="shared" si="189"/>
        <v>0.32531280076997127</v>
      </c>
      <c r="CY73" s="382">
        <f t="shared" si="189"/>
        <v>0.42251493048178834</v>
      </c>
      <c r="CZ73" s="382">
        <f t="shared" si="189"/>
        <v>-0.14520574285348031</v>
      </c>
      <c r="DA73" s="382">
        <f t="shared" si="189"/>
        <v>-0.62848679787021389</v>
      </c>
      <c r="DB73" s="382">
        <f t="shared" si="189"/>
        <v>-0.58472048494178774</v>
      </c>
      <c r="DC73" s="382">
        <f t="shared" si="189"/>
        <v>1.1579125338142471</v>
      </c>
      <c r="DD73" s="382">
        <f t="shared" si="189"/>
        <v>2.4040158588054736</v>
      </c>
      <c r="DE73" s="382">
        <f t="shared" si="189"/>
        <v>0.33200056116722787</v>
      </c>
      <c r="DF73" s="382">
        <f t="shared" si="189"/>
        <v>-5.1052709432473642E-2</v>
      </c>
      <c r="DG73" s="382">
        <f t="shared" si="189"/>
        <v>-5.7718816344189849E-2</v>
      </c>
      <c r="DH73" s="382">
        <f t="shared" si="189"/>
        <v>1.5086105213493748</v>
      </c>
      <c r="DI73" s="382">
        <f t="shared" si="189"/>
        <v>3.5256933115823825</v>
      </c>
      <c r="DJ73" s="383">
        <f t="shared" si="189"/>
        <v>-0.68964304594348413</v>
      </c>
      <c r="DK73" s="383">
        <f t="shared" si="189"/>
        <v>0.27824090324090323</v>
      </c>
      <c r="DL73" s="383">
        <f t="shared" si="189"/>
        <v>0.30211382113821128</v>
      </c>
      <c r="DM73" s="383">
        <f t="shared" si="189"/>
        <v>6.2162981666912032E-2</v>
      </c>
      <c r="DN73" s="383">
        <f t="shared" si="189"/>
        <v>-0.30061601642710467</v>
      </c>
      <c r="DO73" s="383">
        <f t="shared" si="189"/>
        <v>-0.50865794791198926</v>
      </c>
      <c r="DP73" s="383">
        <f t="shared" si="189"/>
        <v>-0.85171295818275683</v>
      </c>
      <c r="DQ73" s="383">
        <f t="shared" si="189"/>
        <v>-0.6804416226542308</v>
      </c>
      <c r="DR73" s="386" t="s">
        <v>199</v>
      </c>
      <c r="DS73" s="386" t="s">
        <v>199</v>
      </c>
      <c r="DT73" s="383">
        <f t="shared" si="189"/>
        <v>10.060477911920515</v>
      </c>
      <c r="DU73" s="383">
        <f t="shared" si="189"/>
        <v>1.2321394821394822</v>
      </c>
      <c r="DV73" s="382">
        <f t="shared" si="189"/>
        <v>-0.81682984011350035</v>
      </c>
      <c r="DW73" s="382">
        <f t="shared" si="189"/>
        <v>1.1571037640736823</v>
      </c>
      <c r="DX73" s="382">
        <f t="shared" si="189"/>
        <v>1.911212344881672</v>
      </c>
      <c r="DY73" s="383">
        <f t="shared" si="189"/>
        <v>-0.3740726805703064</v>
      </c>
      <c r="DZ73" s="383">
        <f t="shared" si="189"/>
        <v>0.47819152465383574</v>
      </c>
      <c r="EA73" s="383">
        <f t="shared" si="189"/>
        <v>0.22688310676923362</v>
      </c>
      <c r="EB73" s="383">
        <f t="shared" si="189"/>
        <v>0.41590353834370397</v>
      </c>
      <c r="EC73" s="383">
        <f t="shared" si="189"/>
        <v>0.20970997318153262</v>
      </c>
      <c r="ED73" s="383">
        <f t="shared" si="189"/>
        <v>-8.5266831117261299E-2</v>
      </c>
      <c r="EE73" s="384">
        <f t="shared" si="189"/>
        <v>0.54505689188591622</v>
      </c>
      <c r="EF73" s="384">
        <f t="shared" si="189"/>
        <v>7.7625272447569227E-2</v>
      </c>
      <c r="EG73" s="384">
        <f t="shared" si="189"/>
        <v>0.65929766393134459</v>
      </c>
      <c r="EH73" s="384">
        <f t="shared" si="189"/>
        <v>8.2685660104306447E-2</v>
      </c>
      <c r="EI73" s="384">
        <f t="shared" si="189"/>
        <v>0.1173087068934795</v>
      </c>
      <c r="EJ73" s="384">
        <f t="shared" si="189"/>
        <v>0.17246174366988187</v>
      </c>
      <c r="EK73" s="384">
        <f t="shared" si="189"/>
        <v>9.8076082331025383E-2</v>
      </c>
      <c r="EL73" s="384">
        <f t="shared" si="189"/>
        <v>-4.7352114734097173E-3</v>
      </c>
      <c r="EM73" s="384">
        <f t="shared" si="189"/>
        <v>7.3888801680794147E-2</v>
      </c>
      <c r="EN73" s="384">
        <f t="shared" si="189"/>
        <v>0.12665554080663632</v>
      </c>
      <c r="EO73" s="384">
        <f t="shared" si="189"/>
        <v>9.7419121615109017E-2</v>
      </c>
      <c r="EP73" s="384">
        <f t="shared" si="189"/>
        <v>-4.8942118834324422E-2</v>
      </c>
      <c r="EQ73" s="384">
        <f t="shared" si="189"/>
        <v>3.8779632677875764E-2</v>
      </c>
      <c r="ER73" s="384">
        <f t="shared" si="189"/>
        <v>0.10183465642457468</v>
      </c>
      <c r="ES73" s="384">
        <f t="shared" si="189"/>
        <v>3.2285881977826891E-2</v>
      </c>
      <c r="ET73" s="384">
        <f t="shared" si="189"/>
        <v>-8.164530466728781E-2</v>
      </c>
      <c r="EU73" s="384">
        <f t="shared" si="189"/>
        <v>4.1232573033527675E-2</v>
      </c>
      <c r="EV73" s="384">
        <f t="shared" si="189"/>
        <v>0.13499114985735816</v>
      </c>
      <c r="EW73" s="384">
        <f t="shared" si="189"/>
        <v>5.1684103906373791E-2</v>
      </c>
      <c r="FZ73" s="386" t="s">
        <v>199</v>
      </c>
      <c r="GA73" s="386" t="s">
        <v>199</v>
      </c>
      <c r="GB73" s="386" t="s">
        <v>199</v>
      </c>
      <c r="GC73" s="386" t="s">
        <v>199</v>
      </c>
      <c r="GD73" s="386" t="s">
        <v>199</v>
      </c>
      <c r="GE73" s="386" t="s">
        <v>199</v>
      </c>
      <c r="GF73" s="386" t="s">
        <v>199</v>
      </c>
      <c r="GG73" s="386" t="s">
        <v>199</v>
      </c>
      <c r="GH73" s="386" t="s">
        <v>199</v>
      </c>
      <c r="GI73" s="386" t="s">
        <v>199</v>
      </c>
      <c r="GJ73" s="386" t="s">
        <v>199</v>
      </c>
      <c r="GK73" s="386" t="s">
        <v>199</v>
      </c>
      <c r="GN73" s="70"/>
    </row>
    <row r="74" spans="1:196" s="382" customFormat="1">
      <c r="A74" s="381" t="s">
        <v>200</v>
      </c>
      <c r="AD74" s="382" t="e">
        <f t="shared" ref="AD74:BD74" si="190">AD72/Z72-1</f>
        <v>#DIV/0!</v>
      </c>
      <c r="AE74" s="382" t="e">
        <f t="shared" si="190"/>
        <v>#DIV/0!</v>
      </c>
      <c r="AF74" s="382" t="e">
        <f t="shared" si="190"/>
        <v>#DIV/0!</v>
      </c>
      <c r="AG74" s="382" t="e">
        <f t="shared" si="190"/>
        <v>#DIV/0!</v>
      </c>
      <c r="AH74" s="382">
        <f t="shared" si="190"/>
        <v>-0.3547337646898554</v>
      </c>
      <c r="AI74" s="382">
        <f t="shared" si="190"/>
        <v>-0.91582560830848192</v>
      </c>
      <c r="AJ74" s="382">
        <f t="shared" si="190"/>
        <v>-1.4607007259314391</v>
      </c>
      <c r="AK74" s="382">
        <f t="shared" si="190"/>
        <v>-1.0880201055151295</v>
      </c>
      <c r="AL74" s="382">
        <f t="shared" si="190"/>
        <v>-1.0726926362641103</v>
      </c>
      <c r="AY74" s="382">
        <f t="shared" si="190"/>
        <v>-0.67982729085430593</v>
      </c>
      <c r="AZ74" s="382">
        <f t="shared" si="190"/>
        <v>0.54630843193218337</v>
      </c>
      <c r="BC74" s="382">
        <f t="shared" si="190"/>
        <v>5.3673483979315035</v>
      </c>
      <c r="BD74" s="382">
        <f t="shared" si="190"/>
        <v>0.51134627832984214</v>
      </c>
      <c r="BU74" s="382">
        <f>BU72/BQ72-1</f>
        <v>-0.66836056001650723</v>
      </c>
      <c r="BV74" s="382">
        <f>BV72/BR72-1</f>
        <v>0.93270069808027922</v>
      </c>
      <c r="CA74" s="382">
        <f>CA72/BW72-1</f>
        <v>-0.40308327000325705</v>
      </c>
      <c r="CJ74" s="382">
        <f>CJ72/CF72-1</f>
        <v>-0.65530785562632698</v>
      </c>
      <c r="CQ74" s="382">
        <f t="shared" ref="CQ74:EW74" si="191">CQ72/CM72-1</f>
        <v>-1.3612492513509329</v>
      </c>
      <c r="CV74" s="382">
        <f t="shared" si="191"/>
        <v>-1.1367798757599539</v>
      </c>
      <c r="CW74" s="382">
        <f t="shared" si="191"/>
        <v>-2.0738177623990772</v>
      </c>
      <c r="CX74" s="382">
        <f t="shared" si="191"/>
        <v>-2.0027951006631772</v>
      </c>
      <c r="CY74" s="382">
        <f t="shared" si="191"/>
        <v>-8.1806883365200775</v>
      </c>
      <c r="CZ74" s="382">
        <f t="shared" si="191"/>
        <v>0.39122467144876683</v>
      </c>
      <c r="DA74" s="382">
        <f t="shared" si="191"/>
        <v>-0.40129749768303979</v>
      </c>
      <c r="DB74" s="382">
        <f t="shared" si="191"/>
        <v>-0.81239984652537978</v>
      </c>
      <c r="DC74" s="382">
        <f t="shared" si="191"/>
        <v>-0.71541618730760859</v>
      </c>
      <c r="DD74" s="382">
        <f t="shared" si="191"/>
        <v>0.13328769287482212</v>
      </c>
      <c r="DE74" s="382">
        <f t="shared" si="191"/>
        <v>3.0632199184830764</v>
      </c>
      <c r="DF74" s="382">
        <f t="shared" si="191"/>
        <v>8.2847862531433361</v>
      </c>
      <c r="DG74" s="382">
        <f t="shared" si="191"/>
        <v>3.0543252998020725</v>
      </c>
      <c r="DH74" s="382">
        <f t="shared" si="191"/>
        <v>1.9878600823045267</v>
      </c>
      <c r="DI74" s="382">
        <f t="shared" si="191"/>
        <v>9.1517512714710687</v>
      </c>
      <c r="DJ74" s="383">
        <f t="shared" si="191"/>
        <v>2.3201702921442968</v>
      </c>
      <c r="DK74" s="383">
        <f t="shared" si="191"/>
        <v>3.5039395318057736</v>
      </c>
      <c r="DL74" s="383">
        <f t="shared" si="191"/>
        <v>1.3378048780487806</v>
      </c>
      <c r="DM74" s="383">
        <f t="shared" si="191"/>
        <v>-0.45132609992179684</v>
      </c>
      <c r="DN74" s="383">
        <f t="shared" si="191"/>
        <v>0.23642706536323566</v>
      </c>
      <c r="DO74" s="383">
        <f t="shared" si="191"/>
        <v>-0.52473073736536868</v>
      </c>
      <c r="DP74" s="383">
        <f t="shared" si="191"/>
        <v>-0.94587548962413537</v>
      </c>
      <c r="DQ74" s="383">
        <f t="shared" si="191"/>
        <v>-0.98371630248005626</v>
      </c>
      <c r="DR74" s="386" t="s">
        <v>199</v>
      </c>
      <c r="DS74" s="383">
        <f t="shared" si="191"/>
        <v>-0.93941168948490861</v>
      </c>
      <c r="DT74" s="383">
        <f t="shared" si="191"/>
        <v>3.519178897631936</v>
      </c>
      <c r="DU74" s="383">
        <f t="shared" si="191"/>
        <v>30.566807066807065</v>
      </c>
      <c r="DV74" s="382">
        <f t="shared" si="191"/>
        <v>-1.8697749548988021</v>
      </c>
      <c r="DW74" s="382">
        <f t="shared" si="191"/>
        <v>8.7548587072105679</v>
      </c>
      <c r="DX74" s="382">
        <f t="shared" si="191"/>
        <v>1.5675622081755809</v>
      </c>
      <c r="DY74" s="383">
        <f t="shared" si="191"/>
        <v>-0.28001482734764804</v>
      </c>
      <c r="DZ74" s="383">
        <f t="shared" si="191"/>
        <v>4.8103131031310316</v>
      </c>
      <c r="EA74" s="383">
        <f t="shared" si="191"/>
        <v>2.30469730292858</v>
      </c>
      <c r="EB74" s="383">
        <f t="shared" si="191"/>
        <v>0.60727973436841776</v>
      </c>
      <c r="EC74" s="383">
        <f t="shared" si="191"/>
        <v>2.1063388096394391</v>
      </c>
      <c r="ED74" s="383">
        <f t="shared" si="191"/>
        <v>0.92226182843954363</v>
      </c>
      <c r="EE74" s="384">
        <f t="shared" si="191"/>
        <v>1.4207716852999037</v>
      </c>
      <c r="EF74" s="384">
        <f t="shared" si="191"/>
        <v>0.84241699823439786</v>
      </c>
      <c r="EG74" s="384">
        <f t="shared" si="191"/>
        <v>1.5271497209513178</v>
      </c>
      <c r="EH74" s="384">
        <f t="shared" si="191"/>
        <v>1.9911550787564569</v>
      </c>
      <c r="EI74" s="384">
        <f t="shared" si="191"/>
        <v>1.1630553740217939</v>
      </c>
      <c r="EJ74" s="384">
        <f t="shared" si="191"/>
        <v>1.3534151808818979</v>
      </c>
      <c r="EK74" s="384">
        <f t="shared" si="191"/>
        <v>0.55742334729646292</v>
      </c>
      <c r="EL74" s="384">
        <f t="shared" si="191"/>
        <v>0.43167003638346513</v>
      </c>
      <c r="EM74" s="384">
        <f t="shared" si="191"/>
        <v>0.37603368727772213</v>
      </c>
      <c r="EN74" s="384">
        <f t="shared" si="191"/>
        <v>0.32227425455728897</v>
      </c>
      <c r="EO74" s="384">
        <f t="shared" si="191"/>
        <v>0.32148315979173536</v>
      </c>
      <c r="EP74" s="384">
        <f t="shared" si="191"/>
        <v>0.26278653523777495</v>
      </c>
      <c r="EQ74" s="384">
        <f t="shared" si="191"/>
        <v>0.22150164073949785</v>
      </c>
      <c r="ER74" s="384">
        <f t="shared" si="191"/>
        <v>0.194591240977396</v>
      </c>
      <c r="ES74" s="384">
        <f t="shared" si="191"/>
        <v>0.12369071078372951</v>
      </c>
      <c r="ET74" s="384">
        <f t="shared" si="191"/>
        <v>8.5051352589784468E-2</v>
      </c>
      <c r="EU74" s="384">
        <f t="shared" si="191"/>
        <v>8.7613557476167392E-2</v>
      </c>
      <c r="EV74" s="384">
        <f t="shared" si="191"/>
        <v>0.12034210850294591</v>
      </c>
      <c r="EW74" s="384">
        <f t="shared" si="191"/>
        <v>0.14139504086989563</v>
      </c>
      <c r="FH74" s="386" t="s">
        <v>199</v>
      </c>
      <c r="FI74" s="386" t="s">
        <v>199</v>
      </c>
      <c r="FJ74" s="386" t="s">
        <v>199</v>
      </c>
      <c r="FK74" s="386" t="s">
        <v>199</v>
      </c>
      <c r="FL74" s="382">
        <f>FL72/FK72-1</f>
        <v>0.54496208346169173</v>
      </c>
      <c r="FM74" s="386" t="s">
        <v>199</v>
      </c>
      <c r="FN74" s="386" t="s">
        <v>199</v>
      </c>
      <c r="FO74" s="386" t="s">
        <v>199</v>
      </c>
      <c r="FP74" s="386" t="s">
        <v>199</v>
      </c>
      <c r="FQ74" s="382">
        <f>FQ72/FP72-1</f>
        <v>3.572038109974196E-3</v>
      </c>
      <c r="FR74" s="382">
        <f>FR72/FQ72-1</f>
        <v>3.1783675947826495E-2</v>
      </c>
      <c r="FS74" s="386" t="s">
        <v>199</v>
      </c>
      <c r="FT74" s="386" t="s">
        <v>199</v>
      </c>
      <c r="FU74" s="386" t="s">
        <v>199</v>
      </c>
      <c r="FV74" s="386" t="s">
        <v>199</v>
      </c>
      <c r="FW74" s="386" t="s">
        <v>199</v>
      </c>
      <c r="FX74" s="386" t="s">
        <v>199</v>
      </c>
      <c r="FY74" s="383" t="s">
        <v>199</v>
      </c>
      <c r="FZ74" s="382">
        <f t="shared" ref="FZ74:GK74" si="192">FZ72/FY72-1</f>
        <v>-6.9489161424813095E-2</v>
      </c>
      <c r="GA74" s="382">
        <f t="shared" si="192"/>
        <v>5.8666445455385876</v>
      </c>
      <c r="GB74" s="382">
        <f t="shared" si="192"/>
        <v>0.26365934928671364</v>
      </c>
      <c r="GC74" s="382">
        <f t="shared" si="192"/>
        <v>-0.65628289761852932</v>
      </c>
      <c r="GD74" s="382">
        <f t="shared" si="192"/>
        <v>-0.40835815021022959</v>
      </c>
      <c r="GE74" s="382">
        <f t="shared" si="192"/>
        <v>0.91605133453372223</v>
      </c>
      <c r="GF74" s="382">
        <f t="shared" si="192"/>
        <v>1.6364020557630248</v>
      </c>
      <c r="GG74" s="384">
        <f t="shared" si="192"/>
        <v>1.2097989856661604</v>
      </c>
      <c r="GH74" s="384">
        <f t="shared" si="192"/>
        <v>1.0873116821988944</v>
      </c>
      <c r="GI74" s="384">
        <f t="shared" si="192"/>
        <v>0.356867531420483</v>
      </c>
      <c r="GJ74" s="384">
        <f t="shared" si="192"/>
        <v>0.19523190101723964</v>
      </c>
      <c r="GK74" s="384">
        <f t="shared" si="192"/>
        <v>0.11016672565104035</v>
      </c>
      <c r="GN74" s="70"/>
    </row>
    <row r="75" spans="1:196" s="418" customFormat="1">
      <c r="A75" s="414"/>
      <c r="B75" s="419"/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s="419"/>
      <c r="N75" s="419"/>
      <c r="O75" s="419"/>
      <c r="P75" s="419"/>
      <c r="Q75" s="419"/>
      <c r="R75" s="419"/>
      <c r="S75" s="419"/>
      <c r="T75" s="419"/>
      <c r="U75" s="419"/>
      <c r="V75" s="419"/>
      <c r="W75" s="419"/>
      <c r="X75" s="419"/>
      <c r="Y75" s="419"/>
      <c r="Z75" s="419"/>
      <c r="AA75" s="419"/>
      <c r="AB75" s="419"/>
      <c r="AC75" s="419"/>
      <c r="AD75" s="419"/>
      <c r="AE75" s="419"/>
      <c r="AF75" s="419"/>
      <c r="AG75" s="419"/>
      <c r="AH75" s="419"/>
      <c r="AI75" s="419"/>
      <c r="AJ75" s="419"/>
      <c r="AK75" s="419"/>
      <c r="AL75" s="419"/>
      <c r="AM75" s="419"/>
      <c r="AN75" s="419"/>
      <c r="AO75" s="419"/>
      <c r="AP75" s="419"/>
      <c r="AQ75" s="419"/>
      <c r="AR75" s="419"/>
      <c r="AS75" s="419"/>
      <c r="AT75" s="419"/>
      <c r="AU75" s="419"/>
      <c r="AV75" s="419"/>
      <c r="AW75" s="419"/>
      <c r="AX75" s="419"/>
      <c r="AY75" s="419"/>
      <c r="AZ75" s="419"/>
      <c r="BA75" s="419"/>
      <c r="BB75" s="419"/>
      <c r="BC75" s="419"/>
      <c r="BD75" s="419"/>
      <c r="BE75" s="419"/>
      <c r="BF75" s="419"/>
      <c r="BG75" s="419"/>
      <c r="BH75" s="419"/>
      <c r="BI75" s="419"/>
      <c r="BJ75" s="419"/>
      <c r="BK75" s="419"/>
      <c r="BL75" s="419"/>
      <c r="BM75" s="419"/>
      <c r="BN75" s="419"/>
      <c r="BO75" s="419"/>
      <c r="BP75" s="419"/>
      <c r="BQ75" s="419"/>
      <c r="BR75" s="419"/>
      <c r="BS75" s="419"/>
      <c r="BT75" s="419"/>
      <c r="BU75" s="419"/>
      <c r="BV75" s="419"/>
      <c r="BW75" s="419"/>
      <c r="BX75" s="419"/>
      <c r="BY75" s="419"/>
      <c r="BZ75" s="419"/>
      <c r="CA75" s="419"/>
      <c r="CB75" s="419"/>
      <c r="CC75" s="419"/>
      <c r="CD75" s="419"/>
      <c r="CE75" s="419"/>
      <c r="CF75" s="419"/>
      <c r="CG75" s="419"/>
      <c r="CH75" s="419"/>
      <c r="CI75" s="419"/>
      <c r="CJ75" s="419"/>
      <c r="CK75" s="419"/>
      <c r="CL75" s="419"/>
      <c r="CM75" s="419"/>
      <c r="CN75" s="419"/>
      <c r="CO75" s="419"/>
      <c r="CP75" s="419"/>
      <c r="CQ75" s="419"/>
      <c r="CR75" s="419"/>
      <c r="CS75" s="419"/>
      <c r="CT75" s="419"/>
      <c r="CU75" s="419"/>
      <c r="CV75" s="419"/>
      <c r="CW75" s="419"/>
      <c r="CX75" s="419"/>
      <c r="CY75" s="419"/>
      <c r="CZ75" s="419"/>
      <c r="DA75" s="419"/>
      <c r="DB75" s="419"/>
      <c r="DC75" s="419"/>
      <c r="DD75" s="419"/>
      <c r="DE75" s="419"/>
      <c r="DF75" s="419"/>
      <c r="DG75" s="419"/>
      <c r="DH75" s="419"/>
      <c r="DI75" s="419"/>
      <c r="DJ75" s="420"/>
      <c r="DK75" s="420"/>
      <c r="DL75" s="420"/>
      <c r="DM75" s="420"/>
      <c r="DN75" s="420"/>
      <c r="DO75" s="420"/>
      <c r="DP75" s="420"/>
      <c r="DQ75" s="420"/>
      <c r="DR75" s="420"/>
      <c r="DS75" s="420"/>
      <c r="DT75" s="420"/>
      <c r="DU75" s="420"/>
      <c r="DV75" s="419"/>
      <c r="DW75" s="419"/>
      <c r="DX75" s="419"/>
      <c r="DY75" s="420"/>
      <c r="DZ75" s="420"/>
      <c r="EA75" s="420"/>
      <c r="EB75" s="420"/>
      <c r="EC75" s="420"/>
      <c r="ED75" s="420"/>
      <c r="EE75" s="419"/>
      <c r="EF75" s="419"/>
      <c r="EG75" s="419"/>
      <c r="EH75" s="419"/>
      <c r="EI75" s="419"/>
      <c r="EJ75" s="419"/>
      <c r="EK75" s="419"/>
      <c r="EL75" s="419"/>
      <c r="EM75" s="419"/>
      <c r="EN75" s="419"/>
      <c r="EO75" s="419"/>
      <c r="EP75" s="419"/>
      <c r="EQ75" s="419"/>
      <c r="ER75" s="419"/>
      <c r="ES75" s="419"/>
      <c r="ET75" s="419"/>
      <c r="EU75" s="419"/>
      <c r="EV75" s="419"/>
      <c r="EW75" s="419"/>
      <c r="EZ75" s="421" t="s">
        <v>222</v>
      </c>
      <c r="FA75" s="421" t="s">
        <v>223</v>
      </c>
      <c r="FB75" s="421" t="s">
        <v>224</v>
      </c>
      <c r="FC75" s="421" t="s">
        <v>225</v>
      </c>
      <c r="FD75" s="422" t="s">
        <v>226</v>
      </c>
      <c r="FE75" s="422" t="s">
        <v>227</v>
      </c>
      <c r="FF75" s="422" t="s">
        <v>228</v>
      </c>
      <c r="FG75" s="422" t="s">
        <v>229</v>
      </c>
      <c r="FH75" s="422" t="s">
        <v>230</v>
      </c>
      <c r="FI75" s="422" t="s">
        <v>231</v>
      </c>
      <c r="FJ75" s="422" t="s">
        <v>232</v>
      </c>
      <c r="FK75" s="422" t="s">
        <v>233</v>
      </c>
      <c r="FL75" s="422" t="s">
        <v>234</v>
      </c>
      <c r="FM75" s="422" t="s">
        <v>235</v>
      </c>
      <c r="FN75" s="422" t="s">
        <v>236</v>
      </c>
      <c r="FO75" s="422" t="s">
        <v>237</v>
      </c>
      <c r="FP75" s="422" t="s">
        <v>238</v>
      </c>
      <c r="FQ75" s="422" t="s">
        <v>239</v>
      </c>
      <c r="FR75" s="422" t="s">
        <v>240</v>
      </c>
      <c r="FS75" s="422" t="s">
        <v>241</v>
      </c>
      <c r="FT75" s="422" t="s">
        <v>242</v>
      </c>
      <c r="FU75" s="422" t="s">
        <v>243</v>
      </c>
      <c r="FV75" s="422" t="s">
        <v>244</v>
      </c>
      <c r="FW75" s="422" t="s">
        <v>245</v>
      </c>
      <c r="FX75" s="422" t="s">
        <v>246</v>
      </c>
      <c r="FY75" s="422"/>
      <c r="FZ75" s="422"/>
      <c r="GA75" s="423"/>
      <c r="GB75" s="423"/>
      <c r="GC75" s="423"/>
      <c r="GD75" s="423"/>
      <c r="GE75" s="423"/>
      <c r="GF75" s="423"/>
      <c r="GG75" s="422"/>
      <c r="GH75" s="422"/>
      <c r="GI75" s="422"/>
      <c r="GJ75" s="422"/>
      <c r="GK75" s="422"/>
      <c r="GN75" s="70"/>
    </row>
    <row r="76" spans="1:196" s="379" customFormat="1">
      <c r="A76" s="405" t="s">
        <v>247</v>
      </c>
      <c r="B76" s="376"/>
      <c r="C76" s="376"/>
      <c r="D76" s="376"/>
      <c r="E76" s="376"/>
      <c r="F76" s="376"/>
      <c r="G76" s="376"/>
      <c r="H76" s="376"/>
      <c r="I76" s="376"/>
      <c r="J76" s="376"/>
      <c r="K76" s="376"/>
      <c r="L76" s="376"/>
      <c r="M76" s="376"/>
      <c r="N76" s="376"/>
      <c r="O76" s="376"/>
      <c r="P76" s="376"/>
      <c r="Q76" s="376"/>
      <c r="R76" s="376"/>
      <c r="S76" s="376"/>
      <c r="T76" s="376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>
        <f>AMD!CD63</f>
        <v>-146.35600000000008</v>
      </c>
      <c r="AQ76" s="376">
        <f>AMD!CE63</f>
        <v>-140.09599999999998</v>
      </c>
      <c r="AR76" s="376">
        <f>AMD!CF63</f>
        <v>-31.23099999999998</v>
      </c>
      <c r="AS76" s="376">
        <f>AMD!CG63</f>
        <v>48.393000000000043</v>
      </c>
      <c r="AT76" s="376">
        <f>AMD!CI63</f>
        <v>49.694999999999943</v>
      </c>
      <c r="AU76" s="376">
        <f>AMD!CJ63</f>
        <v>39.114000000000047</v>
      </c>
      <c r="AV76" s="376">
        <f>AMD!CK63</f>
        <v>48.361000000000033</v>
      </c>
      <c r="AW76" s="376">
        <f>AMD!CL63</f>
        <v>18.979000000000028</v>
      </c>
      <c r="AX76" s="376">
        <f>AMD!CN63</f>
        <v>-17.423000000000037</v>
      </c>
      <c r="AY76" s="376">
        <f>AMD!CO63</f>
        <v>11.318999999999944</v>
      </c>
      <c r="AZ76" s="376">
        <f>AMD!CP63</f>
        <v>79.456000000000174</v>
      </c>
      <c r="BA76" s="376">
        <f>AMD!CQ63</f>
        <v>205.26900000000001</v>
      </c>
      <c r="BB76" s="376">
        <f>AMD!CS63</f>
        <v>188.22388000000001</v>
      </c>
      <c r="BC76" s="376">
        <f>AMD!CT63</f>
        <v>88.847000000000037</v>
      </c>
      <c r="BD76" s="376">
        <f>AMD!CU63</f>
        <v>134.45500000000007</v>
      </c>
      <c r="BE76" s="376">
        <f>AMD!CV63</f>
        <v>-23</v>
      </c>
      <c r="BF76" s="376">
        <f>AMD!CX63</f>
        <v>-498</v>
      </c>
      <c r="BG76" s="376">
        <f>AMD!CY63</f>
        <v>-471</v>
      </c>
      <c r="BH76" s="376">
        <f>AMD!CZ63</f>
        <v>-276</v>
      </c>
      <c r="BI76" s="376">
        <f>AMD!DA63</f>
        <v>-97</v>
      </c>
      <c r="BJ76" s="376">
        <f>AMD!DC63</f>
        <v>-308</v>
      </c>
      <c r="BK76" s="376">
        <f>AMD!DD63</f>
        <v>-366</v>
      </c>
      <c r="BL76" s="376">
        <f>AMD!DE63</f>
        <v>-127</v>
      </c>
      <c r="BM76" s="376">
        <f>AMD!DF63</f>
        <v>-418</v>
      </c>
      <c r="BN76" s="376">
        <f>AMD!DH63</f>
        <v>-402</v>
      </c>
      <c r="BO76" s="376">
        <f>AMD!DI63</f>
        <v>-416</v>
      </c>
      <c r="BP76" s="376">
        <f>AMD!DJ63</f>
        <v>-182</v>
      </c>
      <c r="BQ76" s="376">
        <f>AMD!DK63</f>
        <v>-57</v>
      </c>
      <c r="BR76" s="376">
        <f>AMD!DM63</f>
        <v>-120</v>
      </c>
      <c r="BS76" s="376">
        <f>AMD!DN63</f>
        <v>-37</v>
      </c>
      <c r="BT76" s="376">
        <f>AMD!DO63</f>
        <v>-78</v>
      </c>
      <c r="BU76" s="376">
        <f>AMD!DP63</f>
        <v>93</v>
      </c>
      <c r="BV76" s="376">
        <f>AMD!DR63</f>
        <v>56</v>
      </c>
      <c r="BW76" s="376">
        <f>AMD!DS63</f>
        <v>70</v>
      </c>
      <c r="BX76" s="376">
        <f>AMD!DT63</f>
        <v>110</v>
      </c>
      <c r="BY76" s="376">
        <f>AMD!DU63</f>
        <v>137</v>
      </c>
      <c r="BZ76" s="376">
        <f>AMD!DW63</f>
        <v>92</v>
      </c>
      <c r="CA76" s="376">
        <f>AMD!DX63</f>
        <v>46</v>
      </c>
      <c r="CB76" s="376">
        <f>AMD!DY63</f>
        <v>-150</v>
      </c>
      <c r="CC76" s="376">
        <f>AMD!DZ63</f>
        <v>-106</v>
      </c>
      <c r="CD76" s="376">
        <f>AMD!EB63</f>
        <v>-70</v>
      </c>
      <c r="CE76" s="376">
        <f>AMD!EC63</f>
        <v>-45</v>
      </c>
      <c r="CF76" s="376">
        <f>AMD!ED63</f>
        <v>54</v>
      </c>
      <c r="CG76" s="376">
        <f>AMD!EE63</f>
        <v>69</v>
      </c>
      <c r="CH76" s="376">
        <f>AMD!EG63</f>
        <v>35</v>
      </c>
      <c r="CI76" s="376">
        <f>AMD!EH63</f>
        <v>38</v>
      </c>
      <c r="CJ76" s="376">
        <f>AMD!EI63</f>
        <v>41</v>
      </c>
      <c r="CK76" s="376">
        <f>AMD!EJ63</f>
        <v>18</v>
      </c>
      <c r="CL76" s="376">
        <f>AMD!EL63</f>
        <v>-73</v>
      </c>
      <c r="CM76" s="376">
        <f>AMD!EM63</f>
        <v>-131</v>
      </c>
      <c r="CN76" s="376">
        <f>AMD!EN63</f>
        <v>-136</v>
      </c>
      <c r="CO76" s="376">
        <f>AMD!EO63</f>
        <v>-79</v>
      </c>
      <c r="CP76" s="376">
        <f>AMD!EQ63</f>
        <v>-96</v>
      </c>
      <c r="CQ76" s="376">
        <f>AMD!ER63</f>
        <v>-40</v>
      </c>
      <c r="CR76" s="376">
        <f>AMD!ES63</f>
        <v>27</v>
      </c>
      <c r="CS76" s="376">
        <f>AMD!ET63</f>
        <v>-8</v>
      </c>
      <c r="CT76" s="376">
        <f>AMD!EV63</f>
        <v>-38</v>
      </c>
      <c r="CU76" s="376">
        <f>AMD!EW63</f>
        <v>19</v>
      </c>
      <c r="CV76" s="376">
        <f>AMD!EX63</f>
        <v>110</v>
      </c>
      <c r="CW76" s="376">
        <f>AMD!EY63</f>
        <v>88</v>
      </c>
      <c r="CX76" s="376">
        <f>AMD!FA63</f>
        <v>121</v>
      </c>
      <c r="CY76" s="376">
        <f>AMD!FB63</f>
        <v>156</v>
      </c>
      <c r="CZ76" s="376">
        <f>AMD!FC63</f>
        <v>150</v>
      </c>
      <c r="DA76" s="376">
        <f>AMD!FD63</f>
        <v>87</v>
      </c>
      <c r="DB76" s="376">
        <f>AMD!FF63</f>
        <v>62</v>
      </c>
      <c r="DC76" s="376">
        <f>AMD!FG63</f>
        <v>92</v>
      </c>
      <c r="DD76" s="376">
        <f>AMD!FH63</f>
        <v>219</v>
      </c>
      <c r="DE76" s="376">
        <f>AMD!FI63</f>
        <v>383</v>
      </c>
      <c r="DF76" s="376">
        <f>AMD!FK63</f>
        <v>222</v>
      </c>
      <c r="DG76" s="376">
        <f>AMD!FL63</f>
        <v>216</v>
      </c>
      <c r="DH76" s="376">
        <f>AMD!FM63</f>
        <v>501</v>
      </c>
      <c r="DI76" s="376">
        <f>AMD!FN63</f>
        <v>636</v>
      </c>
      <c r="DJ76" s="397">
        <f>AMD!FP63</f>
        <v>642</v>
      </c>
      <c r="DK76" s="397">
        <f>AMD!FQ63</f>
        <v>778</v>
      </c>
      <c r="DL76" s="397">
        <f>AMD!FR63</f>
        <v>893</v>
      </c>
      <c r="DM76" s="397">
        <f>AMD!FS63</f>
        <v>1122</v>
      </c>
      <c r="DN76" s="397">
        <f>AMD!FU63</f>
        <v>1589</v>
      </c>
      <c r="DO76" s="397">
        <f>AMD!FV63</f>
        <v>1707</v>
      </c>
      <c r="DP76" s="397">
        <f>AMD!FW63</f>
        <v>1095</v>
      </c>
      <c r="DQ76" s="397">
        <f>AMD!FX63</f>
        <v>1113</v>
      </c>
      <c r="DR76" s="397">
        <f>AMD!FZ63</f>
        <v>970</v>
      </c>
      <c r="DS76" s="397">
        <f>AMD!GA63</f>
        <v>948</v>
      </c>
      <c r="DT76" s="397">
        <f>AMD!GB63</f>
        <v>1135</v>
      </c>
      <c r="DU76" s="397">
        <f>AMD!GC63</f>
        <v>1249</v>
      </c>
      <c r="DV76" s="376">
        <f>AMD!GE63</f>
        <v>1013</v>
      </c>
      <c r="DW76" s="376">
        <f>AMD!GF63</f>
        <v>1126</v>
      </c>
      <c r="DX76" s="376">
        <f>AMD!GG63</f>
        <v>1504</v>
      </c>
      <c r="DY76" s="376">
        <f>AMD!GH63</f>
        <v>1777</v>
      </c>
      <c r="DZ76" s="376">
        <f>AMD!GJ63</f>
        <v>1566</v>
      </c>
      <c r="EA76" s="376">
        <f>AMD!GK63</f>
        <v>781</v>
      </c>
      <c r="EB76" s="376">
        <f>AMD!GL63</f>
        <v>1965</v>
      </c>
      <c r="EC76" s="376">
        <f>AMD!GM63</f>
        <v>2519</v>
      </c>
      <c r="ED76" s="376">
        <f>AMD!GO63</f>
        <v>2265</v>
      </c>
      <c r="EE76" s="380">
        <f>AMD!GP63</f>
        <v>2646.5040674265747</v>
      </c>
      <c r="EF76" s="380">
        <f>AMD!GQ63</f>
        <v>2823.9196666935823</v>
      </c>
      <c r="EG76" s="380">
        <f>AMD!GR63</f>
        <v>4378.3155743371408</v>
      </c>
      <c r="EH76" s="380">
        <f>AMD!GT63</f>
        <v>4720.0526661607464</v>
      </c>
      <c r="EI76" s="380">
        <f>AMD!GU63</f>
        <v>5250.7619009713444</v>
      </c>
      <c r="EJ76" s="380">
        <f>AMD!GV63</f>
        <v>6116.8086884112163</v>
      </c>
      <c r="EK76" s="380">
        <f>AMD!GW63</f>
        <v>6725.2152156387438</v>
      </c>
      <c r="EL76" s="380">
        <f>AMD!GY63</f>
        <v>6742.1001386968583</v>
      </c>
      <c r="EM76" s="380">
        <f>AMD!GZ63</f>
        <v>7263.0169469339908</v>
      </c>
      <c r="EN76" s="380">
        <f>AMD!HA63</f>
        <v>8182.3237211634469</v>
      </c>
      <c r="EO76" s="380">
        <f>AMD!HB63</f>
        <v>9008.4128912568522</v>
      </c>
      <c r="EP76" s="380">
        <f>AMD!HD63</f>
        <v>8677.3023400014608</v>
      </c>
      <c r="EQ76" s="380">
        <f>AMD!HE63</f>
        <v>9087.4796569065857</v>
      </c>
      <c r="ER76" s="380">
        <f>AMD!HF63</f>
        <v>10064.901860649286</v>
      </c>
      <c r="ES76" s="380">
        <f>AMD!HG63</f>
        <v>10490.141773285404</v>
      </c>
      <c r="ET76" s="380">
        <f>AMD!HI63</f>
        <v>9808.2357658971396</v>
      </c>
      <c r="EU76" s="380">
        <f>AMD!HJ63</f>
        <v>10328.977787590784</v>
      </c>
      <c r="EV76" s="380">
        <f>AMD!HK63</f>
        <v>11797.97479823498</v>
      </c>
      <c r="EW76" s="380">
        <f>AMD!HL63</f>
        <v>12556.301904976464</v>
      </c>
      <c r="EZ76" s="376"/>
      <c r="FA76" s="376"/>
      <c r="FB76" s="376"/>
      <c r="FC76" s="376"/>
      <c r="FD76" s="376"/>
      <c r="FE76" s="376"/>
      <c r="FF76" s="376"/>
      <c r="FG76" s="376"/>
      <c r="FH76" s="376"/>
      <c r="FI76" s="376"/>
      <c r="FJ76" s="376">
        <f>AP76+AQ76+AR76+AS76</f>
        <v>-269.29000000000002</v>
      </c>
      <c r="FK76" s="376">
        <f>AT76+AU76+AV76+AW76</f>
        <v>156.14900000000006</v>
      </c>
      <c r="FL76" s="376">
        <f>AX76+AY76+AZ76+BA76</f>
        <v>278.62100000000009</v>
      </c>
      <c r="FM76" s="376">
        <f>BB76+BC76+BD76+BE76</f>
        <v>388.52588000000014</v>
      </c>
      <c r="FN76" s="376">
        <f>BF76+BG76+BH76+BI76</f>
        <v>-1342</v>
      </c>
      <c r="FO76" s="376">
        <f>BJ76+BK76+BL76+BM76</f>
        <v>-1219</v>
      </c>
      <c r="FP76" s="376">
        <f>BN76+BO76+BP76+BQ76</f>
        <v>-1057</v>
      </c>
      <c r="FQ76" s="376">
        <f>BR76+BS76+BT76+BU76</f>
        <v>-142</v>
      </c>
      <c r="FR76" s="376">
        <f>BV76+BW76+BX76+BY76</f>
        <v>373</v>
      </c>
      <c r="FS76" s="376">
        <f>BZ76+CA76+CB76+CC76</f>
        <v>-118</v>
      </c>
      <c r="FT76" s="376">
        <f>CD76+CE76+CF76+CG76</f>
        <v>8</v>
      </c>
      <c r="FU76" s="376">
        <f>CH76+CI76+CJ76+CK76</f>
        <v>132</v>
      </c>
      <c r="FV76" s="376">
        <f>CL76+CM76+CN76+CO76</f>
        <v>-419</v>
      </c>
      <c r="FW76" s="376">
        <f>CP76+CQ76+CR76+CS76</f>
        <v>-117</v>
      </c>
      <c r="FX76" s="376">
        <f>CT76+CU76+CV76+CW76</f>
        <v>179</v>
      </c>
      <c r="FY76" s="376">
        <f>CX76+CY76+CZ76+DA76</f>
        <v>514</v>
      </c>
      <c r="FZ76" s="376">
        <f>DB76+DC76+DD76+DE76</f>
        <v>756</v>
      </c>
      <c r="GA76" s="376">
        <f>SUM(DF76:DI76)</f>
        <v>1575</v>
      </c>
      <c r="GB76" s="376">
        <f>SUM(DJ76:DM76)</f>
        <v>3435</v>
      </c>
      <c r="GC76" s="376">
        <f>SUM(DN76:DQ76)</f>
        <v>5504</v>
      </c>
      <c r="GD76" s="376">
        <f>SUM(DR76:DU76)</f>
        <v>4302</v>
      </c>
      <c r="GE76" s="376">
        <f>SUM(DV76:DY76)</f>
        <v>5420</v>
      </c>
      <c r="GF76" s="376">
        <f>SUM(DZ76:EC76)</f>
        <v>6831</v>
      </c>
      <c r="GG76" s="380">
        <f>SUM(ED76:EG76)</f>
        <v>12113.739308457298</v>
      </c>
      <c r="GH76" s="380">
        <f>SUM(EH76:EK76)</f>
        <v>22812.838471182051</v>
      </c>
      <c r="GI76" s="380">
        <f>SUM(EL76:EO76)</f>
        <v>31195.853698051149</v>
      </c>
      <c r="GJ76" s="380">
        <f>SUM(EP76:ES76)</f>
        <v>38319.825630842737</v>
      </c>
      <c r="GK76" s="380">
        <f>SUM(ET76:EW76)</f>
        <v>44491.49025669937</v>
      </c>
      <c r="GN76" s="70"/>
    </row>
    <row r="77" spans="1:196" s="382" customFormat="1">
      <c r="A77" s="381" t="s">
        <v>198</v>
      </c>
      <c r="AT77" s="382">
        <f>AT76/AS76-1</f>
        <v>2.6904717624447683E-2</v>
      </c>
      <c r="AU77" s="382">
        <f>AU76/AT76-1</f>
        <v>-0.21291880470872138</v>
      </c>
      <c r="AV77" s="382">
        <f>AV76/AU76-1</f>
        <v>0.23641151505854618</v>
      </c>
      <c r="AW77" s="382">
        <f>AW76/AV76-1</f>
        <v>-0.60755567502739782</v>
      </c>
      <c r="AZ77" s="382">
        <f>AZ76/AY76-1</f>
        <v>6.019701387048376</v>
      </c>
      <c r="BA77" s="382">
        <f>BA76/AZ76-1</f>
        <v>1.5834298227950003</v>
      </c>
      <c r="BB77" s="382">
        <f>BB76/BA76-1</f>
        <v>-8.3037964816898735E-2</v>
      </c>
      <c r="BC77" s="382">
        <f>BC76/BB76-1</f>
        <v>-0.52797168988334509</v>
      </c>
      <c r="BD77" s="382">
        <f>BD76/BC76-1</f>
        <v>0.51333190766148573</v>
      </c>
      <c r="BV77" s="382">
        <f>BV76/BU76-1</f>
        <v>-0.39784946236559138</v>
      </c>
      <c r="BW77" s="382">
        <f t="shared" ref="BW77:EH77" si="193">BW76/BV76-1</f>
        <v>0.25</v>
      </c>
      <c r="BX77" s="382">
        <f t="shared" si="193"/>
        <v>0.5714285714285714</v>
      </c>
      <c r="BY77" s="382">
        <f t="shared" si="193"/>
        <v>0.24545454545454537</v>
      </c>
      <c r="BZ77" s="382">
        <f t="shared" si="193"/>
        <v>-0.32846715328467158</v>
      </c>
      <c r="CA77" s="382">
        <f t="shared" si="193"/>
        <v>-0.5</v>
      </c>
      <c r="CG77" s="382">
        <f t="shared" si="193"/>
        <v>0.27777777777777768</v>
      </c>
      <c r="CH77" s="382">
        <f t="shared" si="193"/>
        <v>-0.49275362318840576</v>
      </c>
      <c r="CI77" s="382">
        <f t="shared" si="193"/>
        <v>8.5714285714285632E-2</v>
      </c>
      <c r="CJ77" s="382">
        <f t="shared" si="193"/>
        <v>7.8947368421052655E-2</v>
      </c>
      <c r="CK77" s="382">
        <f t="shared" si="193"/>
        <v>-0.56097560975609762</v>
      </c>
      <c r="CV77" s="382">
        <f t="shared" si="193"/>
        <v>4.7894736842105265</v>
      </c>
      <c r="CW77" s="382">
        <f t="shared" si="193"/>
        <v>-0.19999999999999996</v>
      </c>
      <c r="CX77" s="382">
        <f t="shared" si="193"/>
        <v>0.375</v>
      </c>
      <c r="CY77" s="382">
        <f t="shared" si="193"/>
        <v>0.28925619834710736</v>
      </c>
      <c r="CZ77" s="382">
        <f t="shared" si="193"/>
        <v>-3.8461538461538436E-2</v>
      </c>
      <c r="DA77" s="382">
        <f t="shared" si="193"/>
        <v>-0.42000000000000004</v>
      </c>
      <c r="DB77" s="382">
        <f t="shared" si="193"/>
        <v>-0.28735632183908044</v>
      </c>
      <c r="DC77" s="382">
        <f t="shared" si="193"/>
        <v>0.4838709677419355</v>
      </c>
      <c r="DD77" s="382">
        <f t="shared" si="193"/>
        <v>1.3804347826086958</v>
      </c>
      <c r="DE77" s="382">
        <f t="shared" si="193"/>
        <v>0.74885844748858443</v>
      </c>
      <c r="DF77" s="382">
        <f t="shared" si="193"/>
        <v>-0.42036553524804177</v>
      </c>
      <c r="DG77" s="382">
        <f t="shared" si="193"/>
        <v>-2.7027027027026973E-2</v>
      </c>
      <c r="DH77" s="382">
        <f t="shared" si="193"/>
        <v>1.3194444444444446</v>
      </c>
      <c r="DI77" s="382">
        <f t="shared" si="193"/>
        <v>0.26946107784431139</v>
      </c>
      <c r="DJ77" s="383">
        <f t="shared" si="193"/>
        <v>9.4339622641510523E-3</v>
      </c>
      <c r="DK77" s="383">
        <f t="shared" si="193"/>
        <v>0.21183800623052962</v>
      </c>
      <c r="DL77" s="383">
        <f t="shared" si="193"/>
        <v>0.1478149100257069</v>
      </c>
      <c r="DM77" s="383">
        <f t="shared" si="193"/>
        <v>0.25643896976483771</v>
      </c>
      <c r="DN77" s="383">
        <f t="shared" si="193"/>
        <v>0.41622103386809273</v>
      </c>
      <c r="DO77" s="383">
        <f t="shared" si="193"/>
        <v>7.426054122089365E-2</v>
      </c>
      <c r="DP77" s="383">
        <f t="shared" si="193"/>
        <v>-0.35852372583479786</v>
      </c>
      <c r="DQ77" s="383">
        <f t="shared" si="193"/>
        <v>1.6438356164383494E-2</v>
      </c>
      <c r="DR77" s="383">
        <f t="shared" si="193"/>
        <v>-0.12848158131177001</v>
      </c>
      <c r="DS77" s="383">
        <f t="shared" si="193"/>
        <v>-2.2680412371134051E-2</v>
      </c>
      <c r="DT77" s="383">
        <f t="shared" si="193"/>
        <v>0.19725738396624481</v>
      </c>
      <c r="DU77" s="383">
        <f t="shared" si="193"/>
        <v>0.10044052863436126</v>
      </c>
      <c r="DV77" s="382">
        <f t="shared" si="193"/>
        <v>-0.18895116092874298</v>
      </c>
      <c r="DW77" s="382">
        <f t="shared" si="193"/>
        <v>0.11154985192497535</v>
      </c>
      <c r="DX77" s="382">
        <f t="shared" si="193"/>
        <v>0.33570159857904081</v>
      </c>
      <c r="DY77" s="382">
        <f t="shared" si="193"/>
        <v>0.1815159574468086</v>
      </c>
      <c r="DZ77" s="382">
        <f t="shared" si="193"/>
        <v>-0.11873944850872253</v>
      </c>
      <c r="EA77" s="382">
        <f t="shared" si="193"/>
        <v>-0.50127713920817363</v>
      </c>
      <c r="EB77" s="382">
        <f t="shared" si="193"/>
        <v>1.5160051216389245</v>
      </c>
      <c r="EC77" s="382">
        <f t="shared" si="193"/>
        <v>0.28193384223918572</v>
      </c>
      <c r="ED77" s="382">
        <f t="shared" si="193"/>
        <v>-0.10083366415244144</v>
      </c>
      <c r="EE77" s="384">
        <f t="shared" si="193"/>
        <v>0.16843446685499996</v>
      </c>
      <c r="EF77" s="384">
        <f t="shared" si="193"/>
        <v>6.7037720232761222E-2</v>
      </c>
      <c r="EG77" s="384">
        <f t="shared" si="193"/>
        <v>0.55043913818679568</v>
      </c>
      <c r="EH77" s="384">
        <f t="shared" si="193"/>
        <v>7.8052183772829853E-2</v>
      </c>
      <c r="EI77" s="384">
        <f t="shared" ref="EI77:EW77" si="194">EI76/EH76-1</f>
        <v>0.11243714262245152</v>
      </c>
      <c r="EJ77" s="384">
        <f t="shared" si="194"/>
        <v>0.16493735647766861</v>
      </c>
      <c r="EK77" s="384">
        <f t="shared" si="194"/>
        <v>9.9464697723864237E-2</v>
      </c>
      <c r="EL77" s="384">
        <f t="shared" si="194"/>
        <v>2.510688880089651E-3</v>
      </c>
      <c r="EM77" s="384">
        <f t="shared" si="194"/>
        <v>7.7263285552121364E-2</v>
      </c>
      <c r="EN77" s="384">
        <f t="shared" si="194"/>
        <v>0.12657367880953818</v>
      </c>
      <c r="EO77" s="384">
        <f t="shared" si="194"/>
        <v>0.10096021597834604</v>
      </c>
      <c r="EP77" s="384">
        <f t="shared" si="194"/>
        <v>-3.6755703280069718E-2</v>
      </c>
      <c r="EQ77" s="384">
        <f t="shared" si="194"/>
        <v>4.727014235913507E-2</v>
      </c>
      <c r="ER77" s="384">
        <f t="shared" si="194"/>
        <v>0.10755701697773246</v>
      </c>
      <c r="ES77" s="384">
        <f t="shared" si="194"/>
        <v>4.2249782315183504E-2</v>
      </c>
      <c r="ET77" s="384">
        <f t="shared" si="194"/>
        <v>-6.5004460580774248E-2</v>
      </c>
      <c r="EU77" s="384">
        <f t="shared" si="194"/>
        <v>5.3092323035733413E-2</v>
      </c>
      <c r="EV77" s="384">
        <f t="shared" si="194"/>
        <v>0.14222094778914585</v>
      </c>
      <c r="EW77" s="384">
        <f t="shared" si="194"/>
        <v>6.42760405671432E-2</v>
      </c>
      <c r="FZ77" s="386" t="s">
        <v>199</v>
      </c>
      <c r="GA77" s="386" t="s">
        <v>199</v>
      </c>
      <c r="GB77" s="386" t="s">
        <v>199</v>
      </c>
      <c r="GC77" s="386" t="s">
        <v>199</v>
      </c>
      <c r="GD77" s="386" t="s">
        <v>199</v>
      </c>
      <c r="GE77" s="386" t="s">
        <v>199</v>
      </c>
      <c r="GF77" s="386" t="s">
        <v>199</v>
      </c>
      <c r="GG77" s="386" t="s">
        <v>199</v>
      </c>
      <c r="GH77" s="386" t="s">
        <v>199</v>
      </c>
      <c r="GI77" s="386" t="s">
        <v>199</v>
      </c>
      <c r="GJ77" s="386" t="s">
        <v>199</v>
      </c>
      <c r="GK77" s="386" t="s">
        <v>199</v>
      </c>
      <c r="GN77" s="70"/>
    </row>
    <row r="78" spans="1:196" s="382" customFormat="1">
      <c r="A78" s="381" t="s">
        <v>200</v>
      </c>
      <c r="AW78" s="382">
        <f>AW76/AS76-1</f>
        <v>-0.60781517988138756</v>
      </c>
      <c r="AY78" s="382">
        <f>AY76/AU76-1</f>
        <v>-0.71061512501917656</v>
      </c>
      <c r="AZ78" s="382">
        <f>AZ76/AV76-1</f>
        <v>0.64297677880937365</v>
      </c>
      <c r="BA78" s="382">
        <f>BA76/AW76-1</f>
        <v>9.8155856472943626</v>
      </c>
      <c r="BC78" s="382">
        <f>BC76/AY76-1</f>
        <v>6.8493683187561158</v>
      </c>
      <c r="BD78" s="382">
        <f>BD76/AZ76-1</f>
        <v>0.69219442207007376</v>
      </c>
      <c r="BY78" s="382">
        <f>BY76/BU76-1</f>
        <v>0.4731182795698925</v>
      </c>
      <c r="BZ78" s="382">
        <f>BZ76/BV76-1</f>
        <v>0.64285714285714279</v>
      </c>
      <c r="CA78" s="382">
        <f>CA76/BW76-1</f>
        <v>-0.34285714285714286</v>
      </c>
      <c r="CJ78" s="382">
        <f>CJ76/CF76-1</f>
        <v>-0.2407407407407407</v>
      </c>
      <c r="CK78" s="382">
        <f>CK76/CG76-1</f>
        <v>-0.73913043478260865</v>
      </c>
      <c r="CV78" s="382">
        <f t="shared" ref="CV78:EW78" si="195">CV76/CR76-1</f>
        <v>3.0740740740740744</v>
      </c>
      <c r="CW78" s="382">
        <f t="shared" si="195"/>
        <v>-12</v>
      </c>
      <c r="CX78" s="382">
        <f t="shared" si="195"/>
        <v>-4.1842105263157894</v>
      </c>
      <c r="CY78" s="382">
        <f t="shared" si="195"/>
        <v>7.2105263157894743</v>
      </c>
      <c r="CZ78" s="382">
        <f t="shared" si="195"/>
        <v>0.36363636363636354</v>
      </c>
      <c r="DA78" s="382">
        <f t="shared" si="195"/>
        <v>-1.1363636363636354E-2</v>
      </c>
      <c r="DB78" s="382">
        <f t="shared" si="195"/>
        <v>-0.48760330578512401</v>
      </c>
      <c r="DC78" s="382">
        <f t="shared" si="195"/>
        <v>-0.41025641025641024</v>
      </c>
      <c r="DD78" s="382">
        <f t="shared" si="195"/>
        <v>0.45999999999999996</v>
      </c>
      <c r="DE78" s="382">
        <f t="shared" si="195"/>
        <v>3.4022988505747129</v>
      </c>
      <c r="DF78" s="382">
        <f t="shared" si="195"/>
        <v>2.5806451612903225</v>
      </c>
      <c r="DG78" s="382">
        <f t="shared" si="195"/>
        <v>1.347826086956522</v>
      </c>
      <c r="DH78" s="382">
        <f t="shared" si="195"/>
        <v>1.2876712328767121</v>
      </c>
      <c r="DI78" s="382">
        <f t="shared" si="195"/>
        <v>0.66057441253263716</v>
      </c>
      <c r="DJ78" s="383">
        <f t="shared" si="195"/>
        <v>1.8918918918918921</v>
      </c>
      <c r="DK78" s="383">
        <f t="shared" si="195"/>
        <v>2.6018518518518516</v>
      </c>
      <c r="DL78" s="383">
        <f t="shared" si="195"/>
        <v>0.78243512974051899</v>
      </c>
      <c r="DM78" s="383">
        <f t="shared" si="195"/>
        <v>0.76415094339622636</v>
      </c>
      <c r="DN78" s="383">
        <f t="shared" si="195"/>
        <v>1.4750778816199377</v>
      </c>
      <c r="DO78" s="383">
        <f t="shared" si="195"/>
        <v>1.1940874035989717</v>
      </c>
      <c r="DP78" s="383">
        <f t="shared" si="195"/>
        <v>0.22620380739081747</v>
      </c>
      <c r="DQ78" s="383">
        <f t="shared" si="195"/>
        <v>-8.0213903743315829E-3</v>
      </c>
      <c r="DR78" s="383">
        <f t="shared" si="195"/>
        <v>-0.38955317809943357</v>
      </c>
      <c r="DS78" s="383">
        <f t="shared" si="195"/>
        <v>-0.44463971880492092</v>
      </c>
      <c r="DT78" s="383">
        <f t="shared" si="195"/>
        <v>3.6529680365296802E-2</v>
      </c>
      <c r="DU78" s="383">
        <f t="shared" si="195"/>
        <v>0.12219227313566927</v>
      </c>
      <c r="DV78" s="382">
        <f t="shared" si="195"/>
        <v>4.4329896907216559E-2</v>
      </c>
      <c r="DW78" s="382">
        <f t="shared" si="195"/>
        <v>0.18776371308016881</v>
      </c>
      <c r="DX78" s="382">
        <f t="shared" si="195"/>
        <v>0.3251101321585903</v>
      </c>
      <c r="DY78" s="382">
        <f t="shared" si="195"/>
        <v>0.42273819055244188</v>
      </c>
      <c r="DZ78" s="382">
        <f t="shared" si="195"/>
        <v>0.54590325765054293</v>
      </c>
      <c r="EA78" s="382">
        <f t="shared" si="195"/>
        <v>-0.30639431616341029</v>
      </c>
      <c r="EB78" s="382">
        <f t="shared" si="195"/>
        <v>0.3065159574468086</v>
      </c>
      <c r="EC78" s="382">
        <f t="shared" si="195"/>
        <v>0.41755768148564987</v>
      </c>
      <c r="ED78" s="382">
        <f t="shared" si="195"/>
        <v>0.44636015325670497</v>
      </c>
      <c r="EE78" s="384">
        <f t="shared" si="195"/>
        <v>2.3886095613656528</v>
      </c>
      <c r="EF78" s="384">
        <f t="shared" si="195"/>
        <v>0.43710924513668314</v>
      </c>
      <c r="EG78" s="384">
        <f t="shared" si="195"/>
        <v>0.7381165440004529</v>
      </c>
      <c r="EH78" s="384">
        <f t="shared" si="195"/>
        <v>1.0839084618811241</v>
      </c>
      <c r="EI78" s="384">
        <f t="shared" si="195"/>
        <v>0.98403696619938152</v>
      </c>
      <c r="EJ78" s="384">
        <f t="shared" si="195"/>
        <v>1.1660703597751949</v>
      </c>
      <c r="EK78" s="384">
        <f t="shared" si="195"/>
        <v>0.53602797730195917</v>
      </c>
      <c r="EL78" s="384">
        <f t="shared" si="195"/>
        <v>0.42839510818018667</v>
      </c>
      <c r="EM78" s="384">
        <f t="shared" si="195"/>
        <v>0.38323105939928404</v>
      </c>
      <c r="EN78" s="384">
        <f t="shared" si="195"/>
        <v>0.33767854088121374</v>
      </c>
      <c r="EO78" s="384">
        <f t="shared" si="195"/>
        <v>0.33949808331914566</v>
      </c>
      <c r="EP78" s="384">
        <f t="shared" si="195"/>
        <v>0.28703255091056046</v>
      </c>
      <c r="EQ78" s="384">
        <f t="shared" si="195"/>
        <v>0.25119901596027172</v>
      </c>
      <c r="ER78" s="384">
        <f t="shared" si="195"/>
        <v>0.23007866758150652</v>
      </c>
      <c r="ES78" s="384">
        <f t="shared" si="195"/>
        <v>0.16448278957846729</v>
      </c>
      <c r="ET78" s="384">
        <f t="shared" si="195"/>
        <v>0.13033237538378639</v>
      </c>
      <c r="EU78" s="384">
        <f t="shared" si="195"/>
        <v>0.13661633121133265</v>
      </c>
      <c r="EV78" s="384">
        <f t="shared" si="195"/>
        <v>0.17218975024103145</v>
      </c>
      <c r="EW78" s="384">
        <f t="shared" si="195"/>
        <v>0.19696207890658091</v>
      </c>
      <c r="FK78" s="386" t="s">
        <v>199</v>
      </c>
      <c r="FL78" s="382">
        <f>FL76/FK76-1</f>
        <v>0.78432778948312176</v>
      </c>
      <c r="FM78" s="382">
        <f>FM76/FL76-1</f>
        <v>0.39446014478449221</v>
      </c>
      <c r="FN78" s="386" t="s">
        <v>199</v>
      </c>
      <c r="FO78" s="386" t="s">
        <v>199</v>
      </c>
      <c r="FP78" s="386" t="s">
        <v>199</v>
      </c>
      <c r="FQ78" s="386" t="s">
        <v>199</v>
      </c>
      <c r="FR78" s="386" t="s">
        <v>199</v>
      </c>
      <c r="FS78" s="386" t="s">
        <v>199</v>
      </c>
      <c r="FT78" s="386" t="s">
        <v>199</v>
      </c>
      <c r="FU78" s="382">
        <f>FU76/FT76-1</f>
        <v>15.5</v>
      </c>
      <c r="FV78" s="386" t="s">
        <v>199</v>
      </c>
      <c r="FW78" s="386" t="s">
        <v>199</v>
      </c>
      <c r="FX78" s="386" t="s">
        <v>199</v>
      </c>
      <c r="FY78" s="382">
        <f t="shared" ref="FY78:GG78" si="196">FY76/FX76-1</f>
        <v>1.8715083798882683</v>
      </c>
      <c r="FZ78" s="382">
        <f t="shared" si="196"/>
        <v>0.4708171206225682</v>
      </c>
      <c r="GA78" s="382">
        <f t="shared" si="196"/>
        <v>1.0833333333333335</v>
      </c>
      <c r="GB78" s="382">
        <f t="shared" si="196"/>
        <v>1.1809523809523808</v>
      </c>
      <c r="GC78" s="382">
        <f t="shared" si="196"/>
        <v>0.60232896652110623</v>
      </c>
      <c r="GD78" s="382">
        <f t="shared" si="196"/>
        <v>-0.21838662790697672</v>
      </c>
      <c r="GE78" s="382">
        <f t="shared" si="196"/>
        <v>0.25987912598791252</v>
      </c>
      <c r="GF78" s="382">
        <f t="shared" si="196"/>
        <v>0.26033210332103329</v>
      </c>
      <c r="GG78" s="384">
        <f t="shared" si="196"/>
        <v>0.77334787124246773</v>
      </c>
      <c r="GH78" s="384">
        <f>GH76/GG76-1</f>
        <v>0.88322019240211791</v>
      </c>
      <c r="GI78" s="384">
        <f t="shared" ref="GI78:GK78" si="197">GI76/GH76-1</f>
        <v>0.36746918790744987</v>
      </c>
      <c r="GJ78" s="384">
        <f t="shared" si="197"/>
        <v>0.2283627818538152</v>
      </c>
      <c r="GK78" s="384">
        <f t="shared" si="197"/>
        <v>0.16105669909127163</v>
      </c>
      <c r="GN78" s="70"/>
    </row>
    <row r="79" spans="1:196" s="379" customFormat="1">
      <c r="A79" s="405" t="s">
        <v>248</v>
      </c>
      <c r="AP79" s="376">
        <f>AMD!CD42</f>
        <v>-146.35600000000008</v>
      </c>
      <c r="AQ79" s="376">
        <f>AMD!CE42</f>
        <v>-140.09599999999998</v>
      </c>
      <c r="AR79" s="376">
        <f>AMD!CF42</f>
        <v>-31.23099999999998</v>
      </c>
      <c r="AS79" s="376">
        <f>AMD!CG42</f>
        <v>43.19300000000004</v>
      </c>
      <c r="AT79" s="376">
        <f>AMD!CI42</f>
        <v>45.090999999999944</v>
      </c>
      <c r="AU79" s="376">
        <f>AMD!CJ42</f>
        <v>32.180000000000042</v>
      </c>
      <c r="AV79" s="376">
        <f>AMD!CK42</f>
        <v>43.848000000000035</v>
      </c>
      <c r="AW79" s="376">
        <f>AMD!CL42</f>
        <v>-29.962999999999973</v>
      </c>
      <c r="AX79" s="376">
        <f>AMD!CN42</f>
        <v>-17.423000000000037</v>
      </c>
      <c r="AY79" s="376">
        <f>AMD!CO42</f>
        <v>11.318999999999944</v>
      </c>
      <c r="AZ79" s="376">
        <f>AMD!CP42</f>
        <v>76.000000000000171</v>
      </c>
      <c r="BA79" s="376">
        <f>AMD!CQ42</f>
        <v>95.586999999999932</v>
      </c>
      <c r="BB79" s="376">
        <f>AMD!CS42</f>
        <v>184.52399999999986</v>
      </c>
      <c r="BC79" s="376">
        <f>AMD!CT42</f>
        <v>88.847000000000037</v>
      </c>
      <c r="BD79" s="376">
        <f>AMD!CU42</f>
        <v>134.45500000000007</v>
      </c>
      <c r="BE79" s="376">
        <f>AMD!CV42</f>
        <v>-573.00100000000009</v>
      </c>
      <c r="BF79" s="376">
        <f>AMD!CX42</f>
        <v>-611</v>
      </c>
      <c r="BG79" s="376">
        <f>AMD!CY42</f>
        <v>-600</v>
      </c>
      <c r="BH79" s="376">
        <f>AMD!CZ42</f>
        <v>-396</v>
      </c>
      <c r="BI79" s="376">
        <f>AMD!DA42</f>
        <v>-1772</v>
      </c>
      <c r="BJ79" s="376">
        <f>AMD!DC42</f>
        <v>-358</v>
      </c>
      <c r="BK79" s="376">
        <f>AMD!DD42</f>
        <v>-269</v>
      </c>
      <c r="BL79" s="376">
        <f>AMD!DE42</f>
        <v>23</v>
      </c>
      <c r="BM79" s="376">
        <f>AMD!DF42</f>
        <v>-1414</v>
      </c>
      <c r="BN79" s="376">
        <f>AMD!DH42</f>
        <v>-408</v>
      </c>
      <c r="BO79" s="376">
        <f>AMD!DI42</f>
        <v>-310</v>
      </c>
      <c r="BP79" s="376">
        <f>AMD!DJ42</f>
        <v>-106</v>
      </c>
      <c r="BQ79" s="376">
        <f>AMD!DK42</f>
        <v>1203</v>
      </c>
      <c r="BR79" s="376">
        <f>AMD!DM42</f>
        <v>257</v>
      </c>
      <c r="BS79" s="376">
        <f>AMD!DN42</f>
        <v>-43</v>
      </c>
      <c r="BT79" s="376">
        <f>AMD!DO42</f>
        <v>-118</v>
      </c>
      <c r="BU79" s="376">
        <f>AMD!DP42</f>
        <v>375</v>
      </c>
      <c r="BV79" s="376">
        <f>AMD!DR42</f>
        <v>510</v>
      </c>
      <c r="BW79" s="376">
        <f>AMD!DS42</f>
        <v>61</v>
      </c>
      <c r="BX79" s="376">
        <f>AMD!DT42</f>
        <v>97</v>
      </c>
      <c r="BY79" s="376">
        <f>AMD!DU42</f>
        <v>-177</v>
      </c>
      <c r="BZ79" s="376">
        <f>AMD!DW42</f>
        <v>-590</v>
      </c>
      <c r="CA79" s="376">
        <f>AMD!DX42</f>
        <v>37</v>
      </c>
      <c r="CB79" s="376">
        <f>AMD!DY42</f>
        <v>-157</v>
      </c>
      <c r="CC79" s="376">
        <f>AMD!DZ42</f>
        <v>-473</v>
      </c>
      <c r="CD79" s="376">
        <f>AMD!EB42</f>
        <v>-146</v>
      </c>
      <c r="CE79" s="376">
        <f>AMD!EC42</f>
        <v>-74</v>
      </c>
      <c r="CF79" s="376">
        <f>AMD!ED42</f>
        <v>48</v>
      </c>
      <c r="CG79" s="376">
        <f>AMD!EE42</f>
        <v>89</v>
      </c>
      <c r="CH79" s="376">
        <f>AMD!EG42</f>
        <v>-20</v>
      </c>
      <c r="CI79" s="376">
        <f>AMD!EH42</f>
        <v>-36</v>
      </c>
      <c r="CJ79" s="376">
        <f>AMD!EI42</f>
        <v>17</v>
      </c>
      <c r="CK79" s="376">
        <f>AMD!EJ42</f>
        <v>-364</v>
      </c>
      <c r="CL79" s="376">
        <f>AMD!EL42</f>
        <v>-180</v>
      </c>
      <c r="CM79" s="376">
        <f>AMD!EM42</f>
        <v>-181</v>
      </c>
      <c r="CN79" s="376">
        <f>AMD!EN42</f>
        <v>-197</v>
      </c>
      <c r="CO79" s="376">
        <f>AMD!EO42</f>
        <v>-102</v>
      </c>
      <c r="CP79" s="376">
        <f>AMD!EQ42</f>
        <v>-109</v>
      </c>
      <c r="CQ79" s="376">
        <f>AMD!ER42</f>
        <v>69</v>
      </c>
      <c r="CR79" s="376">
        <f>AMD!ES42</f>
        <v>-406</v>
      </c>
      <c r="CS79" s="376">
        <f>AMD!ET42</f>
        <v>-51</v>
      </c>
      <c r="CT79" s="376">
        <f>AMD!EV42</f>
        <v>-73</v>
      </c>
      <c r="CU79" s="376">
        <f>AMD!EW42</f>
        <v>-16</v>
      </c>
      <c r="CV79" s="376">
        <f>AMD!EX42</f>
        <v>71</v>
      </c>
      <c r="CW79" s="376">
        <f>AMD!EY42</f>
        <v>61</v>
      </c>
      <c r="CX79" s="376">
        <f>AMD!FA42</f>
        <v>81</v>
      </c>
      <c r="CY79" s="376">
        <f>AMD!FB42</f>
        <v>116</v>
      </c>
      <c r="CZ79" s="376">
        <f>AMD!FC42</f>
        <v>102</v>
      </c>
      <c r="DA79" s="376">
        <f>AMD!FD42</f>
        <v>38</v>
      </c>
      <c r="DB79" s="376">
        <f>AMD!FF42</f>
        <v>16</v>
      </c>
      <c r="DC79" s="376">
        <f>AMD!FG42</f>
        <v>35</v>
      </c>
      <c r="DD79" s="376">
        <f>AMD!FH42</f>
        <v>120</v>
      </c>
      <c r="DE79" s="376">
        <f>AMD!FI42</f>
        <v>170</v>
      </c>
      <c r="DF79" s="376">
        <f>AMD!FK42</f>
        <v>162</v>
      </c>
      <c r="DG79" s="376">
        <f>AMD!FL42</f>
        <v>157</v>
      </c>
      <c r="DH79" s="376">
        <f>AMD!FM42</f>
        <v>390</v>
      </c>
      <c r="DI79" s="376">
        <f>AMD!FN42</f>
        <v>1781</v>
      </c>
      <c r="DJ79" s="397">
        <f>AMD!FP42</f>
        <v>555</v>
      </c>
      <c r="DK79" s="397">
        <f>AMD!FQ42</f>
        <v>710</v>
      </c>
      <c r="DL79" s="397">
        <f>AMD!FR42</f>
        <v>923</v>
      </c>
      <c r="DM79" s="397">
        <f>AMD!FS42</f>
        <v>974</v>
      </c>
      <c r="DN79" s="397">
        <f>AMD!FU42</f>
        <v>786</v>
      </c>
      <c r="DO79" s="397">
        <f>AMD!FV42</f>
        <v>447</v>
      </c>
      <c r="DP79" s="397">
        <f>AMD!FW42</f>
        <v>66</v>
      </c>
      <c r="DQ79" s="397">
        <f>AMD!FX42</f>
        <v>21</v>
      </c>
      <c r="DR79" s="397">
        <f>AMD!FZ42</f>
        <v>-139</v>
      </c>
      <c r="DS79" s="397">
        <f>AMD!GA42</f>
        <v>27</v>
      </c>
      <c r="DT79" s="397">
        <f>AMD!GB42</f>
        <v>299</v>
      </c>
      <c r="DU79" s="397">
        <f>AMD!GC42</f>
        <v>667</v>
      </c>
      <c r="DV79" s="376">
        <f>AMD!GE42</f>
        <v>123</v>
      </c>
      <c r="DW79" s="376">
        <f>AMD!GF42</f>
        <v>265</v>
      </c>
      <c r="DX79" s="376">
        <f>AMD!GG42</f>
        <v>771</v>
      </c>
      <c r="DY79" s="376">
        <f>AMD!GH42</f>
        <v>482</v>
      </c>
      <c r="DZ79" s="376">
        <f>AMD!GJ42</f>
        <v>709</v>
      </c>
      <c r="EA79" s="376">
        <f>AMD!GK42</f>
        <v>872</v>
      </c>
      <c r="EB79" s="376">
        <f>AMD!GL42</f>
        <v>1243</v>
      </c>
      <c r="EC79" s="376">
        <f>AMD!GM42</f>
        <v>1511</v>
      </c>
      <c r="ED79" s="376">
        <f>AMD!GO42</f>
        <v>1383</v>
      </c>
      <c r="EE79" s="380">
        <f>AMD!GP42</f>
        <v>2149.7640674265749</v>
      </c>
      <c r="EF79" s="380">
        <f>AMD!GQ42</f>
        <v>2317.244866693582</v>
      </c>
      <c r="EG79" s="380">
        <f>AMD!GR42</f>
        <v>3861.5072783371406</v>
      </c>
      <c r="EH79" s="380">
        <f>AMD!GT42</f>
        <v>4203.2443701607463</v>
      </c>
      <c r="EI79" s="380">
        <f>AMD!GU42</f>
        <v>4723.6174390513443</v>
      </c>
      <c r="EJ79" s="380">
        <f>AMD!GV42</f>
        <v>5579.1213372528164</v>
      </c>
      <c r="EK79" s="380">
        <f>AMD!GW42</f>
        <v>6176.7741174571756</v>
      </c>
      <c r="EL79" s="380">
        <f>AMD!GY42</f>
        <v>6193.6590405152901</v>
      </c>
      <c r="EM79" s="380">
        <f>AMD!GZ42</f>
        <v>6703.6070267887917</v>
      </c>
      <c r="EN79" s="380">
        <f>AMD!HA42</f>
        <v>7611.7256026153436</v>
      </c>
      <c r="EO79" s="380">
        <f>AMD!HB42</f>
        <v>8426.4028103377859</v>
      </c>
      <c r="EP79" s="380">
        <f>AMD!HD42</f>
        <v>8095.2922590823946</v>
      </c>
      <c r="EQ79" s="380">
        <f>AMD!HE42</f>
        <v>8493.8293743691393</v>
      </c>
      <c r="ER79" s="380">
        <f>AMD!HF42</f>
        <v>9459.3785724610898</v>
      </c>
      <c r="ES79" s="380">
        <f>AMD!HG42</f>
        <v>9872.5080193334452</v>
      </c>
      <c r="ET79" s="380">
        <f>AMD!HI42</f>
        <v>9190.6020119451805</v>
      </c>
      <c r="EU79" s="380">
        <f>AMD!HJ42</f>
        <v>9698.9913585597842</v>
      </c>
      <c r="EV79" s="380">
        <f>AMD!HK42</f>
        <v>11155.388640623361</v>
      </c>
      <c r="EW79" s="380">
        <f>AMD!HL42</f>
        <v>11900.864024212613</v>
      </c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>
        <f>AP79+AQ79+AR79+AS79</f>
        <v>-274.49</v>
      </c>
      <c r="FK79" s="376">
        <f>AT79+AU79+AV79+AW79</f>
        <v>91.156000000000063</v>
      </c>
      <c r="FL79" s="376">
        <f>AX79+AY79+AZ79+BA79</f>
        <v>165.483</v>
      </c>
      <c r="FM79" s="376">
        <f>BB79+BC79+BD79+BE79</f>
        <v>-165.17500000000018</v>
      </c>
      <c r="FN79" s="376">
        <f>BF79+BG79+BH79+BI79</f>
        <v>-3379</v>
      </c>
      <c r="FO79" s="376">
        <f>BJ79+BK79+BL79+BM79</f>
        <v>-2018</v>
      </c>
      <c r="FP79" s="376">
        <f>BN79+BO79+BP79+BQ79</f>
        <v>379</v>
      </c>
      <c r="FQ79" s="376">
        <f>BR79+BS79+BT79+BU79</f>
        <v>471</v>
      </c>
      <c r="FR79" s="376">
        <f>BV79+BW79+BX79+BY79</f>
        <v>491</v>
      </c>
      <c r="FS79" s="376">
        <f>BZ79+CA79+CB79+CC79</f>
        <v>-1183</v>
      </c>
      <c r="FT79" s="376">
        <f>CD79+CE79+CF79+CG79</f>
        <v>-83</v>
      </c>
      <c r="FU79" s="376">
        <f>CH79+CI79+CJ79+CK79</f>
        <v>-403</v>
      </c>
      <c r="FV79" s="376">
        <f>CL79+CM79+CN79+CO79</f>
        <v>-660</v>
      </c>
      <c r="FW79" s="376">
        <f>CP79+CQ79+CR79+CS79</f>
        <v>-497</v>
      </c>
      <c r="FX79" s="376">
        <f>CT79+CU79+CV79+CW79</f>
        <v>43</v>
      </c>
      <c r="FY79" s="376">
        <f>CX79+CY79+CZ79+DA79</f>
        <v>337</v>
      </c>
      <c r="FZ79" s="376">
        <f>DB79+DC79+DD79+DE79</f>
        <v>341</v>
      </c>
      <c r="GA79" s="376">
        <f>SUM(DF79:DI79)</f>
        <v>2490</v>
      </c>
      <c r="GB79" s="376">
        <f>SUM(DJ79:DM79)</f>
        <v>3162</v>
      </c>
      <c r="GC79" s="376">
        <f>SUM(DN79:DQ79)</f>
        <v>1320</v>
      </c>
      <c r="GD79" s="376">
        <f>SUM(DR79:DU79)</f>
        <v>854</v>
      </c>
      <c r="GE79" s="376">
        <f>SUM(DV79:DY79)</f>
        <v>1641</v>
      </c>
      <c r="GF79" s="376">
        <f>SUM(DZ79:EC79)</f>
        <v>4335</v>
      </c>
      <c r="GG79" s="380">
        <f>SUM(ED79:EG79)</f>
        <v>9711.5162124572962</v>
      </c>
      <c r="GH79" s="380">
        <f>SUM(EH79:EK79)</f>
        <v>20682.757263922082</v>
      </c>
      <c r="GI79" s="380">
        <f>SUM(EL79:EO79)</f>
        <v>28935.394480257211</v>
      </c>
      <c r="GJ79" s="380">
        <f>SUM(EP79:ES79)</f>
        <v>35921.008225246071</v>
      </c>
      <c r="GK79" s="380">
        <f>SUM(ET79:EW79)</f>
        <v>41945.846035340939</v>
      </c>
      <c r="GN79" s="70"/>
    </row>
    <row r="80" spans="1:196" s="382" customFormat="1">
      <c r="A80" s="381" t="s">
        <v>198</v>
      </c>
      <c r="AS80" s="382">
        <f>AS79/AR79-1</f>
        <v>-2.3830168742595519</v>
      </c>
      <c r="AT80" s="382">
        <f>AT79/AS79-1</f>
        <v>4.394230546616118E-2</v>
      </c>
      <c r="AU80" s="382">
        <f>AU79/AT79-1</f>
        <v>-0.28633208400789334</v>
      </c>
      <c r="AV80" s="382">
        <f>AV79/AU79-1</f>
        <v>0.3625854568054685</v>
      </c>
      <c r="AZ80" s="382">
        <f>AZ79/AY79-1</f>
        <v>5.7143740613128848</v>
      </c>
      <c r="BA80" s="382">
        <f>BA79/AZ79-1</f>
        <v>0.25772368421052261</v>
      </c>
      <c r="BB80" s="382">
        <f>BB79/BA79-1</f>
        <v>0.93042987017062972</v>
      </c>
      <c r="BC80" s="382">
        <f>BC79/BB79-1</f>
        <v>-0.51850707767011284</v>
      </c>
      <c r="BD80" s="382">
        <f>BD79/BC79-1</f>
        <v>0.51333190766148573</v>
      </c>
      <c r="BR80" s="382">
        <f>BR79/BQ79-1</f>
        <v>-0.78636741479634242</v>
      </c>
      <c r="BU80" s="382">
        <f>BU79/BT79-1</f>
        <v>-4.1779661016949152</v>
      </c>
      <c r="BV80" s="382">
        <f>BV79/BU79-1</f>
        <v>0.3600000000000001</v>
      </c>
      <c r="BW80" s="382">
        <f>BW79/BV79-1</f>
        <v>-0.88039215686274508</v>
      </c>
      <c r="BX80" s="382">
        <f>BX79/BW79-1</f>
        <v>0.5901639344262295</v>
      </c>
      <c r="CG80" s="382">
        <f>CG79/CF79-1</f>
        <v>0.85416666666666674</v>
      </c>
      <c r="CV80" s="382">
        <f t="shared" ref="CV80:EW80" si="198">CV79/CU79-1</f>
        <v>-5.4375</v>
      </c>
      <c r="CW80" s="382">
        <f t="shared" si="198"/>
        <v>-0.14084507042253525</v>
      </c>
      <c r="CX80" s="382">
        <f t="shared" si="198"/>
        <v>0.32786885245901631</v>
      </c>
      <c r="CY80" s="382">
        <f t="shared" si="198"/>
        <v>0.43209876543209869</v>
      </c>
      <c r="CZ80" s="382">
        <f t="shared" si="198"/>
        <v>-0.12068965517241381</v>
      </c>
      <c r="DA80" s="382">
        <f t="shared" si="198"/>
        <v>-0.62745098039215685</v>
      </c>
      <c r="DB80" s="382">
        <f t="shared" si="198"/>
        <v>-0.57894736842105265</v>
      </c>
      <c r="DC80" s="382">
        <f t="shared" si="198"/>
        <v>1.1875</v>
      </c>
      <c r="DD80" s="382">
        <f t="shared" si="198"/>
        <v>2.4285714285714284</v>
      </c>
      <c r="DE80" s="382">
        <f t="shared" si="198"/>
        <v>0.41666666666666674</v>
      </c>
      <c r="DF80" s="382">
        <f t="shared" si="198"/>
        <v>-4.705882352941182E-2</v>
      </c>
      <c r="DG80" s="382">
        <f t="shared" si="198"/>
        <v>-3.0864197530864224E-2</v>
      </c>
      <c r="DH80" s="382">
        <f t="shared" si="198"/>
        <v>1.484076433121019</v>
      </c>
      <c r="DI80" s="382">
        <f t="shared" si="198"/>
        <v>3.5666666666666664</v>
      </c>
      <c r="DJ80" s="383">
        <f t="shared" si="198"/>
        <v>-0.68837731611454234</v>
      </c>
      <c r="DK80" s="383">
        <f t="shared" si="198"/>
        <v>0.27927927927927931</v>
      </c>
      <c r="DL80" s="383">
        <f t="shared" si="198"/>
        <v>0.30000000000000004</v>
      </c>
      <c r="DM80" s="383">
        <f t="shared" si="198"/>
        <v>5.5254604550379227E-2</v>
      </c>
      <c r="DN80" s="383">
        <f t="shared" si="198"/>
        <v>-0.19301848049281312</v>
      </c>
      <c r="DO80" s="383">
        <f t="shared" si="198"/>
        <v>-0.43129770992366412</v>
      </c>
      <c r="DP80" s="383">
        <f t="shared" si="198"/>
        <v>-0.8523489932885906</v>
      </c>
      <c r="DQ80" s="383">
        <f t="shared" si="198"/>
        <v>-0.68181818181818188</v>
      </c>
      <c r="DR80" s="386" t="s">
        <v>199</v>
      </c>
      <c r="DS80" s="386" t="s">
        <v>199</v>
      </c>
      <c r="DT80" s="383">
        <f t="shared" si="198"/>
        <v>10.074074074074074</v>
      </c>
      <c r="DU80" s="383">
        <f t="shared" si="198"/>
        <v>1.2307692307692308</v>
      </c>
      <c r="DV80" s="382">
        <f t="shared" si="198"/>
        <v>-0.81559220389805098</v>
      </c>
      <c r="DW80" s="382">
        <f t="shared" si="198"/>
        <v>1.154471544715447</v>
      </c>
      <c r="DX80" s="382">
        <f t="shared" si="198"/>
        <v>1.909433962264151</v>
      </c>
      <c r="DY80" s="382">
        <f t="shared" si="198"/>
        <v>-0.3748378728923476</v>
      </c>
      <c r="DZ80" s="382">
        <f t="shared" si="198"/>
        <v>0.47095435684647313</v>
      </c>
      <c r="EA80" s="382">
        <f t="shared" si="198"/>
        <v>0.22990126939351208</v>
      </c>
      <c r="EB80" s="382">
        <f t="shared" si="198"/>
        <v>0.42545871559633031</v>
      </c>
      <c r="EC80" s="382">
        <f t="shared" si="198"/>
        <v>0.2156074014481093</v>
      </c>
      <c r="ED80" s="382">
        <f t="shared" si="198"/>
        <v>-8.4712111184645944E-2</v>
      </c>
      <c r="EE80" s="384">
        <f t="shared" si="198"/>
        <v>0.55442087304886112</v>
      </c>
      <c r="EF80" s="384">
        <f t="shared" si="198"/>
        <v>7.7906595335130779E-2</v>
      </c>
      <c r="EG80" s="384">
        <f t="shared" si="198"/>
        <v>0.66642176398346176</v>
      </c>
      <c r="EH80" s="384">
        <f t="shared" si="198"/>
        <v>8.8498367914708664E-2</v>
      </c>
      <c r="EI80" s="384">
        <f t="shared" si="198"/>
        <v>0.12380271596502412</v>
      </c>
      <c r="EJ80" s="384">
        <f t="shared" si="198"/>
        <v>0.18111202044619534</v>
      </c>
      <c r="EK80" s="384">
        <f t="shared" si="198"/>
        <v>0.10712310130516833</v>
      </c>
      <c r="EL80" s="384">
        <f t="shared" si="198"/>
        <v>2.7336151099315309E-3</v>
      </c>
      <c r="EM80" s="384">
        <f t="shared" si="198"/>
        <v>8.233388098016392E-2</v>
      </c>
      <c r="EN80" s="384">
        <f t="shared" si="198"/>
        <v>0.13546715554738675</v>
      </c>
      <c r="EO80" s="384">
        <f t="shared" si="198"/>
        <v>0.10702924018208493</v>
      </c>
      <c r="EP80" s="384">
        <f t="shared" si="198"/>
        <v>-3.9294412895758302E-2</v>
      </c>
      <c r="EQ80" s="384">
        <f t="shared" si="198"/>
        <v>4.923072602346279E-2</v>
      </c>
      <c r="ER80" s="384">
        <f t="shared" si="198"/>
        <v>0.11367654747169498</v>
      </c>
      <c r="ES80" s="384">
        <f t="shared" si="198"/>
        <v>4.3674057836641689E-2</v>
      </c>
      <c r="ET80" s="384">
        <f t="shared" si="198"/>
        <v>-6.9071203188985075E-2</v>
      </c>
      <c r="EU80" s="384">
        <f t="shared" si="198"/>
        <v>5.5316218236176606E-2</v>
      </c>
      <c r="EV80" s="384">
        <f t="shared" si="198"/>
        <v>0.15015966384775092</v>
      </c>
      <c r="EW80" s="384">
        <f t="shared" si="198"/>
        <v>6.6826482483499872E-2</v>
      </c>
      <c r="FZ80" s="386" t="s">
        <v>199</v>
      </c>
      <c r="GA80" s="386" t="s">
        <v>199</v>
      </c>
      <c r="GB80" s="386" t="s">
        <v>199</v>
      </c>
      <c r="GC80" s="386" t="s">
        <v>199</v>
      </c>
      <c r="GD80" s="386" t="s">
        <v>199</v>
      </c>
      <c r="GE80" s="386" t="s">
        <v>199</v>
      </c>
      <c r="GF80" s="386" t="s">
        <v>199</v>
      </c>
      <c r="GG80" s="386" t="s">
        <v>199</v>
      </c>
      <c r="GH80" s="386" t="s">
        <v>199</v>
      </c>
      <c r="GI80" s="386" t="s">
        <v>199</v>
      </c>
      <c r="GJ80" s="386" t="s">
        <v>199</v>
      </c>
      <c r="GK80" s="386" t="s">
        <v>199</v>
      </c>
      <c r="GN80" s="70"/>
    </row>
    <row r="81" spans="1:196" s="382" customFormat="1">
      <c r="A81" s="381" t="s">
        <v>200</v>
      </c>
      <c r="AY81" s="382">
        <f t="shared" ref="AY81:BD81" si="199">AY79/AU79-1</f>
        <v>-0.64825978868862866</v>
      </c>
      <c r="AZ81" s="382">
        <f t="shared" si="199"/>
        <v>0.73326035395001155</v>
      </c>
      <c r="BA81" s="382">
        <f t="shared" si="199"/>
        <v>-4.1901678737109105</v>
      </c>
      <c r="BB81" s="382">
        <f t="shared" si="199"/>
        <v>-11.59082821557708</v>
      </c>
      <c r="BC81" s="382">
        <f t="shared" si="199"/>
        <v>6.8493683187561158</v>
      </c>
      <c r="BD81" s="382">
        <f t="shared" si="199"/>
        <v>0.76914473684210227</v>
      </c>
      <c r="BQ81" s="382">
        <f>BQ79/BM79-1</f>
        <v>-1.8507779349363509</v>
      </c>
      <c r="BR81" s="382">
        <f>BR79/BN79-1</f>
        <v>-1.6299019607843137</v>
      </c>
      <c r="BU81" s="382">
        <f>BU79/BQ79-1</f>
        <v>-0.6882793017456359</v>
      </c>
      <c r="BV81" s="382">
        <f>BV79/BR79-1</f>
        <v>0.98443579766536971</v>
      </c>
      <c r="CA81" s="382">
        <f>CA79/BW79-1</f>
        <v>-0.39344262295081966</v>
      </c>
      <c r="CJ81" s="382">
        <f>CJ79/CF79-1</f>
        <v>-0.64583333333333326</v>
      </c>
      <c r="CV81" s="382">
        <f t="shared" ref="CV81:EW81" si="200">CV79/CR79-1</f>
        <v>-1.1748768472906403</v>
      </c>
      <c r="CW81" s="382">
        <f t="shared" si="200"/>
        <v>-2.1960784313725492</v>
      </c>
      <c r="CX81" s="382">
        <f t="shared" si="200"/>
        <v>-2.1095890410958904</v>
      </c>
      <c r="CY81" s="382">
        <f t="shared" si="200"/>
        <v>-8.25</v>
      </c>
      <c r="CZ81" s="382">
        <f t="shared" si="200"/>
        <v>0.43661971830985924</v>
      </c>
      <c r="DA81" s="382">
        <f t="shared" si="200"/>
        <v>-0.37704918032786883</v>
      </c>
      <c r="DB81" s="382">
        <f t="shared" si="200"/>
        <v>-0.80246913580246915</v>
      </c>
      <c r="DC81" s="382">
        <f t="shared" si="200"/>
        <v>-0.69827586206896552</v>
      </c>
      <c r="DD81" s="382">
        <f t="shared" si="200"/>
        <v>0.17647058823529416</v>
      </c>
      <c r="DE81" s="382">
        <f t="shared" si="200"/>
        <v>3.4736842105263159</v>
      </c>
      <c r="DF81" s="382">
        <f t="shared" si="200"/>
        <v>9.125</v>
      </c>
      <c r="DG81" s="382">
        <f t="shared" si="200"/>
        <v>3.4857142857142858</v>
      </c>
      <c r="DH81" s="382">
        <f t="shared" si="200"/>
        <v>2.25</v>
      </c>
      <c r="DI81" s="382">
        <f t="shared" si="200"/>
        <v>9.4764705882352942</v>
      </c>
      <c r="DJ81" s="383">
        <f t="shared" si="200"/>
        <v>2.425925925925926</v>
      </c>
      <c r="DK81" s="383">
        <f t="shared" si="200"/>
        <v>3.5222929936305736</v>
      </c>
      <c r="DL81" s="383">
        <f t="shared" si="200"/>
        <v>1.3666666666666667</v>
      </c>
      <c r="DM81" s="383">
        <f t="shared" si="200"/>
        <v>-0.45311622683885455</v>
      </c>
      <c r="DN81" s="383">
        <f t="shared" si="200"/>
        <v>0.41621621621621618</v>
      </c>
      <c r="DO81" s="383">
        <f t="shared" si="200"/>
        <v>-0.37042253521126756</v>
      </c>
      <c r="DP81" s="383">
        <f t="shared" si="200"/>
        <v>-0.92849404117009748</v>
      </c>
      <c r="DQ81" s="383">
        <f t="shared" si="200"/>
        <v>-0.97843942505133474</v>
      </c>
      <c r="DR81" s="386" t="s">
        <v>199</v>
      </c>
      <c r="DS81" s="383">
        <f t="shared" si="200"/>
        <v>-0.93959731543624159</v>
      </c>
      <c r="DT81" s="383">
        <f t="shared" si="200"/>
        <v>3.5303030303030303</v>
      </c>
      <c r="DU81" s="383">
        <f t="shared" si="200"/>
        <v>30.761904761904763</v>
      </c>
      <c r="DV81" s="382">
        <f t="shared" si="200"/>
        <v>-1.8848920863309353</v>
      </c>
      <c r="DW81" s="382">
        <f t="shared" si="200"/>
        <v>8.8148148148148149</v>
      </c>
      <c r="DX81" s="382">
        <f t="shared" si="200"/>
        <v>1.5785953177257523</v>
      </c>
      <c r="DY81" s="382">
        <f t="shared" si="200"/>
        <v>-0.27736131934032981</v>
      </c>
      <c r="DZ81" s="382">
        <f t="shared" si="200"/>
        <v>4.7642276422764231</v>
      </c>
      <c r="EA81" s="382">
        <f t="shared" si="200"/>
        <v>2.2905660377358492</v>
      </c>
      <c r="EB81" s="382">
        <f t="shared" si="200"/>
        <v>0.61219195849546049</v>
      </c>
      <c r="EC81" s="382">
        <f t="shared" si="200"/>
        <v>2.1348547717842323</v>
      </c>
      <c r="ED81" s="382">
        <f t="shared" si="200"/>
        <v>0.95063469675599443</v>
      </c>
      <c r="EE81" s="384">
        <f t="shared" si="200"/>
        <v>1.4653257653974481</v>
      </c>
      <c r="EF81" s="384">
        <f t="shared" si="200"/>
        <v>0.86423561278646988</v>
      </c>
      <c r="EG81" s="384">
        <f t="shared" si="200"/>
        <v>1.5555971398657449</v>
      </c>
      <c r="EH81" s="384">
        <f t="shared" si="200"/>
        <v>2.0392222488508649</v>
      </c>
      <c r="EI81" s="384">
        <f t="shared" si="200"/>
        <v>1.1972724870715048</v>
      </c>
      <c r="EJ81" s="384">
        <f t="shared" si="200"/>
        <v>1.407652906019174</v>
      </c>
      <c r="EK81" s="384">
        <f t="shared" si="200"/>
        <v>0.59957593557017597</v>
      </c>
      <c r="EL81" s="384">
        <f t="shared" si="200"/>
        <v>0.47354245793670646</v>
      </c>
      <c r="EM81" s="384">
        <f t="shared" si="200"/>
        <v>0.41916806627233849</v>
      </c>
      <c r="EN81" s="384">
        <f t="shared" si="200"/>
        <v>0.36432336608104499</v>
      </c>
      <c r="EO81" s="384">
        <f t="shared" si="200"/>
        <v>0.36420769969919609</v>
      </c>
      <c r="EP81" s="384">
        <f t="shared" si="200"/>
        <v>0.30702904472586123</v>
      </c>
      <c r="EQ81" s="384">
        <f t="shared" si="200"/>
        <v>0.26705359374830651</v>
      </c>
      <c r="ER81" s="384">
        <f t="shared" si="200"/>
        <v>0.24273772680545713</v>
      </c>
      <c r="ES81" s="384">
        <f t="shared" si="200"/>
        <v>0.17161596016054803</v>
      </c>
      <c r="ET81" s="384">
        <f t="shared" si="200"/>
        <v>0.13530206418846946</v>
      </c>
      <c r="EU81" s="384">
        <f t="shared" si="200"/>
        <v>0.14188676638917719</v>
      </c>
      <c r="EV81" s="384">
        <f t="shared" si="200"/>
        <v>0.17929402604731703</v>
      </c>
      <c r="EW81" s="384">
        <f t="shared" si="200"/>
        <v>0.2054549868085207</v>
      </c>
      <c r="FK81" s="386" t="s">
        <v>199</v>
      </c>
      <c r="FL81" s="382">
        <f t="shared" ref="FL81:GK81" si="201">FL79/FK79-1</f>
        <v>0.81538242134362959</v>
      </c>
      <c r="FM81" s="386" t="s">
        <v>199</v>
      </c>
      <c r="FN81" s="386" t="s">
        <v>199</v>
      </c>
      <c r="FO81" s="386" t="s">
        <v>199</v>
      </c>
      <c r="FP81" s="386" t="s">
        <v>199</v>
      </c>
      <c r="FQ81" s="382">
        <f t="shared" si="201"/>
        <v>0.24274406332453835</v>
      </c>
      <c r="FR81" s="382">
        <f t="shared" si="201"/>
        <v>4.2462845010615702E-2</v>
      </c>
      <c r="FS81" s="386" t="s">
        <v>199</v>
      </c>
      <c r="FT81" s="386" t="s">
        <v>199</v>
      </c>
      <c r="FU81" s="386" t="s">
        <v>199</v>
      </c>
      <c r="FV81" s="386" t="s">
        <v>199</v>
      </c>
      <c r="FW81" s="386" t="s">
        <v>199</v>
      </c>
      <c r="FX81" s="386" t="s">
        <v>199</v>
      </c>
      <c r="FY81" s="382">
        <f t="shared" si="201"/>
        <v>6.8372093023255811</v>
      </c>
      <c r="FZ81" s="382">
        <f t="shared" si="201"/>
        <v>1.1869436201780381E-2</v>
      </c>
      <c r="GA81" s="382">
        <f t="shared" si="201"/>
        <v>6.3020527859237534</v>
      </c>
      <c r="GB81" s="382">
        <f t="shared" si="201"/>
        <v>0.26987951807228905</v>
      </c>
      <c r="GC81" s="382">
        <f t="shared" si="201"/>
        <v>-0.58254269449715368</v>
      </c>
      <c r="GD81" s="382">
        <f t="shared" si="201"/>
        <v>-0.35303030303030303</v>
      </c>
      <c r="GE81" s="382">
        <f t="shared" si="201"/>
        <v>0.92154566744730682</v>
      </c>
      <c r="GF81" s="382">
        <f t="shared" si="201"/>
        <v>1.6416819012797075</v>
      </c>
      <c r="GG81" s="384">
        <f t="shared" si="201"/>
        <v>1.2402574884561237</v>
      </c>
      <c r="GH81" s="384">
        <f t="shared" si="201"/>
        <v>1.1297145380235887</v>
      </c>
      <c r="GI81" s="384">
        <f t="shared" si="201"/>
        <v>0.39901049512052245</v>
      </c>
      <c r="GJ81" s="384">
        <f t="shared" si="201"/>
        <v>0.24142106477087033</v>
      </c>
      <c r="GK81" s="384">
        <f t="shared" si="201"/>
        <v>0.16772462989667658</v>
      </c>
      <c r="GN81" s="70"/>
    </row>
    <row r="82" spans="1:196" s="418" customFormat="1">
      <c r="A82" s="381"/>
      <c r="C82" s="382"/>
      <c r="D82" s="382"/>
      <c r="E82" s="382"/>
      <c r="F82" s="382"/>
      <c r="G82" s="382"/>
      <c r="H82" s="382"/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2"/>
      <c r="T82" s="382"/>
      <c r="U82" s="382"/>
      <c r="V82" s="382"/>
      <c r="W82" s="382"/>
      <c r="X82" s="382"/>
      <c r="Y82" s="382"/>
      <c r="Z82" s="382"/>
      <c r="AA82" s="382"/>
      <c r="AB82" s="382"/>
      <c r="AC82" s="382"/>
      <c r="AD82" s="382"/>
      <c r="AE82" s="382"/>
      <c r="AF82" s="382"/>
      <c r="AG82" s="382"/>
      <c r="AH82" s="382"/>
      <c r="AI82" s="382"/>
      <c r="AJ82" s="382"/>
      <c r="AK82" s="382"/>
      <c r="AL82" s="382"/>
      <c r="AM82" s="382"/>
      <c r="AN82" s="382"/>
      <c r="AO82" s="382"/>
      <c r="AP82" s="382"/>
      <c r="AQ82" s="382"/>
      <c r="AR82" s="382"/>
      <c r="AS82" s="382"/>
      <c r="AT82" s="382"/>
      <c r="AU82" s="382"/>
      <c r="AV82" s="382"/>
      <c r="AW82" s="382"/>
      <c r="AX82" s="382"/>
      <c r="AY82" s="382"/>
      <c r="AZ82" s="382"/>
      <c r="BA82" s="382"/>
      <c r="BB82" s="382"/>
      <c r="BC82" s="382"/>
      <c r="BD82" s="382"/>
      <c r="BE82" s="382"/>
      <c r="BF82" s="382"/>
      <c r="BG82" s="382"/>
      <c r="BH82" s="382"/>
      <c r="BI82" s="382"/>
      <c r="BJ82" s="382"/>
      <c r="BK82" s="382"/>
      <c r="BL82" s="382"/>
      <c r="BM82" s="382"/>
      <c r="BN82" s="382"/>
      <c r="BO82" s="382"/>
      <c r="BP82" s="382"/>
      <c r="BQ82" s="382"/>
      <c r="BR82" s="382"/>
      <c r="BS82" s="382"/>
      <c r="BT82" s="382"/>
      <c r="BU82" s="382"/>
      <c r="BV82" s="382"/>
      <c r="BW82" s="382"/>
      <c r="BX82" s="382"/>
      <c r="BY82" s="382"/>
      <c r="BZ82" s="382"/>
      <c r="CA82" s="382"/>
      <c r="CB82" s="382"/>
      <c r="CC82" s="382"/>
      <c r="CD82" s="382"/>
      <c r="CE82" s="382"/>
      <c r="CF82" s="382"/>
      <c r="CG82" s="382"/>
      <c r="CH82" s="382"/>
      <c r="CI82" s="382"/>
      <c r="CJ82" s="382"/>
      <c r="CK82" s="382"/>
      <c r="CL82" s="382"/>
      <c r="CM82" s="382"/>
      <c r="CN82" s="382"/>
      <c r="CO82" s="382"/>
      <c r="CP82" s="382"/>
      <c r="CQ82" s="382"/>
      <c r="CR82" s="382"/>
      <c r="CS82" s="382"/>
      <c r="CT82" s="382"/>
      <c r="CU82" s="382"/>
      <c r="CV82" s="382"/>
      <c r="CW82" s="382"/>
      <c r="CX82" s="382"/>
      <c r="CY82" s="382"/>
      <c r="CZ82" s="382"/>
      <c r="DA82" s="382"/>
      <c r="DB82" s="382"/>
      <c r="DC82" s="382"/>
      <c r="DD82" s="382"/>
      <c r="DE82" s="382"/>
      <c r="DF82" s="382"/>
      <c r="DG82" s="382"/>
      <c r="DH82" s="382"/>
      <c r="DI82" s="382"/>
      <c r="DJ82" s="383"/>
      <c r="DK82" s="383"/>
      <c r="DL82" s="383"/>
      <c r="DM82" s="383"/>
      <c r="DN82" s="383"/>
      <c r="DO82" s="383"/>
      <c r="DP82" s="383"/>
      <c r="DQ82" s="383"/>
      <c r="DR82" s="383"/>
      <c r="DS82" s="383"/>
      <c r="DT82" s="383"/>
      <c r="DU82" s="383"/>
      <c r="DV82" s="382"/>
      <c r="DW82" s="382"/>
      <c r="DX82" s="382"/>
      <c r="DY82" s="382"/>
      <c r="DZ82" s="382"/>
      <c r="EA82" s="382"/>
      <c r="EB82" s="382"/>
      <c r="EC82" s="382"/>
      <c r="ED82" s="382"/>
      <c r="EE82" s="384"/>
      <c r="EF82" s="384"/>
      <c r="EG82" s="384"/>
      <c r="EH82" s="384"/>
      <c r="EI82" s="384"/>
      <c r="EJ82" s="384"/>
      <c r="EK82" s="384"/>
      <c r="EL82" s="384"/>
      <c r="EM82" s="384"/>
      <c r="EN82" s="384"/>
      <c r="EO82" s="384"/>
      <c r="EP82" s="384"/>
      <c r="EQ82" s="384"/>
      <c r="ER82" s="384"/>
      <c r="ES82" s="384"/>
      <c r="ET82" s="384"/>
      <c r="EU82" s="384"/>
      <c r="EV82" s="384"/>
      <c r="EW82" s="384"/>
      <c r="EZ82" s="382"/>
      <c r="FA82" s="382"/>
      <c r="FB82" s="382"/>
      <c r="FC82" s="382"/>
      <c r="FD82" s="382"/>
      <c r="FE82" s="382"/>
      <c r="FF82" s="382"/>
      <c r="FG82" s="382"/>
      <c r="FH82" s="382"/>
      <c r="FI82" s="382"/>
      <c r="FJ82" s="382"/>
      <c r="FK82" s="382"/>
      <c r="FL82" s="382"/>
      <c r="FM82" s="382"/>
      <c r="FN82" s="382"/>
      <c r="FO82" s="382"/>
      <c r="FP82" s="382"/>
      <c r="FQ82" s="382"/>
      <c r="FR82" s="382"/>
      <c r="FS82" s="382"/>
      <c r="FT82" s="382"/>
      <c r="FU82" s="382"/>
      <c r="FV82" s="382"/>
      <c r="FW82" s="382"/>
      <c r="FX82" s="382"/>
      <c r="FY82" s="382"/>
      <c r="FZ82" s="382"/>
      <c r="GA82" s="382"/>
      <c r="GB82" s="382"/>
      <c r="GC82" s="382"/>
      <c r="GD82" s="382"/>
      <c r="GE82" s="382"/>
      <c r="GF82" s="382"/>
      <c r="GG82" s="384"/>
      <c r="GH82" s="384"/>
      <c r="GI82" s="384"/>
      <c r="GJ82" s="384"/>
      <c r="GK82" s="384"/>
      <c r="GN82" s="70"/>
    </row>
    <row r="83" spans="1:196" s="376" customFormat="1">
      <c r="A83" s="376" t="s">
        <v>249</v>
      </c>
      <c r="B83" s="376">
        <f>AMD!AF58</f>
        <v>201.64</v>
      </c>
      <c r="C83" s="376">
        <f>AMD!AG58</f>
        <v>203.874</v>
      </c>
      <c r="D83" s="376">
        <f>AMD!AH58</f>
        <v>205.48599999999999</v>
      </c>
      <c r="E83" s="376">
        <f>AMD!AI58</f>
        <v>204.126</v>
      </c>
      <c r="F83" s="376">
        <f>AMD!AK58</f>
        <v>207.34</v>
      </c>
      <c r="G83" s="376">
        <f>AMD!AL58</f>
        <v>208.49799999999999</v>
      </c>
      <c r="H83" s="376">
        <f>AMD!AM58</f>
        <v>209.744</v>
      </c>
      <c r="I83" s="376">
        <f>AMD!AN58</f>
        <v>191.88564199999999</v>
      </c>
      <c r="J83" s="376">
        <f>AMD!AP58</f>
        <v>213.434</v>
      </c>
      <c r="K83" s="376">
        <f>AMD!AQ58</f>
        <v>214.63800000000001</v>
      </c>
      <c r="L83" s="376">
        <f>AMD!AR58</f>
        <v>214.63800000000001</v>
      </c>
      <c r="M83" s="376">
        <f>AMD!AS58</f>
        <v>213.59800000000001</v>
      </c>
      <c r="N83" s="376">
        <f>AMD!AU58</f>
        <v>276.798</v>
      </c>
      <c r="O83" s="376">
        <f>AMD!AV58</f>
        <v>270.53199999999998</v>
      </c>
      <c r="P83" s="376">
        <f>AMD!AW58</f>
        <v>272.16399999999999</v>
      </c>
      <c r="Q83" s="376">
        <f>AMD!AX58</f>
        <v>275.27800000000002</v>
      </c>
      <c r="R83" s="376">
        <f>AMD!AZ58</f>
        <v>294.64400000000001</v>
      </c>
      <c r="S83" s="376">
        <f>AMD!BA58</f>
        <v>295.83800000000002</v>
      </c>
      <c r="T83" s="376">
        <f>AMD!BB58</f>
        <v>283.45999999999998</v>
      </c>
      <c r="U83" s="376">
        <f>AMD!BC58</f>
        <v>283.77800000000002</v>
      </c>
      <c r="V83" s="376">
        <f>AMD!BE58</f>
        <v>285.00599999999997</v>
      </c>
      <c r="W83" s="376">
        <f>AMD!BF58</f>
        <v>286.92399999999998</v>
      </c>
      <c r="X83" s="376">
        <f>AMD!BG58</f>
        <v>293.28399999999999</v>
      </c>
      <c r="Y83" s="376">
        <f>AMD!BH58</f>
        <v>299.89800000000002</v>
      </c>
      <c r="Z83" s="376">
        <f>AMD!BJ58</f>
        <v>291.81799999999998</v>
      </c>
      <c r="AA83" s="376">
        <f>AMD!BK58</f>
        <v>299.08</v>
      </c>
      <c r="AB83" s="376">
        <f>AMD!BL58</f>
        <v>294.77600000000001</v>
      </c>
      <c r="AC83" s="376">
        <f>AMD!BM58</f>
        <v>305.5</v>
      </c>
      <c r="AD83" s="376">
        <f>AMD!BO58</f>
        <v>343.88400000000001</v>
      </c>
      <c r="AE83" s="376">
        <f>AMD!BP58</f>
        <v>352.43599999999998</v>
      </c>
      <c r="AF83" s="376">
        <f>AMD!BQ58</f>
        <v>352.89299999999997</v>
      </c>
      <c r="AG83" s="376">
        <f>AMD!BR58</f>
        <v>349.78199999999998</v>
      </c>
      <c r="AH83" s="376">
        <f>AMD!BT58</f>
        <v>351.78500000000003</v>
      </c>
      <c r="AI83" s="376">
        <f>AMD!BU58</f>
        <v>340.53300000000002</v>
      </c>
      <c r="AJ83" s="376">
        <f>AMD!BV58</f>
        <v>345.04399999999998</v>
      </c>
      <c r="AK83" s="376">
        <f>AMD!BW58</f>
        <v>340.11900000000003</v>
      </c>
      <c r="AL83" s="376">
        <f>AMD!BY58</f>
        <v>340.80599999999998</v>
      </c>
      <c r="AM83" s="376">
        <f>AMD!BZ58</f>
        <v>341.78199999999998</v>
      </c>
      <c r="AN83" s="376">
        <f>AMD!CA58</f>
        <v>342.78</v>
      </c>
      <c r="AO83" s="376">
        <f>AMD!CB58</f>
        <v>343.94900000000001</v>
      </c>
      <c r="AP83" s="376">
        <f>AMD!CD58</f>
        <v>345.012</v>
      </c>
      <c r="AQ83" s="376">
        <f>AMD!CE58</f>
        <v>346.32</v>
      </c>
      <c r="AR83" s="376">
        <f>AMD!CF58</f>
        <v>347.334</v>
      </c>
      <c r="AS83" s="376">
        <f>AMD!CG58</f>
        <v>416.19</v>
      </c>
      <c r="AT83" s="376">
        <f>AMD!CI58</f>
        <v>417.76299999999998</v>
      </c>
      <c r="AU83" s="376">
        <f>AMD!CJ58</f>
        <v>420.053</v>
      </c>
      <c r="AV83" s="376">
        <f>AMD!CK58</f>
        <v>417.57600000000002</v>
      </c>
      <c r="AW83" s="376">
        <f>AMD!CL58</f>
        <v>375.30799999999999</v>
      </c>
      <c r="AX83" s="376">
        <f>AMD!CN58</f>
        <v>393.077</v>
      </c>
      <c r="AY83" s="376">
        <f>AMD!CO58</f>
        <v>405.73899999999998</v>
      </c>
      <c r="AZ83" s="376">
        <f>AMD!CP58</f>
        <v>443.68099999999998</v>
      </c>
      <c r="BA83" s="376">
        <f>AMD!CQ58</f>
        <v>452.32299999999998</v>
      </c>
      <c r="BB83" s="376">
        <f>AMD!CS58</f>
        <v>495.32600000000002</v>
      </c>
      <c r="BC83" s="376">
        <f>AMD!CT58</f>
        <v>500.17599999999999</v>
      </c>
      <c r="BD83" s="376">
        <f>AMD!CU58</f>
        <v>496.77199999999999</v>
      </c>
      <c r="BE83" s="376">
        <f>AMD!CV58</f>
        <v>531</v>
      </c>
      <c r="BF83" s="376">
        <f>AMD!CX58</f>
        <v>549</v>
      </c>
      <c r="BG83" s="376">
        <f>AMD!CY58</f>
        <v>552</v>
      </c>
      <c r="BH83" s="376">
        <f>AMD!CZ58</f>
        <v>554</v>
      </c>
      <c r="BI83" s="376">
        <f>AMD!DA58</f>
        <v>579</v>
      </c>
      <c r="BJ83" s="376">
        <f>AMD!DC58</f>
        <v>606</v>
      </c>
      <c r="BK83" s="376">
        <f>AMD!DD58</f>
        <v>607</v>
      </c>
      <c r="BL83" s="376">
        <f>AMD!DE58</f>
        <v>608</v>
      </c>
      <c r="BM83" s="376">
        <f>AMD!DF58</f>
        <v>609</v>
      </c>
      <c r="BN83" s="376">
        <f>AMD!DH58</f>
        <v>626</v>
      </c>
      <c r="BO83" s="376">
        <f>AMD!DI58</f>
        <v>667</v>
      </c>
      <c r="BP83" s="376">
        <f>AMD!DJ58</f>
        <v>694</v>
      </c>
      <c r="BQ83" s="376">
        <f>AMD!DK58</f>
        <v>791</v>
      </c>
      <c r="BR83" s="376">
        <f>AMD!DM58</f>
        <v>754</v>
      </c>
      <c r="BS83" s="376">
        <f>AMD!DN58</f>
        <v>709</v>
      </c>
      <c r="BT83" s="376">
        <f>AMD!DO58</f>
        <v>713</v>
      </c>
      <c r="BU83" s="376">
        <f>AMD!DP58</f>
        <v>758</v>
      </c>
      <c r="BV83" s="376">
        <f>AMD!DR58</f>
        <v>764</v>
      </c>
      <c r="BW83" s="376">
        <f>AMD!DS58</f>
        <v>743</v>
      </c>
      <c r="BX83" s="376">
        <f>AMD!DT58</f>
        <v>741</v>
      </c>
      <c r="BY83" s="376">
        <f>AMD!DU58</f>
        <v>732</v>
      </c>
      <c r="BZ83" s="376">
        <f>AMD!DW58</f>
        <v>734</v>
      </c>
      <c r="CA83" s="376">
        <f>AMD!DX58</f>
        <v>755</v>
      </c>
      <c r="CB83" s="376">
        <f>AMD!DY58</f>
        <v>745</v>
      </c>
      <c r="CC83" s="376">
        <f>AMD!DZ58</f>
        <v>747</v>
      </c>
      <c r="CD83" s="376">
        <f>AMD!EB58</f>
        <v>749</v>
      </c>
      <c r="CE83" s="376">
        <f>AMD!EC58</f>
        <v>752</v>
      </c>
      <c r="CF83" s="376">
        <f>AMD!ED58</f>
        <v>764</v>
      </c>
      <c r="CG83" s="376">
        <f>AMD!EE58</f>
        <v>766</v>
      </c>
      <c r="CH83" s="376">
        <f>AMD!EG58</f>
        <v>761</v>
      </c>
      <c r="CI83" s="376">
        <f>AMD!EH58</f>
        <v>764</v>
      </c>
      <c r="CJ83" s="376">
        <f>AMD!EI58</f>
        <v>785</v>
      </c>
      <c r="CK83" s="376">
        <f>AMD!EJ58</f>
        <v>781</v>
      </c>
      <c r="CL83" s="376">
        <f>AMD!EL58</f>
        <v>777</v>
      </c>
      <c r="CM83" s="376">
        <f>AMD!EM58</f>
        <v>778</v>
      </c>
      <c r="CN83" s="376">
        <f>AMD!EN58</f>
        <v>785</v>
      </c>
      <c r="CO83" s="376">
        <f>AMD!EO58</f>
        <v>791</v>
      </c>
      <c r="CP83" s="376">
        <f>AMD!EQ58</f>
        <v>793</v>
      </c>
      <c r="CQ83" s="376">
        <f>AMD!ER58</f>
        <v>821</v>
      </c>
      <c r="CR83" s="376">
        <f>AMD!ES58</f>
        <v>815</v>
      </c>
      <c r="CS83" s="376">
        <f>AMD!ET58</f>
        <v>931</v>
      </c>
      <c r="CT83" s="376">
        <f>AMD!EV58</f>
        <v>939</v>
      </c>
      <c r="CU83" s="376">
        <f>AMD!EW59</f>
        <v>1036</v>
      </c>
      <c r="CV83" s="376">
        <f>AMD!EX59</f>
        <v>1042</v>
      </c>
      <c r="CW83" s="376">
        <f>AMD!EY59</f>
        <v>1037</v>
      </c>
      <c r="CX83" s="376">
        <f>AMD!FA59</f>
        <v>1039</v>
      </c>
      <c r="CY83" s="376">
        <f>AMD!FB59</f>
        <v>1046</v>
      </c>
      <c r="CZ83" s="376">
        <f>AMD!FC59</f>
        <v>1076</v>
      </c>
      <c r="DA83" s="376">
        <f>AMD!FD59</f>
        <v>1079</v>
      </c>
      <c r="DB83" s="376">
        <f>AMD!FF59</f>
        <v>1094</v>
      </c>
      <c r="DC83" s="376">
        <f>AMD!FG59</f>
        <v>1109</v>
      </c>
      <c r="DD83" s="376">
        <f>AMD!FH59</f>
        <v>1117</v>
      </c>
      <c r="DE83" s="376">
        <f>AMD!FI59</f>
        <v>1188</v>
      </c>
      <c r="DF83" s="376">
        <f>AMD!FK59</f>
        <v>1224</v>
      </c>
      <c r="DG83" s="376">
        <f>AMD!FL59</f>
        <v>1227</v>
      </c>
      <c r="DH83" s="376">
        <f>AMD!FM59</f>
        <v>1215</v>
      </c>
      <c r="DI83" s="376">
        <f>AMD!FN59</f>
        <v>1226</v>
      </c>
      <c r="DJ83" s="397">
        <f>AMD!FP59</f>
        <v>1231</v>
      </c>
      <c r="DK83" s="397">
        <f>AMD!FQ59</f>
        <v>1232</v>
      </c>
      <c r="DL83" s="397">
        <f>AMD!FR59</f>
        <v>1230</v>
      </c>
      <c r="DM83" s="397">
        <f>AMD!FS59</f>
        <v>1222</v>
      </c>
      <c r="DN83" s="397">
        <f>AMD!FU59</f>
        <v>1410</v>
      </c>
      <c r="DO83" s="397">
        <f>AMD!FV59</f>
        <v>1632</v>
      </c>
      <c r="DP83" s="397">
        <f>AMD!FW59</f>
        <v>1625</v>
      </c>
      <c r="DQ83" s="397">
        <f>AMD!FX59</f>
        <v>1618</v>
      </c>
      <c r="DR83" s="397">
        <f>AMD!FZ59</f>
        <v>1611</v>
      </c>
      <c r="DS83" s="397">
        <f>AMD!GA59</f>
        <v>1627</v>
      </c>
      <c r="DT83" s="397">
        <f>AMD!GB59</f>
        <v>1629</v>
      </c>
      <c r="DU83" s="397">
        <f>AMD!GC59</f>
        <v>1628</v>
      </c>
      <c r="DV83" s="376">
        <f>AMD!GE59</f>
        <v>1639</v>
      </c>
      <c r="DW83" s="376">
        <f>AMD!GF59</f>
        <v>1637</v>
      </c>
      <c r="DX83" s="376">
        <f>AMD!GG59</f>
        <v>1636</v>
      </c>
      <c r="DY83" s="376">
        <f>AMD!GH59</f>
        <v>1634</v>
      </c>
      <c r="DZ83" s="376">
        <f>AMD!GJ59</f>
        <v>1626</v>
      </c>
      <c r="EA83" s="376">
        <f>AMD!GK59</f>
        <v>1630</v>
      </c>
      <c r="EB83" s="376">
        <f>AMD!GL59</f>
        <v>1641</v>
      </c>
      <c r="EC83" s="376">
        <f>AMD!GM59</f>
        <v>1649</v>
      </c>
      <c r="ED83" s="376">
        <f>AMD!GO59</f>
        <v>1650</v>
      </c>
      <c r="EE83" s="380">
        <f>AMD!GP59</f>
        <v>1660</v>
      </c>
      <c r="EF83" s="380">
        <f>AMD!GQ59</f>
        <v>1660.4333565714285</v>
      </c>
      <c r="EG83" s="380">
        <f>AMD!GR59</f>
        <v>1667.5623326552382</v>
      </c>
      <c r="EH83" s="380">
        <f>AMD!GT59</f>
        <v>1676.5151182628572</v>
      </c>
      <c r="EI83" s="380">
        <f>AMD!GU59</f>
        <v>1686.2593405350094</v>
      </c>
      <c r="EJ83" s="380">
        <f>AMD!GV59</f>
        <v>1698.7003520145097</v>
      </c>
      <c r="EK83" s="380">
        <f>AMD!GW59</f>
        <v>1712.6958980093141</v>
      </c>
      <c r="EL83" s="380">
        <f>AMD!GY59</f>
        <v>1725.5485868612614</v>
      </c>
      <c r="EM83" s="380">
        <f>AMD!GZ59</f>
        <v>1739.1183294902476</v>
      </c>
      <c r="EN83" s="380">
        <f>AMD!HA59</f>
        <v>1752.720038400385</v>
      </c>
      <c r="EO83" s="380">
        <f>AMD!HB59</f>
        <v>1768.0686386315824</v>
      </c>
      <c r="EP83" s="380">
        <f>AMD!HD59</f>
        <v>1786.0042518497928</v>
      </c>
      <c r="EQ83" s="380">
        <f>AMD!HE59</f>
        <v>1803.9731227869127</v>
      </c>
      <c r="ER83" s="380">
        <f>AMD!HF59</f>
        <v>1823.3611979826019</v>
      </c>
      <c r="ES83" s="380">
        <f>AMD!HG59</f>
        <v>1843.4765152016853</v>
      </c>
      <c r="ET83" s="380">
        <f>AMD!HI59</f>
        <v>1868.7173735463098</v>
      </c>
      <c r="EU83" s="380">
        <f>AMD!HJ59</f>
        <v>1893.9935252483031</v>
      </c>
      <c r="EV83" s="380">
        <f>AMD!HK59</f>
        <v>1919.3056761748123</v>
      </c>
      <c r="EW83" s="380">
        <f>AMD!HL59</f>
        <v>1946.9402605960424</v>
      </c>
      <c r="EZ83" s="376">
        <f>E83</f>
        <v>204.126</v>
      </c>
      <c r="FA83" s="376">
        <f>I83</f>
        <v>191.88564199999999</v>
      </c>
      <c r="FB83" s="376">
        <f>M83</f>
        <v>213.59800000000001</v>
      </c>
      <c r="FC83" s="376">
        <f>Q83</f>
        <v>275.27800000000002</v>
      </c>
      <c r="FD83" s="376">
        <f>U83</f>
        <v>283.77800000000002</v>
      </c>
      <c r="FE83" s="376">
        <f>Y83</f>
        <v>299.89800000000002</v>
      </c>
      <c r="FF83" s="376">
        <f>AC83</f>
        <v>305.5</v>
      </c>
      <c r="FG83" s="376">
        <f>AG83</f>
        <v>349.78199999999998</v>
      </c>
      <c r="FH83" s="376">
        <f>AK83</f>
        <v>340.11900000000003</v>
      </c>
      <c r="FI83" s="376">
        <f>AO83</f>
        <v>343.94900000000001</v>
      </c>
      <c r="FJ83" s="376">
        <f>AS83</f>
        <v>416.19</v>
      </c>
      <c r="FK83" s="376">
        <f>AW83</f>
        <v>375.30799999999999</v>
      </c>
      <c r="FL83" s="376">
        <f>BA83</f>
        <v>452.32299999999998</v>
      </c>
      <c r="FM83" s="376">
        <f>BE83</f>
        <v>531</v>
      </c>
      <c r="FN83" s="376">
        <f>BI83</f>
        <v>579</v>
      </c>
      <c r="FO83" s="376">
        <f>BM83</f>
        <v>609</v>
      </c>
      <c r="FP83" s="376">
        <f>BQ83</f>
        <v>791</v>
      </c>
      <c r="FQ83" s="376">
        <f>BU83</f>
        <v>758</v>
      </c>
      <c r="FR83" s="376">
        <f>BY83</f>
        <v>732</v>
      </c>
      <c r="FS83" s="376">
        <f>CC83</f>
        <v>747</v>
      </c>
      <c r="FT83" s="376">
        <f>CG83</f>
        <v>766</v>
      </c>
      <c r="FU83" s="376">
        <f>CK83</f>
        <v>781</v>
      </c>
      <c r="FV83" s="376">
        <f>CO83</f>
        <v>791</v>
      </c>
      <c r="FW83" s="376">
        <f>CS83</f>
        <v>931</v>
      </c>
      <c r="FX83" s="376">
        <f>CW83</f>
        <v>1037</v>
      </c>
      <c r="FY83" s="376">
        <f>DA83</f>
        <v>1079</v>
      </c>
      <c r="FZ83" s="376">
        <f>DE83</f>
        <v>1188</v>
      </c>
      <c r="GA83" s="376">
        <f>DI83</f>
        <v>1226</v>
      </c>
      <c r="GB83" s="376">
        <f>DM83</f>
        <v>1222</v>
      </c>
      <c r="GC83" s="376">
        <f>+DQ83</f>
        <v>1618</v>
      </c>
      <c r="GD83" s="376">
        <f>+DU83</f>
        <v>1628</v>
      </c>
      <c r="GE83" s="376">
        <f>+DY83</f>
        <v>1634</v>
      </c>
      <c r="GF83" s="376">
        <f>+EC83</f>
        <v>1649</v>
      </c>
      <c r="GG83" s="380">
        <f>+EG83</f>
        <v>1667.5623326552382</v>
      </c>
      <c r="GH83" s="380">
        <f>+EK83</f>
        <v>1712.6958980093141</v>
      </c>
      <c r="GI83" s="380">
        <f>EO83</f>
        <v>1768.0686386315824</v>
      </c>
      <c r="GJ83" s="380">
        <f>ES83</f>
        <v>1843.4765152016853</v>
      </c>
      <c r="GK83" s="380">
        <f>EW83</f>
        <v>1946.9402605960424</v>
      </c>
      <c r="GN83" s="70"/>
    </row>
    <row r="84" spans="1:196" s="382" customFormat="1">
      <c r="A84" s="381" t="s">
        <v>198</v>
      </c>
      <c r="C84" s="382">
        <f t="shared" ref="C84:BN84" si="202">C83/B83-1</f>
        <v>1.1079150962110651E-2</v>
      </c>
      <c r="D84" s="382">
        <f t="shared" si="202"/>
        <v>7.9068444235164126E-3</v>
      </c>
      <c r="E84" s="382">
        <f t="shared" si="202"/>
        <v>-6.6184557585431403E-3</v>
      </c>
      <c r="F84" s="382">
        <f t="shared" si="202"/>
        <v>1.5745176998520405E-2</v>
      </c>
      <c r="G84" s="382">
        <f t="shared" si="202"/>
        <v>5.5850294202757222E-3</v>
      </c>
      <c r="H84" s="382">
        <f t="shared" si="202"/>
        <v>5.9760765091272372E-3</v>
      </c>
      <c r="I84" s="382">
        <f t="shared" si="202"/>
        <v>-8.5143594095659525E-2</v>
      </c>
      <c r="J84" s="382">
        <f t="shared" si="202"/>
        <v>0.11229791752735729</v>
      </c>
      <c r="K84" s="382">
        <f t="shared" si="202"/>
        <v>5.6410881115473988E-3</v>
      </c>
      <c r="L84" s="382">
        <f t="shared" si="202"/>
        <v>0</v>
      </c>
      <c r="M84" s="382">
        <f t="shared" si="202"/>
        <v>-4.845367549082602E-3</v>
      </c>
      <c r="N84" s="382">
        <f t="shared" si="202"/>
        <v>0.29588292025206231</v>
      </c>
      <c r="O84" s="382">
        <f t="shared" si="202"/>
        <v>-2.263744680236135E-2</v>
      </c>
      <c r="P84" s="382">
        <f t="shared" si="202"/>
        <v>6.0325580707643045E-3</v>
      </c>
      <c r="Q84" s="382">
        <f t="shared" si="202"/>
        <v>1.144163078144067E-2</v>
      </c>
      <c r="R84" s="382">
        <f t="shared" si="202"/>
        <v>7.0350700019616408E-2</v>
      </c>
      <c r="S84" s="382">
        <f t="shared" si="202"/>
        <v>4.0523479181657773E-3</v>
      </c>
      <c r="T84" s="382">
        <f t="shared" si="202"/>
        <v>-4.1840466741933202E-2</v>
      </c>
      <c r="U84" s="382">
        <f t="shared" si="202"/>
        <v>1.1218514076061226E-3</v>
      </c>
      <c r="V84" s="382">
        <f t="shared" si="202"/>
        <v>4.3273262902689957E-3</v>
      </c>
      <c r="W84" s="382">
        <f t="shared" si="202"/>
        <v>6.7296828838692146E-3</v>
      </c>
      <c r="X84" s="382">
        <f t="shared" si="202"/>
        <v>2.2166148527136054E-2</v>
      </c>
      <c r="Y84" s="382">
        <f t="shared" si="202"/>
        <v>2.2551520028368577E-2</v>
      </c>
      <c r="Z84" s="382">
        <f t="shared" si="202"/>
        <v>-2.6942493781219046E-2</v>
      </c>
      <c r="AA84" s="382">
        <f t="shared" si="202"/>
        <v>2.4885373760357377E-2</v>
      </c>
      <c r="AB84" s="382">
        <f t="shared" si="202"/>
        <v>-1.4390798448575493E-2</v>
      </c>
      <c r="AC84" s="382">
        <f t="shared" si="202"/>
        <v>3.6380166635004096E-2</v>
      </c>
      <c r="AD84" s="382">
        <f t="shared" si="202"/>
        <v>0.12564320785597394</v>
      </c>
      <c r="AE84" s="382">
        <f t="shared" si="202"/>
        <v>2.4868851124216107E-2</v>
      </c>
      <c r="AF84" s="382">
        <f t="shared" si="202"/>
        <v>1.2966893279915404E-3</v>
      </c>
      <c r="AG84" s="382">
        <f t="shared" si="202"/>
        <v>-8.8157033435063425E-3</v>
      </c>
      <c r="AH84" s="382">
        <f t="shared" si="202"/>
        <v>5.7264238868781625E-3</v>
      </c>
      <c r="AI84" s="382">
        <f t="shared" si="202"/>
        <v>-3.1985445655727252E-2</v>
      </c>
      <c r="AJ84" s="382">
        <f t="shared" si="202"/>
        <v>1.3246880625372492E-2</v>
      </c>
      <c r="AK84" s="382">
        <f t="shared" si="202"/>
        <v>-1.4273541925087674E-2</v>
      </c>
      <c r="AL84" s="382">
        <f t="shared" si="202"/>
        <v>2.0198812768470464E-3</v>
      </c>
      <c r="AM84" s="382">
        <f t="shared" si="202"/>
        <v>2.863799346255691E-3</v>
      </c>
      <c r="AN84" s="382">
        <f t="shared" si="202"/>
        <v>2.9199899351048941E-3</v>
      </c>
      <c r="AO84" s="382">
        <f t="shared" si="202"/>
        <v>3.4103506622324975E-3</v>
      </c>
      <c r="AP84" s="382">
        <f t="shared" si="202"/>
        <v>3.0905744747040664E-3</v>
      </c>
      <c r="AQ84" s="382">
        <f t="shared" si="202"/>
        <v>3.7911724809571723E-3</v>
      </c>
      <c r="AR84" s="382">
        <f t="shared" si="202"/>
        <v>2.9279279279279535E-3</v>
      </c>
      <c r="AS84" s="382">
        <f t="shared" si="202"/>
        <v>0.19824146210851801</v>
      </c>
      <c r="AT84" s="382">
        <f t="shared" si="202"/>
        <v>3.7795237751987454E-3</v>
      </c>
      <c r="AU84" s="382">
        <f t="shared" si="202"/>
        <v>5.4815768749267857E-3</v>
      </c>
      <c r="AV84" s="382">
        <f t="shared" si="202"/>
        <v>-5.8968749181650404E-3</v>
      </c>
      <c r="AW84" s="382">
        <f t="shared" si="202"/>
        <v>-0.1012222924689159</v>
      </c>
      <c r="AX84" s="382">
        <f t="shared" si="202"/>
        <v>4.7345113879800005E-2</v>
      </c>
      <c r="AY84" s="382">
        <f t="shared" si="202"/>
        <v>3.2212518158019954E-2</v>
      </c>
      <c r="AZ84" s="382">
        <f t="shared" si="202"/>
        <v>9.3513317674662755E-2</v>
      </c>
      <c r="BA84" s="382">
        <f t="shared" si="202"/>
        <v>1.9477958262805961E-2</v>
      </c>
      <c r="BB84" s="382">
        <f t="shared" si="202"/>
        <v>9.5071442310030729E-2</v>
      </c>
      <c r="BC84" s="382">
        <f t="shared" si="202"/>
        <v>9.791531233975137E-3</v>
      </c>
      <c r="BD84" s="382">
        <f t="shared" si="202"/>
        <v>-6.8056044272416516E-3</v>
      </c>
      <c r="BE84" s="382">
        <f t="shared" si="202"/>
        <v>6.8900823717922943E-2</v>
      </c>
      <c r="BF84" s="382">
        <f t="shared" si="202"/>
        <v>3.3898305084745672E-2</v>
      </c>
      <c r="BG84" s="382">
        <f t="shared" si="202"/>
        <v>5.464480874316946E-3</v>
      </c>
      <c r="BH84" s="382">
        <f t="shared" si="202"/>
        <v>3.6231884057971175E-3</v>
      </c>
      <c r="BI84" s="382">
        <f t="shared" si="202"/>
        <v>4.5126353790613694E-2</v>
      </c>
      <c r="BJ84" s="382">
        <f t="shared" si="202"/>
        <v>4.663212435233155E-2</v>
      </c>
      <c r="BK84" s="382">
        <f t="shared" si="202"/>
        <v>1.6501650165017256E-3</v>
      </c>
      <c r="BL84" s="382">
        <f t="shared" si="202"/>
        <v>1.6474464579900872E-3</v>
      </c>
      <c r="BM84" s="382">
        <f t="shared" si="202"/>
        <v>1.6447368421053099E-3</v>
      </c>
      <c r="BN84" s="382">
        <f t="shared" si="202"/>
        <v>2.791461412151075E-2</v>
      </c>
      <c r="BO84" s="382">
        <f t="shared" ref="BO84:DZ84" si="203">BO83/BN83-1</f>
        <v>6.5495207667731536E-2</v>
      </c>
      <c r="BP84" s="382">
        <f t="shared" si="203"/>
        <v>4.0479760119940034E-2</v>
      </c>
      <c r="BQ84" s="382">
        <f t="shared" si="203"/>
        <v>0.13976945244956762</v>
      </c>
      <c r="BR84" s="382">
        <f t="shared" si="203"/>
        <v>-4.6776232616940527E-2</v>
      </c>
      <c r="BS84" s="382">
        <f t="shared" si="203"/>
        <v>-5.9681697612732121E-2</v>
      </c>
      <c r="BT84" s="382">
        <f t="shared" si="203"/>
        <v>5.6417489421720646E-3</v>
      </c>
      <c r="BU84" s="382">
        <f t="shared" si="203"/>
        <v>6.3113604488078456E-2</v>
      </c>
      <c r="BV84" s="382">
        <f t="shared" si="203"/>
        <v>7.9155672823219003E-3</v>
      </c>
      <c r="BW84" s="382">
        <f t="shared" si="203"/>
        <v>-2.7486910994764413E-2</v>
      </c>
      <c r="BX84" s="382">
        <f t="shared" si="203"/>
        <v>-2.6917900403768957E-3</v>
      </c>
      <c r="BY84" s="382">
        <f t="shared" si="203"/>
        <v>-1.2145748987854255E-2</v>
      </c>
      <c r="BZ84" s="382">
        <f t="shared" si="203"/>
        <v>2.732240437158362E-3</v>
      </c>
      <c r="CA84" s="382">
        <f t="shared" si="203"/>
        <v>2.8610354223433276E-2</v>
      </c>
      <c r="CB84" s="382">
        <f t="shared" si="203"/>
        <v>-1.3245033112582738E-2</v>
      </c>
      <c r="CC84" s="382">
        <f t="shared" si="203"/>
        <v>2.6845637583892135E-3</v>
      </c>
      <c r="CD84" s="382">
        <f t="shared" si="203"/>
        <v>2.6773761713521083E-3</v>
      </c>
      <c r="CE84" s="382">
        <f t="shared" si="203"/>
        <v>4.0053404539386328E-3</v>
      </c>
      <c r="CF84" s="382">
        <f t="shared" si="203"/>
        <v>1.5957446808510634E-2</v>
      </c>
      <c r="CG84" s="382">
        <f t="shared" si="203"/>
        <v>2.6178010471205049E-3</v>
      </c>
      <c r="CH84" s="382">
        <f t="shared" si="203"/>
        <v>-6.5274151436031103E-3</v>
      </c>
      <c r="CI84" s="382">
        <f t="shared" si="203"/>
        <v>3.9421813403417438E-3</v>
      </c>
      <c r="CJ84" s="382">
        <f t="shared" si="203"/>
        <v>2.7486910994764413E-2</v>
      </c>
      <c r="CK84" s="382">
        <f t="shared" si="203"/>
        <v>-5.0955414012738842E-3</v>
      </c>
      <c r="CL84" s="382">
        <f t="shared" si="203"/>
        <v>-5.1216389244558291E-3</v>
      </c>
      <c r="CM84" s="382">
        <f t="shared" si="203"/>
        <v>1.2870012870012104E-3</v>
      </c>
      <c r="CN84" s="382">
        <f t="shared" si="203"/>
        <v>8.9974293059125188E-3</v>
      </c>
      <c r="CO84" s="382">
        <f t="shared" si="203"/>
        <v>7.6433121019108263E-3</v>
      </c>
      <c r="CP84" s="382">
        <f t="shared" si="203"/>
        <v>2.5284450063212116E-3</v>
      </c>
      <c r="CQ84" s="382">
        <f t="shared" si="203"/>
        <v>3.5308953341740335E-2</v>
      </c>
      <c r="CR84" s="382">
        <f t="shared" si="203"/>
        <v>-7.3081607795371095E-3</v>
      </c>
      <c r="CS84" s="382">
        <f t="shared" si="203"/>
        <v>0.14233128834355835</v>
      </c>
      <c r="CT84" s="382">
        <f t="shared" si="203"/>
        <v>8.5929108485498507E-3</v>
      </c>
      <c r="CU84" s="382">
        <f t="shared" si="203"/>
        <v>0.10330138445154424</v>
      </c>
      <c r="CV84" s="382">
        <f t="shared" si="203"/>
        <v>5.791505791505891E-3</v>
      </c>
      <c r="CW84" s="382">
        <f t="shared" si="203"/>
        <v>-4.7984644913627861E-3</v>
      </c>
      <c r="CX84" s="382">
        <f t="shared" si="203"/>
        <v>1.9286403085825299E-3</v>
      </c>
      <c r="CY84" s="382">
        <f t="shared" si="203"/>
        <v>6.7372473532243404E-3</v>
      </c>
      <c r="CZ84" s="382">
        <f t="shared" si="203"/>
        <v>2.8680688336520044E-2</v>
      </c>
      <c r="DA84" s="382">
        <f t="shared" si="203"/>
        <v>2.7881040892192566E-3</v>
      </c>
      <c r="DB84" s="382">
        <f t="shared" si="203"/>
        <v>1.3901760889712733E-2</v>
      </c>
      <c r="DC84" s="382">
        <f t="shared" si="203"/>
        <v>1.3711151736745864E-2</v>
      </c>
      <c r="DD84" s="382">
        <f t="shared" si="203"/>
        <v>7.2137060414787513E-3</v>
      </c>
      <c r="DE84" s="382">
        <f t="shared" si="203"/>
        <v>6.3563115487914157E-2</v>
      </c>
      <c r="DF84" s="382">
        <f t="shared" si="203"/>
        <v>3.0303030303030276E-2</v>
      </c>
      <c r="DG84" s="382">
        <f t="shared" si="203"/>
        <v>2.450980392156854E-3</v>
      </c>
      <c r="DH84" s="382">
        <f t="shared" si="203"/>
        <v>-9.7799511002445438E-3</v>
      </c>
      <c r="DI84" s="382">
        <f t="shared" si="203"/>
        <v>9.0534979423868567E-3</v>
      </c>
      <c r="DJ84" s="383">
        <f t="shared" si="203"/>
        <v>4.0783034257749762E-3</v>
      </c>
      <c r="DK84" s="383">
        <f t="shared" si="203"/>
        <v>8.1234768480920039E-4</v>
      </c>
      <c r="DL84" s="383">
        <f t="shared" si="203"/>
        <v>-1.6233766233766378E-3</v>
      </c>
      <c r="DM84" s="383">
        <f t="shared" si="203"/>
        <v>-6.5040650406503753E-3</v>
      </c>
      <c r="DN84" s="383">
        <f t="shared" si="203"/>
        <v>0.15384615384615374</v>
      </c>
      <c r="DO84" s="383">
        <f t="shared" si="203"/>
        <v>0.15744680851063819</v>
      </c>
      <c r="DP84" s="383">
        <f t="shared" si="203"/>
        <v>-4.2892156862744946E-3</v>
      </c>
      <c r="DQ84" s="383">
        <f t="shared" si="203"/>
        <v>-4.3076923076923457E-3</v>
      </c>
      <c r="DR84" s="383">
        <f t="shared" si="203"/>
        <v>-4.3263288009888212E-3</v>
      </c>
      <c r="DS84" s="383">
        <f t="shared" si="203"/>
        <v>9.9317194289261224E-3</v>
      </c>
      <c r="DT84" s="383">
        <f t="shared" si="203"/>
        <v>1.2292562999385304E-3</v>
      </c>
      <c r="DU84" s="383">
        <f t="shared" si="203"/>
        <v>-6.1387354205033606E-4</v>
      </c>
      <c r="DV84" s="382">
        <f t="shared" si="203"/>
        <v>6.7567567567567988E-3</v>
      </c>
      <c r="DW84" s="382">
        <f t="shared" si="203"/>
        <v>-1.2202562538132788E-3</v>
      </c>
      <c r="DX84" s="382">
        <f t="shared" si="203"/>
        <v>-6.108735491753281E-4</v>
      </c>
      <c r="DY84" s="382">
        <f t="shared" si="203"/>
        <v>-1.2224938875305957E-3</v>
      </c>
      <c r="DZ84" s="382">
        <f t="shared" si="203"/>
        <v>-4.8959608323133619E-3</v>
      </c>
      <c r="EA84" s="382">
        <f t="shared" ref="EA84:EW84" si="204">EA83/DZ83-1</f>
        <v>2.4600246002459691E-3</v>
      </c>
      <c r="EB84" s="382">
        <f t="shared" si="204"/>
        <v>6.7484662576686727E-3</v>
      </c>
      <c r="EC84" s="382">
        <f t="shared" si="204"/>
        <v>4.8750761730651515E-3</v>
      </c>
      <c r="ED84" s="382">
        <f t="shared" si="204"/>
        <v>6.0642813826561337E-4</v>
      </c>
      <c r="EE84" s="384">
        <f t="shared" si="204"/>
        <v>6.0606060606060996E-3</v>
      </c>
      <c r="EF84" s="384">
        <f t="shared" si="204"/>
        <v>2.6105817555932553E-4</v>
      </c>
      <c r="EG84" s="384">
        <f t="shared" si="204"/>
        <v>4.2934430674954616E-3</v>
      </c>
      <c r="EH84" s="384">
        <f t="shared" si="204"/>
        <v>5.3687861810620685E-3</v>
      </c>
      <c r="EI84" s="384">
        <f t="shared" si="204"/>
        <v>5.8121887276798567E-3</v>
      </c>
      <c r="EJ84" s="384">
        <f t="shared" si="204"/>
        <v>7.3778755025624143E-3</v>
      </c>
      <c r="EK84" s="384">
        <f t="shared" si="204"/>
        <v>8.2389727995328954E-3</v>
      </c>
      <c r="EL84" s="384">
        <f t="shared" si="204"/>
        <v>7.5043613211698279E-3</v>
      </c>
      <c r="EM84" s="384">
        <f t="shared" si="204"/>
        <v>7.8640165407739548E-3</v>
      </c>
      <c r="EN84" s="384">
        <f t="shared" si="204"/>
        <v>7.8210370619946623E-3</v>
      </c>
      <c r="EO84" s="384">
        <f t="shared" si="204"/>
        <v>8.757017604023698E-3</v>
      </c>
      <c r="EP84" s="384">
        <f t="shared" si="204"/>
        <v>1.0144183786943817E-2</v>
      </c>
      <c r="EQ84" s="384">
        <f t="shared" si="204"/>
        <v>1.0060934019898937E-2</v>
      </c>
      <c r="ER84" s="384">
        <f t="shared" si="204"/>
        <v>1.0747430186618834E-2</v>
      </c>
      <c r="ES84" s="384">
        <f t="shared" si="204"/>
        <v>1.1031998071111326E-2</v>
      </c>
      <c r="ET84" s="384">
        <f t="shared" si="204"/>
        <v>1.3691988010958278E-2</v>
      </c>
      <c r="EU84" s="384">
        <f t="shared" si="204"/>
        <v>1.3525936056358434E-2</v>
      </c>
      <c r="EV84" s="384">
        <f t="shared" si="204"/>
        <v>1.3364433715891799E-2</v>
      </c>
      <c r="EW84" s="384">
        <f t="shared" si="204"/>
        <v>1.4398219504204279E-2</v>
      </c>
      <c r="FZ84" s="386" t="s">
        <v>199</v>
      </c>
      <c r="GA84" s="386" t="s">
        <v>199</v>
      </c>
      <c r="GB84" s="386" t="s">
        <v>199</v>
      </c>
      <c r="GC84" s="386" t="s">
        <v>199</v>
      </c>
      <c r="GD84" s="386" t="s">
        <v>199</v>
      </c>
      <c r="GE84" s="386" t="s">
        <v>199</v>
      </c>
      <c r="GF84" s="386" t="s">
        <v>199</v>
      </c>
      <c r="GG84" s="386" t="s">
        <v>199</v>
      </c>
      <c r="GH84" s="386" t="s">
        <v>199</v>
      </c>
      <c r="GI84" s="386" t="s">
        <v>199</v>
      </c>
      <c r="GJ84" s="386" t="s">
        <v>199</v>
      </c>
      <c r="GK84" s="386" t="s">
        <v>199</v>
      </c>
      <c r="GN84" s="70"/>
    </row>
    <row r="85" spans="1:196" s="382" customFormat="1">
      <c r="A85" s="381" t="s">
        <v>200</v>
      </c>
      <c r="F85" s="382">
        <f t="shared" ref="F85:BQ85" si="205">F83/B83-1</f>
        <v>2.8268200753818862E-2</v>
      </c>
      <c r="G85" s="382">
        <f t="shared" si="205"/>
        <v>2.2680675319069588E-2</v>
      </c>
      <c r="H85" s="382">
        <f t="shared" si="205"/>
        <v>2.0721606338144793E-2</v>
      </c>
      <c r="I85" s="382">
        <f t="shared" si="205"/>
        <v>-5.9964717870335082E-2</v>
      </c>
      <c r="J85" s="382">
        <f t="shared" si="205"/>
        <v>2.9391337899102865E-2</v>
      </c>
      <c r="K85" s="382">
        <f t="shared" si="205"/>
        <v>2.9448723728764836E-2</v>
      </c>
      <c r="L85" s="382">
        <f t="shared" si="205"/>
        <v>2.3333206194217748E-2</v>
      </c>
      <c r="M85" s="382">
        <f t="shared" si="205"/>
        <v>0.1131525932513493</v>
      </c>
      <c r="N85" s="382">
        <f t="shared" si="205"/>
        <v>0.29687866038213229</v>
      </c>
      <c r="O85" s="382">
        <f t="shared" si="205"/>
        <v>0.26041055171963956</v>
      </c>
      <c r="P85" s="382">
        <f t="shared" si="205"/>
        <v>0.2680140515658922</v>
      </c>
      <c r="Q85" s="382">
        <f t="shared" si="205"/>
        <v>0.28876674875232911</v>
      </c>
      <c r="R85" s="382">
        <f t="shared" si="205"/>
        <v>6.4473009198043441E-2</v>
      </c>
      <c r="S85" s="382">
        <f t="shared" si="205"/>
        <v>9.3541614300711284E-2</v>
      </c>
      <c r="T85" s="382">
        <f t="shared" si="205"/>
        <v>4.1504387060742776E-2</v>
      </c>
      <c r="U85" s="382">
        <f t="shared" si="205"/>
        <v>3.0877876183349251E-2</v>
      </c>
      <c r="V85" s="382">
        <f t="shared" si="205"/>
        <v>-3.2710661001072561E-2</v>
      </c>
      <c r="W85" s="382">
        <f t="shared" si="205"/>
        <v>-3.0131355674389515E-2</v>
      </c>
      <c r="X85" s="382">
        <f t="shared" si="205"/>
        <v>3.4657447258872542E-2</v>
      </c>
      <c r="Y85" s="382">
        <f t="shared" si="205"/>
        <v>5.6804967263142325E-2</v>
      </c>
      <c r="Z85" s="382">
        <f t="shared" si="205"/>
        <v>2.3901251201729146E-2</v>
      </c>
      <c r="AA85" s="382">
        <f t="shared" si="205"/>
        <v>4.2366619732054467E-2</v>
      </c>
      <c r="AB85" s="382">
        <f t="shared" si="205"/>
        <v>5.0872192141406813E-3</v>
      </c>
      <c r="AC85" s="382">
        <f t="shared" si="205"/>
        <v>1.8679684426038179E-2</v>
      </c>
      <c r="AD85" s="382">
        <f t="shared" si="205"/>
        <v>0.17841942580649595</v>
      </c>
      <c r="AE85" s="382">
        <f t="shared" si="205"/>
        <v>0.17840042797913602</v>
      </c>
      <c r="AF85" s="382">
        <f t="shared" si="205"/>
        <v>0.19715648492414561</v>
      </c>
      <c r="AG85" s="382">
        <f t="shared" si="205"/>
        <v>0.14494926350245496</v>
      </c>
      <c r="AH85" s="382">
        <f t="shared" si="205"/>
        <v>2.2975770899489323E-2</v>
      </c>
      <c r="AI85" s="382">
        <f t="shared" si="205"/>
        <v>-3.3773507814184645E-2</v>
      </c>
      <c r="AJ85" s="382">
        <f t="shared" si="205"/>
        <v>-2.2241869348499366E-2</v>
      </c>
      <c r="AK85" s="382">
        <f t="shared" si="205"/>
        <v>-2.7625778341938578E-2</v>
      </c>
      <c r="AL85" s="382">
        <f t="shared" si="205"/>
        <v>-3.120940347087009E-2</v>
      </c>
      <c r="AM85" s="382">
        <f t="shared" si="205"/>
        <v>3.6677796278186126E-3</v>
      </c>
      <c r="AN85" s="382">
        <f t="shared" si="205"/>
        <v>-6.5614820138880647E-3</v>
      </c>
      <c r="AO85" s="382">
        <f t="shared" si="205"/>
        <v>1.1260764614737795E-2</v>
      </c>
      <c r="AP85" s="382">
        <f t="shared" si="205"/>
        <v>1.2341332018802609E-2</v>
      </c>
      <c r="AQ85" s="382">
        <f t="shared" si="205"/>
        <v>1.3277469264033837E-2</v>
      </c>
      <c r="AR85" s="382">
        <f t="shared" si="205"/>
        <v>1.3285489235077996E-2</v>
      </c>
      <c r="AS85" s="382">
        <f t="shared" si="205"/>
        <v>0.21003404574515394</v>
      </c>
      <c r="AT85" s="382">
        <f t="shared" si="205"/>
        <v>0.21086512932883483</v>
      </c>
      <c r="AU85" s="382">
        <f t="shared" si="205"/>
        <v>0.21290425040425043</v>
      </c>
      <c r="AV85" s="382">
        <f t="shared" si="205"/>
        <v>0.20223185752042716</v>
      </c>
      <c r="AW85" s="382">
        <f t="shared" si="205"/>
        <v>-9.8229174175256451E-2</v>
      </c>
      <c r="AX85" s="382">
        <f t="shared" si="205"/>
        <v>-5.9090919971371281E-2</v>
      </c>
      <c r="AY85" s="382">
        <f t="shared" si="205"/>
        <v>-3.4076652231980309E-2</v>
      </c>
      <c r="AZ85" s="382">
        <f t="shared" si="205"/>
        <v>6.2515566028698899E-2</v>
      </c>
      <c r="BA85" s="382">
        <f t="shared" si="205"/>
        <v>0.20520479179767004</v>
      </c>
      <c r="BB85" s="382">
        <f t="shared" si="205"/>
        <v>0.26012460662923553</v>
      </c>
      <c r="BC85" s="382">
        <f t="shared" si="205"/>
        <v>0.23275307525281042</v>
      </c>
      <c r="BD85" s="382">
        <f t="shared" si="205"/>
        <v>0.11966029647426879</v>
      </c>
      <c r="BE85" s="382">
        <f t="shared" si="205"/>
        <v>0.17393986155910723</v>
      </c>
      <c r="BF85" s="382">
        <f t="shared" si="205"/>
        <v>0.10836095823760505</v>
      </c>
      <c r="BG85" s="382">
        <f t="shared" si="205"/>
        <v>0.10361152874188284</v>
      </c>
      <c r="BH85" s="382">
        <f t="shared" si="205"/>
        <v>0.11519972945335089</v>
      </c>
      <c r="BI85" s="382">
        <f t="shared" si="205"/>
        <v>9.0395480225988756E-2</v>
      </c>
      <c r="BJ85" s="382">
        <f t="shared" si="205"/>
        <v>0.10382513661202175</v>
      </c>
      <c r="BK85" s="382">
        <f t="shared" si="205"/>
        <v>9.9637681159420399E-2</v>
      </c>
      <c r="BL85" s="382">
        <f t="shared" si="205"/>
        <v>9.7472924187725685E-2</v>
      </c>
      <c r="BM85" s="382">
        <f t="shared" si="205"/>
        <v>5.1813471502590636E-2</v>
      </c>
      <c r="BN85" s="382">
        <f t="shared" si="205"/>
        <v>3.3003300330032959E-2</v>
      </c>
      <c r="BO85" s="382">
        <f t="shared" si="205"/>
        <v>9.8846787479407006E-2</v>
      </c>
      <c r="BP85" s="382">
        <f t="shared" si="205"/>
        <v>0.14144736842105265</v>
      </c>
      <c r="BQ85" s="382">
        <f t="shared" si="205"/>
        <v>0.29885057471264376</v>
      </c>
      <c r="BR85" s="382">
        <f t="shared" ref="BR85:EC85" si="206">BR83/BN83-1</f>
        <v>0.20447284345047922</v>
      </c>
      <c r="BS85" s="382">
        <f t="shared" si="206"/>
        <v>6.2968515742128917E-2</v>
      </c>
      <c r="BT85" s="382">
        <f t="shared" si="206"/>
        <v>2.7377521613832778E-2</v>
      </c>
      <c r="BU85" s="382">
        <f t="shared" si="206"/>
        <v>-4.1719342604298326E-2</v>
      </c>
      <c r="BV85" s="382">
        <f t="shared" si="206"/>
        <v>1.3262599469495928E-2</v>
      </c>
      <c r="BW85" s="382">
        <f t="shared" si="206"/>
        <v>4.7954866008462549E-2</v>
      </c>
      <c r="BX85" s="382">
        <f t="shared" si="206"/>
        <v>3.9270687237026758E-2</v>
      </c>
      <c r="BY85" s="382">
        <f t="shared" si="206"/>
        <v>-3.4300791556728272E-2</v>
      </c>
      <c r="BZ85" s="382">
        <f t="shared" si="206"/>
        <v>-3.9267015706806241E-2</v>
      </c>
      <c r="CA85" s="382">
        <f t="shared" si="206"/>
        <v>1.6150740242261152E-2</v>
      </c>
      <c r="CB85" s="382">
        <f t="shared" si="206"/>
        <v>5.3981106612686069E-3</v>
      </c>
      <c r="CC85" s="382">
        <f t="shared" si="206"/>
        <v>2.0491803278688492E-2</v>
      </c>
      <c r="CD85" s="382">
        <f t="shared" si="206"/>
        <v>2.043596730245234E-2</v>
      </c>
      <c r="CE85" s="382">
        <f t="shared" si="206"/>
        <v>-3.9735099337748769E-3</v>
      </c>
      <c r="CF85" s="382">
        <f t="shared" si="206"/>
        <v>2.5503355704697972E-2</v>
      </c>
      <c r="CG85" s="382">
        <f t="shared" si="206"/>
        <v>2.5435073627844806E-2</v>
      </c>
      <c r="CH85" s="382">
        <f t="shared" si="206"/>
        <v>1.6021361815754309E-2</v>
      </c>
      <c r="CI85" s="382">
        <f t="shared" si="206"/>
        <v>1.5957446808510634E-2</v>
      </c>
      <c r="CJ85" s="382">
        <f t="shared" si="206"/>
        <v>2.7486910994764413E-2</v>
      </c>
      <c r="CK85" s="382">
        <f t="shared" si="206"/>
        <v>1.9582245430809442E-2</v>
      </c>
      <c r="CL85" s="382">
        <f t="shared" si="206"/>
        <v>2.1024967148488782E-2</v>
      </c>
      <c r="CM85" s="382">
        <f t="shared" si="206"/>
        <v>1.8324607329842868E-2</v>
      </c>
      <c r="CN85" s="382">
        <f t="shared" si="206"/>
        <v>0</v>
      </c>
      <c r="CO85" s="382">
        <f t="shared" si="206"/>
        <v>1.2804097311139628E-2</v>
      </c>
      <c r="CP85" s="382">
        <f t="shared" si="206"/>
        <v>2.0592020592020699E-2</v>
      </c>
      <c r="CQ85" s="382">
        <f t="shared" si="206"/>
        <v>5.5269922879177313E-2</v>
      </c>
      <c r="CR85" s="382">
        <f t="shared" si="206"/>
        <v>3.8216560509554132E-2</v>
      </c>
      <c r="CS85" s="382">
        <f t="shared" si="206"/>
        <v>0.17699115044247793</v>
      </c>
      <c r="CT85" s="382">
        <f t="shared" si="206"/>
        <v>0.18411097099621698</v>
      </c>
      <c r="CU85" s="382">
        <f t="shared" si="206"/>
        <v>0.26187576126674794</v>
      </c>
      <c r="CV85" s="382">
        <f t="shared" si="206"/>
        <v>0.27852760736196314</v>
      </c>
      <c r="CW85" s="382">
        <f t="shared" si="206"/>
        <v>0.1138560687432868</v>
      </c>
      <c r="CX85" s="382">
        <f t="shared" si="206"/>
        <v>0.10649627263045791</v>
      </c>
      <c r="CY85" s="382">
        <f t="shared" si="206"/>
        <v>9.6525096525097442E-3</v>
      </c>
      <c r="CZ85" s="382">
        <f t="shared" si="206"/>
        <v>3.2629558541266812E-2</v>
      </c>
      <c r="DA85" s="382">
        <f t="shared" si="206"/>
        <v>4.0501446480231351E-2</v>
      </c>
      <c r="DB85" s="382">
        <f t="shared" si="206"/>
        <v>5.2935514918190485E-2</v>
      </c>
      <c r="DC85" s="382">
        <f t="shared" si="206"/>
        <v>6.022944550669207E-2</v>
      </c>
      <c r="DD85" s="382">
        <f t="shared" si="206"/>
        <v>3.810408921933095E-2</v>
      </c>
      <c r="DE85" s="382">
        <f t="shared" si="206"/>
        <v>0.10101946246524562</v>
      </c>
      <c r="DF85" s="382">
        <f t="shared" si="206"/>
        <v>0.11882998171846437</v>
      </c>
      <c r="DG85" s="382">
        <f t="shared" si="206"/>
        <v>0.10640216411181247</v>
      </c>
      <c r="DH85" s="382">
        <f t="shared" si="206"/>
        <v>8.7735004476275691E-2</v>
      </c>
      <c r="DI85" s="382">
        <f t="shared" si="206"/>
        <v>3.1986531986532007E-2</v>
      </c>
      <c r="DJ85" s="383">
        <f t="shared" si="206"/>
        <v>5.7189542483659928E-3</v>
      </c>
      <c r="DK85" s="383">
        <f t="shared" si="206"/>
        <v>4.0749796251018378E-3</v>
      </c>
      <c r="DL85" s="383">
        <f t="shared" si="206"/>
        <v>1.2345679012345734E-2</v>
      </c>
      <c r="DM85" s="383">
        <f t="shared" si="206"/>
        <v>-3.2626427406199365E-3</v>
      </c>
      <c r="DN85" s="383">
        <f t="shared" si="206"/>
        <v>0.14541023558082866</v>
      </c>
      <c r="DO85" s="383">
        <f t="shared" si="206"/>
        <v>0.32467532467532467</v>
      </c>
      <c r="DP85" s="383">
        <f t="shared" si="206"/>
        <v>0.32113821138211374</v>
      </c>
      <c r="DQ85" s="383">
        <f t="shared" si="206"/>
        <v>0.32405891980360058</v>
      </c>
      <c r="DR85" s="383">
        <f t="shared" si="206"/>
        <v>0.14255319148936163</v>
      </c>
      <c r="DS85" s="383">
        <f t="shared" si="206"/>
        <v>-3.0637254901960675E-3</v>
      </c>
      <c r="DT85" s="383">
        <f t="shared" si="206"/>
        <v>2.461538461538515E-3</v>
      </c>
      <c r="DU85" s="383">
        <f t="shared" si="206"/>
        <v>6.1804697156984112E-3</v>
      </c>
      <c r="DV85" s="382">
        <f t="shared" si="206"/>
        <v>1.7380509000620714E-2</v>
      </c>
      <c r="DW85" s="382">
        <f t="shared" si="206"/>
        <v>6.1462814996926518E-3</v>
      </c>
      <c r="DX85" s="382">
        <f t="shared" si="206"/>
        <v>4.2971147943524635E-3</v>
      </c>
      <c r="DY85" s="382">
        <f t="shared" si="206"/>
        <v>3.6855036855036882E-3</v>
      </c>
      <c r="DZ85" s="382">
        <f t="shared" si="206"/>
        <v>-7.9316656497864235E-3</v>
      </c>
      <c r="EA85" s="382">
        <f t="shared" si="206"/>
        <v>-4.2761148442272967E-3</v>
      </c>
      <c r="EB85" s="382">
        <f t="shared" si="206"/>
        <v>3.0562347188263228E-3</v>
      </c>
      <c r="EC85" s="382">
        <f t="shared" si="206"/>
        <v>9.1799265605874147E-3</v>
      </c>
      <c r="ED85" s="382">
        <f t="shared" ref="ED85:EW85" si="207">ED83/DZ83-1</f>
        <v>1.4760147601476037E-2</v>
      </c>
      <c r="EE85" s="384">
        <f t="shared" si="207"/>
        <v>1.8404907975460016E-2</v>
      </c>
      <c r="EF85" s="384">
        <f t="shared" si="207"/>
        <v>1.1842386698006413E-2</v>
      </c>
      <c r="EG85" s="384">
        <f t="shared" si="207"/>
        <v>1.1256720833983103E-2</v>
      </c>
      <c r="EH85" s="384">
        <f t="shared" si="207"/>
        <v>1.6069768644155769E-2</v>
      </c>
      <c r="EI85" s="384">
        <f t="shared" si="207"/>
        <v>1.5818879840367117E-2</v>
      </c>
      <c r="EJ85" s="384">
        <f t="shared" si="207"/>
        <v>2.3046390444779741E-2</v>
      </c>
      <c r="EK85" s="384">
        <f t="shared" si="207"/>
        <v>2.7065594173148799E-2</v>
      </c>
      <c r="EL85" s="384">
        <f t="shared" si="207"/>
        <v>2.9247257041863595E-2</v>
      </c>
      <c r="EM85" s="384">
        <f t="shared" si="207"/>
        <v>3.1346891717419556E-2</v>
      </c>
      <c r="EN85" s="384">
        <f t="shared" si="207"/>
        <v>3.1800597628541594E-2</v>
      </c>
      <c r="EO85" s="384">
        <f t="shared" si="207"/>
        <v>3.2330748667424691E-2</v>
      </c>
      <c r="EP85" s="384">
        <f t="shared" si="207"/>
        <v>3.5035620236286258E-2</v>
      </c>
      <c r="EQ85" s="384">
        <f t="shared" si="207"/>
        <v>3.729176571652526E-2</v>
      </c>
      <c r="ER85" s="384">
        <f t="shared" si="207"/>
        <v>4.0303732504072487E-2</v>
      </c>
      <c r="ES85" s="384">
        <f t="shared" si="207"/>
        <v>4.2649858112106864E-2</v>
      </c>
      <c r="ET85" s="384">
        <f t="shared" si="207"/>
        <v>4.6311827987447263E-2</v>
      </c>
      <c r="EU85" s="384">
        <f t="shared" si="207"/>
        <v>4.9901188285067288E-2</v>
      </c>
      <c r="EV85" s="384">
        <f t="shared" si="207"/>
        <v>5.2619567806074352E-2</v>
      </c>
      <c r="EW85" s="384">
        <f t="shared" si="207"/>
        <v>5.6124254657530903E-2</v>
      </c>
      <c r="FA85" s="382">
        <f t="shared" ref="FA85:GK85" si="208">FA83/EZ83-1</f>
        <v>-5.9964717870335082E-2</v>
      </c>
      <c r="FB85" s="382">
        <f t="shared" si="208"/>
        <v>0.1131525932513493</v>
      </c>
      <c r="FC85" s="382">
        <f t="shared" si="208"/>
        <v>0.28876674875232911</v>
      </c>
      <c r="FD85" s="382">
        <f t="shared" si="208"/>
        <v>3.0877876183349251E-2</v>
      </c>
      <c r="FE85" s="382">
        <f t="shared" si="208"/>
        <v>5.6804967263142325E-2</v>
      </c>
      <c r="FF85" s="382">
        <f t="shared" si="208"/>
        <v>1.8679684426038179E-2</v>
      </c>
      <c r="FG85" s="382">
        <f t="shared" si="208"/>
        <v>0.14494926350245496</v>
      </c>
      <c r="FH85" s="382">
        <f t="shared" si="208"/>
        <v>-2.7625778341938578E-2</v>
      </c>
      <c r="FI85" s="382">
        <f t="shared" si="208"/>
        <v>1.1260764614737795E-2</v>
      </c>
      <c r="FJ85" s="382">
        <f t="shared" si="208"/>
        <v>0.21003404574515394</v>
      </c>
      <c r="FK85" s="382">
        <f t="shared" si="208"/>
        <v>-9.8229174175256451E-2</v>
      </c>
      <c r="FL85" s="382">
        <f t="shared" si="208"/>
        <v>0.20520479179767004</v>
      </c>
      <c r="FM85" s="382">
        <f t="shared" si="208"/>
        <v>0.17393986155910723</v>
      </c>
      <c r="FN85" s="382">
        <f t="shared" si="208"/>
        <v>9.0395480225988756E-2</v>
      </c>
      <c r="FO85" s="382">
        <f t="shared" si="208"/>
        <v>5.1813471502590636E-2</v>
      </c>
      <c r="FP85" s="382">
        <f t="shared" si="208"/>
        <v>0.29885057471264376</v>
      </c>
      <c r="FQ85" s="382">
        <f t="shared" si="208"/>
        <v>-4.1719342604298326E-2</v>
      </c>
      <c r="FR85" s="382">
        <f t="shared" si="208"/>
        <v>-3.4300791556728272E-2</v>
      </c>
      <c r="FS85" s="382">
        <f t="shared" si="208"/>
        <v>2.0491803278688492E-2</v>
      </c>
      <c r="FT85" s="382">
        <f t="shared" si="208"/>
        <v>2.5435073627844806E-2</v>
      </c>
      <c r="FU85" s="382">
        <f t="shared" si="208"/>
        <v>1.9582245430809442E-2</v>
      </c>
      <c r="FV85" s="382">
        <f t="shared" si="208"/>
        <v>1.2804097311139628E-2</v>
      </c>
      <c r="FW85" s="382">
        <f t="shared" si="208"/>
        <v>0.17699115044247793</v>
      </c>
      <c r="FX85" s="382">
        <f t="shared" si="208"/>
        <v>0.1138560687432868</v>
      </c>
      <c r="FY85" s="382">
        <f t="shared" si="208"/>
        <v>4.0501446480231351E-2</v>
      </c>
      <c r="FZ85" s="382">
        <f t="shared" si="208"/>
        <v>0.10101946246524562</v>
      </c>
      <c r="GA85" s="382">
        <f t="shared" si="208"/>
        <v>3.1986531986532007E-2</v>
      </c>
      <c r="GB85" s="382">
        <f t="shared" si="208"/>
        <v>-3.2626427406199365E-3</v>
      </c>
      <c r="GC85" s="382">
        <f t="shared" si="208"/>
        <v>0.32405891980360058</v>
      </c>
      <c r="GD85" s="382">
        <f t="shared" si="208"/>
        <v>6.1804697156984112E-3</v>
      </c>
      <c r="GE85" s="382">
        <f t="shared" si="208"/>
        <v>3.6855036855036882E-3</v>
      </c>
      <c r="GF85" s="382">
        <f t="shared" si="208"/>
        <v>9.1799265605874147E-3</v>
      </c>
      <c r="GG85" s="384">
        <f t="shared" si="208"/>
        <v>1.1256720833983103E-2</v>
      </c>
      <c r="GH85" s="384">
        <f t="shared" si="208"/>
        <v>2.7065594173148799E-2</v>
      </c>
      <c r="GI85" s="384">
        <f t="shared" si="208"/>
        <v>3.2330748667424691E-2</v>
      </c>
      <c r="GJ85" s="384">
        <f t="shared" si="208"/>
        <v>4.2649858112106864E-2</v>
      </c>
      <c r="GK85" s="384">
        <f t="shared" si="208"/>
        <v>5.6124254657530903E-2</v>
      </c>
      <c r="GN85" s="70"/>
    </row>
    <row r="86" spans="1:196" s="376" customFormat="1">
      <c r="A86" s="376" t="s">
        <v>250</v>
      </c>
      <c r="B86" s="376">
        <f>-AMD!AF113</f>
        <v>91.326999999999998</v>
      </c>
      <c r="C86" s="376">
        <f>-AMD!AG113</f>
        <v>71.585000000000008</v>
      </c>
      <c r="D86" s="376">
        <f>-AMD!AH113</f>
        <v>70.080999999999989</v>
      </c>
      <c r="E86" s="376">
        <f>-AMD!AI113</f>
        <v>90.675999999999988</v>
      </c>
      <c r="F86" s="376">
        <f>-AMD!AK113</f>
        <v>53.125999999999998</v>
      </c>
      <c r="G86" s="376">
        <f>-AMD!AL113</f>
        <v>86.926999999999992</v>
      </c>
      <c r="H86" s="376">
        <f>-AMD!AM113</f>
        <v>152.851</v>
      </c>
      <c r="I86" s="376">
        <f>-AMD!AN113</f>
        <v>255.83799999999997</v>
      </c>
      <c r="J86" s="376">
        <f>-AMD!AP113</f>
        <v>195.99</v>
      </c>
      <c r="K86" s="376">
        <f>-AMD!AQ113</f>
        <v>126.82400000000001</v>
      </c>
      <c r="L86" s="376">
        <f>-AMD!AR113</f>
        <v>164.55399999999997</v>
      </c>
      <c r="M86" s="376">
        <f>-AMD!AS113</f>
        <v>133.44700000000006</v>
      </c>
      <c r="N86" s="376">
        <f>-AMD!AU113</f>
        <v>95.328999999999994</v>
      </c>
      <c r="O86" s="376">
        <f>-AMD!AV113</f>
        <v>110.318</v>
      </c>
      <c r="P86" s="376">
        <f>-AMD!AW113</f>
        <v>143.48500000000001</v>
      </c>
      <c r="Q86" s="376">
        <f>-AMD!AX113</f>
        <v>135.88599999999997</v>
      </c>
      <c r="R86" s="376">
        <f>-AMD!AZ113</f>
        <v>150.59399999999999</v>
      </c>
      <c r="S86" s="376">
        <f>-AMD!BA113</f>
        <v>160.29599999999999</v>
      </c>
      <c r="T86" s="376">
        <f>-AMD!BB113</f>
        <v>157.48500000000001</v>
      </c>
      <c r="U86" s="376">
        <f>-AMD!BC113</f>
        <v>216.72500000000002</v>
      </c>
      <c r="V86" s="376">
        <f>-AMD!BE113</f>
        <v>181.23</v>
      </c>
      <c r="W86" s="376">
        <f>-AMD!BF113</f>
        <v>313.59000000000003</v>
      </c>
      <c r="X86" s="376">
        <f>-AMD!BG113</f>
        <v>321.29300000000001</v>
      </c>
      <c r="Y86" s="376">
        <f>-AMD!BH113</f>
        <v>180.0569999999999</v>
      </c>
      <c r="Z86" s="376">
        <f>-AMD!BJ113</f>
        <v>199.79300000000001</v>
      </c>
      <c r="AA86" s="376">
        <f>-AMD!BK113</f>
        <v>147.65300000000002</v>
      </c>
      <c r="AB86" s="376">
        <f>-AMD!BL113</f>
        <v>147.59799999999996</v>
      </c>
      <c r="AC86" s="376">
        <f>-AMD!BM113</f>
        <v>124.72800000000007</v>
      </c>
      <c r="AD86" s="376">
        <f>-AMD!BO113</f>
        <v>129.02699999999999</v>
      </c>
      <c r="AE86" s="376">
        <f>-AMD!BP113</f>
        <v>160.86599999999999</v>
      </c>
      <c r="AF86" s="376">
        <f>-AMD!BQ113</f>
        <v>287.28400000000005</v>
      </c>
      <c r="AG86" s="376">
        <f>-AMD!BR113</f>
        <v>228.29700000000003</v>
      </c>
      <c r="AH86" s="376">
        <f>-AMD!BT113</f>
        <v>162.71299999999999</v>
      </c>
      <c r="AI86" s="376">
        <f>-AMD!BU113</f>
        <v>215.10499999999999</v>
      </c>
      <c r="AJ86" s="376">
        <f>-AMD!BV113</f>
        <v>164.07299999999998</v>
      </c>
      <c r="AK86" s="376">
        <f>-AMD!BW113</f>
        <v>136.97400000000005</v>
      </c>
      <c r="AL86" s="376">
        <f>-AMD!BY113</f>
        <v>199.083</v>
      </c>
      <c r="AM86" s="376">
        <f>-AMD!BZ113</f>
        <v>172.32700000000003</v>
      </c>
      <c r="AN86" s="376">
        <f>-AMD!CA113</f>
        <v>195.77199999999999</v>
      </c>
      <c r="AO86" s="376">
        <f>-AMD!CB113</f>
        <v>137.96500000000003</v>
      </c>
      <c r="AP86" s="376">
        <f>-AMD!CD113</f>
        <v>180.49600000000001</v>
      </c>
      <c r="AQ86" s="376">
        <f>-AMD!CE113</f>
        <v>103.08000000000001</v>
      </c>
      <c r="AR86" s="376">
        <f>-AMD!CF113</f>
        <v>123.959</v>
      </c>
      <c r="AS86" s="376">
        <f>-AMD!CG113</f>
        <v>162.78100000000001</v>
      </c>
      <c r="AT86" s="376">
        <f>-AMD!CI113</f>
        <v>202.047</v>
      </c>
      <c r="AU86" s="376">
        <f>-AMD!CJ113</f>
        <v>360.96299999999997</v>
      </c>
      <c r="AV86" s="376">
        <f>-AMD!CK113</f>
        <v>406.74800000000005</v>
      </c>
      <c r="AW86" s="376">
        <f>-AMD!CL113</f>
        <v>470.37899999999991</v>
      </c>
      <c r="AX86" s="376">
        <f>-AMD!CN113</f>
        <v>518.47199999999998</v>
      </c>
      <c r="AY86" s="376">
        <f>-AMD!CO113</f>
        <v>303.26499999999999</v>
      </c>
      <c r="AZ86" s="376">
        <f>-AMD!CP113</f>
        <v>362.29599999999994</v>
      </c>
      <c r="BA86" s="376">
        <f>-AMD!CQ113</f>
        <v>329.1400000000001</v>
      </c>
      <c r="BB86" s="376">
        <f>-AMD!CS113</f>
        <v>310.32600000000002</v>
      </c>
      <c r="BC86" s="376">
        <f>-AMD!CT113</f>
        <v>455.36400000000003</v>
      </c>
      <c r="BD86" s="376">
        <f>-AMD!CU113</f>
        <v>424.89200000000005</v>
      </c>
      <c r="BE86" s="376">
        <f>-AMD!CV113</f>
        <v>666</v>
      </c>
      <c r="BF86" s="376">
        <f>-AMD!CX113</f>
        <v>586</v>
      </c>
      <c r="BG86" s="376">
        <f>-AMD!CY113</f>
        <v>414</v>
      </c>
      <c r="BH86" s="376">
        <f>-AMD!CZ113</f>
        <v>419</v>
      </c>
      <c r="BI86" s="376">
        <f>-AMD!DA113</f>
        <v>266</v>
      </c>
      <c r="BJ86" s="376">
        <f>-AMD!DC113</f>
        <v>323</v>
      </c>
      <c r="BK86" s="376">
        <f>-AMD!DD113</f>
        <v>106</v>
      </c>
      <c r="BL86" s="376">
        <f>-AMD!DE113</f>
        <v>82</v>
      </c>
      <c r="BM86" s="376">
        <f>-AMD!DF113</f>
        <v>113</v>
      </c>
      <c r="BN86" s="376">
        <f>-AMD!DH113</f>
        <v>84</v>
      </c>
      <c r="BO86" s="376">
        <f>-AMD!DI113</f>
        <v>112</v>
      </c>
      <c r="BP86" s="376">
        <f>-AMD!DJ113</f>
        <v>97</v>
      </c>
      <c r="BQ86" s="376">
        <f>-AMD!DK113</f>
        <v>173</v>
      </c>
      <c r="BR86" s="376">
        <f>-AMD!DM113</f>
        <v>48</v>
      </c>
      <c r="BS86" s="376">
        <f>-AMD!DN113</f>
        <v>31</v>
      </c>
      <c r="BT86" s="376">
        <f>-AMD!DO113</f>
        <v>31</v>
      </c>
      <c r="BU86" s="376">
        <f>-AMD!DP113</f>
        <v>38</v>
      </c>
      <c r="BV86" s="376">
        <f>-AMD!DR113</f>
        <v>38</v>
      </c>
      <c r="BW86" s="376">
        <f>-AMD!DS113</f>
        <v>67</v>
      </c>
      <c r="BX86" s="376">
        <f>-AMD!DT113</f>
        <v>58</v>
      </c>
      <c r="BY86" s="376">
        <f>-AMD!DU113</f>
        <v>87</v>
      </c>
      <c r="BZ86" s="376">
        <f>-AMD!DW113</f>
        <v>40</v>
      </c>
      <c r="CA86" s="376">
        <f>-AMD!DX113</f>
        <v>39</v>
      </c>
      <c r="CB86" s="376">
        <f>-AMD!DY113</f>
        <v>32</v>
      </c>
      <c r="CC86" s="376">
        <f>-AMD!DZ113</f>
        <v>22</v>
      </c>
      <c r="CD86" s="376">
        <f>-AMD!EB113</f>
        <v>20</v>
      </c>
      <c r="CE86" s="376">
        <f>-AMD!EC113</f>
        <v>28</v>
      </c>
      <c r="CF86" s="376">
        <f>-AMD!ED113</f>
        <v>15</v>
      </c>
      <c r="CG86" s="376">
        <f>-AMD!EE113</f>
        <v>21</v>
      </c>
      <c r="CH86" s="376">
        <f>-AMD!EG113</f>
        <v>21</v>
      </c>
      <c r="CI86" s="376">
        <f>-AMD!EH113</f>
        <v>23</v>
      </c>
      <c r="CJ86" s="376">
        <f>-AMD!EI113</f>
        <v>29</v>
      </c>
      <c r="CK86" s="376">
        <f>-AMD!EJ113</f>
        <v>22</v>
      </c>
      <c r="CL86" s="376">
        <f>-AMD!EL113</f>
        <v>22</v>
      </c>
      <c r="CM86" s="376">
        <f>-AMD!EM113</f>
        <v>17</v>
      </c>
      <c r="CN86" s="376">
        <f>-AMD!EN113</f>
        <v>25</v>
      </c>
      <c r="CO86" s="376">
        <f>-AMD!EO113</f>
        <v>32</v>
      </c>
      <c r="CP86" s="376">
        <f>-AMD!EQ113</f>
        <v>26</v>
      </c>
      <c r="CQ86" s="376">
        <f>-AMD!ER113</f>
        <v>21</v>
      </c>
      <c r="CR86" s="376">
        <f>-AMD!ES113</f>
        <v>9</v>
      </c>
      <c r="CS86" s="376">
        <f>-AMD!ET113</f>
        <v>21</v>
      </c>
      <c r="CT86" s="376">
        <f>-AMD!EV113</f>
        <v>23</v>
      </c>
      <c r="CU86" s="376">
        <f>-AMD!EW113</f>
        <v>12</v>
      </c>
      <c r="CV86" s="376">
        <f>-AMD!EX113</f>
        <v>34</v>
      </c>
      <c r="CW86" s="376">
        <f>-AMD!EY113</f>
        <v>44</v>
      </c>
      <c r="CX86" s="376">
        <f>-AMD!FA113</f>
        <v>46</v>
      </c>
      <c r="CY86" s="376">
        <f>-AMD!FB113</f>
        <v>43</v>
      </c>
      <c r="CZ86" s="376">
        <f>-AMD!FC113</f>
        <v>33</v>
      </c>
      <c r="DA86" s="376">
        <f>-AMD!FD113</f>
        <v>41</v>
      </c>
      <c r="DB86" s="376">
        <f>-AMD!FF113</f>
        <v>62</v>
      </c>
      <c r="DC86" s="376">
        <f>-AMD!FG113</f>
        <v>58</v>
      </c>
      <c r="DD86" s="376">
        <f>-AMD!FH113</f>
        <v>55</v>
      </c>
      <c r="DE86" s="376">
        <f>-AMD!FI113</f>
        <v>42</v>
      </c>
      <c r="DF86" s="376">
        <f>-AMD!FK113</f>
        <v>55</v>
      </c>
      <c r="DG86" s="376">
        <f>-AMD!FL113</f>
        <v>91</v>
      </c>
      <c r="DH86" s="376">
        <f>-AMD!FM113</f>
        <v>74</v>
      </c>
      <c r="DI86" s="376">
        <f>-AMD!FN113</f>
        <v>74</v>
      </c>
      <c r="DJ86" s="397">
        <f>-AMD!FP113</f>
        <v>66</v>
      </c>
      <c r="DK86" s="397">
        <f>-AMD!FQ113</f>
        <v>64</v>
      </c>
      <c r="DL86" s="397">
        <f>-AMD!FR113</f>
        <v>85</v>
      </c>
      <c r="DM86" s="397">
        <f>-AMD!FS113</f>
        <v>86</v>
      </c>
      <c r="DN86" s="397">
        <f>-AMD!FU113</f>
        <v>71</v>
      </c>
      <c r="DO86" s="397">
        <f>-AMD!FV113</f>
        <v>132</v>
      </c>
      <c r="DP86" s="397">
        <f>-AMD!FW113</f>
        <v>123</v>
      </c>
      <c r="DQ86" s="397">
        <f>-AMD!FX113</f>
        <v>124</v>
      </c>
      <c r="DR86" s="397">
        <f>-AMD!FZ113</f>
        <v>158</v>
      </c>
      <c r="DS86" s="397">
        <f>-AMD!GA113</f>
        <v>125</v>
      </c>
      <c r="DT86" s="397">
        <f>-AMD!GB113</f>
        <v>124</v>
      </c>
      <c r="DU86" s="397">
        <f>-AMD!GC113</f>
        <v>139</v>
      </c>
      <c r="DV86" s="376">
        <f>-AMD!GE113</f>
        <v>142</v>
      </c>
      <c r="DW86" s="376">
        <f>-AMD!GF113</f>
        <v>154</v>
      </c>
      <c r="DX86" s="376">
        <f>-AMD!GG113</f>
        <v>132</v>
      </c>
      <c r="DY86" s="376">
        <f>-AMD!GH113</f>
        <v>208</v>
      </c>
      <c r="DZ86" s="376">
        <f>-AMD!GJ113</f>
        <v>212</v>
      </c>
      <c r="EA86" s="376">
        <f>-AMD!GK113</f>
        <v>282</v>
      </c>
      <c r="EB86" s="376">
        <f>-AMD!GL113</f>
        <v>258</v>
      </c>
      <c r="EC86" s="376">
        <f>-AMD!GM113</f>
        <v>222</v>
      </c>
      <c r="ED86" s="376">
        <f>-AMD!GO113</f>
        <v>389</v>
      </c>
      <c r="EE86" s="380">
        <f>-AMD!GP113</f>
        <v>389</v>
      </c>
      <c r="EF86" s="380">
        <f>-AMD!GQ113</f>
        <v>389</v>
      </c>
      <c r="EG86" s="380">
        <f>-AMD!GR113</f>
        <v>389</v>
      </c>
      <c r="EH86" s="380">
        <f>-AMD!GT113</f>
        <v>400</v>
      </c>
      <c r="EI86" s="380">
        <f>-AMD!GU113</f>
        <v>400</v>
      </c>
      <c r="EJ86" s="380">
        <f>-AMD!GV113</f>
        <v>400</v>
      </c>
      <c r="EK86" s="380">
        <f>-AMD!GW113</f>
        <v>400</v>
      </c>
      <c r="EL86" s="380">
        <f>-AMD!GY113</f>
        <v>400</v>
      </c>
      <c r="EM86" s="380">
        <f>-AMD!GZ113</f>
        <v>400</v>
      </c>
      <c r="EN86" s="380">
        <f>-AMD!HA113</f>
        <v>400</v>
      </c>
      <c r="EO86" s="380">
        <f>-AMD!HB113</f>
        <v>400</v>
      </c>
      <c r="EP86" s="380">
        <f>-AMD!HD113</f>
        <v>400</v>
      </c>
      <c r="EQ86" s="380">
        <f>-AMD!HE113</f>
        <v>400</v>
      </c>
      <c r="ER86" s="380">
        <f>-AMD!HF113</f>
        <v>400</v>
      </c>
      <c r="ES86" s="380">
        <f>-AMD!HG113</f>
        <v>400</v>
      </c>
      <c r="ET86" s="380">
        <f>-AMD!HI113</f>
        <v>400</v>
      </c>
      <c r="EU86" s="380">
        <f>-AMD!HJ113</f>
        <v>400</v>
      </c>
      <c r="EV86" s="380">
        <f>-AMD!HK113</f>
        <v>400</v>
      </c>
      <c r="EW86" s="380">
        <f>-AMD!HL113</f>
        <v>400</v>
      </c>
      <c r="EZ86" s="376">
        <f>B86+C86+D86+E86</f>
        <v>323.66899999999998</v>
      </c>
      <c r="FA86" s="376">
        <f>F86+G86+H86+I86</f>
        <v>548.74199999999996</v>
      </c>
      <c r="FB86" s="376">
        <f>J86+K86+L86+M86</f>
        <v>620.81500000000005</v>
      </c>
      <c r="FC86" s="376">
        <f>N86+O86+P86+Q86</f>
        <v>485.01799999999997</v>
      </c>
      <c r="FD86" s="376">
        <f>R86+S86+T86+U86</f>
        <v>685.1</v>
      </c>
      <c r="FE86" s="376">
        <f>V86+W86+X86+Y86</f>
        <v>996.17</v>
      </c>
      <c r="FF86" s="376">
        <f>Z86+AA86+AB86+AC86</f>
        <v>619.77200000000005</v>
      </c>
      <c r="FG86" s="376">
        <f>AD86+AE86+AF86+AG86</f>
        <v>805.47400000000005</v>
      </c>
      <c r="FH86" s="376">
        <f>AH86+AI86+AJ86+AK86</f>
        <v>678.86500000000001</v>
      </c>
      <c r="FI86" s="376">
        <f>AL86+AM86+AN86+AO86</f>
        <v>705.14700000000005</v>
      </c>
      <c r="FJ86" s="376">
        <f>AP86+AQ86+AR86+AS86</f>
        <v>570.31600000000003</v>
      </c>
      <c r="FK86" s="376">
        <f>AT86+AU86+AV86+AW86</f>
        <v>1440.1369999999999</v>
      </c>
      <c r="FL86" s="376">
        <f>AX86+AY86+AZ86+BA86</f>
        <v>1513.173</v>
      </c>
      <c r="FM86" s="376">
        <f>BB86+BC86+BD86+BE86</f>
        <v>1856.5820000000001</v>
      </c>
      <c r="FN86" s="376">
        <f>BF86+BG86+BH86+BI86</f>
        <v>1685</v>
      </c>
      <c r="FO86" s="376">
        <f>BJ86+BK86+BL86+BM86</f>
        <v>624</v>
      </c>
      <c r="FP86" s="376">
        <f>BN86+BO86+BP86+BQ86</f>
        <v>466</v>
      </c>
      <c r="FQ86" s="376">
        <f>BR86+BS86+BT86+BU86</f>
        <v>148</v>
      </c>
      <c r="FR86" s="376">
        <f>BV86+BW86+BX86+BY86</f>
        <v>250</v>
      </c>
      <c r="FS86" s="376">
        <f>BZ86+CA86+CB86+CC86</f>
        <v>133</v>
      </c>
      <c r="FT86" s="376">
        <f>CD86+CE86+CF86+CG86</f>
        <v>84</v>
      </c>
      <c r="FU86" s="376">
        <f>CH86+CI86+CJ86+CK86</f>
        <v>95</v>
      </c>
      <c r="FV86" s="376">
        <f>CL86+CM86+CN86+CO86</f>
        <v>96</v>
      </c>
      <c r="FW86" s="376">
        <f>CP86+CQ86+CR86+CS86</f>
        <v>77</v>
      </c>
      <c r="FX86" s="376">
        <f>CT86+CU86+CV86+CW86</f>
        <v>113</v>
      </c>
      <c r="FY86" s="376">
        <f>CX86+CY86+CZ86+DA86</f>
        <v>163</v>
      </c>
      <c r="FZ86" s="376">
        <f>DB86+DC86+DD86+DE86</f>
        <v>217</v>
      </c>
      <c r="GA86" s="376">
        <f>SUM(DF86:DI86)</f>
        <v>294</v>
      </c>
      <c r="GB86" s="376">
        <f>SUM(DJ86:DM86)</f>
        <v>301</v>
      </c>
      <c r="GC86" s="376">
        <f>SUM(DN86:DQ86)</f>
        <v>450</v>
      </c>
      <c r="GD86" s="376">
        <f>SUM(DR86:DU86)</f>
        <v>546</v>
      </c>
      <c r="GE86" s="376">
        <f>SUM(DV86:DY86)</f>
        <v>636</v>
      </c>
      <c r="GF86" s="376">
        <f>SUM(DZ86:EC86)</f>
        <v>974</v>
      </c>
      <c r="GG86" s="380">
        <f>SUM(ED86:EG86)</f>
        <v>1556</v>
      </c>
      <c r="GH86" s="380">
        <f>SUM(EH86:EK86)</f>
        <v>1600</v>
      </c>
      <c r="GI86" s="380">
        <f>SUM(EL86:EO86)</f>
        <v>1600</v>
      </c>
      <c r="GJ86" s="380">
        <f>SUM(EP86:ES86)</f>
        <v>1600</v>
      </c>
      <c r="GK86" s="380">
        <f>SUM(ET86:EW86)</f>
        <v>1600</v>
      </c>
      <c r="GN86" s="70"/>
    </row>
    <row r="87" spans="1:196" s="382" customFormat="1">
      <c r="A87" s="381" t="s">
        <v>198</v>
      </c>
      <c r="C87" s="382">
        <f t="shared" ref="C87:BN87" si="209">C86/B86-1</f>
        <v>-0.21616827444238829</v>
      </c>
      <c r="D87" s="382">
        <f t="shared" si="209"/>
        <v>-2.1009988126004298E-2</v>
      </c>
      <c r="E87" s="382">
        <f t="shared" si="209"/>
        <v>0.2938742312467002</v>
      </c>
      <c r="F87" s="382">
        <f t="shared" si="209"/>
        <v>-0.41411178261061354</v>
      </c>
      <c r="G87" s="382">
        <f t="shared" si="209"/>
        <v>0.6362421413243986</v>
      </c>
      <c r="H87" s="382">
        <f t="shared" si="209"/>
        <v>0.75838347118846872</v>
      </c>
      <c r="I87" s="382">
        <f t="shared" si="209"/>
        <v>0.67377380586322611</v>
      </c>
      <c r="J87" s="382">
        <f t="shared" si="209"/>
        <v>-0.23392928337463537</v>
      </c>
      <c r="K87" s="382">
        <f t="shared" si="209"/>
        <v>-0.35290576049798461</v>
      </c>
      <c r="L87" s="382">
        <f t="shared" si="209"/>
        <v>0.29749889610799185</v>
      </c>
      <c r="M87" s="382">
        <f t="shared" si="209"/>
        <v>-0.18903824884232479</v>
      </c>
      <c r="N87" s="382">
        <f t="shared" si="209"/>
        <v>-0.28564149062923894</v>
      </c>
      <c r="O87" s="382">
        <f t="shared" si="209"/>
        <v>0.15723441974635222</v>
      </c>
      <c r="P87" s="382">
        <f t="shared" si="209"/>
        <v>0.30064903279609867</v>
      </c>
      <c r="Q87" s="382">
        <f t="shared" si="209"/>
        <v>-5.2960239746315252E-2</v>
      </c>
      <c r="R87" s="382">
        <f t="shared" si="209"/>
        <v>0.10823778755721736</v>
      </c>
      <c r="S87" s="382">
        <f t="shared" si="209"/>
        <v>6.4424877485158794E-2</v>
      </c>
      <c r="T87" s="382">
        <f t="shared" si="209"/>
        <v>-1.7536307830513409E-2</v>
      </c>
      <c r="U87" s="382">
        <f t="shared" si="209"/>
        <v>0.37616280915642752</v>
      </c>
      <c r="V87" s="382">
        <f t="shared" si="209"/>
        <v>-0.16377898258161283</v>
      </c>
      <c r="W87" s="382">
        <f t="shared" si="209"/>
        <v>0.7303426585002486</v>
      </c>
      <c r="X87" s="382">
        <f t="shared" si="209"/>
        <v>2.4563921043400549E-2</v>
      </c>
      <c r="Y87" s="382">
        <f t="shared" si="209"/>
        <v>-0.4395862966202192</v>
      </c>
      <c r="Z87" s="382">
        <f t="shared" si="209"/>
        <v>0.10960973469512503</v>
      </c>
      <c r="AA87" s="382">
        <f t="shared" si="209"/>
        <v>-0.2609701040576996</v>
      </c>
      <c r="AB87" s="382">
        <f t="shared" si="209"/>
        <v>-3.7249497131830456E-4</v>
      </c>
      <c r="AC87" s="382">
        <f t="shared" si="209"/>
        <v>-0.15494789902302131</v>
      </c>
      <c r="AD87" s="382">
        <f t="shared" si="209"/>
        <v>3.4467000192418107E-2</v>
      </c>
      <c r="AE87" s="382">
        <f t="shared" si="209"/>
        <v>0.24676230556395184</v>
      </c>
      <c r="AF87" s="382">
        <f t="shared" si="209"/>
        <v>0.7858590379570578</v>
      </c>
      <c r="AG87" s="382">
        <f t="shared" si="209"/>
        <v>-0.20532643655755289</v>
      </c>
      <c r="AH87" s="382">
        <f t="shared" si="209"/>
        <v>-0.28727490943814427</v>
      </c>
      <c r="AI87" s="382">
        <f t="shared" si="209"/>
        <v>0.32199025277636073</v>
      </c>
      <c r="AJ87" s="382">
        <f t="shared" si="209"/>
        <v>-0.23724227702749823</v>
      </c>
      <c r="AK87" s="382">
        <f t="shared" si="209"/>
        <v>-0.16516428662851257</v>
      </c>
      <c r="AL87" s="382">
        <f t="shared" si="209"/>
        <v>0.45343641859038897</v>
      </c>
      <c r="AM87" s="382">
        <f t="shared" si="209"/>
        <v>-0.13439620660729434</v>
      </c>
      <c r="AN87" s="382">
        <f t="shared" si="209"/>
        <v>0.13604948731191269</v>
      </c>
      <c r="AO87" s="382">
        <f t="shared" si="209"/>
        <v>-0.29527715914431052</v>
      </c>
      <c r="AP87" s="382">
        <f t="shared" si="209"/>
        <v>0.30827383756749871</v>
      </c>
      <c r="AQ87" s="382">
        <f t="shared" si="209"/>
        <v>-0.42890701178973489</v>
      </c>
      <c r="AR87" s="382">
        <f t="shared" si="209"/>
        <v>0.20255141637563057</v>
      </c>
      <c r="AS87" s="382">
        <f t="shared" si="209"/>
        <v>0.31318419800095199</v>
      </c>
      <c r="AT87" s="382">
        <f t="shared" si="209"/>
        <v>0.24121979837941776</v>
      </c>
      <c r="AU87" s="382">
        <f t="shared" si="209"/>
        <v>0.78652986681316706</v>
      </c>
      <c r="AV87" s="382">
        <f t="shared" si="209"/>
        <v>0.12684125519790146</v>
      </c>
      <c r="AW87" s="382">
        <f t="shared" si="209"/>
        <v>0.15643838445425629</v>
      </c>
      <c r="AX87" s="382">
        <f t="shared" si="209"/>
        <v>0.10224308483159339</v>
      </c>
      <c r="AY87" s="382">
        <f t="shared" si="209"/>
        <v>-0.41507930997238041</v>
      </c>
      <c r="AZ87" s="382">
        <f t="shared" si="209"/>
        <v>0.19465154238042626</v>
      </c>
      <c r="BA87" s="382">
        <f t="shared" si="209"/>
        <v>-9.1516329189391676E-2</v>
      </c>
      <c r="BB87" s="382">
        <f t="shared" si="209"/>
        <v>-5.7161086467764743E-2</v>
      </c>
      <c r="BC87" s="382">
        <f t="shared" si="209"/>
        <v>0.46737302062991826</v>
      </c>
      <c r="BD87" s="382">
        <f t="shared" si="209"/>
        <v>-6.691789425602368E-2</v>
      </c>
      <c r="BE87" s="382">
        <f t="shared" si="209"/>
        <v>0.56745714205021502</v>
      </c>
      <c r="BF87" s="382">
        <f t="shared" si="209"/>
        <v>-0.12012012012012008</v>
      </c>
      <c r="BG87" s="382">
        <f t="shared" si="209"/>
        <v>-0.29351535836177478</v>
      </c>
      <c r="BH87" s="382">
        <f t="shared" si="209"/>
        <v>1.2077294685990392E-2</v>
      </c>
      <c r="BI87" s="382">
        <f t="shared" si="209"/>
        <v>-0.3651551312649165</v>
      </c>
      <c r="BJ87" s="382">
        <f t="shared" si="209"/>
        <v>0.21428571428571419</v>
      </c>
      <c r="BK87" s="382">
        <f t="shared" si="209"/>
        <v>-0.67182662538699689</v>
      </c>
      <c r="BL87" s="382">
        <f t="shared" si="209"/>
        <v>-0.22641509433962259</v>
      </c>
      <c r="BM87" s="382">
        <f t="shared" si="209"/>
        <v>0.37804878048780477</v>
      </c>
      <c r="BN87" s="382">
        <f t="shared" si="209"/>
        <v>-0.25663716814159288</v>
      </c>
      <c r="BO87" s="382">
        <f t="shared" ref="BO87:DZ87" si="210">BO86/BN86-1</f>
        <v>0.33333333333333326</v>
      </c>
      <c r="BP87" s="382">
        <f t="shared" si="210"/>
        <v>-0.1339285714285714</v>
      </c>
      <c r="BQ87" s="382">
        <f t="shared" si="210"/>
        <v>0.78350515463917536</v>
      </c>
      <c r="BR87" s="382">
        <f t="shared" si="210"/>
        <v>-0.7225433526011561</v>
      </c>
      <c r="BS87" s="382">
        <f t="shared" si="210"/>
        <v>-0.35416666666666663</v>
      </c>
      <c r="BT87" s="382">
        <f t="shared" si="210"/>
        <v>0</v>
      </c>
      <c r="BU87" s="382">
        <f t="shared" si="210"/>
        <v>0.22580645161290325</v>
      </c>
      <c r="BV87" s="382">
        <f t="shared" si="210"/>
        <v>0</v>
      </c>
      <c r="BW87" s="382">
        <f t="shared" si="210"/>
        <v>0.76315789473684204</v>
      </c>
      <c r="BX87" s="382">
        <f t="shared" si="210"/>
        <v>-0.13432835820895528</v>
      </c>
      <c r="BY87" s="382">
        <f t="shared" si="210"/>
        <v>0.5</v>
      </c>
      <c r="BZ87" s="382">
        <f t="shared" si="210"/>
        <v>-0.54022988505747127</v>
      </c>
      <c r="CA87" s="382">
        <f t="shared" si="210"/>
        <v>-2.5000000000000022E-2</v>
      </c>
      <c r="CB87" s="382">
        <f t="shared" si="210"/>
        <v>-0.17948717948717952</v>
      </c>
      <c r="CC87" s="382">
        <f t="shared" si="210"/>
        <v>-0.3125</v>
      </c>
      <c r="CD87" s="382">
        <f t="shared" si="210"/>
        <v>-9.0909090909090939E-2</v>
      </c>
      <c r="CE87" s="382">
        <f t="shared" si="210"/>
        <v>0.39999999999999991</v>
      </c>
      <c r="CF87" s="382">
        <f t="shared" si="210"/>
        <v>-0.4642857142857143</v>
      </c>
      <c r="CG87" s="382">
        <f t="shared" si="210"/>
        <v>0.39999999999999991</v>
      </c>
      <c r="CH87" s="382">
        <f t="shared" si="210"/>
        <v>0</v>
      </c>
      <c r="CI87" s="382">
        <f t="shared" si="210"/>
        <v>9.5238095238095344E-2</v>
      </c>
      <c r="CJ87" s="382">
        <f t="shared" si="210"/>
        <v>0.26086956521739135</v>
      </c>
      <c r="CK87" s="382">
        <f t="shared" si="210"/>
        <v>-0.24137931034482762</v>
      </c>
      <c r="CL87" s="382">
        <f t="shared" si="210"/>
        <v>0</v>
      </c>
      <c r="CM87" s="382">
        <f t="shared" si="210"/>
        <v>-0.22727272727272729</v>
      </c>
      <c r="CN87" s="382">
        <f t="shared" si="210"/>
        <v>0.47058823529411775</v>
      </c>
      <c r="CO87" s="382">
        <f t="shared" si="210"/>
        <v>0.28000000000000003</v>
      </c>
      <c r="CP87" s="382">
        <f t="shared" si="210"/>
        <v>-0.1875</v>
      </c>
      <c r="CQ87" s="382">
        <f t="shared" si="210"/>
        <v>-0.19230769230769229</v>
      </c>
      <c r="CR87" s="382">
        <f t="shared" si="210"/>
        <v>-0.5714285714285714</v>
      </c>
      <c r="CS87" s="382">
        <f t="shared" si="210"/>
        <v>1.3333333333333335</v>
      </c>
      <c r="CT87" s="382">
        <f t="shared" si="210"/>
        <v>9.5238095238095344E-2</v>
      </c>
      <c r="CU87" s="382">
        <f t="shared" si="210"/>
        <v>-0.47826086956521741</v>
      </c>
      <c r="CV87" s="382">
        <f t="shared" si="210"/>
        <v>1.8333333333333335</v>
      </c>
      <c r="CW87" s="382">
        <f t="shared" si="210"/>
        <v>0.29411764705882359</v>
      </c>
      <c r="CX87" s="382">
        <f t="shared" si="210"/>
        <v>4.5454545454545414E-2</v>
      </c>
      <c r="CY87" s="382">
        <f t="shared" si="210"/>
        <v>-6.5217391304347783E-2</v>
      </c>
      <c r="CZ87" s="382">
        <f t="shared" si="210"/>
        <v>-0.23255813953488369</v>
      </c>
      <c r="DA87" s="382">
        <f t="shared" si="210"/>
        <v>0.24242424242424243</v>
      </c>
      <c r="DB87" s="382">
        <f t="shared" si="210"/>
        <v>0.51219512195121952</v>
      </c>
      <c r="DC87" s="382">
        <f t="shared" si="210"/>
        <v>-6.4516129032258118E-2</v>
      </c>
      <c r="DD87" s="382">
        <f t="shared" si="210"/>
        <v>-5.1724137931034475E-2</v>
      </c>
      <c r="DE87" s="382">
        <f t="shared" si="210"/>
        <v>-0.23636363636363633</v>
      </c>
      <c r="DF87" s="382">
        <f t="shared" si="210"/>
        <v>0.30952380952380953</v>
      </c>
      <c r="DG87" s="382">
        <f t="shared" si="210"/>
        <v>0.65454545454545454</v>
      </c>
      <c r="DH87" s="382">
        <f t="shared" si="210"/>
        <v>-0.18681318681318682</v>
      </c>
      <c r="DI87" s="382">
        <f t="shared" si="210"/>
        <v>0</v>
      </c>
      <c r="DJ87" s="383">
        <f t="shared" si="210"/>
        <v>-0.10810810810810811</v>
      </c>
      <c r="DK87" s="383">
        <f t="shared" si="210"/>
        <v>-3.0303030303030276E-2</v>
      </c>
      <c r="DL87" s="383">
        <f t="shared" si="210"/>
        <v>0.328125</v>
      </c>
      <c r="DM87" s="383">
        <f t="shared" si="210"/>
        <v>1.1764705882352899E-2</v>
      </c>
      <c r="DN87" s="383">
        <f t="shared" si="210"/>
        <v>-0.17441860465116277</v>
      </c>
      <c r="DO87" s="383">
        <f t="shared" si="210"/>
        <v>0.85915492957746475</v>
      </c>
      <c r="DP87" s="383">
        <f t="shared" si="210"/>
        <v>-6.8181818181818232E-2</v>
      </c>
      <c r="DQ87" s="383">
        <f t="shared" si="210"/>
        <v>8.1300813008129413E-3</v>
      </c>
      <c r="DR87" s="383">
        <f t="shared" si="210"/>
        <v>0.27419354838709675</v>
      </c>
      <c r="DS87" s="383">
        <f t="shared" si="210"/>
        <v>-0.20886075949367089</v>
      </c>
      <c r="DT87" s="383">
        <f t="shared" si="210"/>
        <v>-8.0000000000000071E-3</v>
      </c>
      <c r="DU87" s="383">
        <f t="shared" si="210"/>
        <v>0.12096774193548376</v>
      </c>
      <c r="DV87" s="382">
        <f t="shared" si="210"/>
        <v>2.1582733812949728E-2</v>
      </c>
      <c r="DW87" s="382">
        <f t="shared" si="210"/>
        <v>8.4507042253521236E-2</v>
      </c>
      <c r="DX87" s="382">
        <f t="shared" si="210"/>
        <v>-0.1428571428571429</v>
      </c>
      <c r="DY87" s="382">
        <f t="shared" si="210"/>
        <v>0.57575757575757569</v>
      </c>
      <c r="DZ87" s="382">
        <f t="shared" si="210"/>
        <v>1.9230769230769162E-2</v>
      </c>
      <c r="EA87" s="382">
        <f t="shared" ref="EA87:EW87" si="211">EA86/DZ86-1</f>
        <v>0.33018867924528306</v>
      </c>
      <c r="EB87" s="382">
        <f t="shared" si="211"/>
        <v>-8.5106382978723416E-2</v>
      </c>
      <c r="EC87" s="382">
        <f t="shared" si="211"/>
        <v>-0.13953488372093026</v>
      </c>
      <c r="ED87" s="382">
        <f t="shared" si="211"/>
        <v>0.75225225225225234</v>
      </c>
      <c r="EE87" s="384">
        <f t="shared" si="211"/>
        <v>0</v>
      </c>
      <c r="EF87" s="384">
        <f t="shared" si="211"/>
        <v>0</v>
      </c>
      <c r="EG87" s="384">
        <f t="shared" si="211"/>
        <v>0</v>
      </c>
      <c r="EH87" s="384">
        <f t="shared" si="211"/>
        <v>2.8277634961439535E-2</v>
      </c>
      <c r="EI87" s="384">
        <f t="shared" si="211"/>
        <v>0</v>
      </c>
      <c r="EJ87" s="384">
        <f t="shared" si="211"/>
        <v>0</v>
      </c>
      <c r="EK87" s="384">
        <f t="shared" si="211"/>
        <v>0</v>
      </c>
      <c r="EL87" s="384">
        <f t="shared" si="211"/>
        <v>0</v>
      </c>
      <c r="EM87" s="384">
        <f t="shared" si="211"/>
        <v>0</v>
      </c>
      <c r="EN87" s="384">
        <f t="shared" si="211"/>
        <v>0</v>
      </c>
      <c r="EO87" s="384">
        <f t="shared" si="211"/>
        <v>0</v>
      </c>
      <c r="EP87" s="384">
        <f t="shared" si="211"/>
        <v>0</v>
      </c>
      <c r="EQ87" s="384">
        <f t="shared" si="211"/>
        <v>0</v>
      </c>
      <c r="ER87" s="384">
        <f t="shared" si="211"/>
        <v>0</v>
      </c>
      <c r="ES87" s="384">
        <f t="shared" si="211"/>
        <v>0</v>
      </c>
      <c r="ET87" s="384">
        <f t="shared" si="211"/>
        <v>0</v>
      </c>
      <c r="EU87" s="384">
        <f t="shared" si="211"/>
        <v>0</v>
      </c>
      <c r="EV87" s="384">
        <f t="shared" si="211"/>
        <v>0</v>
      </c>
      <c r="EW87" s="384">
        <f t="shared" si="211"/>
        <v>0</v>
      </c>
      <c r="FZ87" s="386" t="s">
        <v>199</v>
      </c>
      <c r="GA87" s="386" t="s">
        <v>199</v>
      </c>
      <c r="GB87" s="386" t="s">
        <v>199</v>
      </c>
      <c r="GC87" s="386" t="s">
        <v>199</v>
      </c>
      <c r="GD87" s="386" t="s">
        <v>199</v>
      </c>
      <c r="GE87" s="386" t="s">
        <v>199</v>
      </c>
      <c r="GF87" s="386" t="s">
        <v>199</v>
      </c>
      <c r="GG87" s="386" t="s">
        <v>199</v>
      </c>
      <c r="GH87" s="386" t="s">
        <v>199</v>
      </c>
      <c r="GI87" s="386" t="s">
        <v>199</v>
      </c>
      <c r="GJ87" s="386" t="s">
        <v>199</v>
      </c>
      <c r="GK87" s="386" t="s">
        <v>199</v>
      </c>
      <c r="GN87" s="70"/>
    </row>
    <row r="88" spans="1:196" s="382" customFormat="1">
      <c r="A88" s="381" t="s">
        <v>200</v>
      </c>
      <c r="F88" s="382">
        <f t="shared" ref="F88:BQ88" si="212">F86/B86-1</f>
        <v>-0.41828812946883176</v>
      </c>
      <c r="G88" s="382">
        <f t="shared" si="212"/>
        <v>0.21431864217363938</v>
      </c>
      <c r="H88" s="382">
        <f t="shared" si="212"/>
        <v>1.1810619140708614</v>
      </c>
      <c r="I88" s="382">
        <f t="shared" si="212"/>
        <v>1.821452203449645</v>
      </c>
      <c r="J88" s="382">
        <f t="shared" si="212"/>
        <v>2.689154086511313</v>
      </c>
      <c r="K88" s="382">
        <f t="shared" si="212"/>
        <v>0.45897132076339942</v>
      </c>
      <c r="L88" s="382">
        <f t="shared" si="212"/>
        <v>7.6564759144526207E-2</v>
      </c>
      <c r="M88" s="382">
        <f t="shared" si="212"/>
        <v>-0.47839257655234924</v>
      </c>
      <c r="N88" s="382">
        <f t="shared" si="212"/>
        <v>-0.5136027348334099</v>
      </c>
      <c r="O88" s="382">
        <f t="shared" si="212"/>
        <v>-0.1301488677221978</v>
      </c>
      <c r="P88" s="382">
        <f t="shared" si="212"/>
        <v>-0.12803699697363757</v>
      </c>
      <c r="Q88" s="382">
        <f t="shared" si="212"/>
        <v>1.8276918926614316E-2</v>
      </c>
      <c r="R88" s="382">
        <f t="shared" si="212"/>
        <v>0.57972914852773028</v>
      </c>
      <c r="S88" s="382">
        <f t="shared" si="212"/>
        <v>0.4530357693214162</v>
      </c>
      <c r="T88" s="382">
        <f t="shared" si="212"/>
        <v>9.7571174687249629E-2</v>
      </c>
      <c r="U88" s="382">
        <f t="shared" si="212"/>
        <v>0.59490308052338037</v>
      </c>
      <c r="V88" s="382">
        <f t="shared" si="212"/>
        <v>0.20343439977688349</v>
      </c>
      <c r="W88" s="382">
        <f t="shared" si="212"/>
        <v>0.95631831112442001</v>
      </c>
      <c r="X88" s="382">
        <f t="shared" si="212"/>
        <v>1.0401498555417974</v>
      </c>
      <c r="Y88" s="382">
        <f t="shared" si="212"/>
        <v>-0.16919137155381292</v>
      </c>
      <c r="Z88" s="382">
        <f t="shared" si="212"/>
        <v>0.10242785410803967</v>
      </c>
      <c r="AA88" s="382">
        <f t="shared" si="212"/>
        <v>-0.5291527153289326</v>
      </c>
      <c r="AB88" s="382">
        <f t="shared" si="212"/>
        <v>-0.54061246276762964</v>
      </c>
      <c r="AC88" s="382">
        <f t="shared" si="212"/>
        <v>-0.30728602609173683</v>
      </c>
      <c r="AD88" s="382">
        <f t="shared" si="212"/>
        <v>-0.35419659347424592</v>
      </c>
      <c r="AE88" s="382">
        <f t="shared" si="212"/>
        <v>8.9486837382240614E-2</v>
      </c>
      <c r="AF88" s="382">
        <f t="shared" si="212"/>
        <v>0.94639493760078142</v>
      </c>
      <c r="AG88" s="382">
        <f t="shared" si="212"/>
        <v>0.83035886088127686</v>
      </c>
      <c r="AH88" s="382">
        <f t="shared" si="212"/>
        <v>0.26107713889340989</v>
      </c>
      <c r="AI88" s="382">
        <f t="shared" si="212"/>
        <v>0.33716882374149915</v>
      </c>
      <c r="AJ88" s="382">
        <f t="shared" si="212"/>
        <v>-0.42888222107740093</v>
      </c>
      <c r="AK88" s="382">
        <f t="shared" si="212"/>
        <v>-0.40001839708800369</v>
      </c>
      <c r="AL88" s="382">
        <f t="shared" si="212"/>
        <v>0.22352239833326171</v>
      </c>
      <c r="AM88" s="382">
        <f t="shared" si="212"/>
        <v>-0.19887031914646325</v>
      </c>
      <c r="AN88" s="382">
        <f t="shared" si="212"/>
        <v>0.19320058754334979</v>
      </c>
      <c r="AO88" s="382">
        <f t="shared" si="212"/>
        <v>7.2349496984827066E-3</v>
      </c>
      <c r="AP88" s="382">
        <f t="shared" si="212"/>
        <v>-9.3363069674457289E-2</v>
      </c>
      <c r="AQ88" s="382">
        <f t="shared" si="212"/>
        <v>-0.40183488368044473</v>
      </c>
      <c r="AR88" s="382">
        <f t="shared" si="212"/>
        <v>-0.36681956561714646</v>
      </c>
      <c r="AS88" s="382">
        <f t="shared" si="212"/>
        <v>0.17987170659225149</v>
      </c>
      <c r="AT88" s="382">
        <f t="shared" si="212"/>
        <v>0.11939876783973036</v>
      </c>
      <c r="AU88" s="382">
        <f t="shared" si="212"/>
        <v>2.5017753201396964</v>
      </c>
      <c r="AV88" s="382">
        <f t="shared" si="212"/>
        <v>2.2813107559757664</v>
      </c>
      <c r="AW88" s="382">
        <f t="shared" si="212"/>
        <v>1.889643140169921</v>
      </c>
      <c r="AX88" s="382">
        <f t="shared" si="212"/>
        <v>1.5660960073646231</v>
      </c>
      <c r="AY88" s="382">
        <f t="shared" si="212"/>
        <v>-0.15984463781606417</v>
      </c>
      <c r="AZ88" s="382">
        <f t="shared" si="212"/>
        <v>-0.10928633945342103</v>
      </c>
      <c r="BA88" s="382">
        <f t="shared" si="212"/>
        <v>-0.30026638093962488</v>
      </c>
      <c r="BB88" s="382">
        <f t="shared" si="212"/>
        <v>-0.40146044530852187</v>
      </c>
      <c r="BC88" s="382">
        <f t="shared" si="212"/>
        <v>0.50153825861870005</v>
      </c>
      <c r="BD88" s="382">
        <f t="shared" si="212"/>
        <v>0.17277585178969712</v>
      </c>
      <c r="BE88" s="382">
        <f t="shared" si="212"/>
        <v>1.0234550647141027</v>
      </c>
      <c r="BF88" s="382">
        <f t="shared" si="212"/>
        <v>0.88833678132028893</v>
      </c>
      <c r="BG88" s="382">
        <f t="shared" si="212"/>
        <v>-9.0837220333623292E-2</v>
      </c>
      <c r="BH88" s="382">
        <f t="shared" si="212"/>
        <v>-1.3867053274714602E-2</v>
      </c>
      <c r="BI88" s="382">
        <f t="shared" si="212"/>
        <v>-0.60060060060060061</v>
      </c>
      <c r="BJ88" s="382">
        <f t="shared" si="212"/>
        <v>-0.44880546075085326</v>
      </c>
      <c r="BK88" s="382">
        <f t="shared" si="212"/>
        <v>-0.7439613526570048</v>
      </c>
      <c r="BL88" s="382">
        <f t="shared" si="212"/>
        <v>-0.80429594272076366</v>
      </c>
      <c r="BM88" s="382">
        <f t="shared" si="212"/>
        <v>-0.57518796992481203</v>
      </c>
      <c r="BN88" s="382">
        <f t="shared" si="212"/>
        <v>-0.73993808049535603</v>
      </c>
      <c r="BO88" s="382">
        <f t="shared" si="212"/>
        <v>5.6603773584905648E-2</v>
      </c>
      <c r="BP88" s="382">
        <f t="shared" si="212"/>
        <v>0.18292682926829262</v>
      </c>
      <c r="BQ88" s="382">
        <f t="shared" si="212"/>
        <v>0.53097345132743357</v>
      </c>
      <c r="BR88" s="382">
        <f t="shared" ref="BR88:EC88" si="213">BR86/BN86-1</f>
        <v>-0.4285714285714286</v>
      </c>
      <c r="BS88" s="382">
        <f t="shared" si="213"/>
        <v>-0.7232142857142857</v>
      </c>
      <c r="BT88" s="382">
        <f t="shared" si="213"/>
        <v>-0.68041237113402064</v>
      </c>
      <c r="BU88" s="382">
        <f t="shared" si="213"/>
        <v>-0.78034682080924855</v>
      </c>
      <c r="BV88" s="382">
        <f t="shared" si="213"/>
        <v>-0.20833333333333337</v>
      </c>
      <c r="BW88" s="382">
        <f t="shared" si="213"/>
        <v>1.161290322580645</v>
      </c>
      <c r="BX88" s="382">
        <f t="shared" si="213"/>
        <v>0.87096774193548376</v>
      </c>
      <c r="BY88" s="382">
        <f t="shared" si="213"/>
        <v>1.2894736842105261</v>
      </c>
      <c r="BZ88" s="382">
        <f t="shared" si="213"/>
        <v>5.2631578947368363E-2</v>
      </c>
      <c r="CA88" s="382">
        <f t="shared" si="213"/>
        <v>-0.41791044776119401</v>
      </c>
      <c r="CB88" s="382">
        <f t="shared" si="213"/>
        <v>-0.44827586206896552</v>
      </c>
      <c r="CC88" s="382">
        <f t="shared" si="213"/>
        <v>-0.74712643678160917</v>
      </c>
      <c r="CD88" s="382">
        <f t="shared" si="213"/>
        <v>-0.5</v>
      </c>
      <c r="CE88" s="382">
        <f t="shared" si="213"/>
        <v>-0.28205128205128205</v>
      </c>
      <c r="CF88" s="382">
        <f t="shared" si="213"/>
        <v>-0.53125</v>
      </c>
      <c r="CG88" s="382">
        <f t="shared" si="213"/>
        <v>-4.5454545454545414E-2</v>
      </c>
      <c r="CH88" s="382">
        <f t="shared" si="213"/>
        <v>5.0000000000000044E-2</v>
      </c>
      <c r="CI88" s="382">
        <f t="shared" si="213"/>
        <v>-0.1785714285714286</v>
      </c>
      <c r="CJ88" s="382">
        <f t="shared" si="213"/>
        <v>0.93333333333333335</v>
      </c>
      <c r="CK88" s="382">
        <f t="shared" si="213"/>
        <v>4.7619047619047672E-2</v>
      </c>
      <c r="CL88" s="382">
        <f t="shared" si="213"/>
        <v>4.7619047619047672E-2</v>
      </c>
      <c r="CM88" s="382">
        <f t="shared" si="213"/>
        <v>-0.26086956521739135</v>
      </c>
      <c r="CN88" s="382">
        <f t="shared" si="213"/>
        <v>-0.13793103448275867</v>
      </c>
      <c r="CO88" s="382">
        <f t="shared" si="213"/>
        <v>0.45454545454545459</v>
      </c>
      <c r="CP88" s="382">
        <f t="shared" si="213"/>
        <v>0.18181818181818188</v>
      </c>
      <c r="CQ88" s="382">
        <f t="shared" si="213"/>
        <v>0.23529411764705888</v>
      </c>
      <c r="CR88" s="382">
        <f t="shared" si="213"/>
        <v>-0.64</v>
      </c>
      <c r="CS88" s="382">
        <f t="shared" si="213"/>
        <v>-0.34375</v>
      </c>
      <c r="CT88" s="382">
        <f t="shared" si="213"/>
        <v>-0.11538461538461542</v>
      </c>
      <c r="CU88" s="382">
        <f t="shared" si="213"/>
        <v>-0.4285714285714286</v>
      </c>
      <c r="CV88" s="382">
        <f t="shared" si="213"/>
        <v>2.7777777777777777</v>
      </c>
      <c r="CW88" s="382">
        <f t="shared" si="213"/>
        <v>1.0952380952380953</v>
      </c>
      <c r="CX88" s="382">
        <f t="shared" si="213"/>
        <v>1</v>
      </c>
      <c r="CY88" s="382">
        <f t="shared" si="213"/>
        <v>2.5833333333333335</v>
      </c>
      <c r="CZ88" s="382">
        <f t="shared" si="213"/>
        <v>-2.9411764705882359E-2</v>
      </c>
      <c r="DA88" s="382">
        <f t="shared" si="213"/>
        <v>-6.8181818181818232E-2</v>
      </c>
      <c r="DB88" s="382">
        <f t="shared" si="213"/>
        <v>0.34782608695652173</v>
      </c>
      <c r="DC88" s="382">
        <f t="shared" si="213"/>
        <v>0.34883720930232553</v>
      </c>
      <c r="DD88" s="382">
        <f t="shared" si="213"/>
        <v>0.66666666666666674</v>
      </c>
      <c r="DE88" s="382">
        <f t="shared" si="213"/>
        <v>2.4390243902439046E-2</v>
      </c>
      <c r="DF88" s="382">
        <f t="shared" si="213"/>
        <v>-0.11290322580645162</v>
      </c>
      <c r="DG88" s="382">
        <f t="shared" si="213"/>
        <v>0.56896551724137923</v>
      </c>
      <c r="DH88" s="382">
        <f t="shared" si="213"/>
        <v>0.34545454545454546</v>
      </c>
      <c r="DI88" s="382">
        <f t="shared" si="213"/>
        <v>0.76190476190476186</v>
      </c>
      <c r="DJ88" s="383">
        <f t="shared" si="213"/>
        <v>0.19999999999999996</v>
      </c>
      <c r="DK88" s="383">
        <f t="shared" si="213"/>
        <v>-0.29670329670329665</v>
      </c>
      <c r="DL88" s="383">
        <f t="shared" si="213"/>
        <v>0.14864864864864868</v>
      </c>
      <c r="DM88" s="383">
        <f t="shared" si="213"/>
        <v>0.16216216216216206</v>
      </c>
      <c r="DN88" s="383">
        <f t="shared" si="213"/>
        <v>7.575757575757569E-2</v>
      </c>
      <c r="DO88" s="383">
        <f t="shared" si="213"/>
        <v>1.0625</v>
      </c>
      <c r="DP88" s="383">
        <f t="shared" si="213"/>
        <v>0.44705882352941173</v>
      </c>
      <c r="DQ88" s="383">
        <f t="shared" si="213"/>
        <v>0.44186046511627897</v>
      </c>
      <c r="DR88" s="383">
        <f t="shared" si="213"/>
        <v>1.2253521126760565</v>
      </c>
      <c r="DS88" s="383">
        <f t="shared" si="213"/>
        <v>-5.3030303030302983E-2</v>
      </c>
      <c r="DT88" s="383">
        <f t="shared" si="213"/>
        <v>8.1300813008129413E-3</v>
      </c>
      <c r="DU88" s="383">
        <f t="shared" si="213"/>
        <v>0.12096774193548376</v>
      </c>
      <c r="DV88" s="382">
        <f t="shared" si="213"/>
        <v>-0.10126582278481011</v>
      </c>
      <c r="DW88" s="382">
        <f t="shared" si="213"/>
        <v>0.23199999999999998</v>
      </c>
      <c r="DX88" s="382">
        <f t="shared" si="213"/>
        <v>6.4516129032258007E-2</v>
      </c>
      <c r="DY88" s="382">
        <f t="shared" si="213"/>
        <v>0.49640287769784175</v>
      </c>
      <c r="DZ88" s="382">
        <f t="shared" si="213"/>
        <v>0.49295774647887325</v>
      </c>
      <c r="EA88" s="382">
        <f t="shared" si="213"/>
        <v>0.83116883116883122</v>
      </c>
      <c r="EB88" s="382">
        <f t="shared" si="213"/>
        <v>0.95454545454545459</v>
      </c>
      <c r="EC88" s="382">
        <f t="shared" si="213"/>
        <v>6.7307692307692291E-2</v>
      </c>
      <c r="ED88" s="382">
        <f t="shared" ref="ED88:EW88" si="214">ED86/DZ86-1</f>
        <v>0.83490566037735858</v>
      </c>
      <c r="EE88" s="384">
        <f t="shared" si="214"/>
        <v>0.37943262411347511</v>
      </c>
      <c r="EF88" s="384">
        <f t="shared" si="214"/>
        <v>0.50775193798449614</v>
      </c>
      <c r="EG88" s="384">
        <f t="shared" si="214"/>
        <v>0.75225225225225234</v>
      </c>
      <c r="EH88" s="384">
        <f t="shared" si="214"/>
        <v>2.8277634961439535E-2</v>
      </c>
      <c r="EI88" s="384">
        <f t="shared" si="214"/>
        <v>2.8277634961439535E-2</v>
      </c>
      <c r="EJ88" s="384">
        <f t="shared" si="214"/>
        <v>2.8277634961439535E-2</v>
      </c>
      <c r="EK88" s="384">
        <f t="shared" si="214"/>
        <v>2.8277634961439535E-2</v>
      </c>
      <c r="EL88" s="384">
        <f t="shared" si="214"/>
        <v>0</v>
      </c>
      <c r="EM88" s="384">
        <f t="shared" si="214"/>
        <v>0</v>
      </c>
      <c r="EN88" s="384">
        <f t="shared" si="214"/>
        <v>0</v>
      </c>
      <c r="EO88" s="384">
        <f t="shared" si="214"/>
        <v>0</v>
      </c>
      <c r="EP88" s="384">
        <f t="shared" si="214"/>
        <v>0</v>
      </c>
      <c r="EQ88" s="384">
        <f t="shared" si="214"/>
        <v>0</v>
      </c>
      <c r="ER88" s="384">
        <f t="shared" si="214"/>
        <v>0</v>
      </c>
      <c r="ES88" s="384">
        <f t="shared" si="214"/>
        <v>0</v>
      </c>
      <c r="ET88" s="384">
        <f t="shared" si="214"/>
        <v>0</v>
      </c>
      <c r="EU88" s="384">
        <f t="shared" si="214"/>
        <v>0</v>
      </c>
      <c r="EV88" s="384">
        <f t="shared" si="214"/>
        <v>0</v>
      </c>
      <c r="EW88" s="384">
        <f t="shared" si="214"/>
        <v>0</v>
      </c>
      <c r="FA88" s="382">
        <f t="shared" ref="FA88:GG88" si="215">FA86/EZ86-1</f>
        <v>0.69538015688867327</v>
      </c>
      <c r="FB88" s="382">
        <f t="shared" si="215"/>
        <v>0.1313422336908785</v>
      </c>
      <c r="FC88" s="382">
        <f t="shared" si="215"/>
        <v>-0.21873988225155649</v>
      </c>
      <c r="FD88" s="382">
        <f t="shared" si="215"/>
        <v>0.41252489598324193</v>
      </c>
      <c r="FE88" s="382">
        <f t="shared" si="215"/>
        <v>0.4540505035761202</v>
      </c>
      <c r="FF88" s="382">
        <f t="shared" si="215"/>
        <v>-0.37784514691267546</v>
      </c>
      <c r="FG88" s="382">
        <f t="shared" si="215"/>
        <v>0.29962954118611362</v>
      </c>
      <c r="FH88" s="382">
        <f t="shared" si="215"/>
        <v>-0.15718570680121269</v>
      </c>
      <c r="FI88" s="382">
        <f t="shared" si="215"/>
        <v>3.8714619254196503E-2</v>
      </c>
      <c r="FJ88" s="382">
        <f t="shared" si="215"/>
        <v>-0.19120977611760381</v>
      </c>
      <c r="FK88" s="382">
        <f t="shared" si="215"/>
        <v>1.5251562291782097</v>
      </c>
      <c r="FL88" s="382">
        <f t="shared" si="215"/>
        <v>5.071461951189371E-2</v>
      </c>
      <c r="FM88" s="382">
        <f t="shared" si="215"/>
        <v>0.22694629100572117</v>
      </c>
      <c r="FN88" s="382">
        <f t="shared" si="215"/>
        <v>-9.241821799414196E-2</v>
      </c>
      <c r="FO88" s="382">
        <f t="shared" si="215"/>
        <v>-0.62967359050445104</v>
      </c>
      <c r="FP88" s="382">
        <f t="shared" si="215"/>
        <v>-0.25320512820512819</v>
      </c>
      <c r="FQ88" s="382">
        <f t="shared" si="215"/>
        <v>-0.68240343347639487</v>
      </c>
      <c r="FR88" s="382">
        <f t="shared" si="215"/>
        <v>0.68918918918918926</v>
      </c>
      <c r="FS88" s="382">
        <f t="shared" si="215"/>
        <v>-0.46799999999999997</v>
      </c>
      <c r="FT88" s="382">
        <f t="shared" si="215"/>
        <v>-0.36842105263157898</v>
      </c>
      <c r="FU88" s="382">
        <f t="shared" si="215"/>
        <v>0.13095238095238093</v>
      </c>
      <c r="FV88" s="382">
        <f t="shared" si="215"/>
        <v>1.0526315789473717E-2</v>
      </c>
      <c r="FW88" s="382">
        <f t="shared" si="215"/>
        <v>-0.19791666666666663</v>
      </c>
      <c r="FX88" s="382">
        <f t="shared" si="215"/>
        <v>0.46753246753246747</v>
      </c>
      <c r="FY88" s="382">
        <f t="shared" si="215"/>
        <v>0.44247787610619471</v>
      </c>
      <c r="FZ88" s="382">
        <f t="shared" si="215"/>
        <v>0.33128834355828229</v>
      </c>
      <c r="GA88" s="382">
        <f t="shared" si="215"/>
        <v>0.35483870967741926</v>
      </c>
      <c r="GB88" s="382">
        <f t="shared" si="215"/>
        <v>2.3809523809523725E-2</v>
      </c>
      <c r="GC88" s="382">
        <f t="shared" si="215"/>
        <v>0.49501661129568109</v>
      </c>
      <c r="GD88" s="382">
        <f t="shared" si="215"/>
        <v>0.21333333333333337</v>
      </c>
      <c r="GE88" s="382">
        <f t="shared" si="215"/>
        <v>0.16483516483516492</v>
      </c>
      <c r="GF88" s="382">
        <f t="shared" si="215"/>
        <v>0.53144654088050314</v>
      </c>
      <c r="GG88" s="384">
        <f t="shared" si="215"/>
        <v>0.59753593429158114</v>
      </c>
      <c r="GH88" s="384">
        <f>GH86/GG86-1</f>
        <v>2.8277634961439535E-2</v>
      </c>
      <c r="GI88" s="384">
        <f t="shared" ref="GI88:GK88" si="216">GI86/GH86-1</f>
        <v>0</v>
      </c>
      <c r="GJ88" s="384">
        <f t="shared" si="216"/>
        <v>0</v>
      </c>
      <c r="GK88" s="384">
        <f t="shared" si="216"/>
        <v>0</v>
      </c>
      <c r="GN88" s="70"/>
    </row>
    <row r="89" spans="1:196" s="382" customFormat="1">
      <c r="A89" s="381" t="s">
        <v>202</v>
      </c>
      <c r="B89" s="66">
        <f t="shared" ref="B89:BM89" si="217">B86/B4</f>
        <v>0.22415219189412738</v>
      </c>
      <c r="C89" s="66">
        <f t="shared" si="217"/>
        <v>0.17498508892865178</v>
      </c>
      <c r="D89" s="66">
        <f t="shared" si="217"/>
        <v>0.16751722835609331</v>
      </c>
      <c r="E89" s="66">
        <f t="shared" si="217"/>
        <v>0.21933991930411895</v>
      </c>
      <c r="F89" s="66">
        <f t="shared" si="217"/>
        <v>0.10354330708661416</v>
      </c>
      <c r="G89" s="66">
        <f t="shared" si="217"/>
        <v>0.16299922932249758</v>
      </c>
      <c r="H89" s="66">
        <f t="shared" si="217"/>
        <v>0.2814344686382601</v>
      </c>
      <c r="I89" s="66">
        <f t="shared" si="217"/>
        <v>0.46928286326416802</v>
      </c>
      <c r="J89" s="66">
        <f t="shared" si="217"/>
        <v>0.31606396428940037</v>
      </c>
      <c r="K89" s="66">
        <f t="shared" si="217"/>
        <v>0.20252501541006748</v>
      </c>
      <c r="L89" s="66">
        <f t="shared" si="217"/>
        <v>0.27872320604351392</v>
      </c>
      <c r="M89" s="66">
        <f t="shared" si="217"/>
        <v>0.2250260948452775</v>
      </c>
      <c r="N89" s="66">
        <f t="shared" si="217"/>
        <v>0.17516886801467074</v>
      </c>
      <c r="O89" s="66">
        <f t="shared" si="217"/>
        <v>0.24241611859091977</v>
      </c>
      <c r="P89" s="66">
        <f t="shared" si="217"/>
        <v>0.31406639203960934</v>
      </c>
      <c r="Q89" s="66">
        <f t="shared" si="217"/>
        <v>0.27348511073363541</v>
      </c>
      <c r="R89" s="66">
        <f t="shared" si="217"/>
        <v>0.27281571162266594</v>
      </c>
      <c r="S89" s="66">
        <f t="shared" si="217"/>
        <v>0.26960395989646141</v>
      </c>
      <c r="T89" s="66">
        <f t="shared" si="217"/>
        <v>0.26395136798492908</v>
      </c>
      <c r="U89" s="66">
        <f t="shared" si="217"/>
        <v>0.3534495271302785</v>
      </c>
      <c r="V89" s="66">
        <f t="shared" si="217"/>
        <v>0.33507994734273078</v>
      </c>
      <c r="W89" s="66">
        <f t="shared" si="217"/>
        <v>0.59556955053576388</v>
      </c>
      <c r="X89" s="66">
        <f t="shared" si="217"/>
        <v>0.46840698791562368</v>
      </c>
      <c r="Y89" s="66">
        <f t="shared" si="217"/>
        <v>0.2282612002738266</v>
      </c>
      <c r="Z89" s="66">
        <f t="shared" si="217"/>
        <v>0.31633187828237491</v>
      </c>
      <c r="AA89" s="66">
        <f t="shared" si="217"/>
        <v>0.24811085028120899</v>
      </c>
      <c r="AB89" s="66">
        <f t="shared" si="217"/>
        <v>0.2228930582066832</v>
      </c>
      <c r="AC89" s="66">
        <f t="shared" si="217"/>
        <v>0.12875680028078584</v>
      </c>
      <c r="AD89" s="66">
        <f t="shared" si="217"/>
        <v>0.11815345563167277</v>
      </c>
      <c r="AE89" s="66">
        <f t="shared" si="217"/>
        <v>0.13744097290157437</v>
      </c>
      <c r="AF89" s="66">
        <f t="shared" si="217"/>
        <v>0.23810388140058966</v>
      </c>
      <c r="AG89" s="66">
        <f t="shared" si="217"/>
        <v>0.19426688178411333</v>
      </c>
      <c r="AH89" s="66">
        <f t="shared" si="217"/>
        <v>0.13687773765149353</v>
      </c>
      <c r="AI89" s="66">
        <f t="shared" si="217"/>
        <v>0.21832219587846505</v>
      </c>
      <c r="AJ89" s="66">
        <f t="shared" si="217"/>
        <v>0.21423087469152727</v>
      </c>
      <c r="AK89" s="66">
        <f t="shared" si="217"/>
        <v>0.14389944877100205</v>
      </c>
      <c r="AL89" s="66">
        <f t="shared" si="217"/>
        <v>0.22069499918521007</v>
      </c>
      <c r="AM89" s="66">
        <f t="shared" si="217"/>
        <v>0.28706861080894691</v>
      </c>
      <c r="AN89" s="66">
        <f t="shared" si="217"/>
        <v>0.38520582338207138</v>
      </c>
      <c r="AO89" s="66">
        <f t="shared" si="217"/>
        <v>0.20098917588100759</v>
      </c>
      <c r="AP89" s="66">
        <f t="shared" si="217"/>
        <v>0.25259917011286748</v>
      </c>
      <c r="AQ89" s="66">
        <f t="shared" si="217"/>
        <v>0.15974931074402454</v>
      </c>
      <c r="AR89" s="66">
        <f t="shared" si="217"/>
        <v>0.1299688915124261</v>
      </c>
      <c r="AS89" s="66">
        <f t="shared" si="217"/>
        <v>0.13502152052973102</v>
      </c>
      <c r="AT89" s="66">
        <f t="shared" si="217"/>
        <v>0.16341119979812896</v>
      </c>
      <c r="AU89" s="66">
        <f t="shared" si="217"/>
        <v>0.28606151190684692</v>
      </c>
      <c r="AV89" s="66">
        <f t="shared" si="217"/>
        <v>0.32816575618878885</v>
      </c>
      <c r="AW89" s="66">
        <f t="shared" si="217"/>
        <v>0.37222186173049737</v>
      </c>
      <c r="AX89" s="66">
        <f t="shared" si="217"/>
        <v>0.42268071493557952</v>
      </c>
      <c r="AY89" s="66">
        <f t="shared" si="217"/>
        <v>0.24070217268107927</v>
      </c>
      <c r="AZ89" s="66">
        <f t="shared" si="217"/>
        <v>0.23792139904318155</v>
      </c>
      <c r="BA89" s="66">
        <f t="shared" si="217"/>
        <v>0.17904819515676651</v>
      </c>
      <c r="BB89" s="66">
        <f t="shared" si="217"/>
        <v>0.23294984528862195</v>
      </c>
      <c r="BC89" s="66">
        <f t="shared" si="217"/>
        <v>0.37436398718478886</v>
      </c>
      <c r="BD89" s="66">
        <f t="shared" si="217"/>
        <v>0.32003989087255258</v>
      </c>
      <c r="BE89" s="66">
        <f t="shared" si="217"/>
        <v>0.37563451776649748</v>
      </c>
      <c r="BF89" s="66">
        <f t="shared" si="217"/>
        <v>0.47526358475263586</v>
      </c>
      <c r="BG89" s="66">
        <f t="shared" si="217"/>
        <v>0.30043541364296084</v>
      </c>
      <c r="BH89" s="66">
        <f t="shared" si="217"/>
        <v>0.25674019607843135</v>
      </c>
      <c r="BI89" s="66">
        <f t="shared" si="217"/>
        <v>0.15028248587570622</v>
      </c>
      <c r="BJ89" s="66">
        <f t="shared" si="217"/>
        <v>0.21461794019933556</v>
      </c>
      <c r="BK89" s="66">
        <f t="shared" si="217"/>
        <v>7.8576723498888071E-2</v>
      </c>
      <c r="BL89" s="66">
        <f t="shared" si="217"/>
        <v>5.1058530510585308E-2</v>
      </c>
      <c r="BM89" s="66">
        <f t="shared" si="217"/>
        <v>9.72461273666093E-2</v>
      </c>
      <c r="BN89" s="66">
        <f t="shared" ref="BN89:DY89" si="218">BN86/BN4</f>
        <v>7.1367884451996599E-2</v>
      </c>
      <c r="BO89" s="66">
        <f t="shared" si="218"/>
        <v>9.45945945945946E-2</v>
      </c>
      <c r="BP89" s="66">
        <f t="shared" si="218"/>
        <v>6.9484240687679083E-2</v>
      </c>
      <c r="BQ89" s="66">
        <f t="shared" si="218"/>
        <v>0.10510328068043742</v>
      </c>
      <c r="BR89" s="66">
        <f t="shared" si="218"/>
        <v>3.0495552731893267E-2</v>
      </c>
      <c r="BS89" s="66">
        <f t="shared" si="218"/>
        <v>1.8753781004234724E-2</v>
      </c>
      <c r="BT89" s="66">
        <f t="shared" si="218"/>
        <v>1.9159456118665017E-2</v>
      </c>
      <c r="BU89" s="66">
        <f t="shared" si="218"/>
        <v>2.3044269254093391E-2</v>
      </c>
      <c r="BV89" s="66">
        <f t="shared" si="218"/>
        <v>2.3558586484810913E-2</v>
      </c>
      <c r="BW89" s="66">
        <f t="shared" si="218"/>
        <v>4.2566709021601014E-2</v>
      </c>
      <c r="BX89" s="66">
        <f t="shared" si="218"/>
        <v>3.4319526627218933E-2</v>
      </c>
      <c r="BY89" s="66">
        <f t="shared" si="218"/>
        <v>5.1448846836191602E-2</v>
      </c>
      <c r="BZ89" s="66">
        <f t="shared" si="218"/>
        <v>2.5236593059936908E-2</v>
      </c>
      <c r="CA89" s="66">
        <f t="shared" si="218"/>
        <v>2.7600849256900213E-2</v>
      </c>
      <c r="CB89" s="66">
        <f t="shared" si="218"/>
        <v>2.5216706067769899E-2</v>
      </c>
      <c r="CC89" s="66">
        <f t="shared" si="218"/>
        <v>1.9047619047619049E-2</v>
      </c>
      <c r="CD89" s="66">
        <f t="shared" si="218"/>
        <v>1.8382352941176471E-2</v>
      </c>
      <c r="CE89" s="66">
        <f t="shared" si="218"/>
        <v>2.4117140396210164E-2</v>
      </c>
      <c r="CF89" s="66">
        <f t="shared" si="218"/>
        <v>1.0266940451745379E-2</v>
      </c>
      <c r="CG89" s="66">
        <f t="shared" si="218"/>
        <v>1.3215859030837005E-2</v>
      </c>
      <c r="CH89" s="66">
        <f t="shared" si="218"/>
        <v>1.5032211882605583E-2</v>
      </c>
      <c r="CI89" s="66">
        <f t="shared" si="218"/>
        <v>1.5961138098542677E-2</v>
      </c>
      <c r="CJ89" s="66">
        <f t="shared" si="218"/>
        <v>2.0293911826452064E-2</v>
      </c>
      <c r="CK89" s="66">
        <f t="shared" si="218"/>
        <v>1.7756255044390639E-2</v>
      </c>
      <c r="CL89" s="66">
        <f t="shared" si="218"/>
        <v>2.1359223300970873E-2</v>
      </c>
      <c r="CM89" s="66">
        <f t="shared" si="218"/>
        <v>1.8046709129511677E-2</v>
      </c>
      <c r="CN89" s="66">
        <f t="shared" si="218"/>
        <v>2.35626767200754E-2</v>
      </c>
      <c r="CO89" s="66">
        <f t="shared" si="218"/>
        <v>3.3402922755741124E-2</v>
      </c>
      <c r="CP89" s="66">
        <f t="shared" si="218"/>
        <v>3.125E-2</v>
      </c>
      <c r="CQ89" s="66">
        <f t="shared" si="218"/>
        <v>2.0447906523855891E-2</v>
      </c>
      <c r="CR89" s="66">
        <f t="shared" si="218"/>
        <v>6.8859984697781174E-3</v>
      </c>
      <c r="CS89" s="66">
        <f t="shared" si="218"/>
        <v>1.8987341772151899E-2</v>
      </c>
      <c r="CT89" s="66">
        <f t="shared" si="218"/>
        <v>2.3373983739837397E-2</v>
      </c>
      <c r="CU89" s="66">
        <f t="shared" si="218"/>
        <v>9.8199672667757774E-3</v>
      </c>
      <c r="CV89" s="66">
        <f t="shared" si="218"/>
        <v>2.0693852708460133E-2</v>
      </c>
      <c r="CW89" s="66">
        <f t="shared" si="218"/>
        <v>2.9729729729729731E-2</v>
      </c>
      <c r="CX89" s="66">
        <f t="shared" si="218"/>
        <v>2.7929568913175471E-2</v>
      </c>
      <c r="CY89" s="66">
        <f t="shared" si="218"/>
        <v>2.44874715261959E-2</v>
      </c>
      <c r="CZ89" s="66">
        <f t="shared" si="218"/>
        <v>1.9963702359346643E-2</v>
      </c>
      <c r="DA89" s="66">
        <f t="shared" si="218"/>
        <v>2.8893587033121917E-2</v>
      </c>
      <c r="DB89" s="66">
        <f t="shared" si="218"/>
        <v>4.8742138364779877E-2</v>
      </c>
      <c r="DC89" s="66">
        <f t="shared" si="218"/>
        <v>3.7883736120182886E-2</v>
      </c>
      <c r="DD89" s="66">
        <f t="shared" si="218"/>
        <v>3.0538589672404221E-2</v>
      </c>
      <c r="DE89" s="66">
        <f t="shared" si="218"/>
        <v>1.9746121297602257E-2</v>
      </c>
      <c r="DF89" s="66">
        <f t="shared" si="218"/>
        <v>3.0795072788353865E-2</v>
      </c>
      <c r="DG89" s="66">
        <f t="shared" si="218"/>
        <v>4.710144927536232E-2</v>
      </c>
      <c r="DH89" s="66">
        <f t="shared" si="218"/>
        <v>2.6419136022848982E-2</v>
      </c>
      <c r="DI89" s="66">
        <f t="shared" si="218"/>
        <v>2.281134401972873E-2</v>
      </c>
      <c r="DJ89" s="33">
        <f t="shared" si="218"/>
        <v>1.9158200290275762E-2</v>
      </c>
      <c r="DK89" s="33">
        <f t="shared" si="218"/>
        <v>1.6623376623376623E-2</v>
      </c>
      <c r="DL89" s="33">
        <f t="shared" si="218"/>
        <v>1.9707859958265708E-2</v>
      </c>
      <c r="DM89" s="33">
        <f t="shared" si="218"/>
        <v>1.7820140903439703E-2</v>
      </c>
      <c r="DN89" s="33">
        <f t="shared" si="218"/>
        <v>1.2060472226940717E-2</v>
      </c>
      <c r="DO89" s="33">
        <f t="shared" si="218"/>
        <v>2.0152671755725191E-2</v>
      </c>
      <c r="DP89" s="33">
        <f t="shared" si="218"/>
        <v>2.2102425876010783E-2</v>
      </c>
      <c r="DQ89" s="33">
        <f t="shared" si="218"/>
        <v>2.214681193070191E-2</v>
      </c>
      <c r="DR89" s="33">
        <f t="shared" si="218"/>
        <v>2.9516159163086121E-2</v>
      </c>
      <c r="DS89" s="33">
        <f t="shared" si="218"/>
        <v>2.3325247247620823E-2</v>
      </c>
      <c r="DT89" s="33">
        <f t="shared" si="218"/>
        <v>2.1379310344827585E-2</v>
      </c>
      <c r="DU89" s="33">
        <f>DU86/DU4</f>
        <v>2.2535667963683528E-2</v>
      </c>
      <c r="DV89" s="66">
        <f>DV86/DV4</f>
        <v>2.5945550886168463E-2</v>
      </c>
      <c r="DW89" s="66">
        <f>DW86/DW4</f>
        <v>2.6392459297343615E-2</v>
      </c>
      <c r="DX89" s="66">
        <f>DX86/DX4</f>
        <v>1.9357677078750551E-2</v>
      </c>
      <c r="DY89" s="66">
        <f t="shared" si="218"/>
        <v>2.7161138678506138E-2</v>
      </c>
      <c r="DZ89" s="66">
        <f t="shared" ref="DZ89:EW89" si="219">DZ86/DZ4</f>
        <v>2.8502285560634579E-2</v>
      </c>
      <c r="EA89" s="66">
        <f t="shared" si="219"/>
        <v>3.6694860117111254E-2</v>
      </c>
      <c r="EB89" s="66">
        <f t="shared" si="219"/>
        <v>2.7903958468526932E-2</v>
      </c>
      <c r="EC89" s="66">
        <f t="shared" si="219"/>
        <v>2.1616358325219083E-2</v>
      </c>
      <c r="ED89" s="66">
        <f t="shared" si="219"/>
        <v>3.7940115088266849E-2</v>
      </c>
      <c r="EE89" s="149">
        <f t="shared" si="219"/>
        <v>3.4662464157013642E-2</v>
      </c>
      <c r="EF89" s="149">
        <f t="shared" si="219"/>
        <v>3.243391060389815E-2</v>
      </c>
      <c r="EG89" s="149">
        <f t="shared" si="219"/>
        <v>2.4024839106469669E-2</v>
      </c>
      <c r="EH89" s="149">
        <f t="shared" si="219"/>
        <v>2.2942574241595733E-2</v>
      </c>
      <c r="EI89" s="149">
        <f t="shared" si="219"/>
        <v>2.0820841443084152E-2</v>
      </c>
      <c r="EJ89" s="149">
        <f t="shared" si="219"/>
        <v>1.8070249844438582E-2</v>
      </c>
      <c r="EK89" s="149">
        <f t="shared" si="219"/>
        <v>1.6314206490107022E-2</v>
      </c>
      <c r="EL89" s="149">
        <f t="shared" si="219"/>
        <v>1.6707413179469683E-2</v>
      </c>
      <c r="EM89" s="149">
        <f t="shared" si="219"/>
        <v>1.5978851909780205E-2</v>
      </c>
      <c r="EN89" s="149">
        <f t="shared" si="219"/>
        <v>1.4885421714274219E-2</v>
      </c>
      <c r="EO89" s="149">
        <f t="shared" si="219"/>
        <v>1.3912034524491343E-2</v>
      </c>
      <c r="EP89" s="149">
        <f t="shared" si="219"/>
        <v>1.4196194734400022E-2</v>
      </c>
      <c r="EQ89" s="149">
        <f t="shared" si="219"/>
        <v>1.3615500573741767E-2</v>
      </c>
      <c r="ER89" s="149">
        <f t="shared" si="219"/>
        <v>1.2611879761870285E-2</v>
      </c>
      <c r="ES89" s="149">
        <f t="shared" si="219"/>
        <v>1.2079400255952031E-2</v>
      </c>
      <c r="ET89" s="149">
        <f t="shared" si="219"/>
        <v>1.2612884767982968E-2</v>
      </c>
      <c r="EU89" s="149">
        <f t="shared" si="219"/>
        <v>1.2101066334306874E-2</v>
      </c>
      <c r="EV89" s="149">
        <f t="shared" si="219"/>
        <v>1.101274282949192E-2</v>
      </c>
      <c r="EW89" s="149">
        <f t="shared" si="219"/>
        <v>1.0527089064658317E-2</v>
      </c>
      <c r="EZ89" s="66">
        <f t="shared" ref="EZ89:GF89" si="220">EZ86/EZ4</f>
        <v>0.19636772878394446</v>
      </c>
      <c r="FA89" s="66">
        <f t="shared" si="220"/>
        <v>0.25706307190047684</v>
      </c>
      <c r="FB89" s="66">
        <f t="shared" si="220"/>
        <v>0.25550844458053673</v>
      </c>
      <c r="FC89" s="66">
        <f t="shared" si="220"/>
        <v>0.24834269405469173</v>
      </c>
      <c r="FD89" s="66">
        <f t="shared" si="220"/>
        <v>0.29074319664739273</v>
      </c>
      <c r="FE89" s="66">
        <f t="shared" si="220"/>
        <v>0.39186260714885601</v>
      </c>
      <c r="FF89" s="66">
        <f t="shared" si="220"/>
        <v>0.21688519472957066</v>
      </c>
      <c r="FG89" s="66">
        <f t="shared" si="220"/>
        <v>0.17343702999039445</v>
      </c>
      <c r="FH89" s="66">
        <f t="shared" si="220"/>
        <v>0.17443677066947191</v>
      </c>
      <c r="FI89" s="66">
        <f t="shared" si="220"/>
        <v>0.26145325096615579</v>
      </c>
      <c r="FJ89" s="66">
        <f t="shared" si="220"/>
        <v>0.1620598959754124</v>
      </c>
      <c r="FK89" s="66">
        <f t="shared" si="220"/>
        <v>0.28794475985392187</v>
      </c>
      <c r="FL89" s="66">
        <f t="shared" si="220"/>
        <v>0.25876923040089939</v>
      </c>
      <c r="FM89" s="66">
        <f t="shared" si="220"/>
        <v>0.32864820122400784</v>
      </c>
      <c r="FN89" s="66">
        <f t="shared" si="220"/>
        <v>0.28022617661732913</v>
      </c>
      <c r="FO89" s="66">
        <f t="shared" si="220"/>
        <v>0.11099252934898612</v>
      </c>
      <c r="FP89" s="66">
        <f t="shared" si="220"/>
        <v>8.6248380529335561E-2</v>
      </c>
      <c r="FQ89" s="66">
        <f t="shared" si="220"/>
        <v>2.2790267939636587E-2</v>
      </c>
      <c r="FR89" s="66">
        <f t="shared" si="220"/>
        <v>3.8063337393422658E-2</v>
      </c>
      <c r="FS89" s="66">
        <f t="shared" si="220"/>
        <v>2.4529693839911472E-2</v>
      </c>
      <c r="FT89" s="66">
        <f t="shared" si="220"/>
        <v>1.5852047556142668E-2</v>
      </c>
      <c r="FU89" s="66">
        <f t="shared" si="220"/>
        <v>1.7253904831093354E-2</v>
      </c>
      <c r="FV89" s="66">
        <f t="shared" si="220"/>
        <v>2.405412177399148E-2</v>
      </c>
      <c r="FW89" s="66">
        <f t="shared" si="220"/>
        <v>1.8024344569288388E-2</v>
      </c>
      <c r="FX89" s="56">
        <f t="shared" si="220"/>
        <v>2.1204728842184276E-2</v>
      </c>
      <c r="FY89" s="56">
        <f t="shared" si="220"/>
        <v>2.5173745173745175E-2</v>
      </c>
      <c r="FZ89" s="56">
        <f t="shared" si="220"/>
        <v>3.2238894666468579E-2</v>
      </c>
      <c r="GA89" s="56">
        <f t="shared" si="220"/>
        <v>3.0113694561098022E-2</v>
      </c>
      <c r="GB89" s="56">
        <f t="shared" si="220"/>
        <v>1.8315686990385785E-2</v>
      </c>
      <c r="GC89" s="56">
        <f t="shared" si="220"/>
        <v>1.9066988686920045E-2</v>
      </c>
      <c r="GD89" s="56">
        <f t="shared" si="220"/>
        <v>2.4074074074074074E-2</v>
      </c>
      <c r="GE89" s="56">
        <f t="shared" si="220"/>
        <v>2.4665503199534613E-2</v>
      </c>
      <c r="GF89" s="56">
        <f t="shared" si="220"/>
        <v>2.8118594647651492E-2</v>
      </c>
      <c r="GG89" s="424">
        <f>GG86/GG4</f>
        <v>3.1332616872374701E-2</v>
      </c>
      <c r="GH89" s="424">
        <f>GH86/GH4</f>
        <v>1.9207523134028678E-2</v>
      </c>
      <c r="GI89" s="424">
        <f t="shared" ref="GI89:GK89" si="221">GI86/GI4</f>
        <v>1.5296576218128039E-2</v>
      </c>
      <c r="GJ89" s="424">
        <f t="shared" si="221"/>
        <v>1.3073476097754961E-2</v>
      </c>
      <c r="GK89" s="424">
        <f t="shared" si="221"/>
        <v>1.1503565775081371E-2</v>
      </c>
      <c r="GN89" s="70"/>
    </row>
    <row r="90" spans="1:196" s="379" customFormat="1">
      <c r="A90" s="376" t="s">
        <v>251</v>
      </c>
      <c r="B90" s="377">
        <f>AMD!AF132</f>
        <v>37.742000000000019</v>
      </c>
      <c r="C90" s="377">
        <f>AMD!AG132</f>
        <v>29.017999999999944</v>
      </c>
      <c r="D90" s="377">
        <f>AMD!AH132</f>
        <v>24.03</v>
      </c>
      <c r="E90" s="377">
        <f>AMD!AI132</f>
        <v>41.769000000000034</v>
      </c>
      <c r="F90" s="377">
        <f>AMD!AK132</f>
        <v>59.367000000000026</v>
      </c>
      <c r="G90" s="377">
        <f>AMD!AL132</f>
        <v>60.274000000000058</v>
      </c>
      <c r="H90" s="377">
        <f>AMD!AM132</f>
        <v>-12.626999999999981</v>
      </c>
      <c r="I90" s="377">
        <f>AMD!AN132</f>
        <v>-82.582999999999913</v>
      </c>
      <c r="J90" s="377">
        <f>AMD!AP132</f>
        <v>-18.406000000000006</v>
      </c>
      <c r="K90" s="377">
        <f>AMD!AQ132</f>
        <v>67.04400000000004</v>
      </c>
      <c r="L90" s="377">
        <f>AMD!AR132</f>
        <v>-55.640999999999991</v>
      </c>
      <c r="M90" s="377">
        <f>AMD!AS132</f>
        <v>-1.9140000000001294</v>
      </c>
      <c r="N90" s="377">
        <f>AMD!AU132</f>
        <v>-119.87</v>
      </c>
      <c r="O90" s="377">
        <f>AMD!AV132</f>
        <v>-135.81599999999997</v>
      </c>
      <c r="P90" s="377">
        <f>AMD!AW132</f>
        <v>-169.58900000000003</v>
      </c>
      <c r="Q90" s="377">
        <f>AMD!AX132</f>
        <v>13.494</v>
      </c>
      <c r="R90" s="377">
        <f>AMD!AZ132</f>
        <v>-35.795999999999992</v>
      </c>
      <c r="S90" s="377">
        <f>AMD!BA132</f>
        <v>-97.109000000000037</v>
      </c>
      <c r="T90" s="377">
        <f>AMD!BB132</f>
        <v>-133.92399999999998</v>
      </c>
      <c r="U90" s="377">
        <f>AMD!BC132</f>
        <v>-19.45599999999996</v>
      </c>
      <c r="V90" s="377">
        <f>AMD!BE132</f>
        <v>-202.80799999999999</v>
      </c>
      <c r="W90" s="377">
        <f>AMD!BF132</f>
        <v>-216.12399999999997</v>
      </c>
      <c r="X90" s="377">
        <f>AMD!BG132</f>
        <v>-364.50099999999998</v>
      </c>
      <c r="Y90" s="377">
        <f>AMD!BH132</f>
        <v>-68.323999999999927</v>
      </c>
      <c r="Z90" s="377">
        <f>AMD!BJ132</f>
        <v>-177.92199999999997</v>
      </c>
      <c r="AA90" s="377">
        <f>AMD!BK132</f>
        <v>-187.26999999999987</v>
      </c>
      <c r="AB90" s="377">
        <f>AMD!BL132</f>
        <v>-209.23199999999997</v>
      </c>
      <c r="AC90" s="377">
        <f>AMD!BM132</f>
        <v>214.57199999999989</v>
      </c>
      <c r="AD90" s="377">
        <f>AMD!BO132</f>
        <v>257.73599999999988</v>
      </c>
      <c r="AE90" s="377">
        <f>AMD!BP132</f>
        <v>120.26999999999987</v>
      </c>
      <c r="AF90" s="377">
        <f>AMD!BQ132</f>
        <v>-0.1360000000000241</v>
      </c>
      <c r="AG90" s="377">
        <f>AMD!BR132</f>
        <v>22.208000000000084</v>
      </c>
      <c r="AH90" s="377">
        <f>AMD!BT132</f>
        <v>-15.957000000000022</v>
      </c>
      <c r="AI90" s="377">
        <f>AMD!BU132</f>
        <v>-378.97199999999998</v>
      </c>
      <c r="AJ90" s="377">
        <f>AMD!BV132</f>
        <v>-90.88399999999956</v>
      </c>
      <c r="AK90" s="377">
        <f>AMD!BW132</f>
        <v>-25.407000000000082</v>
      </c>
      <c r="AL90" s="377">
        <f>AMD!BY132</f>
        <v>11.44999999999996</v>
      </c>
      <c r="AM90" s="377">
        <f>AMD!BZ132</f>
        <v>-280.08600000000007</v>
      </c>
      <c r="AN90" s="377">
        <f>AMD!CA132</f>
        <v>-289.38800000000003</v>
      </c>
      <c r="AO90" s="377">
        <f>AMD!CB132</f>
        <v>-236.03300000000013</v>
      </c>
      <c r="AP90" s="377">
        <f>AMD!CD132</f>
        <v>-259.15800000000007</v>
      </c>
      <c r="AQ90" s="377">
        <f>AMD!CE132</f>
        <v>-117.42500000000001</v>
      </c>
      <c r="AR90" s="377">
        <f>AMD!CF132</f>
        <v>-123.958</v>
      </c>
      <c r="AS90" s="377">
        <f>AMD!CG132</f>
        <v>225.81099999999992</v>
      </c>
      <c r="AT90" s="377">
        <f>AMD!CI132</f>
        <v>4.2129999999999654</v>
      </c>
      <c r="AU90" s="377">
        <f>AMD!CJ132</f>
        <v>-106.28499999999988</v>
      </c>
      <c r="AV90" s="377">
        <f>AMD!CK132</f>
        <v>-143.35299999999995</v>
      </c>
      <c r="AW90" s="377">
        <f>AMD!CL132</f>
        <v>-108.19100000000003</v>
      </c>
      <c r="AX90" s="377">
        <f>AMD!CN132</f>
        <v>-267.1450000000001</v>
      </c>
      <c r="AY90" s="377">
        <f>AMD!CO132</f>
        <v>-38.101999999999975</v>
      </c>
      <c r="AZ90" s="377">
        <f>AMD!CP132</f>
        <v>66.790000000000248</v>
      </c>
      <c r="BA90" s="377">
        <f>AMD!CQ132</f>
        <v>208.13899999999967</v>
      </c>
      <c r="BB90" s="377">
        <f>AMD!CS132</f>
        <v>256.02299999999991</v>
      </c>
      <c r="BC90" s="377">
        <f>AMD!CT132</f>
        <v>-236.51399999999998</v>
      </c>
      <c r="BD90" s="377">
        <f>AMD!CU132</f>
        <v>-194.70700000000002</v>
      </c>
      <c r="BE90" s="377">
        <f>AMD!CV132</f>
        <v>-393.55900000000008</v>
      </c>
      <c r="BF90" s="377">
        <f>AMD!CX132</f>
        <v>-545</v>
      </c>
      <c r="BG90" s="377">
        <f>AMD!CY132</f>
        <v>-1049</v>
      </c>
      <c r="BH90" s="377">
        <f>AMD!CZ132</f>
        <v>-196</v>
      </c>
      <c r="BI90" s="377">
        <f>AMD!DA132</f>
        <v>-205</v>
      </c>
      <c r="BJ90" s="377">
        <f>AMD!DC132</f>
        <v>-307</v>
      </c>
      <c r="BK90" s="377">
        <f>AMD!DD132</f>
        <v>-348</v>
      </c>
      <c r="BL90" s="377">
        <f>AMD!DE132</f>
        <v>-298</v>
      </c>
      <c r="BM90" s="377">
        <f>AMD!DF132</f>
        <v>-363</v>
      </c>
      <c r="BN90" s="377">
        <f>AMD!DH132</f>
        <v>-475</v>
      </c>
      <c r="BO90" s="377">
        <f>AMD!DI132</f>
        <v>-256</v>
      </c>
      <c r="BP90" s="377">
        <f>AMD!DJ132</f>
        <v>-239</v>
      </c>
      <c r="BQ90" s="377">
        <f>AMD!DK132</f>
        <v>1250</v>
      </c>
      <c r="BR90" s="377">
        <f>AMD!DM132</f>
        <v>-25</v>
      </c>
      <c r="BS90" s="377">
        <f>AMD!DN132</f>
        <v>-129</v>
      </c>
      <c r="BT90" s="377">
        <f>AMD!DO132</f>
        <v>-155</v>
      </c>
      <c r="BU90" s="377">
        <f>AMD!DP132</f>
        <v>-251</v>
      </c>
      <c r="BV90" s="377">
        <f>AMD!DR132</f>
        <v>-206</v>
      </c>
      <c r="BW90" s="377">
        <f>AMD!DS132</f>
        <v>107</v>
      </c>
      <c r="BX90" s="377">
        <f>AMD!DT132</f>
        <v>131</v>
      </c>
      <c r="BY90" s="377">
        <f>AMD!DU132</f>
        <v>100</v>
      </c>
      <c r="BZ90" s="377">
        <f>AMD!DW132</f>
        <v>67</v>
      </c>
      <c r="CA90" s="377">
        <f>AMD!DX132</f>
        <v>42</v>
      </c>
      <c r="CB90" s="377">
        <f>AMD!DY132</f>
        <v>-272</v>
      </c>
      <c r="CC90" s="377">
        <f>AMD!DZ132</f>
        <v>-308</v>
      </c>
      <c r="CD90" s="377">
        <f>AMD!EB132</f>
        <v>-175</v>
      </c>
      <c r="CE90" s="377">
        <f>AMD!EC132</f>
        <v>-63</v>
      </c>
      <c r="CF90" s="377">
        <f>AMD!ED132</f>
        <v>6</v>
      </c>
      <c r="CG90" s="377">
        <f>AMD!EE132</f>
        <v>0</v>
      </c>
      <c r="CH90" s="377">
        <f>AMD!EG132</f>
        <v>-225</v>
      </c>
      <c r="CI90" s="377">
        <f>AMD!EH132</f>
        <v>-51</v>
      </c>
      <c r="CJ90" s="377">
        <f>AMD!EI132</f>
        <v>-11</v>
      </c>
      <c r="CK90" s="377">
        <f>AMD!EJ132</f>
        <v>94</v>
      </c>
      <c r="CL90" s="377">
        <f>AMD!EL132</f>
        <v>-195</v>
      </c>
      <c r="CM90" s="377">
        <f>AMD!EM132</f>
        <v>-75</v>
      </c>
      <c r="CN90" s="377">
        <f>AMD!EN132</f>
        <v>-84</v>
      </c>
      <c r="CO90" s="377">
        <f>AMD!EO132</f>
        <v>21</v>
      </c>
      <c r="CP90" s="377">
        <f>AMD!EQ132</f>
        <v>-68</v>
      </c>
      <c r="CQ90" s="377">
        <f>AMD!ER132</f>
        <v>-106</v>
      </c>
      <c r="CR90" s="377">
        <f>AMD!ES132</f>
        <v>20</v>
      </c>
      <c r="CS90" s="377">
        <f>AMD!ET132</f>
        <v>167</v>
      </c>
      <c r="CT90" s="376">
        <f>AMD!EV132</f>
        <v>-322</v>
      </c>
      <c r="CU90" s="376">
        <f>AMD!EW132</f>
        <v>-94</v>
      </c>
      <c r="CV90" s="376">
        <f>AMD!EX132</f>
        <v>32</v>
      </c>
      <c r="CW90" s="376">
        <f>AMD!EY132</f>
        <v>339</v>
      </c>
      <c r="CX90" s="376">
        <f>AMD!FA132</f>
        <v>-132</v>
      </c>
      <c r="CY90" s="376">
        <f>AMD!FB132</f>
        <v>-90</v>
      </c>
      <c r="CZ90" s="376">
        <f>AMD!FC132</f>
        <v>64</v>
      </c>
      <c r="DA90" s="376">
        <f>AMD!FD132</f>
        <v>29</v>
      </c>
      <c r="DB90" s="376">
        <f>AMD!FF132</f>
        <v>-275</v>
      </c>
      <c r="DC90" s="376">
        <f>AMD!FG132</f>
        <v>-28</v>
      </c>
      <c r="DD90" s="376">
        <f>AMD!FH132</f>
        <v>179</v>
      </c>
      <c r="DE90" s="376">
        <f>AMD!FI132</f>
        <v>400</v>
      </c>
      <c r="DF90" s="376">
        <f>AMD!FK132</f>
        <v>-120</v>
      </c>
      <c r="DG90" s="376">
        <f>AMD!FL132</f>
        <v>152</v>
      </c>
      <c r="DH90" s="376">
        <f>AMD!FM132</f>
        <v>265</v>
      </c>
      <c r="DI90" s="376">
        <f>AMD!FN132</f>
        <v>480</v>
      </c>
      <c r="DJ90" s="397">
        <f>AMD!FP132</f>
        <v>832</v>
      </c>
      <c r="DK90" s="397">
        <f>AMD!FQ132</f>
        <v>888.02207792207787</v>
      </c>
      <c r="DL90" s="397">
        <f>AMD!FR132</f>
        <v>763.97792207792213</v>
      </c>
      <c r="DM90" s="397">
        <f>AMD!FS132</f>
        <v>736</v>
      </c>
      <c r="DN90" s="397">
        <f>AMD!FU132</f>
        <v>924</v>
      </c>
      <c r="DO90" s="397">
        <f>AMD!FV132</f>
        <v>906</v>
      </c>
      <c r="DP90" s="397">
        <f>AMD!FW132</f>
        <v>842</v>
      </c>
      <c r="DQ90" s="397">
        <f>AMD!FX132</f>
        <v>443</v>
      </c>
      <c r="DR90" s="397">
        <f>AMD!FZ132</f>
        <v>328</v>
      </c>
      <c r="DS90" s="397">
        <f>AMD!GA132</f>
        <v>254</v>
      </c>
      <c r="DT90" s="397">
        <f>AMD!GB132</f>
        <v>297</v>
      </c>
      <c r="DU90" s="397">
        <f>AMD!GC132</f>
        <v>242</v>
      </c>
      <c r="DV90" s="376">
        <f>AMD!GE132</f>
        <v>379</v>
      </c>
      <c r="DW90" s="376">
        <f>AMD!GF132</f>
        <v>439</v>
      </c>
      <c r="DX90" s="376">
        <f>AMD!GG132</f>
        <v>496</v>
      </c>
      <c r="DY90" s="376">
        <f>AMD!GH132</f>
        <v>1091</v>
      </c>
      <c r="DZ90" s="376">
        <f>AMD!GJ132</f>
        <v>727</v>
      </c>
      <c r="EA90" s="376">
        <f>AMD!GK132</f>
        <v>1729</v>
      </c>
      <c r="EB90" s="376">
        <f>AMD!GL132</f>
        <v>1901</v>
      </c>
      <c r="EC90" s="376">
        <f>AMD!GM132</f>
        <v>2378</v>
      </c>
      <c r="ED90" s="376">
        <f>AMD!GO132</f>
        <v>2566</v>
      </c>
      <c r="EE90" s="380">
        <f>AMD!GP132</f>
        <v>-7.1107390664860759</v>
      </c>
      <c r="EF90" s="380">
        <f>AMD!GQ132</f>
        <v>2062.9907218851613</v>
      </c>
      <c r="EG90" s="380">
        <f>AMD!GR132</f>
        <v>-720.5162528882579</v>
      </c>
      <c r="EH90" s="380">
        <f>AMD!GT132</f>
        <v>2180.1555494831264</v>
      </c>
      <c r="EI90" s="380">
        <f>AMD!GU132</f>
        <v>782.03573531297343</v>
      </c>
      <c r="EJ90" s="380">
        <f>AMD!GV132</f>
        <v>188.26406858210441</v>
      </c>
      <c r="EK90" s="380">
        <f>AMD!GW132</f>
        <v>1829.848540996978</v>
      </c>
      <c r="EL90" s="380">
        <f>AMD!GY132</f>
        <v>7788.8512066117028</v>
      </c>
      <c r="EM90" s="380">
        <f>AMD!GZ132</f>
        <v>5600.179771158093</v>
      </c>
      <c r="EN90" s="380">
        <f>AMD!HA132</f>
        <v>4132.9971445694182</v>
      </c>
      <c r="EO90" s="380">
        <f>AMD!HB132</f>
        <v>4553.7216047376123</v>
      </c>
      <c r="EP90" s="380">
        <f>AMD!HD132</f>
        <v>9280.1471873315622</v>
      </c>
      <c r="EQ90" s="380">
        <f>AMD!HE132</f>
        <v>7019.7333786848376</v>
      </c>
      <c r="ER90" s="380">
        <f>AMD!HF132</f>
        <v>6411.722697720882</v>
      </c>
      <c r="ES90" s="380">
        <f>AMD!HG132</f>
        <v>8203.2184001157439</v>
      </c>
      <c r="ET90" s="380">
        <f>AMD!HI132</f>
        <v>11890.257779104915</v>
      </c>
      <c r="EU90" s="380">
        <f>AMD!HJ132</f>
        <v>8066.3409661455607</v>
      </c>
      <c r="EV90" s="380">
        <f>AMD!HK132</f>
        <v>6717.1209057572969</v>
      </c>
      <c r="EW90" s="380">
        <f>AMD!HL132</f>
        <v>9901.8633182532194</v>
      </c>
      <c r="EZ90" s="376">
        <f>B90+C90+D90+E90</f>
        <v>132.559</v>
      </c>
      <c r="FA90" s="376">
        <f>F90+G90+H90+I90</f>
        <v>24.431000000000182</v>
      </c>
      <c r="FB90" s="376">
        <f>J90+K90+L90+M90</f>
        <v>-8.9170000000000869</v>
      </c>
      <c r="FC90" s="376">
        <f>N90+O90+P90+Q90</f>
        <v>-411.78099999999995</v>
      </c>
      <c r="FD90" s="376">
        <f>R90+S90+T90+U90</f>
        <v>-286.28499999999997</v>
      </c>
      <c r="FE90" s="376">
        <f>V90+W90+X90+Y90</f>
        <v>-851.75699999999995</v>
      </c>
      <c r="FF90" s="376">
        <f>Z90+AA90+AB90+AC90</f>
        <v>-359.85199999999986</v>
      </c>
      <c r="FG90" s="376">
        <f>AD90+AE90+AF90+AG90</f>
        <v>400.0779999999998</v>
      </c>
      <c r="FH90" s="376">
        <f>AH90+AI90+AJ90+AK90</f>
        <v>-511.21999999999963</v>
      </c>
      <c r="FI90" s="376">
        <f>AL90+AM90+AN90+AO90</f>
        <v>-794.05700000000024</v>
      </c>
      <c r="FJ90" s="376">
        <f>AP90+AQ90+AR90+AS90</f>
        <v>-274.73000000000013</v>
      </c>
      <c r="FK90" s="376">
        <f>AT90+AU90+AV90+AW90</f>
        <v>-353.61599999999987</v>
      </c>
      <c r="FL90" s="376">
        <f>AX90+AY90+AZ90+BA90</f>
        <v>-30.318000000000154</v>
      </c>
      <c r="FM90" s="376">
        <f>BB90+BC90+BD90+BE90</f>
        <v>-568.75700000000018</v>
      </c>
      <c r="FN90" s="376">
        <f>BF90+BG90+BH90+BI90</f>
        <v>-1995</v>
      </c>
      <c r="FO90" s="376">
        <f>BJ90+BK90+BL90+BM90</f>
        <v>-1316</v>
      </c>
      <c r="FP90" s="376">
        <f>BN90+BO90+BP90+BQ90</f>
        <v>280</v>
      </c>
      <c r="FQ90" s="376">
        <f>BR90+BS90+BT90+BU90</f>
        <v>-560</v>
      </c>
      <c r="FR90" s="376">
        <f>BV90+BW90+BX90+BY90</f>
        <v>132</v>
      </c>
      <c r="FS90" s="376">
        <f>BZ90+CA90+CB90+CC90</f>
        <v>-471</v>
      </c>
      <c r="FT90" s="376">
        <f>CD90+CE90+CF90+CG90</f>
        <v>-232</v>
      </c>
      <c r="FU90" s="376">
        <f>CH90+CI90+CJ90+CK90</f>
        <v>-193</v>
      </c>
      <c r="FV90" s="376">
        <f>CL90+CM90+CN90+CO90</f>
        <v>-333</v>
      </c>
      <c r="FW90" s="376">
        <f>CP90+CQ90+CR90+CS90</f>
        <v>13</v>
      </c>
      <c r="FX90" s="376">
        <f>CT90+CU90+CV90+CW90</f>
        <v>-45</v>
      </c>
      <c r="FY90" s="376">
        <f>CX90+CY90+CZ90+DA90</f>
        <v>-129</v>
      </c>
      <c r="FZ90" s="376">
        <f>DB90+DC90+DD90+DE90</f>
        <v>276</v>
      </c>
      <c r="GA90" s="376">
        <f>SUM(DF90:DI90)</f>
        <v>777</v>
      </c>
      <c r="GB90" s="376">
        <f>SUM(DJ90:DM90)</f>
        <v>3220</v>
      </c>
      <c r="GC90" s="376">
        <f>SUM(DN90:DQ90)</f>
        <v>3115</v>
      </c>
      <c r="GD90" s="376">
        <f>SUM(DR90:DU90)</f>
        <v>1121</v>
      </c>
      <c r="GE90" s="376">
        <f>SUM(DV90:DY90)</f>
        <v>2405</v>
      </c>
      <c r="GF90" s="376">
        <f>SUM(DZ90:EC90)</f>
        <v>6735</v>
      </c>
      <c r="GG90" s="380">
        <f>SUM(ED90:EG90)</f>
        <v>3901.3637299304169</v>
      </c>
      <c r="GH90" s="380">
        <f>SUM(EH90:EK90)</f>
        <v>4980.3038943751817</v>
      </c>
      <c r="GI90" s="380">
        <f>SUM(EL90:EO90)</f>
        <v>22075.749727076825</v>
      </c>
      <c r="GJ90" s="380">
        <f>SUM(EP90:ES90)</f>
        <v>30914.821663853025</v>
      </c>
      <c r="GK90" s="380">
        <f>SUM(ET90:EW90)</f>
        <v>36575.582969260991</v>
      </c>
      <c r="GN90" s="70"/>
    </row>
    <row r="91" spans="1:196" s="382" customFormat="1">
      <c r="A91" s="381" t="s">
        <v>198</v>
      </c>
      <c r="C91" s="382">
        <f>C90/B90-1</f>
        <v>-0.2311483228233816</v>
      </c>
      <c r="D91" s="382">
        <f>D90/C90-1</f>
        <v>-0.17189330760217636</v>
      </c>
      <c r="E91" s="382">
        <f>E90/D90-1</f>
        <v>0.73820224719101257</v>
      </c>
      <c r="F91" s="382">
        <f>F90/E90-1</f>
        <v>0.421317244846656</v>
      </c>
      <c r="G91" s="382">
        <f>G90/F90-1</f>
        <v>1.5277847962673397E-2</v>
      </c>
      <c r="AD91" s="382">
        <f>AD90/AC90-1</f>
        <v>0.2011632459034729</v>
      </c>
      <c r="AE91" s="382">
        <f>AE90/AD90-1</f>
        <v>-0.53335971691963902</v>
      </c>
      <c r="AT91" s="382">
        <f>AT90/AS90-1</f>
        <v>-0.9813428043806548</v>
      </c>
      <c r="BA91" s="382">
        <f>BA90/AZ90-1</f>
        <v>2.1163198083545276</v>
      </c>
      <c r="BB91" s="382">
        <f>BB90/BA90-1</f>
        <v>0.23005779791389558</v>
      </c>
      <c r="BX91" s="382">
        <f>BX90/BW90-1</f>
        <v>0.22429906542056077</v>
      </c>
      <c r="BY91" s="382">
        <f>BY90/BX90-1</f>
        <v>-0.23664122137404575</v>
      </c>
      <c r="BZ91" s="382">
        <f>BZ90/BY90-1</f>
        <v>-0.32999999999999996</v>
      </c>
      <c r="CA91" s="382">
        <f>CA90/BZ90-1</f>
        <v>-0.37313432835820892</v>
      </c>
      <c r="CS91" s="382">
        <f>CS90/CR90-1</f>
        <v>7.35</v>
      </c>
      <c r="CW91" s="382">
        <f>CW90/CV90-1</f>
        <v>9.59375</v>
      </c>
      <c r="DA91" s="382">
        <f>DA90/CZ90-1</f>
        <v>-0.546875</v>
      </c>
      <c r="DE91" s="382">
        <f>DE90/DD90-1</f>
        <v>1.2346368715083798</v>
      </c>
      <c r="DH91" s="382">
        <f t="shared" ref="DH91:EW91" si="222">DH90/DG90-1</f>
        <v>0.74342105263157898</v>
      </c>
      <c r="DI91" s="382">
        <f t="shared" si="222"/>
        <v>0.81132075471698117</v>
      </c>
      <c r="DJ91" s="383">
        <f t="shared" si="222"/>
        <v>0.73333333333333339</v>
      </c>
      <c r="DK91" s="383">
        <f t="shared" si="222"/>
        <v>6.7334228271728191E-2</v>
      </c>
      <c r="DL91" s="383">
        <f t="shared" si="222"/>
        <v>-0.13968589174540813</v>
      </c>
      <c r="DM91" s="383">
        <f t="shared" si="222"/>
        <v>-3.6621375133231271E-2</v>
      </c>
      <c r="DN91" s="383">
        <f t="shared" si="222"/>
        <v>0.25543478260869557</v>
      </c>
      <c r="DO91" s="383">
        <f t="shared" si="222"/>
        <v>-1.9480519480519431E-2</v>
      </c>
      <c r="DP91" s="383">
        <f t="shared" si="222"/>
        <v>-7.0640176600441529E-2</v>
      </c>
      <c r="DQ91" s="383">
        <f t="shared" si="222"/>
        <v>-0.47387173396674587</v>
      </c>
      <c r="DR91" s="383">
        <f t="shared" si="222"/>
        <v>-0.2595936794582393</v>
      </c>
      <c r="DS91" s="383">
        <f t="shared" si="222"/>
        <v>-0.22560975609756095</v>
      </c>
      <c r="DT91" s="383">
        <f t="shared" si="222"/>
        <v>0.16929133858267709</v>
      </c>
      <c r="DU91" s="383">
        <f t="shared" si="222"/>
        <v>-0.18518518518518523</v>
      </c>
      <c r="DV91" s="382">
        <f t="shared" si="222"/>
        <v>0.56611570247933884</v>
      </c>
      <c r="DW91" s="382">
        <f t="shared" si="222"/>
        <v>0.15831134564643801</v>
      </c>
      <c r="DX91" s="382">
        <f t="shared" si="222"/>
        <v>0.12984054669703871</v>
      </c>
      <c r="DY91" s="382">
        <f t="shared" si="222"/>
        <v>1.1995967741935485</v>
      </c>
      <c r="DZ91" s="382">
        <f t="shared" si="222"/>
        <v>-0.33363886342804772</v>
      </c>
      <c r="EA91" s="382">
        <f t="shared" si="222"/>
        <v>1.3782668500687758</v>
      </c>
      <c r="EB91" s="382">
        <f t="shared" si="222"/>
        <v>9.9479467900520424E-2</v>
      </c>
      <c r="EC91" s="382">
        <f t="shared" si="222"/>
        <v>0.250920568122041</v>
      </c>
      <c r="ED91" s="382">
        <f t="shared" si="222"/>
        <v>7.9058031959629904E-2</v>
      </c>
      <c r="EE91" s="903" t="s">
        <v>199</v>
      </c>
      <c r="EF91" s="903" t="s">
        <v>199</v>
      </c>
      <c r="EG91" s="903" t="s">
        <v>199</v>
      </c>
      <c r="EH91" s="384">
        <f t="shared" si="222"/>
        <v>-4.0258242485769973</v>
      </c>
      <c r="EI91" s="384">
        <f t="shared" si="222"/>
        <v>-0.64129360609229047</v>
      </c>
      <c r="EJ91" s="384">
        <f t="shared" si="222"/>
        <v>-0.75926411021772489</v>
      </c>
      <c r="EK91" s="384">
        <f t="shared" si="222"/>
        <v>8.7195845961384677</v>
      </c>
      <c r="EL91" s="384">
        <f t="shared" si="222"/>
        <v>3.2565551367262398</v>
      </c>
      <c r="EM91" s="384">
        <f t="shared" si="222"/>
        <v>-0.28100054518896411</v>
      </c>
      <c r="EN91" s="384">
        <f t="shared" si="222"/>
        <v>-0.26198848725266333</v>
      </c>
      <c r="EO91" s="384">
        <f t="shared" si="222"/>
        <v>0.10179645556276462</v>
      </c>
      <c r="EP91" s="384">
        <f t="shared" si="222"/>
        <v>1.0379258972873218</v>
      </c>
      <c r="EQ91" s="384">
        <f t="shared" si="222"/>
        <v>-0.24357521093333978</v>
      </c>
      <c r="ER91" s="384">
        <f t="shared" si="222"/>
        <v>-8.6614497754310404E-2</v>
      </c>
      <c r="ES91" s="384">
        <f t="shared" si="222"/>
        <v>0.2794094172275523</v>
      </c>
      <c r="ET91" s="384">
        <f t="shared" si="222"/>
        <v>0.44946254008513886</v>
      </c>
      <c r="EU91" s="384">
        <f t="shared" si="222"/>
        <v>-0.32160083355629443</v>
      </c>
      <c r="EV91" s="384">
        <f t="shared" si="222"/>
        <v>-0.16726543869778643</v>
      </c>
      <c r="EW91" s="384">
        <f t="shared" si="222"/>
        <v>0.47412313358335645</v>
      </c>
      <c r="FZ91" s="386" t="s">
        <v>199</v>
      </c>
      <c r="GA91" s="386" t="s">
        <v>199</v>
      </c>
      <c r="GB91" s="386" t="s">
        <v>199</v>
      </c>
      <c r="GC91" s="386" t="s">
        <v>199</v>
      </c>
      <c r="GD91" s="386" t="s">
        <v>199</v>
      </c>
      <c r="GE91" s="386" t="s">
        <v>199</v>
      </c>
      <c r="GF91" s="386" t="s">
        <v>199</v>
      </c>
      <c r="GG91" s="386" t="s">
        <v>199</v>
      </c>
      <c r="GH91" s="386" t="s">
        <v>199</v>
      </c>
      <c r="GI91" s="386" t="s">
        <v>199</v>
      </c>
      <c r="GJ91" s="386" t="s">
        <v>199</v>
      </c>
      <c r="GK91" s="386" t="s">
        <v>199</v>
      </c>
      <c r="GN91" s="70"/>
    </row>
    <row r="92" spans="1:196" s="382" customFormat="1">
      <c r="A92" s="381" t="s">
        <v>200</v>
      </c>
      <c r="F92" s="382">
        <f>F90/B90-1</f>
        <v>0.57296910603571605</v>
      </c>
      <c r="G92" s="382">
        <f>G90/C90-1</f>
        <v>1.0771245433868692</v>
      </c>
      <c r="K92" s="382">
        <f>K90/G90-1</f>
        <v>0.11232040349072525</v>
      </c>
      <c r="AG92" s="382">
        <f>AG90/AC90-1</f>
        <v>-0.89650094140894387</v>
      </c>
      <c r="CA92" s="382">
        <f>CA90/BW90-1</f>
        <v>-0.60747663551401865</v>
      </c>
      <c r="CO92" s="382">
        <f>CO90/CK90-1</f>
        <v>-0.77659574468085113</v>
      </c>
      <c r="CS92" s="382">
        <f>CS90/CO90-1</f>
        <v>6.9523809523809526</v>
      </c>
      <c r="CV92" s="382">
        <f>CV90/CR90-1</f>
        <v>0.60000000000000009</v>
      </c>
      <c r="CW92" s="382">
        <f>CW90/CS90-1</f>
        <v>1.0299401197604792</v>
      </c>
      <c r="CZ92" s="382">
        <f t="shared" ref="CZ92:DE92" si="223">CZ90/CV90-1</f>
        <v>1</v>
      </c>
      <c r="DA92" s="382">
        <f t="shared" si="223"/>
        <v>-0.91445427728613571</v>
      </c>
      <c r="DD92" s="382">
        <f t="shared" si="223"/>
        <v>1.796875</v>
      </c>
      <c r="DE92" s="382">
        <f t="shared" si="223"/>
        <v>12.793103448275861</v>
      </c>
      <c r="DH92" s="382">
        <f t="shared" ref="DH92:EW92" si="224">DH90/DD90-1</f>
        <v>0.48044692737430172</v>
      </c>
      <c r="DI92" s="382">
        <f t="shared" si="224"/>
        <v>0.19999999999999996</v>
      </c>
      <c r="DJ92" s="383"/>
      <c r="DK92" s="383">
        <f t="shared" si="224"/>
        <v>4.8422505126452489</v>
      </c>
      <c r="DL92" s="383">
        <f t="shared" si="224"/>
        <v>1.8829355550110267</v>
      </c>
      <c r="DM92" s="383">
        <f t="shared" si="224"/>
        <v>0.53333333333333344</v>
      </c>
      <c r="DN92" s="383">
        <f t="shared" si="224"/>
        <v>0.11057692307692313</v>
      </c>
      <c r="DO92" s="383">
        <f t="shared" si="224"/>
        <v>2.0244904405968711E-2</v>
      </c>
      <c r="DP92" s="383">
        <f t="shared" si="224"/>
        <v>0.10212608986116756</v>
      </c>
      <c r="DQ92" s="383">
        <f t="shared" si="224"/>
        <v>-0.39809782608695654</v>
      </c>
      <c r="DR92" s="383">
        <f t="shared" si="224"/>
        <v>-0.64502164502164505</v>
      </c>
      <c r="DS92" s="383">
        <f t="shared" si="224"/>
        <v>-0.7196467991169978</v>
      </c>
      <c r="DT92" s="383">
        <f t="shared" si="224"/>
        <v>-0.64726840855106893</v>
      </c>
      <c r="DU92" s="383">
        <f t="shared" si="224"/>
        <v>-0.45372460496613998</v>
      </c>
      <c r="DV92" s="382">
        <f t="shared" si="224"/>
        <v>0.15548780487804881</v>
      </c>
      <c r="DW92" s="382">
        <f t="shared" si="224"/>
        <v>0.72834645669291342</v>
      </c>
      <c r="DX92" s="382">
        <f t="shared" si="224"/>
        <v>0.67003367003366998</v>
      </c>
      <c r="DY92" s="382">
        <f t="shared" si="224"/>
        <v>3.5082644628099171</v>
      </c>
      <c r="DZ92" s="382">
        <f t="shared" si="224"/>
        <v>0.91820580474934044</v>
      </c>
      <c r="EA92" s="382">
        <f t="shared" si="224"/>
        <v>2.9384965831435079</v>
      </c>
      <c r="EB92" s="382">
        <f t="shared" si="224"/>
        <v>2.8326612903225805</v>
      </c>
      <c r="EC92" s="382">
        <f t="shared" si="224"/>
        <v>1.1796516956920255</v>
      </c>
      <c r="ED92" s="382">
        <f t="shared" si="224"/>
        <v>2.5295735900962861</v>
      </c>
      <c r="EE92" s="903" t="s">
        <v>199</v>
      </c>
      <c r="EF92" s="384">
        <f t="shared" si="224"/>
        <v>8.5213425505082263E-2</v>
      </c>
      <c r="EG92" s="903" t="s">
        <v>199</v>
      </c>
      <c r="EH92" s="384">
        <f t="shared" si="224"/>
        <v>-0.15036806333471298</v>
      </c>
      <c r="EI92" s="903" t="s">
        <v>199</v>
      </c>
      <c r="EJ92" s="384">
        <f t="shared" si="224"/>
        <v>-0.9087421641867256</v>
      </c>
      <c r="EK92" s="384">
        <f t="shared" si="224"/>
        <v>-3.5396353429389777</v>
      </c>
      <c r="EL92" s="384">
        <f t="shared" si="224"/>
        <v>2.5726126094343553</v>
      </c>
      <c r="EM92" s="384">
        <f t="shared" si="224"/>
        <v>6.1610279662180414</v>
      </c>
      <c r="EN92" s="384">
        <f t="shared" si="224"/>
        <v>20.953191470346685</v>
      </c>
      <c r="EO92" s="384">
        <f t="shared" si="224"/>
        <v>1.4885784275110301</v>
      </c>
      <c r="EP92" s="384">
        <f t="shared" si="224"/>
        <v>0.1914654602021344</v>
      </c>
      <c r="EQ92" s="384">
        <f t="shared" si="224"/>
        <v>0.25348357830184209</v>
      </c>
      <c r="ER92" s="384">
        <f t="shared" si="224"/>
        <v>0.55134941386195058</v>
      </c>
      <c r="ES92" s="384">
        <f t="shared" si="224"/>
        <v>0.80143168866126091</v>
      </c>
      <c r="ET92" s="384">
        <f t="shared" si="224"/>
        <v>0.2812574562757415</v>
      </c>
      <c r="EU92" s="384">
        <f t="shared" si="224"/>
        <v>0.14909506259008487</v>
      </c>
      <c r="EV92" s="384">
        <f t="shared" si="224"/>
        <v>4.7631225246995257E-2</v>
      </c>
      <c r="EW92" s="384">
        <f t="shared" si="224"/>
        <v>0.20707054661783819</v>
      </c>
      <c r="FA92" s="382">
        <f>FA90/EZ90-1</f>
        <v>-0.81569716126403957</v>
      </c>
      <c r="FB92" s="386" t="s">
        <v>199</v>
      </c>
      <c r="FC92" s="386" t="s">
        <v>199</v>
      </c>
      <c r="FD92" s="386" t="s">
        <v>199</v>
      </c>
      <c r="FE92" s="386" t="s">
        <v>199</v>
      </c>
      <c r="FF92" s="386" t="s">
        <v>199</v>
      </c>
      <c r="FG92" s="386" t="s">
        <v>199</v>
      </c>
      <c r="FH92" s="386" t="s">
        <v>199</v>
      </c>
      <c r="FI92" s="386" t="s">
        <v>199</v>
      </c>
      <c r="FJ92" s="386" t="s">
        <v>199</v>
      </c>
      <c r="FK92" s="386" t="s">
        <v>199</v>
      </c>
      <c r="FL92" s="386" t="s">
        <v>199</v>
      </c>
      <c r="FM92" s="386" t="s">
        <v>199</v>
      </c>
      <c r="FN92" s="386" t="s">
        <v>199</v>
      </c>
      <c r="FO92" s="386" t="s">
        <v>199</v>
      </c>
      <c r="FP92" s="386" t="s">
        <v>199</v>
      </c>
      <c r="FQ92" s="386" t="s">
        <v>199</v>
      </c>
      <c r="FR92" s="386" t="s">
        <v>199</v>
      </c>
      <c r="FS92" s="386" t="s">
        <v>199</v>
      </c>
      <c r="FT92" s="386" t="s">
        <v>199</v>
      </c>
      <c r="FU92" s="386" t="s">
        <v>199</v>
      </c>
      <c r="FV92" s="386" t="s">
        <v>199</v>
      </c>
      <c r="FW92" s="386" t="s">
        <v>199</v>
      </c>
      <c r="FX92" s="386" t="s">
        <v>199</v>
      </c>
      <c r="FY92" s="386" t="s">
        <v>199</v>
      </c>
      <c r="FZ92" s="386" t="s">
        <v>199</v>
      </c>
      <c r="GA92" s="382">
        <f t="shared" ref="GA92:GG92" si="225">GA90/FZ90-1</f>
        <v>1.8152173913043477</v>
      </c>
      <c r="GB92" s="382">
        <f t="shared" si="225"/>
        <v>3.1441441441441444</v>
      </c>
      <c r="GC92" s="382">
        <f t="shared" si="225"/>
        <v>-3.2608695652173947E-2</v>
      </c>
      <c r="GD92" s="382">
        <f t="shared" si="225"/>
        <v>-0.64012841091492778</v>
      </c>
      <c r="GE92" s="382">
        <f t="shared" si="225"/>
        <v>1.145405887600357</v>
      </c>
      <c r="GF92" s="382">
        <f t="shared" si="225"/>
        <v>1.8004158004158004</v>
      </c>
      <c r="GG92" s="384">
        <f t="shared" si="225"/>
        <v>-0.4207329279984533</v>
      </c>
      <c r="GH92" s="384">
        <f>GH90/GG90-1</f>
        <v>0.27655462016201415</v>
      </c>
      <c r="GI92" s="384">
        <f t="shared" ref="GI92:GK92" si="226">GI90/GH90-1</f>
        <v>3.4326109802274232</v>
      </c>
      <c r="GJ92" s="384">
        <f t="shared" si="226"/>
        <v>0.40039736117929947</v>
      </c>
      <c r="GK92" s="384">
        <f t="shared" si="226"/>
        <v>0.18310832800393539</v>
      </c>
      <c r="GN92" s="70"/>
    </row>
    <row r="93" spans="1:196" s="382" customFormat="1">
      <c r="A93" s="381" t="s">
        <v>202</v>
      </c>
      <c r="C93" s="382">
        <f>C90/C$4</f>
        <v>7.0932699735022794E-2</v>
      </c>
      <c r="D93" s="382">
        <f t="shared" ref="D93:BO93" si="227">D90/D$4</f>
        <v>5.7439805330930252E-2</v>
      </c>
      <c r="E93" s="382">
        <f t="shared" si="227"/>
        <v>0.10103675823165725</v>
      </c>
      <c r="F93" s="382">
        <f t="shared" si="227"/>
        <v>0.11570710220628366</v>
      </c>
      <c r="G93" s="382">
        <f t="shared" si="227"/>
        <v>0.11302144958625317</v>
      </c>
      <c r="H93" s="382">
        <f t="shared" si="227"/>
        <v>-2.324926258575544E-2</v>
      </c>
      <c r="I93" s="382">
        <f t="shared" si="227"/>
        <v>-0.15148174507674683</v>
      </c>
      <c r="J93" s="382">
        <f t="shared" si="227"/>
        <v>-2.9682500774073702E-2</v>
      </c>
      <c r="K93" s="382">
        <f t="shared" si="227"/>
        <v>0.10706244191282857</v>
      </c>
      <c r="L93" s="382">
        <f t="shared" si="227"/>
        <v>-9.4245280621967006E-2</v>
      </c>
      <c r="M93" s="382">
        <f t="shared" si="227"/>
        <v>-3.2274981493318699E-3</v>
      </c>
      <c r="N93" s="382">
        <f t="shared" si="227"/>
        <v>-0.22026342675280958</v>
      </c>
      <c r="O93" s="382">
        <f t="shared" si="227"/>
        <v>-0.29844619701720804</v>
      </c>
      <c r="P93" s="382">
        <f t="shared" si="227"/>
        <v>-0.37120399595501491</v>
      </c>
      <c r="Q93" s="382">
        <f t="shared" si="227"/>
        <v>2.7158118453995829E-2</v>
      </c>
      <c r="R93" s="382">
        <f t="shared" si="227"/>
        <v>-6.484794356511514E-2</v>
      </c>
      <c r="S93" s="382">
        <f t="shared" si="227"/>
        <v>-0.16332890990159132</v>
      </c>
      <c r="T93" s="382">
        <f t="shared" si="227"/>
        <v>-0.22446215833897595</v>
      </c>
      <c r="U93" s="382">
        <f t="shared" si="227"/>
        <v>-3.1730137270027381E-2</v>
      </c>
      <c r="V93" s="382">
        <f t="shared" si="227"/>
        <v>-0.37497596402739358</v>
      </c>
      <c r="W93" s="382">
        <f t="shared" si="227"/>
        <v>-0.41046230281575113</v>
      </c>
      <c r="X93" s="382">
        <f t="shared" si="227"/>
        <v>-0.5313991138998756</v>
      </c>
      <c r="Y93" s="382">
        <f t="shared" si="227"/>
        <v>-8.6615450926700546E-2</v>
      </c>
      <c r="Z93" s="382">
        <f t="shared" si="227"/>
        <v>-0.28170356542900249</v>
      </c>
      <c r="AA93" s="382">
        <f t="shared" si="227"/>
        <v>-0.31468184819923722</v>
      </c>
      <c r="AB93" s="382">
        <f t="shared" si="227"/>
        <v>-0.31596878246792465</v>
      </c>
      <c r="AC93" s="382">
        <f t="shared" si="227"/>
        <v>0.22150282334238305</v>
      </c>
      <c r="AD93" s="382">
        <f t="shared" si="227"/>
        <v>0.23601571020549808</v>
      </c>
      <c r="AE93" s="382">
        <f t="shared" si="227"/>
        <v>0.10275649180605183</v>
      </c>
      <c r="AF93" s="382">
        <f t="shared" si="227"/>
        <v>-1.12718173899298E-4</v>
      </c>
      <c r="AG93" s="382">
        <f t="shared" si="227"/>
        <v>1.889765923626506E-2</v>
      </c>
      <c r="AH93" s="382">
        <f t="shared" si="227"/>
        <v>-1.3423377724612572E-2</v>
      </c>
      <c r="AI93" s="382">
        <f t="shared" si="227"/>
        <v>-0.3846400558632001</v>
      </c>
      <c r="AJ93" s="382">
        <f t="shared" si="227"/>
        <v>-0.11866765900217995</v>
      </c>
      <c r="AK93" s="382">
        <f t="shared" si="227"/>
        <v>-2.6691585957370447E-2</v>
      </c>
      <c r="AL93" s="382">
        <f t="shared" si="227"/>
        <v>1.2692986044366654E-2</v>
      </c>
      <c r="AM93" s="382">
        <f t="shared" si="227"/>
        <v>-0.4665774888847059</v>
      </c>
      <c r="AN93" s="382">
        <f t="shared" si="227"/>
        <v>-0.56940697759072234</v>
      </c>
      <c r="AO93" s="382">
        <f t="shared" si="227"/>
        <v>-0.34385589207930911</v>
      </c>
      <c r="AP93" s="382">
        <f t="shared" si="227"/>
        <v>-0.36268446795558085</v>
      </c>
      <c r="AQ93" s="382">
        <f t="shared" si="227"/>
        <v>-0.1819806248944226</v>
      </c>
      <c r="AR93" s="382">
        <f t="shared" si="227"/>
        <v>-0.12996784302952841</v>
      </c>
      <c r="AS93" s="382">
        <f t="shared" si="227"/>
        <v>0.18730284598533661</v>
      </c>
      <c r="AT93" s="382">
        <f t="shared" si="227"/>
        <v>3.407382365239334E-3</v>
      </c>
      <c r="AU93" s="382">
        <f t="shared" si="227"/>
        <v>-8.4230372068658535E-2</v>
      </c>
      <c r="AV93" s="382">
        <f t="shared" si="227"/>
        <v>-0.11565771840778916</v>
      </c>
      <c r="AW93" s="382">
        <f t="shared" si="227"/>
        <v>-8.5614058966246923E-2</v>
      </c>
      <c r="AX93" s="382">
        <f t="shared" si="227"/>
        <v>-0.21778811506014872</v>
      </c>
      <c r="AY93" s="382">
        <f t="shared" si="227"/>
        <v>-3.024165064710559E-2</v>
      </c>
      <c r="AZ93" s="382">
        <f t="shared" si="227"/>
        <v>4.3861290883957196E-2</v>
      </c>
      <c r="BA93" s="382">
        <f t="shared" si="227"/>
        <v>0.1132251087431918</v>
      </c>
      <c r="BB93" s="382">
        <f t="shared" si="227"/>
        <v>0.19218666254303163</v>
      </c>
      <c r="BC93" s="382">
        <f t="shared" si="227"/>
        <v>-0.19444296006057382</v>
      </c>
      <c r="BD93" s="382">
        <f t="shared" si="227"/>
        <v>-0.1466584615199206</v>
      </c>
      <c r="BE93" s="382">
        <f t="shared" si="227"/>
        <v>-0.22197349125775526</v>
      </c>
      <c r="BF93" s="382">
        <f t="shared" si="227"/>
        <v>-0.44201135442011352</v>
      </c>
      <c r="BG93" s="382">
        <f t="shared" si="227"/>
        <v>-0.76124818577648767</v>
      </c>
      <c r="BH93" s="382">
        <f t="shared" si="227"/>
        <v>-0.12009803921568628</v>
      </c>
      <c r="BI93" s="382">
        <f t="shared" si="227"/>
        <v>-0.11581920903954802</v>
      </c>
      <c r="BJ93" s="382">
        <f t="shared" si="227"/>
        <v>-0.20398671096345514</v>
      </c>
      <c r="BK93" s="382">
        <f t="shared" si="227"/>
        <v>-0.25796886582653816</v>
      </c>
      <c r="BL93" s="382">
        <f t="shared" si="227"/>
        <v>-0.18555417185554171</v>
      </c>
      <c r="BM93" s="382">
        <f t="shared" si="227"/>
        <v>-0.3123924268502582</v>
      </c>
      <c r="BN93" s="382">
        <f t="shared" si="227"/>
        <v>-0.40356839422259982</v>
      </c>
      <c r="BO93" s="382">
        <f t="shared" si="227"/>
        <v>-0.21621621621621623</v>
      </c>
      <c r="BP93" s="382">
        <f t="shared" ref="BP93:EA93" si="228">BP90/BP$4</f>
        <v>-0.17120343839541546</v>
      </c>
      <c r="BQ93" s="382">
        <f t="shared" si="228"/>
        <v>0.75941676792223567</v>
      </c>
      <c r="BR93" s="382">
        <f t="shared" si="228"/>
        <v>-1.588310038119441E-2</v>
      </c>
      <c r="BS93" s="382">
        <f t="shared" si="228"/>
        <v>-7.8039927404718698E-2</v>
      </c>
      <c r="BT93" s="382">
        <f t="shared" si="228"/>
        <v>-9.5797280593325096E-2</v>
      </c>
      <c r="BU93" s="382">
        <f t="shared" si="228"/>
        <v>-0.15221346270466948</v>
      </c>
      <c r="BV93" s="382">
        <f t="shared" si="228"/>
        <v>-0.12771233725976441</v>
      </c>
      <c r="BW93" s="382">
        <f t="shared" si="228"/>
        <v>6.7979669631512071E-2</v>
      </c>
      <c r="BX93" s="382">
        <f t="shared" si="228"/>
        <v>7.7514792899408283E-2</v>
      </c>
      <c r="BY93" s="382">
        <f t="shared" si="228"/>
        <v>5.913660555884092E-2</v>
      </c>
      <c r="BZ93" s="382">
        <f t="shared" si="228"/>
        <v>4.2271293375394321E-2</v>
      </c>
      <c r="CA93" s="382">
        <f t="shared" si="228"/>
        <v>2.9723991507430998E-2</v>
      </c>
      <c r="CB93" s="382">
        <f t="shared" si="228"/>
        <v>-0.21434200157604413</v>
      </c>
      <c r="CC93" s="382">
        <f t="shared" si="228"/>
        <v>-0.26666666666666666</v>
      </c>
      <c r="CD93" s="382">
        <f t="shared" si="228"/>
        <v>-0.16084558823529413</v>
      </c>
      <c r="CE93" s="382">
        <f t="shared" si="228"/>
        <v>-5.4263565891472867E-2</v>
      </c>
      <c r="CF93" s="382">
        <f t="shared" si="228"/>
        <v>4.1067761806981521E-3</v>
      </c>
      <c r="CG93" s="382">
        <f t="shared" si="228"/>
        <v>0</v>
      </c>
      <c r="CH93" s="382">
        <f t="shared" si="228"/>
        <v>-0.16105941302791696</v>
      </c>
      <c r="CI93" s="382">
        <f t="shared" si="228"/>
        <v>-3.5392088827203329E-2</v>
      </c>
      <c r="CJ93" s="382">
        <f t="shared" si="228"/>
        <v>-7.6976906927921623E-3</v>
      </c>
      <c r="CK93" s="382">
        <f t="shared" si="228"/>
        <v>7.5867635189669089E-2</v>
      </c>
      <c r="CL93" s="382">
        <f t="shared" si="228"/>
        <v>-0.18932038834951456</v>
      </c>
      <c r="CM93" s="382">
        <f t="shared" si="228"/>
        <v>-7.9617834394904455E-2</v>
      </c>
      <c r="CN93" s="382">
        <f t="shared" si="228"/>
        <v>-7.9170593779453347E-2</v>
      </c>
      <c r="CO93" s="382">
        <f t="shared" si="228"/>
        <v>2.1920668058455117E-2</v>
      </c>
      <c r="CP93" s="382">
        <f t="shared" si="228"/>
        <v>-8.1730769230769232E-2</v>
      </c>
      <c r="CQ93" s="382">
        <f t="shared" si="228"/>
        <v>-0.10321324245374879</v>
      </c>
      <c r="CR93" s="382">
        <f t="shared" si="228"/>
        <v>1.5302218821729151E-2</v>
      </c>
      <c r="CS93" s="382">
        <f t="shared" si="228"/>
        <v>0.15099457504520797</v>
      </c>
      <c r="CT93" s="382">
        <f t="shared" si="228"/>
        <v>-0.32723577235772355</v>
      </c>
      <c r="CU93" s="382">
        <f>CU90/CU$4</f>
        <v>-7.6923076923076927E-2</v>
      </c>
      <c r="CV93" s="382">
        <f>CV90/CV$4</f>
        <v>1.9476567255021303E-2</v>
      </c>
      <c r="CW93" s="382">
        <f t="shared" si="228"/>
        <v>0.22905405405405405</v>
      </c>
      <c r="CX93" s="382">
        <f t="shared" si="228"/>
        <v>-8.0145719489981782E-2</v>
      </c>
      <c r="CY93" s="382">
        <f t="shared" si="228"/>
        <v>-5.125284738041002E-2</v>
      </c>
      <c r="CZ93" s="382">
        <f t="shared" si="228"/>
        <v>3.871748336358137E-2</v>
      </c>
      <c r="DA93" s="382">
        <f t="shared" si="228"/>
        <v>2.0436927413671601E-2</v>
      </c>
      <c r="DB93" s="382">
        <f t="shared" si="228"/>
        <v>-0.21619496855345913</v>
      </c>
      <c r="DC93" s="382">
        <f t="shared" si="228"/>
        <v>-1.8288700195950358E-2</v>
      </c>
      <c r="DD93" s="382">
        <f t="shared" si="228"/>
        <v>9.9389228206551911E-2</v>
      </c>
      <c r="DE93" s="382">
        <f t="shared" si="228"/>
        <v>0.18805829807240246</v>
      </c>
      <c r="DF93" s="382">
        <f t="shared" si="228"/>
        <v>-6.7189249720044794E-2</v>
      </c>
      <c r="DG93" s="382">
        <f t="shared" si="228"/>
        <v>7.8674948240165632E-2</v>
      </c>
      <c r="DH93" s="382">
        <f t="shared" si="228"/>
        <v>9.4609068189932172E-2</v>
      </c>
      <c r="DI93" s="382">
        <f t="shared" si="228"/>
        <v>0.14796547472256474</v>
      </c>
      <c r="DJ93" s="383">
        <f t="shared" si="228"/>
        <v>0.24150943396226415</v>
      </c>
      <c r="DK93" s="383">
        <f t="shared" si="228"/>
        <v>0.23065508517456568</v>
      </c>
      <c r="DL93" s="383">
        <f t="shared" si="228"/>
        <v>0.1771337635237473</v>
      </c>
      <c r="DM93" s="383">
        <f t="shared" si="228"/>
        <v>0.15250725238292581</v>
      </c>
      <c r="DN93" s="383">
        <f t="shared" si="228"/>
        <v>0.15695600475624258</v>
      </c>
      <c r="DO93" s="383">
        <f t="shared" si="228"/>
        <v>0.13832061068702289</v>
      </c>
      <c r="DP93" s="383">
        <f t="shared" si="228"/>
        <v>0.15130278526504942</v>
      </c>
      <c r="DQ93" s="383">
        <f t="shared" si="228"/>
        <v>7.9121271655652789E-2</v>
      </c>
      <c r="DR93" s="383">
        <f t="shared" si="228"/>
        <v>6.1274051933495235E-2</v>
      </c>
      <c r="DS93" s="383">
        <f t="shared" si="228"/>
        <v>4.7396902407165514E-2</v>
      </c>
      <c r="DT93" s="383">
        <f t="shared" si="228"/>
        <v>5.120689655172414E-2</v>
      </c>
      <c r="DU93" s="383">
        <f t="shared" si="228"/>
        <v>3.9234760051880674E-2</v>
      </c>
      <c r="DV93" s="382">
        <f t="shared" si="228"/>
        <v>6.9249040745477802E-2</v>
      </c>
      <c r="DW93" s="382">
        <f t="shared" si="228"/>
        <v>7.5235646958011992E-2</v>
      </c>
      <c r="DX93" s="382">
        <f t="shared" si="228"/>
        <v>7.2737938114092973E-2</v>
      </c>
      <c r="DY93" s="382">
        <f t="shared" si="228"/>
        <v>0.1424653956646644</v>
      </c>
      <c r="DZ93" s="382">
        <f t="shared" si="228"/>
        <v>9.7741328314062917E-2</v>
      </c>
      <c r="EA93" s="382">
        <f t="shared" si="228"/>
        <v>0.22498373454782042</v>
      </c>
      <c r="EB93" s="382">
        <f t="shared" ref="EB93:EW93" si="229">EB90/EB$4</f>
        <v>0.20560242266926237</v>
      </c>
      <c r="EC93" s="382">
        <f t="shared" si="229"/>
        <v>0.23154819863680623</v>
      </c>
      <c r="ED93" s="382">
        <f t="shared" si="229"/>
        <v>0.25026821418121525</v>
      </c>
      <c r="EE93" s="384">
        <f t="shared" si="229"/>
        <v>-6.3361372242146596E-4</v>
      </c>
      <c r="EF93" s="384">
        <f t="shared" si="229"/>
        <v>0.1720073435740222</v>
      </c>
      <c r="EG93" s="384">
        <f t="shared" si="229"/>
        <v>-4.4499452568732153E-2</v>
      </c>
      <c r="EH93" s="384">
        <f t="shared" si="229"/>
        <v>0.12504595138060892</v>
      </c>
      <c r="EI93" s="384">
        <f t="shared" si="229"/>
        <v>4.0706605119442865E-2</v>
      </c>
      <c r="EJ93" s="384">
        <f t="shared" si="229"/>
        <v>8.5049468900228672E-3</v>
      </c>
      <c r="EK93" s="384">
        <f t="shared" si="229"/>
        <v>7.4631317358614419E-2</v>
      </c>
      <c r="EL93" s="384">
        <f t="shared" si="229"/>
        <v>0.32532888825568174</v>
      </c>
      <c r="EM93" s="384">
        <f t="shared" si="229"/>
        <v>0.22371110807870492</v>
      </c>
      <c r="EN93" s="384">
        <f t="shared" si="229"/>
        <v>0.15380351360201741</v>
      </c>
      <c r="EO93" s="384">
        <f t="shared" si="229"/>
        <v>0.15837883045007947</v>
      </c>
      <c r="EP93" s="384">
        <f t="shared" si="229"/>
        <v>0.32935694158813372</v>
      </c>
      <c r="EQ93" s="384">
        <f t="shared" si="229"/>
        <v>0.23894295961249409</v>
      </c>
      <c r="ER93" s="384">
        <f t="shared" si="229"/>
        <v>0.20215968932527587</v>
      </c>
      <c r="ES93" s="384">
        <f t="shared" si="229"/>
        <v>0.24772489610497131</v>
      </c>
      <c r="ET93" s="384">
        <f t="shared" si="229"/>
        <v>0.37492612807365844</v>
      </c>
      <c r="EU93" s="384">
        <f t="shared" si="229"/>
        <v>0.24402831776616107</v>
      </c>
      <c r="EV93" s="384">
        <f t="shared" si="229"/>
        <v>0.18493481272427234</v>
      </c>
      <c r="EW93" s="384">
        <f t="shared" si="229"/>
        <v>0.26059449264331197</v>
      </c>
      <c r="EZ93" s="382">
        <f t="shared" ref="EZ93:GF93" si="230">EZ90/EZ$4</f>
        <v>8.042262236998568E-2</v>
      </c>
      <c r="FA93" s="382">
        <f t="shared" si="230"/>
        <v>1.1444919305612831E-2</v>
      </c>
      <c r="FB93" s="382">
        <f t="shared" si="230"/>
        <v>-3.6699641605384341E-3</v>
      </c>
      <c r="FC93" s="382">
        <f t="shared" si="230"/>
        <v>-0.21084331488838559</v>
      </c>
      <c r="FD93" s="382">
        <f t="shared" si="230"/>
        <v>-0.12149381995650096</v>
      </c>
      <c r="FE93" s="382">
        <f t="shared" si="230"/>
        <v>-0.33505497924780725</v>
      </c>
      <c r="FF93" s="382">
        <f t="shared" si="230"/>
        <v>-0.12592787524093604</v>
      </c>
      <c r="FG93" s="382">
        <f t="shared" si="230"/>
        <v>8.6145971297021381E-2</v>
      </c>
      <c r="FH93" s="382">
        <f t="shared" si="230"/>
        <v>-0.13135979303933384</v>
      </c>
      <c r="FI93" s="382">
        <f t="shared" si="230"/>
        <v>-0.29441915530014706</v>
      </c>
      <c r="FJ93" s="382">
        <f t="shared" si="230"/>
        <v>-7.8066747594886104E-2</v>
      </c>
      <c r="FK93" s="382">
        <f t="shared" si="230"/>
        <v>-7.0702908265327824E-2</v>
      </c>
      <c r="FL93" s="382">
        <f t="shared" si="230"/>
        <v>-5.1847115480480469E-3</v>
      </c>
      <c r="FM93" s="382">
        <f t="shared" si="230"/>
        <v>-0.10068015578281114</v>
      </c>
      <c r="FN93" s="382">
        <f t="shared" si="230"/>
        <v>-0.33178114086146682</v>
      </c>
      <c r="FO93" s="382">
        <f t="shared" si="230"/>
        <v>-0.23408039843472073</v>
      </c>
      <c r="FP93" s="382">
        <f t="shared" si="230"/>
        <v>5.1823061262261709E-2</v>
      </c>
      <c r="FQ93" s="382">
        <f t="shared" si="230"/>
        <v>-8.6233446258084392E-2</v>
      </c>
      <c r="FR93" s="382">
        <f t="shared" si="230"/>
        <v>2.0097442143727162E-2</v>
      </c>
      <c r="FS93" s="382">
        <f t="shared" si="230"/>
        <v>-8.6868314275175218E-2</v>
      </c>
      <c r="FT93" s="382">
        <f t="shared" si="230"/>
        <v>-4.3781845631251176E-2</v>
      </c>
      <c r="FU93" s="382">
        <f t="shared" si="230"/>
        <v>-3.5052669814747549E-2</v>
      </c>
      <c r="FV93" s="382">
        <f t="shared" si="230"/>
        <v>-8.3437734903532942E-2</v>
      </c>
      <c r="FW93" s="382">
        <f t="shared" si="230"/>
        <v>3.0430711610486892E-3</v>
      </c>
      <c r="FX93" s="382">
        <f t="shared" si="230"/>
        <v>-8.4443610433477204E-3</v>
      </c>
      <c r="FY93" s="382">
        <f t="shared" si="230"/>
        <v>-1.9922779922779923E-2</v>
      </c>
      <c r="FZ93" s="382">
        <f t="shared" si="230"/>
        <v>4.1004308423711187E-2</v>
      </c>
      <c r="GA93" s="382">
        <f t="shared" si="230"/>
        <v>7.9586192768616199E-2</v>
      </c>
      <c r="GB93" s="382">
        <f t="shared" si="230"/>
        <v>0.19593525617622004</v>
      </c>
      <c r="GC93" s="382">
        <f t="shared" si="230"/>
        <v>0.13198593279945764</v>
      </c>
      <c r="GD93" s="382">
        <f t="shared" si="230"/>
        <v>4.9426807760141092E-2</v>
      </c>
      <c r="GE93" s="382">
        <f t="shared" si="230"/>
        <v>9.3271281752957153E-2</v>
      </c>
      <c r="GF93" s="382">
        <f t="shared" si="230"/>
        <v>0.19443401945783653</v>
      </c>
      <c r="GG93" s="384">
        <f>GG90/GG$4</f>
        <v>7.8560369556355064E-2</v>
      </c>
      <c r="GH93" s="384">
        <f>GH90/GH$4</f>
        <v>5.978706391606526E-2</v>
      </c>
      <c r="GI93" s="384">
        <f t="shared" ref="GI93:GK93" si="231">GI90/GI$4</f>
        <v>0.21105211767034371</v>
      </c>
      <c r="GJ93" s="384">
        <f t="shared" si="231"/>
        <v>0.25260261380546239</v>
      </c>
      <c r="GK93" s="384">
        <f t="shared" si="231"/>
        <v>0.26296851528052489</v>
      </c>
      <c r="GN93" s="70"/>
    </row>
    <row r="94" spans="1:196" s="376" customFormat="1">
      <c r="A94" s="405" t="s">
        <v>252</v>
      </c>
      <c r="B94" s="376">
        <f>AMD!AF84</f>
        <v>81.662999999999997</v>
      </c>
      <c r="C94" s="376">
        <f>AMD!AG84</f>
        <v>81.756000000000014</v>
      </c>
      <c r="D94" s="376">
        <f>AMD!AH84</f>
        <v>93.531999999999996</v>
      </c>
      <c r="E94" s="376">
        <f>AMD!AI84</f>
        <v>104.05</v>
      </c>
      <c r="F94" s="376">
        <f>AMD!AK84</f>
        <v>104.83200000000001</v>
      </c>
      <c r="G94" s="376">
        <f>AMD!AL84</f>
        <v>112.64699999999999</v>
      </c>
      <c r="H94" s="376">
        <f>AMD!AM84</f>
        <v>120.124</v>
      </c>
      <c r="I94" s="376">
        <f>AMD!AN84</f>
        <v>128.69</v>
      </c>
      <c r="J94" s="376">
        <f>AMD!AP84</f>
        <v>125.262</v>
      </c>
      <c r="K94" s="376">
        <f>AMD!AQ84</f>
        <v>133.20400000000001</v>
      </c>
      <c r="L94" s="376">
        <f>AMD!AR84</f>
        <v>151.13</v>
      </c>
      <c r="M94" s="376">
        <f>AMD!AS84</f>
        <v>154.66999999999999</v>
      </c>
      <c r="N94" s="376">
        <f>AMD!AU84</f>
        <v>168.173</v>
      </c>
      <c r="O94" s="376">
        <f>AMD!AV84</f>
        <v>175.83700000000002</v>
      </c>
      <c r="P94" s="376">
        <f>AMD!AW84</f>
        <v>163.489</v>
      </c>
      <c r="Q94" s="376">
        <f>AMD!AX84</f>
        <v>154.01</v>
      </c>
      <c r="R94" s="376">
        <f>AMD!AZ84</f>
        <v>149.21799999999999</v>
      </c>
      <c r="S94" s="376">
        <f>AMD!BA84</f>
        <v>162.614</v>
      </c>
      <c r="T94" s="376">
        <f>AMD!BB84</f>
        <v>163.43099999999998</v>
      </c>
      <c r="U94" s="376">
        <f>AMD!BC84</f>
        <v>168.517</v>
      </c>
      <c r="V94" s="376">
        <f>AMD!BE84</f>
        <v>157.85900000000001</v>
      </c>
      <c r="W94" s="376">
        <f>AMD!BF84</f>
        <v>171.63299999999998</v>
      </c>
      <c r="X94" s="376">
        <f>AMD!BG84</f>
        <v>172.23100000000002</v>
      </c>
      <c r="Y94" s="376">
        <f>AMD!BH84</f>
        <v>175.07499999999999</v>
      </c>
      <c r="Z94" s="376">
        <f>AMD!BJ84</f>
        <v>182.67</v>
      </c>
      <c r="AA94" s="376">
        <f>AMD!BK84</f>
        <v>203.05599999999998</v>
      </c>
      <c r="AB94" s="376">
        <f>AMD!BL84</f>
        <v>234.11</v>
      </c>
      <c r="AC94" s="376">
        <f>AMD!BM84</f>
        <v>198.21299999999999</v>
      </c>
      <c r="AD94" s="376">
        <f>AMD!BO84</f>
        <v>204.965</v>
      </c>
      <c r="AE94" s="376">
        <f>AMD!BP84</f>
        <v>255.57900000000001</v>
      </c>
      <c r="AF94" s="376">
        <f>AMD!BQ84</f>
        <v>290.42599999999999</v>
      </c>
      <c r="AG94" s="376">
        <f>AMD!BR84</f>
        <v>343.54100000000005</v>
      </c>
      <c r="AH94" s="376">
        <f>AMD!BT84</f>
        <v>354.63</v>
      </c>
      <c r="AI94" s="376">
        <f>AMD!BU84</f>
        <v>400.84899999999999</v>
      </c>
      <c r="AJ94" s="376">
        <f>AMD!BV84</f>
        <v>449.07799999999997</v>
      </c>
      <c r="AK94" s="376">
        <f>AMD!BW84</f>
        <v>380.47399999999999</v>
      </c>
      <c r="AL94" s="376">
        <f>AMD!BY84</f>
        <v>376.79499999999996</v>
      </c>
      <c r="AM94" s="376">
        <f>AMD!BZ84</f>
        <v>380.07799999999997</v>
      </c>
      <c r="AN94" s="376">
        <f>AMD!CA84</f>
        <v>420.23200000000003</v>
      </c>
      <c r="AO94" s="376">
        <f>AMD!CB84</f>
        <v>432.60299999999995</v>
      </c>
      <c r="AP94" s="376">
        <f>AMD!CD84</f>
        <v>440.04900000000004</v>
      </c>
      <c r="AQ94" s="376">
        <f>AMD!CE84</f>
        <v>467.38400000000001</v>
      </c>
      <c r="AR94" s="376">
        <f>AMD!CF84</f>
        <v>692.39499999999998</v>
      </c>
      <c r="AS94" s="376">
        <f>AMD!CG84</f>
        <v>697.6579999999999</v>
      </c>
      <c r="AT94" s="376">
        <f>AMD!CI84</f>
        <v>692.58799999999997</v>
      </c>
      <c r="AU94" s="376">
        <f>AMD!CJ84</f>
        <v>726.17899999999997</v>
      </c>
      <c r="AV94" s="376">
        <f>AMD!CK84</f>
        <v>807.23299999999995</v>
      </c>
      <c r="AW94" s="376">
        <f>AMD!CL84</f>
        <v>874.79</v>
      </c>
      <c r="AX94" s="376">
        <f>AMD!CN84</f>
        <v>846.15200000000004</v>
      </c>
      <c r="AY94" s="376">
        <f>AMD!CO84</f>
        <v>911.16300000000001</v>
      </c>
      <c r="AZ94" s="376">
        <f>AMD!CP84</f>
        <v>931.76299999999992</v>
      </c>
      <c r="BA94" s="376">
        <f>AMD!CQ84</f>
        <v>388.63099999999997</v>
      </c>
      <c r="BB94" s="376">
        <f>AMD!CS84</f>
        <v>337.21600000000001</v>
      </c>
      <c r="BC94" s="376">
        <f>AMD!CT84</f>
        <v>405.28500000000003</v>
      </c>
      <c r="BD94" s="376">
        <f>AMD!CU84</f>
        <v>465.71600000000001</v>
      </c>
      <c r="BE94" s="376">
        <f>AMD!CV84</f>
        <v>814</v>
      </c>
      <c r="BF94" s="376">
        <f>AMD!CX84</f>
        <v>937</v>
      </c>
      <c r="BG94" s="376">
        <f>AMD!CY84</f>
        <v>892</v>
      </c>
      <c r="BH94" s="376">
        <f>AMD!CZ84</f>
        <v>839</v>
      </c>
      <c r="BI94" s="376">
        <f>AMD!DA84</f>
        <v>821</v>
      </c>
      <c r="BJ94" s="376">
        <f>AMD!DC84</f>
        <v>785</v>
      </c>
      <c r="BK94" s="376">
        <f>AMD!DD84</f>
        <v>791</v>
      </c>
      <c r="BL94" s="376">
        <f>AMD!DE84</f>
        <v>844</v>
      </c>
      <c r="BM94" s="376">
        <f>AMD!DF84</f>
        <v>656</v>
      </c>
      <c r="BN94" s="376">
        <f>AMD!DH84</f>
        <v>539</v>
      </c>
      <c r="BO94" s="376">
        <f>AMD!DI84</f>
        <v>493</v>
      </c>
      <c r="BP94" s="376">
        <f>AMD!DJ84</f>
        <v>515</v>
      </c>
      <c r="BQ94" s="376">
        <f>AMD!DK84</f>
        <v>567</v>
      </c>
      <c r="BR94" s="376">
        <f>AMD!DM84</f>
        <v>577</v>
      </c>
      <c r="BS94" s="376">
        <f>AMD!DN84</f>
        <v>581</v>
      </c>
      <c r="BT94" s="376">
        <f>AMD!DO84</f>
        <v>622</v>
      </c>
      <c r="BU94" s="376">
        <f>AMD!DP84</f>
        <v>632</v>
      </c>
      <c r="BV94" s="376">
        <f>AMD!DR84</f>
        <v>648</v>
      </c>
      <c r="BW94" s="376">
        <f>AMD!DS84</f>
        <v>642</v>
      </c>
      <c r="BX94" s="376">
        <f>AMD!DT84</f>
        <v>540</v>
      </c>
      <c r="BY94" s="376">
        <f>AMD!DU84</f>
        <v>476</v>
      </c>
      <c r="BZ94" s="376">
        <f>AMD!DW84</f>
        <v>585</v>
      </c>
      <c r="CA94" s="376">
        <f>AMD!DX84</f>
        <v>833</v>
      </c>
      <c r="CB94" s="376">
        <f>AMD!DY84</f>
        <v>744</v>
      </c>
      <c r="CC94" s="376">
        <f>AMD!DZ84</f>
        <v>562</v>
      </c>
      <c r="CD94" s="376">
        <f>AMD!EB84</f>
        <v>613</v>
      </c>
      <c r="CE94" s="376">
        <f>AMD!EC84</f>
        <v>711</v>
      </c>
      <c r="CF94" s="376">
        <f>AMD!ED84</f>
        <v>922</v>
      </c>
      <c r="CG94" s="376">
        <f>AMD!EE84</f>
        <v>884</v>
      </c>
      <c r="CH94" s="376">
        <f>AMD!EG84</f>
        <v>869</v>
      </c>
      <c r="CI94" s="376">
        <f>AMD!EH84</f>
        <v>960</v>
      </c>
      <c r="CJ94" s="376">
        <f>AMD!EI84</f>
        <v>897</v>
      </c>
      <c r="CK94" s="376">
        <f>AMD!EJ84</f>
        <v>685</v>
      </c>
      <c r="CL94" s="376">
        <f>AMD!EL84</f>
        <v>688</v>
      </c>
      <c r="CM94" s="376">
        <f>AMD!EM84</f>
        <v>799</v>
      </c>
      <c r="CN94" s="376">
        <f>AMD!EN84</f>
        <v>761</v>
      </c>
      <c r="CO94" s="376">
        <f>AMD!EO84</f>
        <v>678</v>
      </c>
      <c r="CP94" s="376">
        <f>AMD!EQ84</f>
        <v>675</v>
      </c>
      <c r="CQ94" s="376">
        <f>AMD!ER84</f>
        <v>743</v>
      </c>
      <c r="CR94" s="376">
        <f>AMD!ES84</f>
        <v>772</v>
      </c>
      <c r="CS94" s="376">
        <f>AMD!ET84</f>
        <v>751</v>
      </c>
      <c r="CT94" s="376">
        <f>AMD!EV84</f>
        <v>839</v>
      </c>
      <c r="CU94" s="376">
        <f>AMD!EW84</f>
        <v>833</v>
      </c>
      <c r="CV94" s="376">
        <f>AMD!EX84</f>
        <v>794</v>
      </c>
      <c r="CW94" s="376">
        <f>AMD!EY84</f>
        <v>739</v>
      </c>
      <c r="CX94" s="376">
        <f>AMD!FA84</f>
        <v>715</v>
      </c>
      <c r="CY94" s="376">
        <f>AMD!FB84</f>
        <v>750</v>
      </c>
      <c r="CZ94" s="376">
        <f>AMD!FC84</f>
        <v>738</v>
      </c>
      <c r="DA94" s="376">
        <f>AMD!FD84</f>
        <v>845</v>
      </c>
      <c r="DB94" s="376">
        <f>AMD!FF84</f>
        <v>955</v>
      </c>
      <c r="DC94" s="376">
        <f>AMD!FG84</f>
        <v>1015</v>
      </c>
      <c r="DD94" s="376">
        <f>AMD!FH84</f>
        <v>1040</v>
      </c>
      <c r="DE94" s="376">
        <f>AMD!FI84</f>
        <v>982</v>
      </c>
      <c r="DF94" s="376">
        <f>AMD!FK84</f>
        <v>1056</v>
      </c>
      <c r="DG94" s="376">
        <f>AMD!FL84</f>
        <v>1324</v>
      </c>
      <c r="DH94" s="376">
        <f>AMD!FM84</f>
        <v>1292</v>
      </c>
      <c r="DI94" s="376">
        <f>AMD!FN84</f>
        <v>1399</v>
      </c>
      <c r="DJ94" s="397">
        <f>AMD!FP84</f>
        <v>1653</v>
      </c>
      <c r="DK94" s="397">
        <f>AMD!FQ84</f>
        <v>1765</v>
      </c>
      <c r="DL94" s="397">
        <f>AMD!FR84</f>
        <v>1902</v>
      </c>
      <c r="DM94" s="397">
        <f>AMD!FS84</f>
        <v>1955</v>
      </c>
      <c r="DN94" s="397">
        <f>AMD!FU84</f>
        <v>2431</v>
      </c>
      <c r="DO94" s="397">
        <f>AMD!FV84</f>
        <v>2648</v>
      </c>
      <c r="DP94" s="397">
        <f>AMD!FW84</f>
        <v>3369</v>
      </c>
      <c r="DQ94" s="397">
        <f>AMD!FX84</f>
        <v>3771</v>
      </c>
      <c r="DR94" s="397">
        <f>AMD!FZ84</f>
        <v>4235</v>
      </c>
      <c r="DS94" s="397">
        <f>AMD!GA84</f>
        <v>4567</v>
      </c>
      <c r="DT94" s="397">
        <f>AMD!GB84</f>
        <v>4445</v>
      </c>
      <c r="DU94" s="397">
        <f>AMD!GC84</f>
        <v>4351</v>
      </c>
      <c r="DV94" s="376">
        <f>AMD!GE84</f>
        <v>4652</v>
      </c>
      <c r="DW94" s="376">
        <f>AMD!GF84</f>
        <v>4991</v>
      </c>
      <c r="DX94" s="376">
        <f>AMD!GG84</f>
        <v>5374</v>
      </c>
      <c r="DY94" s="376">
        <f>AMD!GH84</f>
        <v>5734</v>
      </c>
      <c r="DZ94" s="376">
        <f>AMD!GJ84</f>
        <v>6416</v>
      </c>
      <c r="EA94" s="376">
        <f>AMD!GK84</f>
        <v>6677</v>
      </c>
      <c r="EB94" s="376">
        <f>AMD!GL84</f>
        <v>7313</v>
      </c>
      <c r="EC94" s="376">
        <f>AMD!GM84</f>
        <v>7920</v>
      </c>
      <c r="ED94" s="376">
        <f>AMD!GO84</f>
        <v>8045</v>
      </c>
      <c r="EE94" s="380">
        <f>AMD!GP84</f>
        <v>9484.7992522602926</v>
      </c>
      <c r="EF94" s="380">
        <f>AMD!GQ84</f>
        <v>9818.3960674655536</v>
      </c>
      <c r="EG94" s="380">
        <f>AMD!GR84</f>
        <v>13429.741084777375</v>
      </c>
      <c r="EH94" s="380">
        <f>AMD!GT84</f>
        <v>15390.531777320513</v>
      </c>
      <c r="EI94" s="380">
        <f>AMD!GU84</f>
        <v>17004.285036522728</v>
      </c>
      <c r="EJ94" s="380">
        <f>AMD!GV84</f>
        <v>21513.075174379333</v>
      </c>
      <c r="EK94" s="380">
        <f>AMD!GW84</f>
        <v>25216.258728543231</v>
      </c>
      <c r="EL94" s="380">
        <f>AMD!GY84</f>
        <v>24224.065993909186</v>
      </c>
      <c r="EM94" s="380">
        <f>AMD!GZ84</f>
        <v>25242.838457189144</v>
      </c>
      <c r="EN94" s="380">
        <f>AMD!HA84</f>
        <v>28335.800595771085</v>
      </c>
      <c r="EO94" s="380">
        <f>AMD!HB84</f>
        <v>31817.922476742428</v>
      </c>
      <c r="EP94" s="380">
        <f>AMD!HD84</f>
        <v>31278.782310624778</v>
      </c>
      <c r="EQ94" s="380">
        <f>AMD!HE84</f>
        <v>32666.981970806642</v>
      </c>
      <c r="ER94" s="380">
        <f>AMD!HF84</f>
        <v>35166.321925454446</v>
      </c>
      <c r="ES94" s="380">
        <f>AMD!HG84</f>
        <v>36695.508561479284</v>
      </c>
      <c r="ET94" s="380">
        <f>AMD!HI84</f>
        <v>35037.574740399359</v>
      </c>
      <c r="EU94" s="380">
        <f>AMD!HJ84</f>
        <v>36578.534283522924</v>
      </c>
      <c r="EV94" s="380">
        <f>AMD!HK84</f>
        <v>40134.414768490424</v>
      </c>
      <c r="EW94" s="380">
        <f>AMD!HL84</f>
        <v>41935.121971354572</v>
      </c>
      <c r="GG94" s="380"/>
      <c r="GH94" s="380"/>
      <c r="GI94" s="380"/>
      <c r="GJ94" s="380"/>
      <c r="GK94" s="380"/>
      <c r="GN94" s="70"/>
    </row>
    <row r="95" spans="1:196" s="382" customFormat="1">
      <c r="A95" s="381" t="s">
        <v>198</v>
      </c>
      <c r="C95" s="382">
        <f t="shared" ref="C95:BN95" si="232">C94/B94-1</f>
        <v>1.1388266411962444E-3</v>
      </c>
      <c r="D95" s="382">
        <f t="shared" si="232"/>
        <v>0.14403835804099985</v>
      </c>
      <c r="E95" s="382">
        <f t="shared" si="232"/>
        <v>0.11245349185305575</v>
      </c>
      <c r="F95" s="382">
        <f t="shared" si="232"/>
        <v>7.515617491590687E-3</v>
      </c>
      <c r="G95" s="382">
        <f t="shared" si="232"/>
        <v>7.4547847985347859E-2</v>
      </c>
      <c r="H95" s="382">
        <f t="shared" si="232"/>
        <v>6.637549157989131E-2</v>
      </c>
      <c r="I95" s="382">
        <f t="shared" si="232"/>
        <v>7.1309646698411555E-2</v>
      </c>
      <c r="J95" s="382">
        <f t="shared" si="232"/>
        <v>-2.6637656383557418E-2</v>
      </c>
      <c r="K95" s="382">
        <f t="shared" si="232"/>
        <v>6.3403107087544486E-2</v>
      </c>
      <c r="L95" s="382">
        <f t="shared" si="232"/>
        <v>0.13457553827212387</v>
      </c>
      <c r="M95" s="382">
        <f t="shared" si="232"/>
        <v>2.3423542645404583E-2</v>
      </c>
      <c r="N95" s="382">
        <f t="shared" si="232"/>
        <v>8.7301997801771503E-2</v>
      </c>
      <c r="O95" s="382">
        <f t="shared" si="232"/>
        <v>4.5572119186789939E-2</v>
      </c>
      <c r="P95" s="382">
        <f t="shared" si="232"/>
        <v>-7.0224128027662092E-2</v>
      </c>
      <c r="Q95" s="382">
        <f t="shared" si="232"/>
        <v>-5.7979435925352818E-2</v>
      </c>
      <c r="R95" s="382">
        <f t="shared" si="232"/>
        <v>-3.1114862671255072E-2</v>
      </c>
      <c r="S95" s="382">
        <f t="shared" si="232"/>
        <v>8.9774692061279637E-2</v>
      </c>
      <c r="T95" s="382">
        <f t="shared" si="232"/>
        <v>5.0241676608409058E-3</v>
      </c>
      <c r="U95" s="382">
        <f t="shared" si="232"/>
        <v>3.1120166920596493E-2</v>
      </c>
      <c r="V95" s="382">
        <f t="shared" si="232"/>
        <v>-6.3245844632885628E-2</v>
      </c>
      <c r="W95" s="382">
        <f t="shared" si="232"/>
        <v>8.7255082066907574E-2</v>
      </c>
      <c r="X95" s="382">
        <f t="shared" si="232"/>
        <v>3.4841784505312834E-3</v>
      </c>
      <c r="Y95" s="382">
        <f t="shared" si="232"/>
        <v>1.6512706771719232E-2</v>
      </c>
      <c r="Z95" s="382">
        <f t="shared" si="232"/>
        <v>4.3381407968013708E-2</v>
      </c>
      <c r="AA95" s="382">
        <f t="shared" si="232"/>
        <v>0.11160015328187445</v>
      </c>
      <c r="AB95" s="382">
        <f t="shared" si="232"/>
        <v>0.15293318099440567</v>
      </c>
      <c r="AC95" s="382">
        <f t="shared" si="232"/>
        <v>-0.1533339028661741</v>
      </c>
      <c r="AD95" s="382">
        <f t="shared" si="232"/>
        <v>3.4064365102188132E-2</v>
      </c>
      <c r="AE95" s="382">
        <f t="shared" si="232"/>
        <v>0.24693972141585152</v>
      </c>
      <c r="AF95" s="382">
        <f t="shared" si="232"/>
        <v>0.13634531788605475</v>
      </c>
      <c r="AG95" s="382">
        <f t="shared" si="232"/>
        <v>0.18288651842465908</v>
      </c>
      <c r="AH95" s="382">
        <f t="shared" si="232"/>
        <v>3.2278534439848405E-2</v>
      </c>
      <c r="AI95" s="382">
        <f t="shared" si="232"/>
        <v>0.13033020331049272</v>
      </c>
      <c r="AJ95" s="382">
        <f t="shared" si="232"/>
        <v>0.12031712689815866</v>
      </c>
      <c r="AK95" s="382">
        <f t="shared" si="232"/>
        <v>-0.15276633457884814</v>
      </c>
      <c r="AL95" s="382">
        <f t="shared" si="232"/>
        <v>-9.6695174965963915E-3</v>
      </c>
      <c r="AM95" s="382">
        <f t="shared" si="232"/>
        <v>8.7129606284583883E-3</v>
      </c>
      <c r="AN95" s="382">
        <f t="shared" si="232"/>
        <v>0.10564673567004679</v>
      </c>
      <c r="AO95" s="382">
        <f t="shared" si="232"/>
        <v>2.9438500637742671E-2</v>
      </c>
      <c r="AP95" s="382">
        <f t="shared" si="232"/>
        <v>1.7212085907864827E-2</v>
      </c>
      <c r="AQ95" s="382">
        <f t="shared" si="232"/>
        <v>6.211808230447069E-2</v>
      </c>
      <c r="AR95" s="382">
        <f t="shared" si="232"/>
        <v>0.48142640740804121</v>
      </c>
      <c r="AS95" s="382">
        <f t="shared" si="232"/>
        <v>7.6011525213208753E-3</v>
      </c>
      <c r="AT95" s="382">
        <f t="shared" si="232"/>
        <v>-7.2671710207579121E-3</v>
      </c>
      <c r="AU95" s="382">
        <f t="shared" si="232"/>
        <v>4.8500695940443705E-2</v>
      </c>
      <c r="AV95" s="382">
        <f t="shared" si="232"/>
        <v>0.11161710817856196</v>
      </c>
      <c r="AW95" s="382">
        <f t="shared" si="232"/>
        <v>8.3689591481022285E-2</v>
      </c>
      <c r="AX95" s="382">
        <f t="shared" si="232"/>
        <v>-3.2736999737079664E-2</v>
      </c>
      <c r="AY95" s="382">
        <f t="shared" si="232"/>
        <v>7.6831349450216857E-2</v>
      </c>
      <c r="AZ95" s="382">
        <f t="shared" si="232"/>
        <v>2.2608468517707481E-2</v>
      </c>
      <c r="BA95" s="382">
        <f t="shared" si="232"/>
        <v>-0.58290788537428506</v>
      </c>
      <c r="BB95" s="382">
        <f t="shared" si="232"/>
        <v>-0.13229773229618835</v>
      </c>
      <c r="BC95" s="382">
        <f t="shared" si="232"/>
        <v>0.20185578382994884</v>
      </c>
      <c r="BD95" s="382">
        <f t="shared" si="232"/>
        <v>0.14910741823654949</v>
      </c>
      <c r="BE95" s="382">
        <f t="shared" si="232"/>
        <v>0.74784632694603581</v>
      </c>
      <c r="BF95" s="382">
        <f t="shared" si="232"/>
        <v>0.151105651105651</v>
      </c>
      <c r="BG95" s="382">
        <f t="shared" si="232"/>
        <v>-4.8025613660618971E-2</v>
      </c>
      <c r="BH95" s="382">
        <f t="shared" si="232"/>
        <v>-5.94170403587444E-2</v>
      </c>
      <c r="BI95" s="382">
        <f t="shared" si="232"/>
        <v>-2.1454112038140627E-2</v>
      </c>
      <c r="BJ95" s="382">
        <f t="shared" si="232"/>
        <v>-4.3848964677222879E-2</v>
      </c>
      <c r="BK95" s="382">
        <f t="shared" si="232"/>
        <v>7.6433121019108263E-3</v>
      </c>
      <c r="BL95" s="382">
        <f t="shared" si="232"/>
        <v>6.7003792667509554E-2</v>
      </c>
      <c r="BM95" s="382">
        <f t="shared" si="232"/>
        <v>-0.22274881516587675</v>
      </c>
      <c r="BN95" s="382">
        <f t="shared" si="232"/>
        <v>-0.17835365853658536</v>
      </c>
      <c r="BO95" s="382">
        <f t="shared" ref="BO95:DZ95" si="233">BO94/BN94-1</f>
        <v>-8.5343228200371102E-2</v>
      </c>
      <c r="BP95" s="382">
        <f t="shared" si="233"/>
        <v>4.4624746450304231E-2</v>
      </c>
      <c r="BQ95" s="382">
        <f t="shared" si="233"/>
        <v>0.10097087378640768</v>
      </c>
      <c r="BR95" s="382">
        <f t="shared" si="233"/>
        <v>1.763668430335108E-2</v>
      </c>
      <c r="BS95" s="382">
        <f t="shared" si="233"/>
        <v>6.9324090121316573E-3</v>
      </c>
      <c r="BT95" s="382">
        <f t="shared" si="233"/>
        <v>7.0567986230636759E-2</v>
      </c>
      <c r="BU95" s="382">
        <f t="shared" si="233"/>
        <v>1.6077170418006492E-2</v>
      </c>
      <c r="BV95" s="382">
        <f t="shared" si="233"/>
        <v>2.5316455696202445E-2</v>
      </c>
      <c r="BW95" s="382">
        <f t="shared" si="233"/>
        <v>-9.2592592592593004E-3</v>
      </c>
      <c r="BX95" s="382">
        <f t="shared" si="233"/>
        <v>-0.15887850467289721</v>
      </c>
      <c r="BY95" s="382">
        <f t="shared" si="233"/>
        <v>-0.11851851851851847</v>
      </c>
      <c r="BZ95" s="382">
        <f t="shared" si="233"/>
        <v>0.22899159663865554</v>
      </c>
      <c r="CA95" s="382">
        <f t="shared" si="233"/>
        <v>0.42393162393162398</v>
      </c>
      <c r="CB95" s="382">
        <f t="shared" si="233"/>
        <v>-0.10684273709483794</v>
      </c>
      <c r="CC95" s="382">
        <f t="shared" si="233"/>
        <v>-0.2446236559139785</v>
      </c>
      <c r="CD95" s="382">
        <f t="shared" si="233"/>
        <v>9.0747330960854189E-2</v>
      </c>
      <c r="CE95" s="382">
        <f t="shared" si="233"/>
        <v>0.15986949429037511</v>
      </c>
      <c r="CF95" s="382">
        <f t="shared" si="233"/>
        <v>0.29676511954992968</v>
      </c>
      <c r="CG95" s="382">
        <f t="shared" si="233"/>
        <v>-4.1214750542299394E-2</v>
      </c>
      <c r="CH95" s="382">
        <f t="shared" si="233"/>
        <v>-1.6968325791855254E-2</v>
      </c>
      <c r="CI95" s="382">
        <f t="shared" si="233"/>
        <v>0.10471806674338313</v>
      </c>
      <c r="CJ95" s="382">
        <f t="shared" si="233"/>
        <v>-6.5625000000000044E-2</v>
      </c>
      <c r="CK95" s="382">
        <f t="shared" si="233"/>
        <v>-0.23634336677814938</v>
      </c>
      <c r="CL95" s="382">
        <f t="shared" si="233"/>
        <v>4.3795620437956373E-3</v>
      </c>
      <c r="CM95" s="382">
        <f t="shared" si="233"/>
        <v>0.16133720930232553</v>
      </c>
      <c r="CN95" s="382">
        <f t="shared" si="233"/>
        <v>-4.7559449311639579E-2</v>
      </c>
      <c r="CO95" s="382">
        <f t="shared" si="233"/>
        <v>-0.10906701708278577</v>
      </c>
      <c r="CP95" s="382">
        <f t="shared" si="233"/>
        <v>-4.4247787610619538E-3</v>
      </c>
      <c r="CQ95" s="382">
        <f t="shared" si="233"/>
        <v>0.1007407407407408</v>
      </c>
      <c r="CR95" s="382">
        <f t="shared" si="233"/>
        <v>3.9030955585464433E-2</v>
      </c>
      <c r="CS95" s="382">
        <f t="shared" si="233"/>
        <v>-2.7202072538860089E-2</v>
      </c>
      <c r="CT95" s="382">
        <f t="shared" si="233"/>
        <v>0.11717709720372826</v>
      </c>
      <c r="CU95" s="382">
        <f t="shared" si="233"/>
        <v>-7.151370679380209E-3</v>
      </c>
      <c r="CV95" s="382">
        <f t="shared" si="233"/>
        <v>-4.6818727490996359E-2</v>
      </c>
      <c r="CW95" s="382">
        <f t="shared" si="233"/>
        <v>-6.9269521410579293E-2</v>
      </c>
      <c r="CX95" s="382">
        <f t="shared" si="233"/>
        <v>-3.247631935047357E-2</v>
      </c>
      <c r="CY95" s="382">
        <f t="shared" si="233"/>
        <v>4.8951048951048959E-2</v>
      </c>
      <c r="CZ95" s="382">
        <f t="shared" si="233"/>
        <v>-1.6000000000000014E-2</v>
      </c>
      <c r="DA95" s="382">
        <f t="shared" si="233"/>
        <v>0.1449864498644986</v>
      </c>
      <c r="DB95" s="382">
        <f t="shared" si="233"/>
        <v>0.13017751479289941</v>
      </c>
      <c r="DC95" s="382">
        <f t="shared" si="233"/>
        <v>6.2827225130890119E-2</v>
      </c>
      <c r="DD95" s="382">
        <f t="shared" si="233"/>
        <v>2.4630541871921263E-2</v>
      </c>
      <c r="DE95" s="382">
        <f t="shared" si="233"/>
        <v>-5.5769230769230793E-2</v>
      </c>
      <c r="DF95" s="382">
        <f t="shared" si="233"/>
        <v>7.5356415478615046E-2</v>
      </c>
      <c r="DG95" s="382">
        <f t="shared" si="233"/>
        <v>0.2537878787878789</v>
      </c>
      <c r="DH95" s="382">
        <f t="shared" si="233"/>
        <v>-2.4169184290030232E-2</v>
      </c>
      <c r="DI95" s="382">
        <f t="shared" si="233"/>
        <v>8.2817337461300378E-2</v>
      </c>
      <c r="DJ95" s="383">
        <f t="shared" si="233"/>
        <v>0.18155825589706942</v>
      </c>
      <c r="DK95" s="383">
        <f t="shared" si="233"/>
        <v>6.775559588626745E-2</v>
      </c>
      <c r="DL95" s="383">
        <f t="shared" si="233"/>
        <v>7.7620396600566632E-2</v>
      </c>
      <c r="DM95" s="383">
        <f t="shared" si="233"/>
        <v>2.7865404837013719E-2</v>
      </c>
      <c r="DN95" s="383">
        <f t="shared" si="233"/>
        <v>0.24347826086956514</v>
      </c>
      <c r="DO95" s="383">
        <f t="shared" si="233"/>
        <v>8.9263677498971683E-2</v>
      </c>
      <c r="DP95" s="383">
        <f t="shared" si="233"/>
        <v>0.27228096676737157</v>
      </c>
      <c r="DQ95" s="383">
        <f t="shared" si="233"/>
        <v>0.1193232413178984</v>
      </c>
      <c r="DR95" s="383">
        <f t="shared" si="233"/>
        <v>0.12304428533545475</v>
      </c>
      <c r="DS95" s="383">
        <f t="shared" si="233"/>
        <v>7.8394332939787592E-2</v>
      </c>
      <c r="DT95" s="383">
        <f t="shared" si="233"/>
        <v>-2.671337858550471E-2</v>
      </c>
      <c r="DU95" s="383">
        <f t="shared" si="233"/>
        <v>-2.1147356580427434E-2</v>
      </c>
      <c r="DV95" s="382">
        <f t="shared" si="233"/>
        <v>6.9179498965755037E-2</v>
      </c>
      <c r="DW95" s="382">
        <f t="shared" si="233"/>
        <v>7.2871883061049081E-2</v>
      </c>
      <c r="DX95" s="382">
        <f t="shared" si="233"/>
        <v>7.6738128631536728E-2</v>
      </c>
      <c r="DY95" s="382">
        <f t="shared" si="233"/>
        <v>6.6989207294380293E-2</v>
      </c>
      <c r="DZ95" s="382">
        <f t="shared" si="233"/>
        <v>0.11893965817928143</v>
      </c>
      <c r="EA95" s="382">
        <f t="shared" ref="EA95:EW95" si="234">EA94/DZ94-1</f>
        <v>4.0679551122194457E-2</v>
      </c>
      <c r="EB95" s="382">
        <f t="shared" si="234"/>
        <v>9.5252358843792129E-2</v>
      </c>
      <c r="EC95" s="382">
        <f t="shared" si="234"/>
        <v>8.3002871598523154E-2</v>
      </c>
      <c r="ED95" s="382">
        <f t="shared" si="234"/>
        <v>1.5782828282828287E-2</v>
      </c>
      <c r="EE95" s="384">
        <f t="shared" si="234"/>
        <v>0.17896821034932175</v>
      </c>
      <c r="EF95" s="384">
        <f t="shared" si="234"/>
        <v>3.5171731771314274E-2</v>
      </c>
      <c r="EG95" s="384">
        <f t="shared" si="234"/>
        <v>0.36781415136413687</v>
      </c>
      <c r="EH95" s="384">
        <f t="shared" si="234"/>
        <v>0.14600361095313263</v>
      </c>
      <c r="EI95" s="384">
        <f t="shared" si="234"/>
        <v>0.10485363875342113</v>
      </c>
      <c r="EJ95" s="384">
        <f t="shared" si="234"/>
        <v>0.26515611377793191</v>
      </c>
      <c r="EK95" s="384">
        <f t="shared" si="234"/>
        <v>0.17213641118932865</v>
      </c>
      <c r="EL95" s="384">
        <f t="shared" si="234"/>
        <v>-3.9347341146644621E-2</v>
      </c>
      <c r="EM95" s="384">
        <f t="shared" si="234"/>
        <v>4.205621234420831E-2</v>
      </c>
      <c r="EN95" s="384">
        <f t="shared" si="234"/>
        <v>0.12252830218865762</v>
      </c>
      <c r="EO95" s="384">
        <f t="shared" si="234"/>
        <v>0.12288771828423384</v>
      </c>
      <c r="EP95" s="384">
        <f t="shared" si="234"/>
        <v>-1.6944543331254169E-2</v>
      </c>
      <c r="EQ95" s="384">
        <f t="shared" si="234"/>
        <v>4.4381512246732147E-2</v>
      </c>
      <c r="ER95" s="384">
        <f t="shared" si="234"/>
        <v>7.6509668290795085E-2</v>
      </c>
      <c r="ES95" s="384">
        <f t="shared" si="234"/>
        <v>4.3484406451900437E-2</v>
      </c>
      <c r="ET95" s="384">
        <f t="shared" si="234"/>
        <v>-4.5180837821125697E-2</v>
      </c>
      <c r="EU95" s="384">
        <f t="shared" si="234"/>
        <v>4.3980199957926569E-2</v>
      </c>
      <c r="EV95" s="384">
        <f t="shared" si="234"/>
        <v>9.7212218986294285E-2</v>
      </c>
      <c r="EW95" s="384">
        <f t="shared" si="234"/>
        <v>4.4866910686284234E-2</v>
      </c>
      <c r="GG95" s="384"/>
      <c r="GH95" s="384"/>
      <c r="GI95" s="384"/>
      <c r="GJ95" s="384"/>
      <c r="GK95" s="384"/>
      <c r="GN95" s="70"/>
    </row>
    <row r="96" spans="1:196" s="382" customFormat="1">
      <c r="A96" s="381" t="s">
        <v>200</v>
      </c>
      <c r="F96" s="382">
        <f>F94/B94-1</f>
        <v>0.28371477903089537</v>
      </c>
      <c r="G96" s="382">
        <f t="shared" ref="G96:BR96" si="235">G94/C94-1</f>
        <v>0.37784382797592797</v>
      </c>
      <c r="H96" s="382">
        <f t="shared" si="235"/>
        <v>0.28430911345849541</v>
      </c>
      <c r="I96" s="382">
        <f t="shared" si="235"/>
        <v>0.23680922633349355</v>
      </c>
      <c r="J96" s="382">
        <f t="shared" si="235"/>
        <v>0.19488324175824157</v>
      </c>
      <c r="K96" s="382">
        <f t="shared" si="235"/>
        <v>0.1824904347208538</v>
      </c>
      <c r="L96" s="382">
        <f t="shared" si="235"/>
        <v>0.25811661283340559</v>
      </c>
      <c r="M96" s="382">
        <f t="shared" si="235"/>
        <v>0.20188048799440517</v>
      </c>
      <c r="N96" s="382">
        <f t="shared" si="235"/>
        <v>0.34256997333588801</v>
      </c>
      <c r="O96" s="382">
        <f t="shared" si="235"/>
        <v>0.32005795621753097</v>
      </c>
      <c r="P96" s="382">
        <f t="shared" si="235"/>
        <v>8.1777277840270113E-2</v>
      </c>
      <c r="Q96" s="382">
        <f t="shared" si="235"/>
        <v>-4.2671494148832645E-3</v>
      </c>
      <c r="R96" s="382">
        <f t="shared" si="235"/>
        <v>-0.1127113151338206</v>
      </c>
      <c r="S96" s="382">
        <f t="shared" si="235"/>
        <v>-7.5200327576107506E-2</v>
      </c>
      <c r="T96" s="382">
        <f t="shared" si="235"/>
        <v>-3.5476392907185517E-4</v>
      </c>
      <c r="U96" s="382">
        <f t="shared" si="235"/>
        <v>9.4195182131030508E-2</v>
      </c>
      <c r="V96" s="382">
        <f t="shared" si="235"/>
        <v>5.7908563310056671E-2</v>
      </c>
      <c r="W96" s="382">
        <f t="shared" si="235"/>
        <v>5.5462629293910659E-2</v>
      </c>
      <c r="X96" s="382">
        <f t="shared" si="235"/>
        <v>5.3845353696667431E-2</v>
      </c>
      <c r="Y96" s="382">
        <f t="shared" si="235"/>
        <v>3.8915955066847863E-2</v>
      </c>
      <c r="Z96" s="382">
        <f t="shared" si="235"/>
        <v>0.15717190657485469</v>
      </c>
      <c r="AA96" s="382">
        <f t="shared" si="235"/>
        <v>0.18308250744320742</v>
      </c>
      <c r="AB96" s="382">
        <f t="shared" si="235"/>
        <v>0.35927910770999394</v>
      </c>
      <c r="AC96" s="382">
        <f t="shared" si="235"/>
        <v>0.13216050264172496</v>
      </c>
      <c r="AD96" s="382">
        <f t="shared" si="235"/>
        <v>0.12205069250561129</v>
      </c>
      <c r="AE96" s="382">
        <f t="shared" si="235"/>
        <v>0.25866263493814534</v>
      </c>
      <c r="AF96" s="382">
        <f t="shared" si="235"/>
        <v>0.24055358592114806</v>
      </c>
      <c r="AG96" s="382">
        <f t="shared" si="235"/>
        <v>0.73319106214022312</v>
      </c>
      <c r="AH96" s="382">
        <f t="shared" si="235"/>
        <v>0.73019783865538024</v>
      </c>
      <c r="AI96" s="382">
        <f t="shared" si="235"/>
        <v>0.56839568196135049</v>
      </c>
      <c r="AJ96" s="382">
        <f t="shared" si="235"/>
        <v>0.54627340527363244</v>
      </c>
      <c r="AK96" s="382">
        <f t="shared" si="235"/>
        <v>0.1075068186912187</v>
      </c>
      <c r="AL96" s="382">
        <f t="shared" si="235"/>
        <v>6.2501762400247962E-2</v>
      </c>
      <c r="AM96" s="382">
        <f t="shared" si="235"/>
        <v>-5.181751731948947E-2</v>
      </c>
      <c r="AN96" s="382">
        <f t="shared" si="235"/>
        <v>-6.4233830203216269E-2</v>
      </c>
      <c r="AO96" s="382">
        <f t="shared" si="235"/>
        <v>0.13701067615658347</v>
      </c>
      <c r="AP96" s="382">
        <f t="shared" si="235"/>
        <v>0.16787377751827948</v>
      </c>
      <c r="AQ96" s="382">
        <f t="shared" si="235"/>
        <v>0.22970548150642767</v>
      </c>
      <c r="AR96" s="382">
        <f t="shared" si="235"/>
        <v>0.64764939366825924</v>
      </c>
      <c r="AS96" s="382">
        <f t="shared" si="235"/>
        <v>0.61269801642614596</v>
      </c>
      <c r="AT96" s="382">
        <f t="shared" si="235"/>
        <v>0.57388836243236518</v>
      </c>
      <c r="AU96" s="382">
        <f t="shared" si="235"/>
        <v>0.5537095835544219</v>
      </c>
      <c r="AV96" s="382">
        <f t="shared" si="235"/>
        <v>0.16585619480210001</v>
      </c>
      <c r="AW96" s="382">
        <f t="shared" si="235"/>
        <v>0.25389517499978509</v>
      </c>
      <c r="AX96" s="382">
        <f t="shared" si="235"/>
        <v>0.22172489272121387</v>
      </c>
      <c r="AY96" s="382">
        <f t="shared" si="235"/>
        <v>0.25473609123921248</v>
      </c>
      <c r="AZ96" s="382">
        <f t="shared" si="235"/>
        <v>0.15426772691403845</v>
      </c>
      <c r="BA96" s="382">
        <f t="shared" si="235"/>
        <v>-0.55574366419369214</v>
      </c>
      <c r="BB96" s="382">
        <f t="shared" si="235"/>
        <v>-0.60147113048246648</v>
      </c>
      <c r="BC96" s="382">
        <f t="shared" si="235"/>
        <v>-0.5552003318835379</v>
      </c>
      <c r="BD96" s="382">
        <f t="shared" si="235"/>
        <v>-0.50017762027468349</v>
      </c>
      <c r="BE96" s="382">
        <f t="shared" si="235"/>
        <v>1.0945318309656207</v>
      </c>
      <c r="BF96" s="382">
        <f t="shared" si="235"/>
        <v>1.7786344657430253</v>
      </c>
      <c r="BG96" s="382">
        <f t="shared" si="235"/>
        <v>1.2009203400076487</v>
      </c>
      <c r="BH96" s="382">
        <f t="shared" si="235"/>
        <v>0.80152711094314988</v>
      </c>
      <c r="BI96" s="382">
        <f t="shared" si="235"/>
        <v>8.5995085995085319E-3</v>
      </c>
      <c r="BJ96" s="382">
        <f t="shared" si="235"/>
        <v>-0.16221985058697974</v>
      </c>
      <c r="BK96" s="382">
        <f t="shared" si="235"/>
        <v>-0.11322869955156956</v>
      </c>
      <c r="BL96" s="382">
        <f t="shared" si="235"/>
        <v>5.9594755661502852E-3</v>
      </c>
      <c r="BM96" s="382">
        <f t="shared" si="235"/>
        <v>-0.20097442143727162</v>
      </c>
      <c r="BN96" s="382">
        <f t="shared" si="235"/>
        <v>-0.31337579617834399</v>
      </c>
      <c r="BO96" s="382">
        <f t="shared" si="235"/>
        <v>-0.37673830594184576</v>
      </c>
      <c r="BP96" s="382">
        <f t="shared" si="235"/>
        <v>-0.3898104265402843</v>
      </c>
      <c r="BQ96" s="382">
        <f t="shared" si="235"/>
        <v>-0.13567073170731703</v>
      </c>
      <c r="BR96" s="382">
        <f t="shared" si="235"/>
        <v>7.0500927643784683E-2</v>
      </c>
      <c r="BS96" s="382">
        <f t="shared" ref="BS96:ED96" si="236">BS94/BO94-1</f>
        <v>0.17849898580121715</v>
      </c>
      <c r="BT96" s="382">
        <f t="shared" si="236"/>
        <v>0.20776699029126222</v>
      </c>
      <c r="BU96" s="382">
        <f t="shared" si="236"/>
        <v>0.11463844797178124</v>
      </c>
      <c r="BV96" s="382">
        <f t="shared" si="236"/>
        <v>0.12305025996533803</v>
      </c>
      <c r="BW96" s="382">
        <f t="shared" si="236"/>
        <v>0.10499139414802072</v>
      </c>
      <c r="BX96" s="382">
        <f t="shared" si="236"/>
        <v>-0.13183279742765275</v>
      </c>
      <c r="BY96" s="382">
        <f t="shared" si="236"/>
        <v>-0.24683544303797467</v>
      </c>
      <c r="BZ96" s="382">
        <f t="shared" si="236"/>
        <v>-9.722222222222221E-2</v>
      </c>
      <c r="CA96" s="382">
        <f t="shared" si="236"/>
        <v>0.29750778816199386</v>
      </c>
      <c r="CB96" s="382">
        <f t="shared" si="236"/>
        <v>0.37777777777777777</v>
      </c>
      <c r="CC96" s="382">
        <f t="shared" si="236"/>
        <v>0.18067226890756305</v>
      </c>
      <c r="CD96" s="382">
        <f t="shared" si="236"/>
        <v>4.7863247863247915E-2</v>
      </c>
      <c r="CE96" s="382">
        <f t="shared" si="236"/>
        <v>-0.14645858343337337</v>
      </c>
      <c r="CF96" s="382">
        <f t="shared" si="236"/>
        <v>0.239247311827957</v>
      </c>
      <c r="CG96" s="382">
        <f t="shared" si="236"/>
        <v>0.57295373665480431</v>
      </c>
      <c r="CH96" s="382">
        <f t="shared" si="236"/>
        <v>0.41761827079934744</v>
      </c>
      <c r="CI96" s="382">
        <f t="shared" si="236"/>
        <v>0.35021097046413496</v>
      </c>
      <c r="CJ96" s="382">
        <f t="shared" si="236"/>
        <v>-2.7114967462039008E-2</v>
      </c>
      <c r="CK96" s="382">
        <f t="shared" si="236"/>
        <v>-0.22511312217194568</v>
      </c>
      <c r="CL96" s="382">
        <f t="shared" si="236"/>
        <v>-0.2082853855005754</v>
      </c>
      <c r="CM96" s="382">
        <f t="shared" si="236"/>
        <v>-0.16770833333333335</v>
      </c>
      <c r="CN96" s="382">
        <f t="shared" si="236"/>
        <v>-0.15161649944258637</v>
      </c>
      <c r="CO96" s="382">
        <f t="shared" si="236"/>
        <v>-1.0218978102189746E-2</v>
      </c>
      <c r="CP96" s="382">
        <f t="shared" si="236"/>
        <v>-1.8895348837209336E-2</v>
      </c>
      <c r="CQ96" s="382">
        <f t="shared" si="236"/>
        <v>-7.0087609511889859E-2</v>
      </c>
      <c r="CR96" s="382">
        <f t="shared" si="236"/>
        <v>1.4454664914586024E-2</v>
      </c>
      <c r="CS96" s="382">
        <f t="shared" si="236"/>
        <v>0.10766961651917395</v>
      </c>
      <c r="CT96" s="382">
        <f t="shared" si="236"/>
        <v>0.24296296296296305</v>
      </c>
      <c r="CU96" s="382">
        <f t="shared" si="236"/>
        <v>0.12113055181695831</v>
      </c>
      <c r="CV96" s="382">
        <f t="shared" si="236"/>
        <v>2.8497409326424972E-2</v>
      </c>
      <c r="CW96" s="382">
        <f t="shared" si="236"/>
        <v>-1.5978695073235683E-2</v>
      </c>
      <c r="CX96" s="382">
        <f t="shared" si="236"/>
        <v>-0.14779499404052443</v>
      </c>
      <c r="CY96" s="382">
        <f t="shared" si="236"/>
        <v>-9.9639855942376898E-2</v>
      </c>
      <c r="CZ96" s="382">
        <f t="shared" si="236"/>
        <v>-7.0528967254408048E-2</v>
      </c>
      <c r="DA96" s="382">
        <f t="shared" si="236"/>
        <v>0.14343707713125853</v>
      </c>
      <c r="DB96" s="382">
        <f t="shared" si="236"/>
        <v>0.33566433566433562</v>
      </c>
      <c r="DC96" s="382">
        <f t="shared" si="236"/>
        <v>0.35333333333333328</v>
      </c>
      <c r="DD96" s="382">
        <f t="shared" si="236"/>
        <v>0.4092140921409213</v>
      </c>
      <c r="DE96" s="382">
        <f t="shared" si="236"/>
        <v>0.16213017751479297</v>
      </c>
      <c r="DF96" s="382">
        <f t="shared" si="236"/>
        <v>0.10575916230366489</v>
      </c>
      <c r="DG96" s="382">
        <f t="shared" si="236"/>
        <v>0.30443349753694582</v>
      </c>
      <c r="DH96" s="382">
        <f t="shared" si="236"/>
        <v>0.24230769230769234</v>
      </c>
      <c r="DI96" s="382">
        <f t="shared" si="236"/>
        <v>0.42464358452138495</v>
      </c>
      <c r="DJ96" s="383">
        <f t="shared" si="236"/>
        <v>0.56534090909090917</v>
      </c>
      <c r="DK96" s="383">
        <f t="shared" si="236"/>
        <v>0.33308157099697877</v>
      </c>
      <c r="DL96" s="383">
        <f t="shared" si="236"/>
        <v>0.47213622291021662</v>
      </c>
      <c r="DM96" s="383">
        <f t="shared" si="236"/>
        <v>0.39742673338098644</v>
      </c>
      <c r="DN96" s="383">
        <f t="shared" si="236"/>
        <v>0.47065940713853593</v>
      </c>
      <c r="DO96" s="383">
        <f t="shared" si="236"/>
        <v>0.5002832861189801</v>
      </c>
      <c r="DP96" s="383">
        <f t="shared" si="236"/>
        <v>0.77129337539432186</v>
      </c>
      <c r="DQ96" s="383">
        <f t="shared" si="236"/>
        <v>0.92890025575447566</v>
      </c>
      <c r="DR96" s="383">
        <f t="shared" si="236"/>
        <v>0.74208144796380093</v>
      </c>
      <c r="DS96" s="383">
        <f t="shared" si="236"/>
        <v>0.72469788519637457</v>
      </c>
      <c r="DT96" s="383">
        <f t="shared" si="236"/>
        <v>0.31938260611457414</v>
      </c>
      <c r="DU96" s="383">
        <f t="shared" si="236"/>
        <v>0.15380535666931849</v>
      </c>
      <c r="DV96" s="382">
        <f t="shared" si="236"/>
        <v>9.8465171192444023E-2</v>
      </c>
      <c r="DW96" s="382">
        <f t="shared" si="236"/>
        <v>9.2839938690606472E-2</v>
      </c>
      <c r="DX96" s="382">
        <f t="shared" si="236"/>
        <v>0.20899887514060733</v>
      </c>
      <c r="DY96" s="382">
        <f t="shared" si="236"/>
        <v>0.31785796368650887</v>
      </c>
      <c r="DZ96" s="382">
        <f t="shared" si="236"/>
        <v>0.37919174548581247</v>
      </c>
      <c r="EA96" s="382">
        <f t="shared" si="236"/>
        <v>0.33780805449809659</v>
      </c>
      <c r="EB96" s="382">
        <f t="shared" si="236"/>
        <v>0.36081131373278752</v>
      </c>
      <c r="EC96" s="382">
        <f t="shared" si="236"/>
        <v>0.38123474014649461</v>
      </c>
      <c r="ED96" s="382">
        <f t="shared" si="236"/>
        <v>0.25389650872817948</v>
      </c>
      <c r="EE96" s="384">
        <f t="shared" ref="EE96:EW96" si="237">EE94/EA94-1</f>
        <v>0.42051808480759223</v>
      </c>
      <c r="EF96" s="384">
        <f t="shared" si="237"/>
        <v>0.34259484034808607</v>
      </c>
      <c r="EG96" s="384">
        <f t="shared" si="237"/>
        <v>0.69567437939108268</v>
      </c>
      <c r="EH96" s="384">
        <f t="shared" si="237"/>
        <v>0.91305553478191581</v>
      </c>
      <c r="EI96" s="384">
        <f t="shared" si="237"/>
        <v>0.79279335115822192</v>
      </c>
      <c r="EJ96" s="384">
        <f t="shared" si="237"/>
        <v>1.1910987320694382</v>
      </c>
      <c r="EK96" s="384">
        <f t="shared" si="237"/>
        <v>0.87764295449641128</v>
      </c>
      <c r="EL96" s="384">
        <f t="shared" si="237"/>
        <v>0.57395899923391647</v>
      </c>
      <c r="EM96" s="384">
        <f t="shared" si="237"/>
        <v>0.48449866624625515</v>
      </c>
      <c r="EN96" s="384">
        <f t="shared" si="237"/>
        <v>0.31714319622315879</v>
      </c>
      <c r="EO96" s="384">
        <f t="shared" si="237"/>
        <v>0.26180187232638619</v>
      </c>
      <c r="EP96" s="384">
        <f t="shared" si="237"/>
        <v>0.29122758823763961</v>
      </c>
      <c r="EQ96" s="384">
        <f t="shared" si="237"/>
        <v>0.29410890245994126</v>
      </c>
      <c r="ER96" s="384">
        <f t="shared" si="237"/>
        <v>0.24105623225986306</v>
      </c>
      <c r="ES96" s="384">
        <f t="shared" si="237"/>
        <v>0.15329681214422997</v>
      </c>
      <c r="ET96" s="384">
        <f t="shared" si="237"/>
        <v>0.12017067648115565</v>
      </c>
      <c r="EU96" s="384">
        <f t="shared" si="237"/>
        <v>0.11974024157517515</v>
      </c>
      <c r="EV96" s="384">
        <f t="shared" si="237"/>
        <v>0.14127416718664354</v>
      </c>
      <c r="EW96" s="384">
        <f t="shared" si="237"/>
        <v>0.14278623230134269</v>
      </c>
      <c r="GG96" s="384"/>
      <c r="GH96" s="384"/>
      <c r="GI96" s="384"/>
      <c r="GJ96" s="384"/>
      <c r="GK96" s="384"/>
      <c r="GN96" s="70"/>
    </row>
    <row r="97" spans="1:196" s="379" customFormat="1">
      <c r="A97" s="425" t="s">
        <v>253</v>
      </c>
      <c r="E97" s="379">
        <f t="shared" ref="E97:BP97" si="238">E94/(E10+D10+C10+B10)*365</f>
        <v>48.100280661225682</v>
      </c>
      <c r="F97" s="379">
        <f t="shared" si="238"/>
        <v>46.328610917051186</v>
      </c>
      <c r="G97" s="379">
        <f t="shared" si="238"/>
        <v>47.010791083121518</v>
      </c>
      <c r="H97" s="379">
        <f t="shared" si="238"/>
        <v>47.296943650683197</v>
      </c>
      <c r="I97" s="379">
        <f t="shared" si="238"/>
        <v>47.8179406417145</v>
      </c>
      <c r="J97" s="379">
        <f t="shared" si="238"/>
        <v>43.850788526443914</v>
      </c>
      <c r="K97" s="379">
        <f t="shared" si="238"/>
        <v>43.881289954574875</v>
      </c>
      <c r="L97" s="379">
        <f t="shared" si="238"/>
        <v>45.972079619172078</v>
      </c>
      <c r="M97" s="379">
        <f t="shared" si="238"/>
        <v>43.464156701640491</v>
      </c>
      <c r="N97" s="379">
        <f t="shared" si="238"/>
        <v>44.582659991473221</v>
      </c>
      <c r="O97" s="379">
        <f t="shared" si="238"/>
        <v>44.090343274077242</v>
      </c>
      <c r="P97" s="379">
        <f t="shared" si="238"/>
        <v>41.182330382116852</v>
      </c>
      <c r="Q97" s="379">
        <f t="shared" si="238"/>
        <v>39.014823420977379</v>
      </c>
      <c r="R97" s="379">
        <f t="shared" si="238"/>
        <v>38.323781337757858</v>
      </c>
      <c r="S97" s="379">
        <f t="shared" si="238"/>
        <v>41.9862470077586</v>
      </c>
      <c r="T97" s="379">
        <f t="shared" si="238"/>
        <v>39.657064467319586</v>
      </c>
      <c r="U97" s="379">
        <f t="shared" si="238"/>
        <v>38.968084270652376</v>
      </c>
      <c r="V97" s="379">
        <f t="shared" si="238"/>
        <v>34.857939094457009</v>
      </c>
      <c r="W97" s="379">
        <f t="shared" si="238"/>
        <v>37.494034391352301</v>
      </c>
      <c r="X97" s="379">
        <f t="shared" si="238"/>
        <v>37.743378851229494</v>
      </c>
      <c r="Y97" s="379">
        <f t="shared" si="238"/>
        <v>37.18058035623374</v>
      </c>
      <c r="Z97" s="379">
        <f t="shared" si="238"/>
        <v>38.197025223669655</v>
      </c>
      <c r="AA97" s="379">
        <f t="shared" si="238"/>
        <v>40.863276033746793</v>
      </c>
      <c r="AB97" s="379">
        <f t="shared" si="238"/>
        <v>45.820821330747997</v>
      </c>
      <c r="AC97" s="379">
        <f t="shared" si="238"/>
        <v>36.828799033207531</v>
      </c>
      <c r="AD97" s="379">
        <f t="shared" si="238"/>
        <v>35.292780786504125</v>
      </c>
      <c r="AE97" s="379">
        <f t="shared" si="238"/>
        <v>41.023230993303386</v>
      </c>
      <c r="AF97" s="379">
        <f t="shared" si="238"/>
        <v>43.464841839222032</v>
      </c>
      <c r="AG97" s="379">
        <f t="shared" si="238"/>
        <v>49.865036186137409</v>
      </c>
      <c r="AH97" s="379">
        <f t="shared" si="238"/>
        <v>49.33470162479847</v>
      </c>
      <c r="AI97" s="379">
        <f t="shared" si="238"/>
        <v>55.266710912303743</v>
      </c>
      <c r="AJ97" s="379">
        <f t="shared" si="238"/>
        <v>63.15326179634112</v>
      </c>
      <c r="AK97" s="379">
        <f t="shared" si="238"/>
        <v>53.767437160403681</v>
      </c>
      <c r="AL97" s="379">
        <f t="shared" si="238"/>
        <v>56.022948075066495</v>
      </c>
      <c r="AM97" s="379">
        <f t="shared" si="238"/>
        <v>58.363306227521385</v>
      </c>
      <c r="AN97" s="379">
        <f t="shared" si="238"/>
        <v>68.362078878286411</v>
      </c>
      <c r="AO97" s="379">
        <f t="shared" si="238"/>
        <v>74.988374196986115</v>
      </c>
      <c r="AP97" s="379">
        <f t="shared" si="238"/>
        <v>79.696119191477152</v>
      </c>
      <c r="AQ97" s="379">
        <f t="shared" si="238"/>
        <v>90.637294957851935</v>
      </c>
      <c r="AR97" s="379">
        <f t="shared" si="238"/>
        <v>122.96996112243757</v>
      </c>
      <c r="AS97" s="379">
        <f t="shared" si="238"/>
        <v>109.42761375380573</v>
      </c>
      <c r="AT97" s="379">
        <f t="shared" si="238"/>
        <v>97.254397604290048</v>
      </c>
      <c r="AU97" s="379">
        <f t="shared" si="238"/>
        <v>89.627566997836183</v>
      </c>
      <c r="AV97" s="379">
        <f t="shared" si="238"/>
        <v>96.022655464025235</v>
      </c>
      <c r="AW97" s="379">
        <f t="shared" si="238"/>
        <v>105.28916749241984</v>
      </c>
      <c r="AX97" s="379">
        <f t="shared" si="238"/>
        <v>100.56202245771514</v>
      </c>
      <c r="AY97" s="379">
        <f t="shared" si="238"/>
        <v>108.89518411278819</v>
      </c>
      <c r="AZ97" s="379">
        <f t="shared" si="238"/>
        <v>105.87180923160065</v>
      </c>
      <c r="BA97" s="379">
        <f t="shared" si="238"/>
        <v>41.046884205506544</v>
      </c>
      <c r="BB97" s="379">
        <f t="shared" si="238"/>
        <v>38.443240987686863</v>
      </c>
      <c r="BC97" s="379">
        <f t="shared" si="238"/>
        <v>49.945514699129724</v>
      </c>
      <c r="BD97" s="379">
        <f t="shared" si="238"/>
        <v>62.706820947679496</v>
      </c>
      <c r="BE97" s="379">
        <f t="shared" si="238"/>
        <v>106.31335513441152</v>
      </c>
      <c r="BF97" s="379">
        <f t="shared" si="238"/>
        <v>110.38390768167164</v>
      </c>
      <c r="BG97" s="379">
        <f t="shared" si="238"/>
        <v>94.172733120756746</v>
      </c>
      <c r="BH97" s="379">
        <f t="shared" si="238"/>
        <v>81.164855552610661</v>
      </c>
      <c r="BI97" s="379">
        <f t="shared" si="238"/>
        <v>81.254067245119302</v>
      </c>
      <c r="BJ97" s="379">
        <f t="shared" si="238"/>
        <v>77.272114347357061</v>
      </c>
      <c r="BK97" s="379">
        <f t="shared" si="238"/>
        <v>78.690378849822849</v>
      </c>
      <c r="BL97" s="379">
        <f t="shared" si="238"/>
        <v>85.834494288102533</v>
      </c>
      <c r="BM97" s="379">
        <f t="shared" si="238"/>
        <v>73.290480563207836</v>
      </c>
      <c r="BN97" s="379">
        <f t="shared" si="238"/>
        <v>62.35657686212361</v>
      </c>
      <c r="BO97" s="379">
        <f t="shared" si="238"/>
        <v>56.764984227129332</v>
      </c>
      <c r="BP97" s="379">
        <f t="shared" si="238"/>
        <v>59.523432552248259</v>
      </c>
      <c r="BQ97" s="379">
        <f t="shared" ref="BQ97:EB97" si="239">BQ94/(BQ10+BP10+BO10+BN10)*365</f>
        <v>59.779029462738301</v>
      </c>
      <c r="BR97" s="379">
        <f t="shared" si="239"/>
        <v>58.517643789941651</v>
      </c>
      <c r="BS97" s="379">
        <f t="shared" si="239"/>
        <v>58.052285792499319</v>
      </c>
      <c r="BT97" s="379">
        <f t="shared" si="239"/>
        <v>61.979251979251977</v>
      </c>
      <c r="BU97" s="379">
        <f t="shared" si="239"/>
        <v>64.042198778456424</v>
      </c>
      <c r="BV97" s="379">
        <f t="shared" si="239"/>
        <v>65.827998886724188</v>
      </c>
      <c r="BW97" s="379">
        <f t="shared" si="239"/>
        <v>66.344847112117776</v>
      </c>
      <c r="BX97" s="379">
        <f t="shared" si="239"/>
        <v>54.948424867577366</v>
      </c>
      <c r="BY97" s="379">
        <f t="shared" si="239"/>
        <v>48.274520700194493</v>
      </c>
      <c r="BZ97" s="379">
        <f t="shared" si="239"/>
        <v>59.962089300758215</v>
      </c>
      <c r="CA97" s="379">
        <f t="shared" si="239"/>
        <v>87.444636180615475</v>
      </c>
      <c r="CB97" s="379">
        <f t="shared" si="239"/>
        <v>79.403508771929822</v>
      </c>
      <c r="CC97" s="379">
        <f t="shared" si="239"/>
        <v>63.983156581409858</v>
      </c>
      <c r="CD97" s="379">
        <f t="shared" si="239"/>
        <v>74.731128924515701</v>
      </c>
      <c r="CE97" s="379">
        <f t="shared" si="239"/>
        <v>88.692754613807239</v>
      </c>
      <c r="CF97" s="379">
        <f t="shared" si="239"/>
        <v>112.58949481431917</v>
      </c>
      <c r="CG97" s="379">
        <f t="shared" si="239"/>
        <v>97.157482685937978</v>
      </c>
      <c r="CH97" s="379">
        <f t="shared" si="239"/>
        <v>88.401616499442582</v>
      </c>
      <c r="CI97" s="379">
        <f t="shared" si="239"/>
        <v>91.512144162966834</v>
      </c>
      <c r="CJ97" s="379">
        <f t="shared" si="239"/>
        <v>85.61846234309624</v>
      </c>
      <c r="CK97" s="379">
        <f t="shared" si="239"/>
        <v>69.278193405375447</v>
      </c>
      <c r="CL97" s="379">
        <f t="shared" si="239"/>
        <v>73.793711431090216</v>
      </c>
      <c r="CM97" s="379">
        <f t="shared" si="239"/>
        <v>92.966209754542561</v>
      </c>
      <c r="CN97" s="379">
        <f t="shared" si="239"/>
        <v>91.853505291005277</v>
      </c>
      <c r="CO97" s="379">
        <f t="shared" si="239"/>
        <v>85.986796386379439</v>
      </c>
      <c r="CP97" s="379">
        <f t="shared" si="239"/>
        <v>90.016441359152367</v>
      </c>
      <c r="CQ97" s="379">
        <f t="shared" si="239"/>
        <v>97.975072254335259</v>
      </c>
      <c r="CR97" s="379">
        <f t="shared" si="239"/>
        <v>98.731604765241769</v>
      </c>
      <c r="CS97" s="379">
        <f t="shared" si="239"/>
        <v>93.427062031356513</v>
      </c>
      <c r="CT97" s="379">
        <f t="shared" si="239"/>
        <v>101.26818783068782</v>
      </c>
      <c r="CU97" s="379">
        <f t="shared" si="239"/>
        <v>97.01499680918954</v>
      </c>
      <c r="CV97" s="379">
        <f t="shared" si="239"/>
        <v>87.927791262135926</v>
      </c>
      <c r="CW97" s="379">
        <f t="shared" si="239"/>
        <v>76.935253850541926</v>
      </c>
      <c r="CX97" s="379">
        <f t="shared" si="239"/>
        <v>66.865231872918272</v>
      </c>
      <c r="CY97" s="379">
        <f t="shared" si="239"/>
        <v>65.349725471472894</v>
      </c>
      <c r="CZ97" s="379">
        <f t="shared" si="239"/>
        <v>65.52420335684748</v>
      </c>
      <c r="DA97" s="379">
        <f t="shared" si="239"/>
        <v>76.570258192651437</v>
      </c>
      <c r="DB97" s="379">
        <f t="shared" si="239"/>
        <v>93.476803432555641</v>
      </c>
      <c r="DC97" s="379">
        <f t="shared" si="239"/>
        <v>104.80198019801979</v>
      </c>
      <c r="DD97" s="379">
        <f t="shared" si="239"/>
        <v>106.41996075133166</v>
      </c>
      <c r="DE97" s="379">
        <f t="shared" si="239"/>
        <v>92.785399948226768</v>
      </c>
      <c r="DF97" s="379">
        <f t="shared" si="239"/>
        <v>94.47058823529413</v>
      </c>
      <c r="DG97" s="379">
        <f t="shared" si="239"/>
        <v>113.60131640808652</v>
      </c>
      <c r="DH97" s="379">
        <f t="shared" si="239"/>
        <v>98.225369714642781</v>
      </c>
      <c r="DI97" s="379">
        <f t="shared" si="239"/>
        <v>94.282680945347124</v>
      </c>
      <c r="DJ97" s="426">
        <f t="shared" si="239"/>
        <v>95.677925784966703</v>
      </c>
      <c r="DK97" s="426">
        <f t="shared" si="239"/>
        <v>88.956779895056613</v>
      </c>
      <c r="DL97" s="426">
        <f t="shared" si="239"/>
        <v>87.899468219802486</v>
      </c>
      <c r="DM97" s="426">
        <f t="shared" si="239"/>
        <v>83.900646678424451</v>
      </c>
      <c r="DN97" s="426">
        <f t="shared" si="239"/>
        <v>94.015151515151516</v>
      </c>
      <c r="DO97" s="426">
        <f t="shared" si="239"/>
        <v>92.596282812799402</v>
      </c>
      <c r="DP97" s="426">
        <f t="shared" si="239"/>
        <v>111.70830305232559</v>
      </c>
      <c r="DQ97" s="426">
        <f t="shared" si="239"/>
        <v>121.19529805406358</v>
      </c>
      <c r="DR97" s="426">
        <f t="shared" si="239"/>
        <v>137.37779950231072</v>
      </c>
      <c r="DS97" s="426">
        <f t="shared" si="239"/>
        <v>152.42821872713972</v>
      </c>
      <c r="DT97" s="426">
        <f t="shared" si="239"/>
        <v>147.73492988526678</v>
      </c>
      <c r="DU97" s="426">
        <f t="shared" si="239"/>
        <v>140.86526521199221</v>
      </c>
      <c r="DV97" s="379">
        <f t="shared" si="239"/>
        <v>151.5241834731394</v>
      </c>
      <c r="DW97" s="379">
        <f t="shared" si="239"/>
        <v>162.05987011831689</v>
      </c>
      <c r="DX97" s="379">
        <f t="shared" si="239"/>
        <v>169.60743623000434</v>
      </c>
      <c r="DY97" s="379">
        <f t="shared" si="239"/>
        <v>173.71430942895088</v>
      </c>
      <c r="DZ97" s="379">
        <f t="shared" si="239"/>
        <v>181.80576042232747</v>
      </c>
      <c r="EA97" s="379">
        <f t="shared" si="239"/>
        <v>167.99510581098781</v>
      </c>
      <c r="EB97" s="379">
        <f t="shared" si="239"/>
        <v>171.09448112300495</v>
      </c>
      <c r="EC97" s="379">
        <f t="shared" ref="EC97:EW97" si="240">EC94/(EC10+EB10+EA10+DZ10)*365</f>
        <v>175.2</v>
      </c>
      <c r="ED97" s="379">
        <f t="shared" si="240"/>
        <v>166.60567375886527</v>
      </c>
      <c r="EE97" s="427">
        <f t="shared" si="240"/>
        <v>190.29977640114973</v>
      </c>
      <c r="EF97" s="427">
        <f t="shared" si="240"/>
        <v>186.77996562961428</v>
      </c>
      <c r="EG97" s="427">
        <f t="shared" si="240"/>
        <v>221.09779440049908</v>
      </c>
      <c r="EH97" s="427">
        <f t="shared" si="240"/>
        <v>219.45582618173052</v>
      </c>
      <c r="EI97" s="427">
        <f t="shared" si="240"/>
        <v>210.33681396729023</v>
      </c>
      <c r="EJ97" s="427">
        <f t="shared" si="240"/>
        <v>227.23561687530915</v>
      </c>
      <c r="EK97" s="427">
        <f t="shared" si="240"/>
        <v>238.30601809589464</v>
      </c>
      <c r="EL97" s="427">
        <f t="shared" si="240"/>
        <v>212.33256157872543</v>
      </c>
      <c r="EM97" s="427">
        <f t="shared" si="240"/>
        <v>208.05569174339138</v>
      </c>
      <c r="EN97" s="427">
        <f t="shared" si="240"/>
        <v>223.57625123303333</v>
      </c>
      <c r="EO97" s="427">
        <f t="shared" si="240"/>
        <v>242.21452409152459</v>
      </c>
      <c r="EP97" s="427">
        <f t="shared" si="240"/>
        <v>228.96049379596636</v>
      </c>
      <c r="EQ97" s="427">
        <f t="shared" si="240"/>
        <v>229.78232301840461</v>
      </c>
      <c r="ER97" s="427">
        <f t="shared" si="240"/>
        <v>237.00739874661105</v>
      </c>
      <c r="ES97" s="427">
        <f t="shared" si="240"/>
        <v>238.4311570029144</v>
      </c>
      <c r="ET97" s="427">
        <f t="shared" si="240"/>
        <v>221.52735065288451</v>
      </c>
      <c r="EU97" s="427">
        <f t="shared" si="240"/>
        <v>224.96518907983574</v>
      </c>
      <c r="EV97" s="427">
        <f t="shared" si="240"/>
        <v>238.57366000410522</v>
      </c>
      <c r="EW97" s="427">
        <f t="shared" si="240"/>
        <v>240.77908359268002</v>
      </c>
      <c r="GG97" s="427"/>
      <c r="GH97" s="427"/>
      <c r="GI97" s="427"/>
      <c r="GJ97" s="427"/>
      <c r="GK97" s="427"/>
      <c r="GN97" s="70"/>
    </row>
    <row r="98" spans="1:196" s="376" customFormat="1">
      <c r="A98" s="405" t="s">
        <v>254</v>
      </c>
      <c r="B98" s="376">
        <f>AMD!AF77-AMD!AF95</f>
        <v>376.47499999999997</v>
      </c>
      <c r="C98" s="376">
        <f>AMD!AG77-AMD!AG95</f>
        <v>382.36900000000003</v>
      </c>
      <c r="D98" s="376">
        <f>AMD!AH77-AMD!AH95</f>
        <v>388.95699999999999</v>
      </c>
      <c r="E98" s="376">
        <f>AMD!AI77-AMD!AI95</f>
        <v>408.69399999999996</v>
      </c>
      <c r="F98" s="376">
        <f>AMD!AK77-AMD!AK95</f>
        <v>461.57900000000001</v>
      </c>
      <c r="G98" s="376">
        <f>AMD!AL77-AMD!AL95</f>
        <v>486.01399999999995</v>
      </c>
      <c r="H98" s="376">
        <f>AMD!AM77-AMD!AM95</f>
        <v>472.24099999999999</v>
      </c>
      <c r="I98" s="376">
        <f>AMD!AN77-AMD!AN95</f>
        <v>302.10200000000003</v>
      </c>
      <c r="J98" s="376">
        <f>AMD!AP77-AMD!AP95</f>
        <v>267.62200000000001</v>
      </c>
      <c r="K98" s="376">
        <f>AMD!AQ77-AMD!AQ95</f>
        <v>325.73700000000002</v>
      </c>
      <c r="L98" s="376">
        <f>AMD!AR77-AMD!AR95</f>
        <v>276.54500000000002</v>
      </c>
      <c r="M98" s="376">
        <f>AMD!AS77-AMD!AS95</f>
        <v>275.68200000000002</v>
      </c>
      <c r="N98" s="376">
        <f>AMD!AU77-AMD!AU95</f>
        <v>203.38099999999997</v>
      </c>
      <c r="O98" s="376">
        <f>AMD!AV77-AMD!AV95</f>
        <v>79.736000000000018</v>
      </c>
      <c r="P98" s="376">
        <f>AMD!AW77-AMD!AW95</f>
        <v>-84.144999999999982</v>
      </c>
      <c r="Q98" s="376">
        <f>AMD!AX77-AMD!AX95</f>
        <v>-58.632000000000005</v>
      </c>
      <c r="R98" s="376">
        <f>AMD!AZ77-AMD!AZ95</f>
        <v>-53.526000000000067</v>
      </c>
      <c r="S98" s="376">
        <f>AMD!BA77-AMD!BA95</f>
        <v>-136.26900000000001</v>
      </c>
      <c r="T98" s="376">
        <f>AMD!BB77-AMD!BB95</f>
        <v>-236.40899999999999</v>
      </c>
      <c r="U98" s="376">
        <f>AMD!BC77-AMD!BC95</f>
        <v>-195.65699999999998</v>
      </c>
      <c r="V98" s="376">
        <f>AMD!BE77-AMD!BE95</f>
        <v>-359.78999999999996</v>
      </c>
      <c r="W98" s="376">
        <f>AMD!BF77-AMD!BF95</f>
        <v>-450.125</v>
      </c>
      <c r="X98" s="376">
        <f>AMD!BG77-AMD!BG95</f>
        <v>-783.72</v>
      </c>
      <c r="Y98" s="376">
        <f>AMD!BH77-AMD!BH95</f>
        <v>-675.39099999999985</v>
      </c>
      <c r="Z98" s="376">
        <f>AMD!BJ77-AMD!BJ95</f>
        <v>-1050.8120000000001</v>
      </c>
      <c r="AA98" s="376">
        <f>AMD!BK77-AMD!BK95</f>
        <v>-789.73300000000006</v>
      </c>
      <c r="AB98" s="376">
        <f>AMD!BL77-AMD!BL95</f>
        <v>-1071.5169999999998</v>
      </c>
      <c r="AC98" s="376">
        <f>AMD!BM77-AMD!BM95</f>
        <v>-830.77099999999996</v>
      </c>
      <c r="AD98" s="376">
        <f>AMD!BO77-AMD!BO95</f>
        <v>-550.61599999999999</v>
      </c>
      <c r="AE98" s="376">
        <f>AMD!BP77-AMD!BP95</f>
        <v>-401.83199999999988</v>
      </c>
      <c r="AF98" s="376">
        <f>AMD!BQ77-AMD!BQ95</f>
        <v>10.021999999999935</v>
      </c>
      <c r="AG98" s="376">
        <f>AMD!BR77-AMD!BR95</f>
        <v>125.19200000000001</v>
      </c>
      <c r="AH98" s="376">
        <f>AMD!BT77-AMD!BT95</f>
        <v>202.58600000000001</v>
      </c>
      <c r="AI98" s="376">
        <f>AMD!BU77-AMD!BU95</f>
        <v>302.44600000000003</v>
      </c>
      <c r="AJ98" s="376">
        <f>AMD!BV77-AMD!BV95</f>
        <v>107.51300000000003</v>
      </c>
      <c r="AK98" s="376">
        <f>AMD!BW77-AMD!BW95</f>
        <v>197.05200000000002</v>
      </c>
      <c r="AL98" s="376">
        <f>AMD!BY77-AMD!BY95</f>
        <v>153.05199999999991</v>
      </c>
      <c r="AM98" s="376">
        <f>AMD!BZ77-AMD!BZ95</f>
        <v>-41.116999999999962</v>
      </c>
      <c r="AN98" s="376">
        <f>AMD!CA77-AMD!CA95</f>
        <v>-330.70699999999988</v>
      </c>
      <c r="AO98" s="376">
        <f>AMD!CB77-AMD!CB95</f>
        <v>-742.13200000000006</v>
      </c>
      <c r="AP98" s="376">
        <f>AMD!CD77-AMD!CD95</f>
        <v>-967.02700000000004</v>
      </c>
      <c r="AQ98" s="376">
        <f>AMD!CE77-AMD!CE95</f>
        <v>-848.20799999999997</v>
      </c>
      <c r="AR98" s="376">
        <f>AMD!CF77-AMD!CF95</f>
        <v>-804.92000000000007</v>
      </c>
      <c r="AS98" s="376">
        <f>AMD!CG77-AMD!CG95</f>
        <v>-586.30700000000002</v>
      </c>
      <c r="AT98" s="376">
        <f>AMD!CI77-AMD!CI95</f>
        <v>-492.64599999999996</v>
      </c>
      <c r="AU98" s="376">
        <f>AMD!CJ77-AMD!CJ95</f>
        <v>-605.77500000000009</v>
      </c>
      <c r="AV98" s="376">
        <f>AMD!CK77-AMD!CK95</f>
        <v>-641.84000000000015</v>
      </c>
      <c r="AW98" s="376">
        <f>AMD!CL77-AMD!CL95</f>
        <v>-432.70900000000006</v>
      </c>
      <c r="AX98" s="376">
        <f>AMD!CN77-AMD!CN95</f>
        <v>-537.23700000000008</v>
      </c>
      <c r="AY98" s="376">
        <f>AMD!CO77-AMD!CO95</f>
        <v>-371.52</v>
      </c>
      <c r="AZ98" s="376">
        <f>AMD!CP77-AMD!CP95</f>
        <v>-366.70500000000015</v>
      </c>
      <c r="BA98" s="376">
        <f>AMD!CQ77-AMD!CQ95</f>
        <v>467.702</v>
      </c>
      <c r="BB98" s="376">
        <f>AMD!CS77-AMD!CS95</f>
        <v>2016.789</v>
      </c>
      <c r="BC98" s="376">
        <f>AMD!CT77-AMD!CT95</f>
        <v>1882.953</v>
      </c>
      <c r="BD98" s="376">
        <f>AMD!CU77-AMD!CU95</f>
        <v>1712.5460000000003</v>
      </c>
      <c r="BE98" s="376">
        <f>AMD!CV77-AMD!CV95</f>
        <v>-2131</v>
      </c>
      <c r="BF98" s="376">
        <f>AMD!CX77-AMD!CX95</f>
        <v>-2492</v>
      </c>
      <c r="BG98" s="376">
        <f>AMD!CY77-AMD!CY95</f>
        <v>-3724</v>
      </c>
      <c r="BH98" s="376">
        <f>AMD!CZ77-AMD!CZ95</f>
        <v>-3589</v>
      </c>
      <c r="BI98" s="376">
        <f>AMD!DA77-AMD!DA95</f>
        <v>-3142</v>
      </c>
      <c r="BJ98" s="376">
        <f>AMD!DC77-AMD!DC95</f>
        <v>-3272</v>
      </c>
      <c r="BK98" s="376">
        <f>AMD!DD77-AMD!DD95</f>
        <v>-3388</v>
      </c>
      <c r="BL98" s="376">
        <f>AMD!DE77-AMD!DE95</f>
        <v>-3533</v>
      </c>
      <c r="BM98" s="376">
        <f>AMD!DF77-AMD!DF95</f>
        <v>-3606</v>
      </c>
      <c r="BN98" s="376">
        <f>AMD!DH77-AMD!DH95</f>
        <v>-2563</v>
      </c>
      <c r="BO98" s="376">
        <f>AMD!DI77-AMD!DI95</f>
        <v>-2729</v>
      </c>
      <c r="BP98" s="376">
        <f>AMD!DJ77-AMD!DJ95</f>
        <v>-2764</v>
      </c>
      <c r="BQ98" s="376">
        <f>AMD!DK77-AMD!DK95</f>
        <v>-1576</v>
      </c>
      <c r="BR98" s="376">
        <f>AMD!DM77-AMD!DM95</f>
        <v>-669</v>
      </c>
      <c r="BS98" s="376">
        <f>AMD!DN77-AMD!DN95</f>
        <v>-522</v>
      </c>
      <c r="BT98" s="376">
        <f>AMD!DO77-AMD!DO95</f>
        <v>-459</v>
      </c>
      <c r="BU98" s="376">
        <f>AMD!DP77-AMD!DP95</f>
        <v>-399</v>
      </c>
      <c r="BV98" s="376">
        <f>AMD!DR77-AMD!DR95</f>
        <v>-447</v>
      </c>
      <c r="BW98" s="376">
        <f>AMD!DS77-AMD!DS95</f>
        <v>-334</v>
      </c>
      <c r="BX98" s="376">
        <f>AMD!DT77-AMD!DT95</f>
        <v>236</v>
      </c>
      <c r="BY98" s="376">
        <f>AMD!DU77-AMD!DU95</f>
        <v>238</v>
      </c>
      <c r="BZ98" s="376">
        <f>AMD!DW77-AMD!DW95</f>
        <v>15</v>
      </c>
      <c r="CA98" s="376">
        <f>AMD!DX77-AMD!DX95</f>
        <v>47</v>
      </c>
      <c r="CB98" s="376">
        <f>AMD!DY77-AMD!DY95</f>
        <v>-735</v>
      </c>
      <c r="CC98" s="376">
        <f>AMD!DZ77-AMD!DZ95</f>
        <v>-1035</v>
      </c>
      <c r="CD98" s="376">
        <f>AMD!EB77-AMD!EB95</f>
        <v>-1036</v>
      </c>
      <c r="CE98" s="376">
        <f>AMD!EC77-AMD!EC95</f>
        <v>-1074</v>
      </c>
      <c r="CF98" s="376">
        <f>AMD!ED77-AMD!ED95</f>
        <v>-863</v>
      </c>
      <c r="CG98" s="376">
        <f>AMD!EE77-AMD!EE95</f>
        <v>-811</v>
      </c>
      <c r="CH98" s="376">
        <f>AMD!EG77-AMD!EG95</f>
        <v>-1176</v>
      </c>
      <c r="CI98" s="376">
        <f>AMD!EH77-AMD!EH95</f>
        <v>-1161</v>
      </c>
      <c r="CJ98" s="376">
        <f>AMD!EI77-AMD!EI95</f>
        <v>-1168</v>
      </c>
      <c r="CK98" s="376">
        <f>AMD!EJ77-AMD!EJ95</f>
        <v>-995</v>
      </c>
      <c r="CL98" s="376">
        <f>AMD!EL77-AMD!EL95</f>
        <v>-1127</v>
      </c>
      <c r="CM98" s="376">
        <f>AMD!EM77-AMD!EM95</f>
        <v>-1205</v>
      </c>
      <c r="CN98" s="376">
        <f>AMD!EN77-AMD!EN95</f>
        <v>-1275</v>
      </c>
      <c r="CO98" s="376">
        <f>AMD!EO77-AMD!EO95</f>
        <v>-1247</v>
      </c>
      <c r="CP98" s="376">
        <f>AMD!EQ77-AMD!EQ95</f>
        <v>-1290</v>
      </c>
      <c r="CQ98" s="376">
        <f>AMD!ER77-AMD!ER95</f>
        <v>-1055</v>
      </c>
      <c r="CR98" s="376">
        <f>AMD!ES77-AMD!ES95</f>
        <v>-374</v>
      </c>
      <c r="CS98" s="376">
        <f>AMD!ET77-AMD!ET95</f>
        <v>-171</v>
      </c>
      <c r="CT98" s="376">
        <f>AMD!EV77-AMD!EV95</f>
        <v>-465</v>
      </c>
      <c r="CU98" s="376">
        <f>AMD!EW77-AMD!EW95</f>
        <v>-531</v>
      </c>
      <c r="CV98" s="376">
        <f>AMD!EX77-AMD!EX95</f>
        <v>-477</v>
      </c>
      <c r="CW98" s="376">
        <f>AMD!EY77-AMD!EY95</f>
        <v>-140</v>
      </c>
      <c r="CX98" s="376">
        <f>AMD!FA77-AMD!FA95</f>
        <v>-120</v>
      </c>
      <c r="CY98" s="376">
        <f>AMD!FB77-AMD!FB95</f>
        <v>-187</v>
      </c>
      <c r="CZ98" s="376">
        <f>AMD!FC77-AMD!FC95</f>
        <v>-111</v>
      </c>
      <c r="DA98" s="376">
        <f>AMD!FD77-AMD!FD95</f>
        <v>42</v>
      </c>
      <c r="DB98" s="376">
        <f>AMD!FF77-AMD!FF95</f>
        <v>170</v>
      </c>
      <c r="DC98" s="376">
        <f>AMD!FG77-AMD!FG95</f>
        <v>97</v>
      </c>
      <c r="DD98" s="376">
        <f>AMD!FH77-AMD!FH95</f>
        <v>337</v>
      </c>
      <c r="DE98" s="376">
        <f>AMD!FI77-AMD!FI95</f>
        <v>1017</v>
      </c>
      <c r="DF98" s="376">
        <f>AMD!FL77-AMD!FL95</f>
        <v>1285</v>
      </c>
      <c r="DG98" s="376">
        <f>AMD!FM77-AMD!FM95</f>
        <v>1398</v>
      </c>
      <c r="DH98" s="376">
        <f>AMD!FN77-AMD!FN95</f>
        <v>1960</v>
      </c>
      <c r="DI98" s="376">
        <f>AMD!FO77-AMD!FO95</f>
        <v>1960</v>
      </c>
      <c r="DJ98" s="397">
        <f>AMD!FP77-AMD!FP95</f>
        <v>2803</v>
      </c>
      <c r="DK98" s="397">
        <f>AMD!FQ77-AMD!FQ95</f>
        <v>3480</v>
      </c>
      <c r="DL98" s="397">
        <f>AMD!FR77-AMD!FR95</f>
        <v>3607</v>
      </c>
      <c r="DM98" s="397">
        <f>AMD!FS77-AMD!FS95</f>
        <v>3607</v>
      </c>
      <c r="DN98" s="397">
        <f>AMD!FU77-AMD!FU95</f>
        <v>5057</v>
      </c>
      <c r="DO98" s="397">
        <f>AMD!FV77-AMD!FV95</f>
        <v>3527</v>
      </c>
      <c r="DP98" s="397">
        <f>AMD!FW77-AMD!FW95</f>
        <v>3125</v>
      </c>
      <c r="DQ98" s="397">
        <f>AMD!FX77-AMD!FX95</f>
        <v>3388</v>
      </c>
      <c r="DR98" s="397">
        <f>AMD!FZ77-AMD!FZ95</f>
        <v>3472</v>
      </c>
      <c r="DS98" s="397">
        <f>AMD!GA77-AMD!GA95</f>
        <v>4571</v>
      </c>
      <c r="DT98" s="397">
        <f>AMD!GB77-AMD!GB95</f>
        <v>4070</v>
      </c>
      <c r="DU98" s="397">
        <f>AMD!GC77-AMD!GC95</f>
        <v>4056</v>
      </c>
      <c r="DV98" s="376">
        <f>AMD!GE77-AMD!GE95</f>
        <v>4317</v>
      </c>
      <c r="DW98" s="376">
        <f>AMD!GF77-AMD!GF95</f>
        <v>3621</v>
      </c>
      <c r="DX98" s="376">
        <f>AMD!GG77-AMD!GG95</f>
        <v>2824</v>
      </c>
      <c r="DY98" s="376">
        <f>AMD!GH77-AMD!GH95</f>
        <v>3411</v>
      </c>
      <c r="DZ98" s="376">
        <f>AMD!GJ77-AMD!GJ95</f>
        <v>4093</v>
      </c>
      <c r="EA98" s="376">
        <f>AMD!GK77-AMD!GK95</f>
        <v>2660</v>
      </c>
      <c r="EB98" s="376">
        <f>AMD!GL77-AMD!GL95</f>
        <v>4913</v>
      </c>
      <c r="EC98" s="376">
        <f>AMD!GM77-AMD!GM95</f>
        <v>8204</v>
      </c>
      <c r="ED98" s="376">
        <f>AMD!GO77-AMD!GO95</f>
        <v>9997</v>
      </c>
      <c r="EE98" s="380">
        <f>AMD!GP77-AMD!GP95</f>
        <v>9634.8892609335144</v>
      </c>
      <c r="EF98" s="380">
        <f>AMD!GQ77-AMD!GQ95</f>
        <v>11342.879982818675</v>
      </c>
      <c r="EG98" s="380">
        <f>AMD!GR77-AMD!GR95</f>
        <v>12600.697063263751</v>
      </c>
      <c r="EH98" s="380">
        <f>AMD!GT77-AMD!GT95</f>
        <v>17397.519279413544</v>
      </c>
      <c r="EI98" s="380">
        <f>AMD!GU77-AMD!GU95</f>
        <v>21062.888348059852</v>
      </c>
      <c r="EJ98" s="380">
        <f>AMD!GV77-AMD!GV95</f>
        <v>25067.819083308623</v>
      </c>
      <c r="EK98" s="380">
        <f>AMD!GW77-AMD!GW95</f>
        <v>31247.667624305599</v>
      </c>
      <c r="EL98" s="380">
        <f>AMD!GY77-AMD!GY95</f>
        <v>42986.518830917303</v>
      </c>
      <c r="EM98" s="380">
        <f>AMD!GZ77-AMD!GZ95</f>
        <v>52776.698602075398</v>
      </c>
      <c r="EN98" s="380">
        <f>AMD!HA77-AMD!HA95</f>
        <v>61099.695746644815</v>
      </c>
      <c r="EO98" s="380">
        <f>AMD!HB77-AMD!HB95</f>
        <v>70443.417351382435</v>
      </c>
      <c r="EP98" s="380">
        <f>AMD!HD77-AMD!HD95</f>
        <v>85419.01908416854</v>
      </c>
      <c r="EQ98" s="380">
        <f>AMD!HE77-AMD!HE95</f>
        <v>98134.207008307916</v>
      </c>
      <c r="ER98" s="380">
        <f>AMD!HF77-AMD!HF95</f>
        <v>110726.23273633183</v>
      </c>
      <c r="ES98" s="380">
        <f>AMD!HG77-AMD!HG95</f>
        <v>125352.17840917486</v>
      </c>
      <c r="ET98" s="380">
        <f>AMD!HI77-AMD!HI95</f>
        <v>145459.10285494645</v>
      </c>
      <c r="EU98" s="380">
        <f>AMD!HJ77-AMD!HJ95</f>
        <v>161742.11048775868</v>
      </c>
      <c r="EV98" s="380">
        <f>AMD!HK77-AMD!HK95</f>
        <v>176675.89806018263</v>
      </c>
      <c r="EW98" s="380">
        <f>AMD!HL77-AMD!HL95</f>
        <v>195594.42804510251</v>
      </c>
      <c r="EZ98" s="376">
        <f>E98</f>
        <v>408.69399999999996</v>
      </c>
      <c r="FA98" s="376">
        <f>I98</f>
        <v>302.10200000000003</v>
      </c>
      <c r="FB98" s="376">
        <f>M98</f>
        <v>275.68200000000002</v>
      </c>
      <c r="FC98" s="376">
        <f>Q98</f>
        <v>-58.632000000000005</v>
      </c>
      <c r="FD98" s="376">
        <f>U98</f>
        <v>-195.65699999999998</v>
      </c>
      <c r="FE98" s="376">
        <f>Y98</f>
        <v>-675.39099999999985</v>
      </c>
      <c r="FF98" s="376">
        <f>AC98</f>
        <v>-830.77099999999996</v>
      </c>
      <c r="FG98" s="376">
        <f>AG98</f>
        <v>125.19200000000001</v>
      </c>
      <c r="FH98" s="376">
        <f>AK98</f>
        <v>197.05200000000002</v>
      </c>
      <c r="FI98" s="376">
        <f>AO98</f>
        <v>-742.13200000000006</v>
      </c>
      <c r="FJ98" s="376">
        <f>AS98</f>
        <v>-586.30700000000002</v>
      </c>
      <c r="FK98" s="376">
        <f>AW98</f>
        <v>-432.70900000000006</v>
      </c>
      <c r="FL98" s="376">
        <f>BA98</f>
        <v>467.702</v>
      </c>
      <c r="FM98" s="376">
        <f>BE98</f>
        <v>-2131</v>
      </c>
      <c r="FN98" s="376">
        <f>BI98</f>
        <v>-3142</v>
      </c>
      <c r="FO98" s="376">
        <f>BM98</f>
        <v>-3606</v>
      </c>
      <c r="FP98" s="376">
        <f>BQ98</f>
        <v>-1576</v>
      </c>
      <c r="FQ98" s="376">
        <f>BU98</f>
        <v>-399</v>
      </c>
      <c r="FR98" s="376">
        <f>BY98</f>
        <v>238</v>
      </c>
      <c r="FS98" s="376">
        <f>CC98</f>
        <v>-1035</v>
      </c>
      <c r="FT98" s="376">
        <f>CG98</f>
        <v>-811</v>
      </c>
      <c r="FU98" s="376">
        <f>CK98</f>
        <v>-995</v>
      </c>
      <c r="FV98" s="376">
        <f>CO98</f>
        <v>-1247</v>
      </c>
      <c r="FW98" s="376">
        <f>CS98</f>
        <v>-171</v>
      </c>
      <c r="FX98" s="376">
        <f>CW98</f>
        <v>-140</v>
      </c>
      <c r="FY98" s="376">
        <f>DA98</f>
        <v>42</v>
      </c>
      <c r="FZ98" s="376">
        <f>DE98</f>
        <v>1017</v>
      </c>
      <c r="GA98" s="376">
        <f>DI98</f>
        <v>1960</v>
      </c>
      <c r="GB98" s="376">
        <f>+DM98</f>
        <v>3607</v>
      </c>
      <c r="GC98" s="376">
        <f>+DQ98</f>
        <v>3388</v>
      </c>
      <c r="GD98" s="376">
        <f>+DU98</f>
        <v>4056</v>
      </c>
      <c r="GE98" s="376">
        <f>+DY98</f>
        <v>3411</v>
      </c>
      <c r="GF98" s="376">
        <f>+EC98</f>
        <v>8204</v>
      </c>
      <c r="GG98" s="380">
        <f>+EG98</f>
        <v>12600.697063263751</v>
      </c>
      <c r="GH98" s="380">
        <f>+EK98</f>
        <v>31247.667624305599</v>
      </c>
      <c r="GI98" s="380">
        <f>EO98</f>
        <v>70443.417351382435</v>
      </c>
      <c r="GJ98" s="380">
        <f>ES98</f>
        <v>125352.17840917486</v>
      </c>
      <c r="GK98" s="380">
        <f>EW98</f>
        <v>195594.42804510251</v>
      </c>
      <c r="GN98" s="70"/>
    </row>
    <row r="99" spans="1:196" s="379" customFormat="1">
      <c r="A99" s="405" t="s">
        <v>255</v>
      </c>
      <c r="B99" s="376">
        <f>AMD!AF100</f>
        <v>-376.47499999999997</v>
      </c>
      <c r="C99" s="376">
        <f>AMD!AG100</f>
        <v>-382.36900000000003</v>
      </c>
      <c r="D99" s="376">
        <f>AMD!AH100</f>
        <v>-388.95699999999999</v>
      </c>
      <c r="E99" s="376">
        <f>AMD!AI100</f>
        <v>-408.69399999999996</v>
      </c>
      <c r="F99" s="376">
        <f>AMD!AK100</f>
        <v>-461.57900000000001</v>
      </c>
      <c r="G99" s="376">
        <f>AMD!AL100</f>
        <v>-486.01399999999995</v>
      </c>
      <c r="H99" s="376">
        <f>AMD!AM100</f>
        <v>-472.24099999999999</v>
      </c>
      <c r="I99" s="376">
        <f>AMD!AN100</f>
        <v>-302.10200000000003</v>
      </c>
      <c r="J99" s="376">
        <f>AMD!AP100</f>
        <v>-267.62200000000001</v>
      </c>
      <c r="K99" s="376">
        <f>AMD!AQ100</f>
        <v>-325.73700000000002</v>
      </c>
      <c r="L99" s="376">
        <f>AMD!AR100</f>
        <v>-276.54500000000002</v>
      </c>
      <c r="M99" s="376">
        <f>AMD!AS100</f>
        <v>-275.68200000000002</v>
      </c>
      <c r="N99" s="376">
        <f>AMD!AU100</f>
        <v>-203.38099999999997</v>
      </c>
      <c r="O99" s="376">
        <f>AMD!AV100</f>
        <v>-79.736000000000018</v>
      </c>
      <c r="P99" s="376">
        <f>AMD!AW100</f>
        <v>84.144999999999982</v>
      </c>
      <c r="Q99" s="376">
        <f>AMD!AX100</f>
        <v>58.632000000000005</v>
      </c>
      <c r="R99" s="376">
        <f>AMD!AZ100</f>
        <v>53.526000000000067</v>
      </c>
      <c r="S99" s="376">
        <f>AMD!BA100</f>
        <v>136.26900000000001</v>
      </c>
      <c r="T99" s="376">
        <f>AMD!BB100</f>
        <v>236.40899999999999</v>
      </c>
      <c r="U99" s="376">
        <f>AMD!BC100</f>
        <v>195.65699999999998</v>
      </c>
      <c r="V99" s="376">
        <f>AMD!BE100</f>
        <v>359.78999999999996</v>
      </c>
      <c r="W99" s="376">
        <f>AMD!BF100</f>
        <v>450.125</v>
      </c>
      <c r="X99" s="376">
        <f>AMD!BG100</f>
        <v>783.72</v>
      </c>
      <c r="Y99" s="376">
        <f>AMD!BH100</f>
        <v>675.39099999999985</v>
      </c>
      <c r="Z99" s="376">
        <f>AMD!BJ100</f>
        <v>1050.8120000000001</v>
      </c>
      <c r="AA99" s="376">
        <f>AMD!BK100</f>
        <v>789.73300000000006</v>
      </c>
      <c r="AB99" s="376">
        <f>AMD!BL100</f>
        <v>1071.5169999999998</v>
      </c>
      <c r="AC99" s="376">
        <f>AMD!BM100</f>
        <v>830.77099999999996</v>
      </c>
      <c r="AD99" s="376">
        <f>AMD!BO100</f>
        <v>550.61599999999999</v>
      </c>
      <c r="AE99" s="376">
        <f>AMD!BP100</f>
        <v>401.83199999999988</v>
      </c>
      <c r="AF99" s="376">
        <f>AMD!BQ100</f>
        <v>-10.021999999999935</v>
      </c>
      <c r="AG99" s="376">
        <f>AMD!BR100</f>
        <v>-125.19200000000001</v>
      </c>
      <c r="AH99" s="376">
        <f>AMD!BT100</f>
        <v>-202.58600000000001</v>
      </c>
      <c r="AI99" s="376">
        <f>AMD!BU100</f>
        <v>-302.44600000000003</v>
      </c>
      <c r="AJ99" s="376">
        <f>AMD!BV100</f>
        <v>-107.51300000000003</v>
      </c>
      <c r="AK99" s="376">
        <f>AMD!BW100</f>
        <v>-197.05200000000002</v>
      </c>
      <c r="AL99" s="376">
        <f>AMD!BY100</f>
        <v>-153.05199999999991</v>
      </c>
      <c r="AM99" s="376">
        <f>AMD!BZ100</f>
        <v>41.116999999999962</v>
      </c>
      <c r="AN99" s="376">
        <f>AMD!CA100</f>
        <v>330.70699999999988</v>
      </c>
      <c r="AO99" s="376">
        <f>AMD!CB100</f>
        <v>742.13200000000006</v>
      </c>
      <c r="AP99" s="376">
        <f>AMD!CD100</f>
        <v>967.02700000000004</v>
      </c>
      <c r="AQ99" s="376">
        <f>AMD!CE100</f>
        <v>848.20799999999997</v>
      </c>
      <c r="AR99" s="376">
        <f>AMD!CF100</f>
        <v>804.92000000000007</v>
      </c>
      <c r="AS99" s="376">
        <f>AMD!CG100</f>
        <v>586.30700000000002</v>
      </c>
      <c r="AT99" s="376">
        <f>AMD!CI100</f>
        <v>492.64599999999996</v>
      </c>
      <c r="AU99" s="376">
        <f>AMD!CJ100</f>
        <v>605.77500000000009</v>
      </c>
      <c r="AV99" s="376">
        <f>AMD!CK100</f>
        <v>641.84000000000015</v>
      </c>
      <c r="AW99" s="376">
        <f>AMD!CL100</f>
        <v>432.70900000000006</v>
      </c>
      <c r="AX99" s="376">
        <f>AMD!CN100</f>
        <v>537.23700000000008</v>
      </c>
      <c r="AY99" s="376">
        <f>AMD!CO100</f>
        <v>371.52</v>
      </c>
      <c r="AZ99" s="376">
        <f>AMD!CP100</f>
        <v>366.70500000000015</v>
      </c>
      <c r="BA99" s="376">
        <f>AMD!CQ100</f>
        <v>-467.702</v>
      </c>
      <c r="BB99" s="376">
        <f>AMD!CS100</f>
        <v>-2016.789</v>
      </c>
      <c r="BC99" s="376">
        <f>AMD!CT100</f>
        <v>-1882.953</v>
      </c>
      <c r="BD99" s="376">
        <f>AMD!CU100</f>
        <v>-1712.5460000000003</v>
      </c>
      <c r="BE99" s="376">
        <f>AMD!CV100</f>
        <v>2131</v>
      </c>
      <c r="BF99" s="376">
        <f>AMD!CX100</f>
        <v>2492</v>
      </c>
      <c r="BG99" s="376">
        <f>AMD!CY100</f>
        <v>3724</v>
      </c>
      <c r="BH99" s="376">
        <f>AMD!CZ100</f>
        <v>3589</v>
      </c>
      <c r="BI99" s="376">
        <f>AMD!DA100</f>
        <v>3142</v>
      </c>
      <c r="BJ99" s="376">
        <f>AMD!DC100</f>
        <v>3272</v>
      </c>
      <c r="BK99" s="376">
        <f>AMD!DD100</f>
        <v>3388</v>
      </c>
      <c r="BL99" s="376">
        <f>AMD!DE100</f>
        <v>3533</v>
      </c>
      <c r="BM99" s="376">
        <f>AMD!DF100</f>
        <v>3606</v>
      </c>
      <c r="BN99" s="376">
        <f>AMD!DH100</f>
        <v>2563</v>
      </c>
      <c r="BO99" s="376">
        <f>AMD!DI100</f>
        <v>2729</v>
      </c>
      <c r="BP99" s="376">
        <f>AMD!DJ100</f>
        <v>2764</v>
      </c>
      <c r="BQ99" s="376">
        <f>AMD!DK100</f>
        <v>1576</v>
      </c>
      <c r="BR99" s="376">
        <f>AMD!DM100</f>
        <v>669</v>
      </c>
      <c r="BS99" s="376">
        <f>AMD!DN100</f>
        <v>522</v>
      </c>
      <c r="BT99" s="376">
        <f>AMD!DO100</f>
        <v>459</v>
      </c>
      <c r="BU99" s="376">
        <f>AMD!DP100</f>
        <v>399</v>
      </c>
      <c r="BV99" s="376">
        <f>AMD!DR100</f>
        <v>447</v>
      </c>
      <c r="BW99" s="376">
        <f>AMD!DS100</f>
        <v>334</v>
      </c>
      <c r="BX99" s="376">
        <f>AMD!DT100</f>
        <v>-236</v>
      </c>
      <c r="BY99" s="376">
        <f>AMD!DU100</f>
        <v>-238</v>
      </c>
      <c r="BZ99" s="376">
        <f>AMD!DW100</f>
        <v>-15</v>
      </c>
      <c r="CA99" s="376">
        <f>AMD!DX100</f>
        <v>-47</v>
      </c>
      <c r="CB99" s="376">
        <f>AMD!DY100</f>
        <v>735</v>
      </c>
      <c r="CC99" s="376">
        <f>AMD!DZ100</f>
        <v>1035</v>
      </c>
      <c r="CD99" s="376">
        <f>AMD!EB100</f>
        <v>1036</v>
      </c>
      <c r="CE99" s="376">
        <f>AMD!EC100</f>
        <v>1074</v>
      </c>
      <c r="CF99" s="376">
        <f>AMD!ED100</f>
        <v>863</v>
      </c>
      <c r="CG99" s="376">
        <f>AMD!EE100</f>
        <v>811</v>
      </c>
      <c r="CH99" s="376">
        <f>AMD!EG100</f>
        <v>1176</v>
      </c>
      <c r="CI99" s="376">
        <f>AMD!EH100</f>
        <v>1161</v>
      </c>
      <c r="CJ99" s="376">
        <f>AMD!EI100</f>
        <v>1168</v>
      </c>
      <c r="CK99" s="376">
        <f>AMD!EJ100</f>
        <v>995</v>
      </c>
      <c r="CL99" s="376">
        <f>AMD!EL100</f>
        <v>1127</v>
      </c>
      <c r="CM99" s="376">
        <f>AMD!EM100</f>
        <v>1205</v>
      </c>
      <c r="CN99" s="376">
        <f>AMD!EN100</f>
        <v>1275</v>
      </c>
      <c r="CO99" s="376">
        <f>AMD!EO100</f>
        <v>1247</v>
      </c>
      <c r="CP99" s="376">
        <f>AMD!EQ100</f>
        <v>1290</v>
      </c>
      <c r="CQ99" s="376">
        <f>AMD!ER100</f>
        <v>1055</v>
      </c>
      <c r="CR99" s="376">
        <f>AMD!ES100</f>
        <v>374</v>
      </c>
      <c r="CS99" s="376">
        <f>AMD!ET100</f>
        <v>171</v>
      </c>
      <c r="CT99" s="376">
        <f>AMD!EV100</f>
        <v>465</v>
      </c>
      <c r="CU99" s="376">
        <f>AMD!EW100</f>
        <v>531</v>
      </c>
      <c r="CV99" s="376">
        <f>AMD!EX100</f>
        <v>477</v>
      </c>
      <c r="CW99" s="376">
        <f>AMD!EY100</f>
        <v>140</v>
      </c>
      <c r="CX99" s="376">
        <f>AMD!FA100</f>
        <v>120</v>
      </c>
      <c r="CY99" s="376">
        <f>AMD!FB100</f>
        <v>187</v>
      </c>
      <c r="CZ99" s="376">
        <f>AMD!FC100</f>
        <v>111</v>
      </c>
      <c r="DA99" s="376">
        <f>AMD!FD100</f>
        <v>-42</v>
      </c>
      <c r="DB99" s="376">
        <f>AMD!FF100</f>
        <v>-170</v>
      </c>
      <c r="DC99" s="376">
        <f>AMD!FG100</f>
        <v>-97</v>
      </c>
      <c r="DD99" s="376">
        <f>AMD!FH100</f>
        <v>-337</v>
      </c>
      <c r="DE99" s="376">
        <f>AMD!FI100</f>
        <v>-1017</v>
      </c>
      <c r="DF99" s="376">
        <f>AMD!FK100</f>
        <v>-897</v>
      </c>
      <c r="DG99" s="376">
        <f>AMD!FL100</f>
        <v>-1285</v>
      </c>
      <c r="DH99" s="376">
        <f>AMD!FM100</f>
        <v>-1398</v>
      </c>
      <c r="DI99" s="376">
        <f>AMD!FN100</f>
        <v>-1960</v>
      </c>
      <c r="DJ99" s="397">
        <f>AMD!FP100</f>
        <v>-2803</v>
      </c>
      <c r="DK99" s="397">
        <f>AMD!FQ100</f>
        <v>-3480</v>
      </c>
      <c r="DL99" s="397">
        <f>AMD!FR100</f>
        <v>-3607</v>
      </c>
      <c r="DM99" s="397">
        <f>AMD!FS100</f>
        <v>-3607</v>
      </c>
      <c r="DN99" s="397">
        <f>AMD!FU100</f>
        <v>-5057</v>
      </c>
      <c r="DO99" s="397">
        <f>AMD!FV100</f>
        <v>-3527</v>
      </c>
      <c r="DP99" s="397">
        <f>AMD!FW100</f>
        <v>-3125</v>
      </c>
      <c r="DQ99" s="397">
        <f>AMD!FX100</f>
        <v>-3388</v>
      </c>
      <c r="DR99" s="397">
        <f>AMD!FZ100</f>
        <v>-3472</v>
      </c>
      <c r="DS99" s="397">
        <f>AMD!GA100</f>
        <v>-4571</v>
      </c>
      <c r="DT99" s="397">
        <f>AMD!GB100</f>
        <v>-4070</v>
      </c>
      <c r="DU99" s="397">
        <f>AMD!GC100</f>
        <v>-4056</v>
      </c>
      <c r="DV99" s="376">
        <f>AMD!GE100</f>
        <v>-4317</v>
      </c>
      <c r="DW99" s="376">
        <f>AMD!GF100</f>
        <v>-3621</v>
      </c>
      <c r="DX99" s="376">
        <f>AMD!GG100</f>
        <v>-2824</v>
      </c>
      <c r="DY99" s="376">
        <f>AMD!GH100</f>
        <v>-3411</v>
      </c>
      <c r="DZ99" s="376">
        <f>AMD!GJ100</f>
        <v>-4093</v>
      </c>
      <c r="EA99" s="376">
        <f>AMD!GK100</f>
        <v>-2660</v>
      </c>
      <c r="EB99" s="376">
        <f>AMD!GL100</f>
        <v>-4913</v>
      </c>
      <c r="EC99" s="376">
        <f>AMD!GM100</f>
        <v>-8204</v>
      </c>
      <c r="ED99" s="376">
        <f>AMD!GO100</f>
        <v>-9997</v>
      </c>
      <c r="EE99" s="380">
        <f>AMD!GP100</f>
        <v>-9634.8892609335144</v>
      </c>
      <c r="EF99" s="380">
        <f>AMD!GQ100</f>
        <v>-11342.879982818675</v>
      </c>
      <c r="EG99" s="380">
        <f>AMD!GR100</f>
        <v>-12600.697063263751</v>
      </c>
      <c r="EH99" s="380">
        <f>AMD!GT100</f>
        <v>-17397.519279413544</v>
      </c>
      <c r="EI99" s="380">
        <f>AMD!GU100</f>
        <v>-21062.888348059852</v>
      </c>
      <c r="EJ99" s="380">
        <f>AMD!GV100</f>
        <v>-25067.819083308623</v>
      </c>
      <c r="EK99" s="380">
        <f>AMD!GW100</f>
        <v>-31247.667624305599</v>
      </c>
      <c r="EL99" s="380">
        <f>AMD!GY100</f>
        <v>-42986.518830917303</v>
      </c>
      <c r="EM99" s="380">
        <f>AMD!GZ100</f>
        <v>-52776.698602075398</v>
      </c>
      <c r="EN99" s="380">
        <f>AMD!HA100</f>
        <v>-61099.695746644815</v>
      </c>
      <c r="EO99" s="380">
        <f>AMD!HB100</f>
        <v>-70443.417351382435</v>
      </c>
      <c r="EP99" s="380">
        <f>AMD!HD100</f>
        <v>-85419.01908416854</v>
      </c>
      <c r="EQ99" s="380">
        <f>AMD!HE100</f>
        <v>-98134.207008307916</v>
      </c>
      <c r="ER99" s="380">
        <f>AMD!HF100</f>
        <v>-110726.23273633183</v>
      </c>
      <c r="ES99" s="380">
        <f>AMD!HG100</f>
        <v>-125352.17840917486</v>
      </c>
      <c r="ET99" s="380">
        <f>AMD!HI100</f>
        <v>-145459.10285494645</v>
      </c>
      <c r="EU99" s="380">
        <f>AMD!HJ100</f>
        <v>-161742.11048775868</v>
      </c>
      <c r="EV99" s="380">
        <f>AMD!HK100</f>
        <v>-176675.89806018263</v>
      </c>
      <c r="EW99" s="380">
        <f>AMD!HL100</f>
        <v>-195594.42804510251</v>
      </c>
      <c r="EZ99" s="376">
        <f>E99</f>
        <v>-408.69399999999996</v>
      </c>
      <c r="FA99" s="376">
        <f>I99</f>
        <v>-302.10200000000003</v>
      </c>
      <c r="FB99" s="376">
        <f>M99</f>
        <v>-275.68200000000002</v>
      </c>
      <c r="FC99" s="376">
        <f>Q99</f>
        <v>58.632000000000005</v>
      </c>
      <c r="FD99" s="376">
        <f>U99</f>
        <v>195.65699999999998</v>
      </c>
      <c r="FE99" s="376">
        <f>Y99</f>
        <v>675.39099999999985</v>
      </c>
      <c r="FF99" s="376">
        <f>AC99</f>
        <v>830.77099999999996</v>
      </c>
      <c r="FG99" s="376">
        <f>AG99</f>
        <v>-125.19200000000001</v>
      </c>
      <c r="FH99" s="376">
        <f>AK99</f>
        <v>-197.05200000000002</v>
      </c>
      <c r="FI99" s="376">
        <f>AO99</f>
        <v>742.13200000000006</v>
      </c>
      <c r="FJ99" s="376">
        <f>AS99</f>
        <v>586.30700000000002</v>
      </c>
      <c r="FK99" s="376">
        <f>AW99</f>
        <v>432.70900000000006</v>
      </c>
      <c r="FL99" s="376">
        <f>BA99</f>
        <v>-467.702</v>
      </c>
      <c r="FM99" s="376">
        <f>BE99</f>
        <v>2131</v>
      </c>
      <c r="FN99" s="376">
        <f>BI99</f>
        <v>3142</v>
      </c>
      <c r="FO99" s="376">
        <f>BM99</f>
        <v>3606</v>
      </c>
      <c r="FP99" s="376">
        <f>BQ99</f>
        <v>1576</v>
      </c>
      <c r="FQ99" s="376">
        <f>BU99</f>
        <v>399</v>
      </c>
      <c r="FR99" s="376">
        <f>BY99</f>
        <v>-238</v>
      </c>
      <c r="FS99" s="376">
        <f>CC99</f>
        <v>1035</v>
      </c>
      <c r="FT99" s="376">
        <f>CG99</f>
        <v>811</v>
      </c>
      <c r="FU99" s="376">
        <f>CK99</f>
        <v>995</v>
      </c>
      <c r="FV99" s="376">
        <f>CO99</f>
        <v>1247</v>
      </c>
      <c r="FW99" s="376">
        <f>CS99</f>
        <v>171</v>
      </c>
      <c r="FX99" s="376">
        <f>CW99</f>
        <v>140</v>
      </c>
      <c r="FY99" s="376">
        <f>DA99</f>
        <v>-42</v>
      </c>
      <c r="FZ99" s="376">
        <f>DE99</f>
        <v>-1017</v>
      </c>
      <c r="GA99" s="376">
        <f>DI99</f>
        <v>-1960</v>
      </c>
      <c r="GB99" s="376">
        <f>+DM99</f>
        <v>-3607</v>
      </c>
      <c r="GC99" s="376">
        <f>+DQ99</f>
        <v>-3388</v>
      </c>
      <c r="GD99" s="376">
        <f>+DU99</f>
        <v>-4056</v>
      </c>
      <c r="GE99" s="376">
        <f>+DY99</f>
        <v>-3411</v>
      </c>
      <c r="GF99" s="376">
        <f>+EC99</f>
        <v>-8204</v>
      </c>
      <c r="GG99" s="380">
        <f>+EG99</f>
        <v>-12600.697063263751</v>
      </c>
      <c r="GH99" s="380">
        <f>+EK99</f>
        <v>-31247.667624305599</v>
      </c>
      <c r="GI99" s="380">
        <f>EO99</f>
        <v>-70443.417351382435</v>
      </c>
      <c r="GJ99" s="380">
        <f>ES99</f>
        <v>-125352.17840917486</v>
      </c>
      <c r="GK99" s="380">
        <f>EW99</f>
        <v>-195594.42804510251</v>
      </c>
      <c r="GN99" s="70"/>
    </row>
    <row r="100" spans="1:196" s="432" customFormat="1">
      <c r="A100" s="428" t="s">
        <v>256</v>
      </c>
      <c r="B100" s="429">
        <f>AMD!AF101</f>
        <v>0</v>
      </c>
      <c r="C100" s="429">
        <f>AMD!AG101</f>
        <v>0</v>
      </c>
      <c r="D100" s="429">
        <f>AMD!AH101</f>
        <v>0</v>
      </c>
      <c r="E100" s="429">
        <f>AMD!AI101</f>
        <v>0</v>
      </c>
      <c r="F100" s="429">
        <f>AMD!AK101</f>
        <v>0</v>
      </c>
      <c r="G100" s="429">
        <f>AMD!AL101</f>
        <v>0</v>
      </c>
      <c r="H100" s="429">
        <f>AMD!AM101</f>
        <v>0</v>
      </c>
      <c r="I100" s="429">
        <f>AMD!AN101</f>
        <v>0</v>
      </c>
      <c r="J100" s="429">
        <f>AMD!AP101</f>
        <v>-4.5498096315812067</v>
      </c>
      <c r="K100" s="429">
        <f>AMD!AQ101</f>
        <v>-3.0436965658069939</v>
      </c>
      <c r="L100" s="429">
        <f>AMD!AR101</f>
        <v>-3.2669570943840007</v>
      </c>
      <c r="M100" s="429">
        <f>AMD!AS101</f>
        <v>-3.3689997882383227</v>
      </c>
      <c r="N100" s="429">
        <f>AMD!AU101</f>
        <v>10.496789893576095</v>
      </c>
      <c r="O100" s="429">
        <f>AMD!AV101</f>
        <v>0.66638230591972736</v>
      </c>
      <c r="P100" s="429">
        <f>AMD!AW101</f>
        <v>-0.43511211220340407</v>
      </c>
      <c r="Q100" s="429">
        <f>AMD!AX101</f>
        <v>-0.5417399824411625</v>
      </c>
      <c r="R100" s="429">
        <f>AMD!AZ101</f>
        <v>-4.1903260987081339</v>
      </c>
      <c r="S100" s="429">
        <f>AMD!BA101</f>
        <v>-6.8686857031033082</v>
      </c>
      <c r="T100" s="429">
        <f>AMD!BB101</f>
        <v>88.20351882710635</v>
      </c>
      <c r="U100" s="429">
        <f>AMD!BC101</f>
        <v>14.116031447117253</v>
      </c>
      <c r="V100" s="429">
        <f>AMD!BE101</f>
        <v>0</v>
      </c>
      <c r="W100" s="429">
        <f>AMD!BF101</f>
        <v>10.588172891442564</v>
      </c>
      <c r="X100" s="429">
        <f>AMD!BG101</f>
        <v>0</v>
      </c>
      <c r="Y100" s="429">
        <f>AMD!BH101</f>
        <v>0</v>
      </c>
      <c r="Z100" s="429">
        <f>AMD!BJ101</f>
        <v>0</v>
      </c>
      <c r="AA100" s="429">
        <f>AMD!BK101</f>
        <v>0</v>
      </c>
      <c r="AB100" s="429">
        <f>AMD!BL101</f>
        <v>33.845675812013646</v>
      </c>
      <c r="AC100" s="429">
        <f>AMD!BM101</f>
        <v>6.8125044756669704</v>
      </c>
      <c r="AD100" s="429">
        <f>AMD!BO101</f>
        <v>3.1007975728333941</v>
      </c>
      <c r="AE100" s="429">
        <f>AMD!BP101</f>
        <v>6.9006962767307041</v>
      </c>
      <c r="AF100" s="429">
        <f>AMD!BQ101</f>
        <v>0</v>
      </c>
      <c r="AG100" s="429">
        <f>AMD!BR101</f>
        <v>1.0312441660909484</v>
      </c>
      <c r="AH100" s="429">
        <f>AMD!BT101</f>
        <v>0.59653783938097593</v>
      </c>
      <c r="AI100" s="429">
        <f>AMD!BU101</f>
        <v>0.52996203240190898</v>
      </c>
      <c r="AJ100" s="429">
        <f>AMD!BV101</f>
        <v>0.22046544423214523</v>
      </c>
      <c r="AK100" s="429">
        <f>AMD!BW101</f>
        <v>0.46023637519980121</v>
      </c>
      <c r="AL100" s="429">
        <f>AMD!BY101</f>
        <v>0.63955962304012892</v>
      </c>
      <c r="AM100" s="429">
        <f>AMD!BZ101</f>
        <v>0.45775883158087888</v>
      </c>
      <c r="AN100" s="429">
        <f>AMD!CA101</f>
        <v>2.5733003106452204</v>
      </c>
      <c r="AO100" s="429">
        <f>AMD!CB101</f>
        <v>4.5987979644924009</v>
      </c>
      <c r="AP100" s="429">
        <f>AMD!CD101</f>
        <v>0</v>
      </c>
      <c r="AQ100" s="429">
        <f>AMD!CE101</f>
        <v>0</v>
      </c>
      <c r="AR100" s="429">
        <f>AMD!CF101</f>
        <v>0</v>
      </c>
      <c r="AS100" s="429">
        <f>AMD!CG101</f>
        <v>0</v>
      </c>
      <c r="AT100" s="429">
        <f>AMD!CI101</f>
        <v>0</v>
      </c>
      <c r="AU100" s="429">
        <f>AMD!CJ101</f>
        <v>0</v>
      </c>
      <c r="AV100" s="429">
        <f>AMD!CK101</f>
        <v>0</v>
      </c>
      <c r="AW100" s="429">
        <f>AMD!CL101</f>
        <v>0</v>
      </c>
      <c r="AX100" s="429">
        <f>AMD!CN101</f>
        <v>0</v>
      </c>
      <c r="AY100" s="429">
        <f>AMD!CO101</f>
        <v>5.6999772983396193</v>
      </c>
      <c r="AZ100" s="429">
        <f>AMD!CP101</f>
        <v>1.7234179268457384</v>
      </c>
      <c r="BA100" s="429">
        <f>AMD!CQ101</f>
        <v>0</v>
      </c>
      <c r="BB100" s="429">
        <f>AMD!CS101</f>
        <v>-4.9440667616369591</v>
      </c>
      <c r="BC100" s="429">
        <f>AMD!CT101</f>
        <v>-5.8174245473066621</v>
      </c>
      <c r="BD100" s="429">
        <f>AMD!CU101</f>
        <v>-14.386338844285637</v>
      </c>
      <c r="BE100" s="429">
        <f>AMD!CV101</f>
        <v>12.362124970739231</v>
      </c>
      <c r="BF100" s="429">
        <f>AMD!CX101</f>
        <v>8.9687992416363933</v>
      </c>
      <c r="BG100" s="429">
        <f>AMD!CY101</f>
        <v>-60.659528400746098</v>
      </c>
      <c r="BH100" s="429">
        <f>AMD!CZ101</f>
        <v>13.213569999684601</v>
      </c>
      <c r="BI100" s="429">
        <f>AMD!DA101</f>
        <v>119.24510430847408</v>
      </c>
      <c r="BJ100" s="429">
        <f>AMD!DC101</f>
        <v>-18.753296674650027</v>
      </c>
      <c r="BK100" s="429">
        <f>AMD!DD101</f>
        <v>22.960550096987745</v>
      </c>
      <c r="BL100" s="429">
        <f>AMD!DE101</f>
        <v>-6.0980102861622365</v>
      </c>
      <c r="BM100" s="429">
        <f>AMD!DF101</f>
        <v>-10.556577687335508</v>
      </c>
      <c r="BN100" s="429">
        <f>AMD!DH101</f>
        <v>-3.6636844729420925</v>
      </c>
      <c r="BO100" s="429">
        <f>AMD!DI101</f>
        <v>-3.6851610005010391</v>
      </c>
      <c r="BP100" s="429">
        <f>AMD!DJ101</f>
        <v>-5.0670372234269498</v>
      </c>
      <c r="BQ100" s="429">
        <f>AMD!DK101</f>
        <v>-2.1495990087762022</v>
      </c>
      <c r="BR100" s="429">
        <f>AMD!DM101</f>
        <v>-1.2841819654029791</v>
      </c>
      <c r="BS100" s="429">
        <f>AMD!DN101</f>
        <v>-0.77829414268419983</v>
      </c>
      <c r="BT100" s="429">
        <f>AMD!DO101</f>
        <v>-0.63516906064492806</v>
      </c>
      <c r="BU100" s="429">
        <f>AMD!DP101</f>
        <v>-0.30235073876285484</v>
      </c>
      <c r="BV100" s="429">
        <f>AMD!DR101</f>
        <v>-0.27855934798499049</v>
      </c>
      <c r="BW100" s="429">
        <f>AMD!DS101</f>
        <v>-0.25347272212472061</v>
      </c>
      <c r="BX100" s="429">
        <f>AMD!DT101</f>
        <v>0.24039964046390661</v>
      </c>
      <c r="BY100" s="429">
        <f>AMD!DU101</f>
        <v>0.90949934659073806</v>
      </c>
      <c r="BZ100" s="429">
        <f>AMD!DW101</f>
        <v>-3.469430626160367E-2</v>
      </c>
      <c r="CA100" s="429">
        <f>AMD!DX101</f>
        <v>-0.12589194606126616</v>
      </c>
      <c r="CB100" s="429">
        <f>AMD!DY101</f>
        <v>3.6358792143422591</v>
      </c>
      <c r="CC100" s="429">
        <f>AMD!DZ101</f>
        <v>4.7044899442669061</v>
      </c>
      <c r="CD100" s="429">
        <f>AMD!EB101</f>
        <v>-7.8434656025701042</v>
      </c>
      <c r="CE100" s="429">
        <f>AMD!EC101</f>
        <v>-9.9294986814029702</v>
      </c>
      <c r="CF100" s="429">
        <f>AMD!ED101</f>
        <v>-286.57220099448767</v>
      </c>
      <c r="CG100" s="429">
        <f>AMD!EE101</f>
        <v>-3.7047768874731095</v>
      </c>
      <c r="CH100" s="429">
        <f>AMD!EG101</f>
        <v>-9.8901179540240189</v>
      </c>
      <c r="CI100" s="429">
        <f>AMD!EH101</f>
        <v>48.152981024675746</v>
      </c>
      <c r="CJ100" s="429">
        <f>AMD!EI101</f>
        <v>5.534042997286579</v>
      </c>
      <c r="CK100" s="429">
        <f>AMD!EJ101</f>
        <v>2.3466981132075473</v>
      </c>
      <c r="CL100" s="429">
        <f>AMD!EL101</f>
        <v>3.7072368421052633</v>
      </c>
      <c r="CM100" s="429">
        <f>AMD!EM101</f>
        <v>9.3410852713178301</v>
      </c>
      <c r="CN100" s="429">
        <f>AMD!EN101</f>
        <v>-25</v>
      </c>
      <c r="CO100" s="429">
        <f>AMD!EO101</f>
        <v>-8.2039473684210531</v>
      </c>
      <c r="CP100" s="429">
        <f>AMD!EQ101</f>
        <v>-6.6839378238341967</v>
      </c>
      <c r="CQ100" s="429">
        <f>AMD!ER101</f>
        <v>-7.429577464788732</v>
      </c>
      <c r="CR100" s="429">
        <f>AMD!ES101</f>
        <v>-20.777777777777779</v>
      </c>
      <c r="CS100" s="429">
        <f>AMD!ET101</f>
        <v>57</v>
      </c>
      <c r="CT100" s="429">
        <f>AMD!EV101</f>
        <v>8.7735849056603765</v>
      </c>
      <c r="CU100" s="429">
        <f>AMD!EW101</f>
        <v>4.3884297520661155</v>
      </c>
      <c r="CV100" s="429">
        <f>AMD!EX101</f>
        <v>2.1013215859030838</v>
      </c>
      <c r="CW100" s="429">
        <f>AMD!EY101</f>
        <v>0.40229885057471265</v>
      </c>
      <c r="CX100" s="429">
        <f>AMD!FA101</f>
        <v>0.23668639053254437</v>
      </c>
      <c r="CY100" s="429">
        <f>AMD!FB101</f>
        <v>0.29127725856697817</v>
      </c>
      <c r="CZ100" s="429">
        <f>AMD!FC101</f>
        <v>0.16542473919523099</v>
      </c>
      <c r="DA100" s="429">
        <f>AMD!FD101</f>
        <v>-6.7632850241545889E-2</v>
      </c>
      <c r="DB100" s="429">
        <f>AMD!FF101</f>
        <v>-0.35343035343035345</v>
      </c>
      <c r="DC100" s="429">
        <f>AMD!FG101</f>
        <v>-0.24433249370277077</v>
      </c>
      <c r="DD100" s="429">
        <f>AMD!FH101</f>
        <v>-0.74557522123893805</v>
      </c>
      <c r="DE100" s="429">
        <f>AMD!FI101</f>
        <v>-1.2824716267339218</v>
      </c>
      <c r="DF100" s="429">
        <f>AMD!FK101</f>
        <v>-0.88461538461538458</v>
      </c>
      <c r="DG100" s="429">
        <f>AMD!FL101</f>
        <v>-1.1193379790940767</v>
      </c>
      <c r="DH100" s="429">
        <f>AMD!FM101</f>
        <v>-0.97557571528262388</v>
      </c>
      <c r="DI100" s="429">
        <f>AMD!FN101</f>
        <v>-1.1632047477744807</v>
      </c>
      <c r="DJ100" s="430">
        <f>AMD!FP101</f>
        <v>-1.2671790235081375</v>
      </c>
      <c r="DK100" s="430">
        <f>AMD!FQ101</f>
        <v>-1.2020725388601037</v>
      </c>
      <c r="DL100" s="430">
        <f>AMD!FR101</f>
        <v>-1.0580815488413025</v>
      </c>
      <c r="DM100" s="430">
        <f>AMD!FS101</f>
        <v>-0.88624078624078628</v>
      </c>
      <c r="DN100" s="430">
        <f>AMD!FU101</f>
        <v>-0.99332154782950299</v>
      </c>
      <c r="DO100" s="430">
        <f>AMD!FV101</f>
        <v>-0.72781675608749485</v>
      </c>
      <c r="DP100" s="430">
        <f>AMD!FW101</f>
        <v>-0.80128205128205132</v>
      </c>
      <c r="DQ100" s="430">
        <f>AMD!FX101</f>
        <v>-1.3020753266717908</v>
      </c>
      <c r="DR100" s="430">
        <f>AMD!FZ101</f>
        <v>-1.2662290299051786</v>
      </c>
      <c r="DS100" s="430">
        <f>AMD!GA101</f>
        <v>-1.6448362720403022</v>
      </c>
      <c r="DT100" s="430">
        <f>AMD!GB101</f>
        <v>-7.2163120567375882</v>
      </c>
      <c r="DU100" s="430">
        <f>AMD!GC101</f>
        <v>-3.8887823585810164</v>
      </c>
      <c r="DV100" s="429">
        <f>AMD!GE101</f>
        <v>-3.5183374083129584</v>
      </c>
      <c r="DW100" s="429">
        <f>AMD!GF101</f>
        <v>-2.3728702490170379</v>
      </c>
      <c r="DX100" s="429">
        <f>AMD!GG101</f>
        <v>-0.98089614449461615</v>
      </c>
      <c r="DY100" s="429">
        <f>AMD!GH101</f>
        <v>-1.3267211201866977</v>
      </c>
      <c r="DZ100" s="429">
        <f>AMD!GJ101</f>
        <v>-0.74553734061930788</v>
      </c>
      <c r="EA100" s="429">
        <f>AMD!GK101</f>
        <v>-0.89441829186281108</v>
      </c>
      <c r="EB100" s="429">
        <f>AMD!GL101</f>
        <v>-0.95751315533034498</v>
      </c>
      <c r="EC100" s="429">
        <f>AMD!GM101</f>
        <v>-1.178735632183908</v>
      </c>
      <c r="ED100" s="429">
        <f>AMD!GO101</f>
        <v>-1.3079942430982598</v>
      </c>
      <c r="EE100" s="431">
        <f>AMD!GP101</f>
        <v>-1.2382236812304073</v>
      </c>
      <c r="EF100" s="431">
        <f>AMD!GQ101</f>
        <v>-1.2323285354882048</v>
      </c>
      <c r="EG100" s="431">
        <f>AMD!GR101</f>
        <v>-1.057090656067859</v>
      </c>
      <c r="EH100" s="431">
        <f>AMD!GT101</f>
        <v>-1.1387520285316157</v>
      </c>
      <c r="EI100" s="431">
        <f>AMD!GU101</f>
        <v>-1.155669532716437</v>
      </c>
      <c r="EJ100" s="431">
        <f>AMD!GV101</f>
        <v>-1.1412817512287494</v>
      </c>
      <c r="EK100" s="431">
        <f>AMD!GW101</f>
        <v>-1.269426823004647</v>
      </c>
      <c r="EL100" s="431">
        <f>AMD!GY101</f>
        <v>-1.6058841530998009</v>
      </c>
      <c r="EM100" s="431">
        <f>AMD!GZ101</f>
        <v>-1.825627235155878</v>
      </c>
      <c r="EN100" s="431">
        <f>AMD!HA101</f>
        <v>-1.9639859216256459</v>
      </c>
      <c r="EO100" s="431">
        <f>AMD!HB101</f>
        <v>-2.0989763426716297</v>
      </c>
      <c r="EP100" s="431">
        <f>AMD!HD101</f>
        <v>-2.4006483818046918</v>
      </c>
      <c r="EQ100" s="431">
        <f>AMD!HE101</f>
        <v>-2.6186937045160095</v>
      </c>
      <c r="ER100" s="431">
        <f>AMD!HF101</f>
        <v>-2.8079268586010158</v>
      </c>
      <c r="ES100" s="431">
        <f>AMD!HG101</f>
        <v>-3.06252726336279</v>
      </c>
      <c r="ET100" s="431">
        <f>AMD!HI101</f>
        <v>-3.4468770180102304</v>
      </c>
      <c r="EU100" s="431">
        <f>AMD!HJ101</f>
        <v>-3.7100275731868475</v>
      </c>
      <c r="EV100" s="431">
        <f>AMD!HK101</f>
        <v>-3.8782214868261202</v>
      </c>
      <c r="EW100" s="431">
        <f>AMD!HL101</f>
        <v>-4.0835615069188824</v>
      </c>
      <c r="EZ100" s="429">
        <f>E100</f>
        <v>0</v>
      </c>
      <c r="FA100" s="429">
        <f>I100</f>
        <v>0</v>
      </c>
      <c r="FB100" s="429">
        <f>M100</f>
        <v>-3.3689997882383227</v>
      </c>
      <c r="FC100" s="429">
        <f>Q100</f>
        <v>-0.5417399824411625</v>
      </c>
      <c r="FD100" s="429">
        <f>U100</f>
        <v>14.116031447117253</v>
      </c>
      <c r="FE100" s="429">
        <f>Y100</f>
        <v>0</v>
      </c>
      <c r="FF100" s="429">
        <f>AC100</f>
        <v>6.8125044756669704</v>
      </c>
      <c r="FG100" s="429">
        <f>AG100</f>
        <v>1.0312441660909484</v>
      </c>
      <c r="FH100" s="429">
        <f>AK100</f>
        <v>0.46023637519980121</v>
      </c>
      <c r="FI100" s="429">
        <f>AO100</f>
        <v>4.5987979644924009</v>
      </c>
      <c r="FJ100" s="429">
        <f>AS100</f>
        <v>0</v>
      </c>
      <c r="FK100" s="429">
        <f>AW100</f>
        <v>0</v>
      </c>
      <c r="FL100" s="429">
        <f>BA100</f>
        <v>0</v>
      </c>
      <c r="FM100" s="429">
        <f>BE100</f>
        <v>12.362124970739231</v>
      </c>
      <c r="FN100" s="429">
        <f>BI100</f>
        <v>119.24510430847408</v>
      </c>
      <c r="FO100" s="429">
        <f>BM100</f>
        <v>-10.556577687335508</v>
      </c>
      <c r="FP100" s="429">
        <f>BQ100</f>
        <v>-2.1495990087762022</v>
      </c>
      <c r="FQ100" s="429">
        <f>BU100</f>
        <v>-0.30235073876285484</v>
      </c>
      <c r="FR100" s="429">
        <f>BY100</f>
        <v>0.90949934659073806</v>
      </c>
      <c r="FS100" s="429">
        <f>CC100</f>
        <v>4.7044899442669061</v>
      </c>
      <c r="FT100" s="429">
        <f>CG100</f>
        <v>-3.7047768874731095</v>
      </c>
      <c r="FU100" s="429">
        <f>CK100</f>
        <v>2.3466981132075473</v>
      </c>
      <c r="FV100" s="429">
        <f>CO100</f>
        <v>-8.2039473684210531</v>
      </c>
      <c r="FW100" s="429">
        <f>CS100</f>
        <v>57</v>
      </c>
      <c r="FX100" s="429">
        <f>CW100</f>
        <v>0.40229885057471265</v>
      </c>
      <c r="FY100" s="429">
        <f>DA100</f>
        <v>-6.7632850241545889E-2</v>
      </c>
      <c r="FZ100" s="429">
        <f>DE100</f>
        <v>-1.2824716267339218</v>
      </c>
      <c r="GA100" s="429">
        <f>DI100</f>
        <v>-1.1632047477744807</v>
      </c>
      <c r="GB100" s="429">
        <f>+DM100</f>
        <v>-0.88624078624078628</v>
      </c>
      <c r="GC100" s="429">
        <f>+DQ100</f>
        <v>-1.3020753266717908</v>
      </c>
      <c r="GD100" s="429">
        <f>+DU100</f>
        <v>-3.8887823585810164</v>
      </c>
      <c r="GE100" s="429">
        <f>+DY100</f>
        <v>-1.3267211201866977</v>
      </c>
      <c r="GF100" s="429">
        <f>+EC100</f>
        <v>-1.178735632183908</v>
      </c>
      <c r="GG100" s="431">
        <f>+EG100</f>
        <v>-1.057090656067859</v>
      </c>
      <c r="GH100" s="431">
        <f>+EK100</f>
        <v>-1.269426823004647</v>
      </c>
      <c r="GI100" s="431">
        <f>EO100</f>
        <v>-2.0989763426716297</v>
      </c>
      <c r="GJ100" s="431">
        <f>ES100</f>
        <v>-3.06252726336279</v>
      </c>
      <c r="GK100" s="431">
        <f>EW100</f>
        <v>-4.0835615069188824</v>
      </c>
      <c r="GN100" s="70"/>
    </row>
    <row r="101" spans="1:196" s="432" customFormat="1">
      <c r="A101" s="428" t="s">
        <v>257</v>
      </c>
      <c r="B101" s="429">
        <f>AMD!AF102</f>
        <v>0</v>
      </c>
      <c r="C101" s="429">
        <f>AMD!AG102</f>
        <v>0</v>
      </c>
      <c r="D101" s="429">
        <f>AMD!AH102</f>
        <v>0</v>
      </c>
      <c r="E101" s="429">
        <f>AMD!AI102</f>
        <v>0</v>
      </c>
      <c r="F101" s="429">
        <f>AMD!AK102</f>
        <v>0</v>
      </c>
      <c r="G101" s="429">
        <f>AMD!AL102</f>
        <v>0</v>
      </c>
      <c r="H101" s="429">
        <f>AMD!AM102</f>
        <v>0</v>
      </c>
      <c r="I101" s="429">
        <f>AMD!AN102</f>
        <v>0</v>
      </c>
      <c r="J101" s="429">
        <f>AMD!AP102</f>
        <v>0</v>
      </c>
      <c r="K101" s="429">
        <f>AMD!AQ102</f>
        <v>0</v>
      </c>
      <c r="L101" s="429">
        <f>AMD!AR102</f>
        <v>0</v>
      </c>
      <c r="M101" s="429">
        <f>AMD!AS102</f>
        <v>0</v>
      </c>
      <c r="N101" s="429">
        <f>AMD!AU102</f>
        <v>0</v>
      </c>
      <c r="O101" s="429">
        <f>AMD!AV102</f>
        <v>0</v>
      </c>
      <c r="P101" s="429">
        <f>AMD!AW102</f>
        <v>0</v>
      </c>
      <c r="Q101" s="429">
        <f>AMD!AX102</f>
        <v>0</v>
      </c>
      <c r="R101" s="429">
        <f>AMD!AZ102</f>
        <v>0</v>
      </c>
      <c r="S101" s="429">
        <f>AMD!BA102</f>
        <v>0</v>
      </c>
      <c r="T101" s="429">
        <f>AMD!BB102</f>
        <v>0</v>
      </c>
      <c r="U101" s="429">
        <f>AMD!BC102</f>
        <v>0</v>
      </c>
      <c r="V101" s="429">
        <f>AMD!BE102</f>
        <v>0</v>
      </c>
      <c r="W101" s="429">
        <f>AMD!BF102</f>
        <v>0</v>
      </c>
      <c r="X101" s="429">
        <f>AMD!BG102</f>
        <v>0</v>
      </c>
      <c r="Y101" s="429">
        <f>AMD!BH102</f>
        <v>0</v>
      </c>
      <c r="Z101" s="429">
        <f>AMD!BJ102</f>
        <v>0</v>
      </c>
      <c r="AA101" s="429">
        <f>AMD!BK102</f>
        <v>0</v>
      </c>
      <c r="AB101" s="429">
        <f>AMD!BL102</f>
        <v>0</v>
      </c>
      <c r="AC101" s="429">
        <f>AMD!BM102</f>
        <v>0</v>
      </c>
      <c r="AD101" s="429">
        <f>AMD!BO102</f>
        <v>0</v>
      </c>
      <c r="AE101" s="429">
        <f>AMD!BP102</f>
        <v>0</v>
      </c>
      <c r="AF101" s="429">
        <f>AMD!BQ102</f>
        <v>0</v>
      </c>
      <c r="AG101" s="429">
        <f>AMD!BR102</f>
        <v>0</v>
      </c>
      <c r="AH101" s="429">
        <f>AMD!BT102</f>
        <v>0</v>
      </c>
      <c r="AI101" s="429">
        <f>AMD!BU102</f>
        <v>0</v>
      </c>
      <c r="AJ101" s="429">
        <f>AMD!BV102</f>
        <v>0</v>
      </c>
      <c r="AK101" s="429">
        <f>AMD!BW102</f>
        <v>0</v>
      </c>
      <c r="AL101" s="429">
        <f>AMD!BY102</f>
        <v>0</v>
      </c>
      <c r="AM101" s="429">
        <f>AMD!BZ102</f>
        <v>0</v>
      </c>
      <c r="AN101" s="429">
        <f>AMD!CA102</f>
        <v>0</v>
      </c>
      <c r="AO101" s="429">
        <f>AMD!CB102</f>
        <v>0</v>
      </c>
      <c r="AP101" s="429">
        <f>AMD!CD102</f>
        <v>0</v>
      </c>
      <c r="AQ101" s="429">
        <f>AMD!CE102</f>
        <v>0</v>
      </c>
      <c r="AR101" s="429">
        <f>AMD!CF102</f>
        <v>0</v>
      </c>
      <c r="AS101" s="429">
        <f>AMD!CG102</f>
        <v>0</v>
      </c>
      <c r="AT101" s="429">
        <f>AMD!CI102</f>
        <v>0</v>
      </c>
      <c r="AU101" s="429">
        <f>AMD!CJ102</f>
        <v>0</v>
      </c>
      <c r="AV101" s="429">
        <f>AMD!CK102</f>
        <v>0</v>
      </c>
      <c r="AW101" s="429">
        <f>AMD!CL102</f>
        <v>0</v>
      </c>
      <c r="AX101" s="429">
        <f>AMD!CN102</f>
        <v>0</v>
      </c>
      <c r="AY101" s="429">
        <f>AMD!CO102</f>
        <v>0</v>
      </c>
      <c r="AZ101" s="429">
        <f>AMD!CP102</f>
        <v>0</v>
      </c>
      <c r="BA101" s="429">
        <f>AMD!CQ102</f>
        <v>0</v>
      </c>
      <c r="BB101" s="429">
        <f>AMD!CS102</f>
        <v>0</v>
      </c>
      <c r="BC101" s="429">
        <f>AMD!CT102</f>
        <v>0</v>
      </c>
      <c r="BD101" s="429">
        <f>AMD!CU102</f>
        <v>0</v>
      </c>
      <c r="BE101" s="429">
        <f>AMD!CV102</f>
        <v>0</v>
      </c>
      <c r="BF101" s="429">
        <f>AMD!CX102</f>
        <v>0</v>
      </c>
      <c r="BG101" s="429">
        <f>AMD!CY102</f>
        <v>0</v>
      </c>
      <c r="BH101" s="429">
        <f>AMD!CZ102</f>
        <v>0</v>
      </c>
      <c r="BI101" s="429">
        <f>AMD!DA102</f>
        <v>0</v>
      </c>
      <c r="BJ101" s="429">
        <f>AMD!DC102</f>
        <v>0</v>
      </c>
      <c r="BK101" s="429">
        <f>AMD!DD102</f>
        <v>0</v>
      </c>
      <c r="BL101" s="429">
        <f>AMD!DE102</f>
        <v>0</v>
      </c>
      <c r="BM101" s="429">
        <f>AMD!DF102</f>
        <v>0</v>
      </c>
      <c r="BN101" s="429">
        <f>AMD!DH102</f>
        <v>0</v>
      </c>
      <c r="BO101" s="429">
        <f>AMD!DI102</f>
        <v>0</v>
      </c>
      <c r="BP101" s="429">
        <f>AMD!DJ102</f>
        <v>0</v>
      </c>
      <c r="BQ101" s="429">
        <f>AMD!DK102</f>
        <v>0</v>
      </c>
      <c r="BR101" s="429">
        <f>AMD!DM102</f>
        <v>0</v>
      </c>
      <c r="BS101" s="429">
        <f>AMD!DN102</f>
        <v>0</v>
      </c>
      <c r="BT101" s="429">
        <f>AMD!DO102</f>
        <v>0</v>
      </c>
      <c r="BU101" s="429">
        <f>AMD!DP102</f>
        <v>0</v>
      </c>
      <c r="BV101" s="429">
        <f>AMD!DR102</f>
        <v>0.50394588500563697</v>
      </c>
      <c r="BW101" s="429">
        <f>AMD!DS102</f>
        <v>0.39620403321470937</v>
      </c>
      <c r="BX101" s="429">
        <f>AMD!DT102</f>
        <v>-0.28468033775633295</v>
      </c>
      <c r="BY101" s="429">
        <f>AMD!DU102</f>
        <v>-0.28299643281807374</v>
      </c>
      <c r="BZ101" s="429">
        <f>AMD!DW102</f>
        <v>-1.7401392111368909E-2</v>
      </c>
      <c r="CA101" s="429">
        <f>AMD!DX102</f>
        <v>-5.7387057387057384E-2</v>
      </c>
      <c r="CB101" s="429">
        <f>AMD!DY102</f>
        <v>1.3712686567164178</v>
      </c>
      <c r="CC101" s="429">
        <f>AMD!DZ102</f>
        <v>3.3934426229508197</v>
      </c>
      <c r="CD101" s="429">
        <f>AMD!EB102</f>
        <v>7.1944444444444446</v>
      </c>
      <c r="CE101" s="429">
        <f>AMD!EC102</f>
        <v>20.653846153846153</v>
      </c>
      <c r="CF101" s="429">
        <f>AMD!ED102</f>
        <v>3.2566037735849056</v>
      </c>
      <c r="CG101" s="429">
        <f>AMD!EE102</f>
        <v>1.9355608591885443</v>
      </c>
      <c r="CH101" s="429">
        <f>AMD!EG102</f>
        <v>2.2702702702702702</v>
      </c>
      <c r="CI101" s="429">
        <f>AMD!EH102</f>
        <v>1.9479865771812082</v>
      </c>
      <c r="CJ101" s="429">
        <f>AMD!EI102</f>
        <v>2.034843205574913</v>
      </c>
      <c r="CK101" s="429">
        <f>AMD!EJ102</f>
        <v>1.9702970297029703</v>
      </c>
      <c r="CL101" s="429">
        <f>AMD!EL102</f>
        <v>2.9736147757255935</v>
      </c>
      <c r="CM101" s="429">
        <f>AMD!EM102</f>
        <v>6.0250000000000004</v>
      </c>
      <c r="CN101" s="429">
        <f>AMD!EN102</f>
        <v>106.25</v>
      </c>
      <c r="CO101" s="429">
        <f>AMD!EO102</f>
        <v>-14.011235955056179</v>
      </c>
      <c r="CP101" s="429">
        <f>AMD!EQ102</f>
        <v>-9.8473282442748094</v>
      </c>
      <c r="CQ101" s="429">
        <f>AMD!ER102</f>
        <v>-13.354430379746836</v>
      </c>
      <c r="CR101" s="429">
        <f>AMD!ES102</f>
        <v>6.8</v>
      </c>
      <c r="CS101" s="429">
        <f>AMD!ET102</f>
        <v>1.9213483146067416</v>
      </c>
      <c r="CT101" s="429">
        <f>AMD!EV102</f>
        <v>3.1849315068493151</v>
      </c>
      <c r="CU101" s="429">
        <f>AMD!EW102</f>
        <v>2.4136363636363636</v>
      </c>
      <c r="CV101" s="429">
        <f>AMD!EX102</f>
        <v>1.4367469879518073</v>
      </c>
      <c r="CW101" s="429">
        <f>AMD!EY102</f>
        <v>0.3146067415730337</v>
      </c>
      <c r="CX101" s="429">
        <f>AMD!FA102</f>
        <v>0.19575856443719414</v>
      </c>
      <c r="CY101" s="429">
        <f>AMD!FB102</f>
        <v>0.24702774108322326</v>
      </c>
      <c r="CZ101" s="429">
        <f>AMD!FC102</f>
        <v>0.13997477931904162</v>
      </c>
      <c r="DA101" s="429">
        <f>AMD!FD102</f>
        <v>-5.5408970976253295E-2</v>
      </c>
      <c r="DB101" s="429">
        <f>AMD!FF102</f>
        <v>-0.27113237639553428</v>
      </c>
      <c r="DC101" s="429">
        <f>AMD!FG102</f>
        <v>-0.17477477477477477</v>
      </c>
      <c r="DD101" s="429">
        <f>AMD!FH102</f>
        <v>-0.5366242038216561</v>
      </c>
      <c r="DE101" s="429">
        <f>AMD!FI102</f>
        <v>-1.0272727272727273</v>
      </c>
      <c r="DF101" s="429">
        <f>AMD!FK102</f>
        <v>-0.72986167615947928</v>
      </c>
      <c r="DG101" s="429">
        <f>AMD!FL102</f>
        <v>-0.93251088534107407</v>
      </c>
      <c r="DH101" s="429">
        <f>AMD!FM102</f>
        <v>-0.829673590504451</v>
      </c>
      <c r="DI101" s="429">
        <f>AMD!FN102</f>
        <v>-1.0005104645227156</v>
      </c>
      <c r="DJ101" s="430">
        <f>AMD!FP102</f>
        <v>-1.1158439490445859</v>
      </c>
      <c r="DK101" s="430">
        <f>AMD!FQ102</f>
        <v>-1.0814170292106899</v>
      </c>
      <c r="DL101" s="430">
        <f>AMD!FR102</f>
        <v>-0.96058588548601864</v>
      </c>
      <c r="DM101" s="430">
        <f>AMD!FS102</f>
        <v>-0.81074398741290177</v>
      </c>
      <c r="DN101" s="430">
        <f>AMD!FU102</f>
        <v>-0.90969598848713795</v>
      </c>
      <c r="DO101" s="430">
        <f>AMD!FV102</f>
        <v>-0.64244080145719495</v>
      </c>
      <c r="DP101" s="430">
        <f>AMD!FW102</f>
        <v>-0.66291896478574464</v>
      </c>
      <c r="DQ101" s="430">
        <f>AMD!FX102</f>
        <v>-0.93746541228555613</v>
      </c>
      <c r="DR101" s="430">
        <f>AMD!FZ102</f>
        <v>-0.74859853385079778</v>
      </c>
      <c r="DS101" s="430">
        <f>AMD!GA102</f>
        <v>-0.96150610012620952</v>
      </c>
      <c r="DT101" s="430">
        <f>AMD!GB102</f>
        <v>-2.1648936170212765</v>
      </c>
      <c r="DU101" s="430">
        <f>AMD!GC102</f>
        <v>-1.6739579034255057</v>
      </c>
      <c r="DV101" s="429">
        <f>AMD!GE102</f>
        <v>-1.6150392817059485</v>
      </c>
      <c r="DW101" s="429">
        <f>AMD!GF102</f>
        <v>-1.2191919191919192</v>
      </c>
      <c r="DX101" s="429">
        <f>AMD!GG102</f>
        <v>-0.52983114446529078</v>
      </c>
      <c r="DY101" s="429">
        <f>AMD!GH102</f>
        <v>-0.85746606334841624</v>
      </c>
      <c r="DZ101" s="429">
        <f>AMD!GJ102</f>
        <v>-0.51477801534398193</v>
      </c>
      <c r="EA101" s="429">
        <f>AMD!GK102</f>
        <v>-0.60495792585853991</v>
      </c>
      <c r="EB101" s="429">
        <f>AMD!GL102</f>
        <v>-0.64096542726679717</v>
      </c>
      <c r="EC101" s="429">
        <f>AMD!GM102</f>
        <v>-0.85139061851390618</v>
      </c>
      <c r="ED101" s="429">
        <f>AMD!GO102</f>
        <v>-0.94704433497536944</v>
      </c>
      <c r="EE101" s="431">
        <f>AMD!GP102</f>
        <v>-0.99637336224977779</v>
      </c>
      <c r="EF101" s="431">
        <f>AMD!GQ102</f>
        <v>-1.0144923423813053</v>
      </c>
      <c r="EG101" s="431">
        <f>AMD!GR102</f>
        <v>-0.90474217024645132</v>
      </c>
      <c r="EH101" s="431">
        <f>AMD!GT102</f>
        <v>-1.0047809778018546</v>
      </c>
      <c r="EI101" s="431">
        <f>AMD!GU102</f>
        <v>-1.037931573150878</v>
      </c>
      <c r="EJ101" s="431">
        <f>AMD!GV102</f>
        <v>-1.041754919971144</v>
      </c>
      <c r="EK101" s="431">
        <f>AMD!GW102</f>
        <v>-1.1683269479071079</v>
      </c>
      <c r="EL101" s="431">
        <f>AMD!GY102</f>
        <v>-1.4858882747319289</v>
      </c>
      <c r="EM101" s="431">
        <f>AMD!GZ102</f>
        <v>-1.6968481255129479</v>
      </c>
      <c r="EN101" s="431">
        <f>AMD!HA102</f>
        <v>-1.8327926765735221</v>
      </c>
      <c r="EO101" s="431">
        <f>AMD!HB102</f>
        <v>-1.9665230254844206</v>
      </c>
      <c r="EP101" s="431">
        <f>AMD!HD102</f>
        <v>-2.2552475324957411</v>
      </c>
      <c r="EQ101" s="431">
        <f>AMD!HE102</f>
        <v>-2.465512802380319</v>
      </c>
      <c r="ER101" s="431">
        <f>AMD!HF102</f>
        <v>-2.6491658873104051</v>
      </c>
      <c r="ES101" s="431">
        <f>AMD!HG102</f>
        <v>-2.8929800308796354</v>
      </c>
      <c r="ET101" s="431">
        <f>AMD!HI102</f>
        <v>-3.2588793616270193</v>
      </c>
      <c r="EU101" s="431">
        <f>AMD!HJ102</f>
        <v>-3.5110411087823876</v>
      </c>
      <c r="EV101" s="431">
        <f>AMD!HK102</f>
        <v>-3.6758660756773951</v>
      </c>
      <c r="EW101" s="431">
        <f>AMD!HL102</f>
        <v>-3.8774841117535161</v>
      </c>
      <c r="FA101" s="433"/>
      <c r="FB101" s="433"/>
      <c r="FC101" s="433"/>
      <c r="FD101" s="433"/>
      <c r="FE101" s="433"/>
      <c r="FF101" s="433"/>
      <c r="FG101" s="433"/>
      <c r="FH101" s="433"/>
      <c r="FI101" s="433"/>
      <c r="FJ101" s="433"/>
      <c r="FK101" s="433"/>
      <c r="FL101" s="433"/>
      <c r="FM101" s="433"/>
      <c r="FN101" s="433"/>
      <c r="FO101" s="433"/>
      <c r="FP101" s="433"/>
      <c r="FQ101" s="433"/>
      <c r="FR101" s="433"/>
      <c r="FS101" s="433"/>
      <c r="FT101" s="433"/>
      <c r="FU101" s="433"/>
      <c r="FV101" s="433"/>
      <c r="FW101" s="433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N101" s="70"/>
    </row>
    <row r="102" spans="1:196" s="432" customFormat="1">
      <c r="A102" s="428" t="s">
        <v>258</v>
      </c>
      <c r="B102" s="429"/>
      <c r="C102" s="429"/>
      <c r="D102" s="429"/>
      <c r="E102" s="429"/>
      <c r="F102" s="429"/>
      <c r="G102" s="429"/>
      <c r="H102" s="429"/>
      <c r="I102" s="429"/>
      <c r="J102" s="429"/>
      <c r="K102" s="429"/>
      <c r="L102" s="429"/>
      <c r="M102" s="429"/>
      <c r="N102" s="429"/>
      <c r="O102" s="429"/>
      <c r="P102" s="429"/>
      <c r="Q102" s="429"/>
      <c r="R102" s="429"/>
      <c r="S102" s="429"/>
      <c r="T102" s="429"/>
      <c r="U102" s="429"/>
      <c r="V102" s="429"/>
      <c r="W102" s="429"/>
      <c r="X102" s="429"/>
      <c r="Y102" s="429"/>
      <c r="Z102" s="429"/>
      <c r="AA102" s="429"/>
      <c r="AB102" s="429"/>
      <c r="AC102" s="429"/>
      <c r="AD102" s="429"/>
      <c r="AE102" s="429"/>
      <c r="AF102" s="429"/>
      <c r="AG102" s="429"/>
      <c r="AH102" s="429"/>
      <c r="AI102" s="429"/>
      <c r="AJ102" s="429"/>
      <c r="AK102" s="429"/>
      <c r="AL102" s="429"/>
      <c r="AM102" s="429"/>
      <c r="AN102" s="429"/>
      <c r="AO102" s="429"/>
      <c r="AP102" s="429"/>
      <c r="AQ102" s="429"/>
      <c r="AR102" s="429"/>
      <c r="AS102" s="429"/>
      <c r="AT102" s="429"/>
      <c r="AU102" s="429"/>
      <c r="AV102" s="429"/>
      <c r="AW102" s="429"/>
      <c r="AX102" s="429"/>
      <c r="AY102" s="429"/>
      <c r="AZ102" s="429"/>
      <c r="BA102" s="429"/>
      <c r="BB102" s="429"/>
      <c r="BC102" s="429"/>
      <c r="BD102" s="429"/>
      <c r="BE102" s="429"/>
      <c r="BF102" s="429"/>
      <c r="BG102" s="429"/>
      <c r="BH102" s="429"/>
      <c r="BI102" s="429"/>
      <c r="BJ102" s="429"/>
      <c r="BK102" s="429"/>
      <c r="BL102" s="429"/>
      <c r="BM102" s="429"/>
      <c r="BN102" s="429"/>
      <c r="BO102" s="429"/>
      <c r="BP102" s="429"/>
      <c r="BQ102" s="429"/>
      <c r="BR102" s="429"/>
      <c r="BS102" s="429"/>
      <c r="BT102" s="429"/>
      <c r="BU102" s="429"/>
      <c r="BV102" s="429"/>
      <c r="BW102" s="429"/>
      <c r="BX102" s="429"/>
      <c r="BY102" s="429"/>
      <c r="BZ102" s="429"/>
      <c r="CA102" s="429"/>
      <c r="CB102" s="429"/>
      <c r="CC102" s="429"/>
      <c r="CD102" s="429"/>
      <c r="CE102" s="429"/>
      <c r="CF102" s="429"/>
      <c r="CG102" s="429"/>
      <c r="CH102" s="429"/>
      <c r="CI102" s="429"/>
      <c r="CJ102" s="429"/>
      <c r="CK102" s="429"/>
      <c r="CL102" s="429"/>
      <c r="CM102" s="429"/>
      <c r="CN102" s="429"/>
      <c r="CO102" s="429"/>
      <c r="CP102" s="429"/>
      <c r="CQ102" s="429"/>
      <c r="CR102" s="429"/>
      <c r="CS102" s="429"/>
      <c r="CT102" s="376">
        <f>-AMD!EV120</f>
        <v>-8</v>
      </c>
      <c r="CU102" s="376">
        <f>-AMD!EW120</f>
        <v>-2</v>
      </c>
      <c r="CV102" s="376">
        <f>-AMD!EX120</f>
        <v>-5</v>
      </c>
      <c r="CW102" s="376">
        <f>-AMD!EY120</f>
        <v>-5</v>
      </c>
      <c r="CX102" s="376">
        <f>-AMD!FA120</f>
        <v>0</v>
      </c>
      <c r="CY102" s="376">
        <f>-AMD!FB120</f>
        <v>0</v>
      </c>
      <c r="CZ102" s="376">
        <f>-AMD!FC120</f>
        <v>-44</v>
      </c>
      <c r="DA102" s="376">
        <f>-AMD!FD120</f>
        <v>-26</v>
      </c>
      <c r="DB102" s="376">
        <f>-AMD!FF120</f>
        <v>-1</v>
      </c>
      <c r="DC102" s="376">
        <f>-AMD!FG120</f>
        <v>-34</v>
      </c>
      <c r="DD102" s="376">
        <f>-AMD!FH120</f>
        <v>-3</v>
      </c>
      <c r="DE102" s="376">
        <f>-AMD!FI120</f>
        <v>-36</v>
      </c>
      <c r="DF102" s="376">
        <f>-AMD!FK120</f>
        <v>0</v>
      </c>
      <c r="DG102" s="376">
        <f>-AMD!FL120</f>
        <v>0</v>
      </c>
      <c r="DH102" s="376">
        <f>-AMD!FM120</f>
        <v>28</v>
      </c>
      <c r="DI102" s="376">
        <f>-AMD!FN120</f>
        <v>0</v>
      </c>
      <c r="DJ102" s="397">
        <f>-AMD!FP120</f>
        <v>8</v>
      </c>
      <c r="DK102" s="397">
        <f>-AMD!FQ120</f>
        <v>256</v>
      </c>
      <c r="DL102" s="397">
        <f>-AMD!FR120</f>
        <v>904</v>
      </c>
      <c r="DM102" s="397">
        <f>-AMD!FS120</f>
        <v>831</v>
      </c>
      <c r="DN102" s="397">
        <f>-AMD!FU120</f>
        <v>1900</v>
      </c>
      <c r="DO102" s="397">
        <f>-AMD!FV120</f>
        <v>920</v>
      </c>
      <c r="DP102" s="397">
        <f>-AMD!FW120</f>
        <v>617</v>
      </c>
      <c r="DQ102" s="397">
        <f>-AMD!FX120</f>
        <v>250</v>
      </c>
      <c r="DR102" s="397">
        <f>-AMD!FZ120</f>
        <v>241</v>
      </c>
      <c r="DS102" s="397">
        <f>-AMD!GA120</f>
        <v>0</v>
      </c>
      <c r="DT102" s="397">
        <f>-AMD!GB120</f>
        <v>511</v>
      </c>
      <c r="DU102" s="397">
        <f>-AMD!GC120</f>
        <v>233</v>
      </c>
      <c r="DV102" s="376">
        <f>-AMD!GE120</f>
        <v>4</v>
      </c>
      <c r="DW102" s="376">
        <f>-AMD!GF120</f>
        <v>352</v>
      </c>
      <c r="DX102" s="376">
        <f>-AMD!GG120</f>
        <v>250</v>
      </c>
      <c r="DY102" s="376">
        <f>-AMD!GH120</f>
        <v>256</v>
      </c>
      <c r="DZ102" s="376">
        <f>-AMD!GJ120</f>
        <v>749</v>
      </c>
      <c r="EA102" s="376">
        <f>-AMD!GK120</f>
        <v>478</v>
      </c>
      <c r="EB102" s="376">
        <f>-AMD!GL120</f>
        <v>89</v>
      </c>
      <c r="EC102" s="376">
        <f>-AMD!GM120</f>
        <v>44</v>
      </c>
      <c r="ED102" s="376">
        <f>-AMD!GO120</f>
        <v>355</v>
      </c>
      <c r="EE102" s="380">
        <f>-AMD!GP120</f>
        <v>355</v>
      </c>
      <c r="EF102" s="380">
        <f>-AMD!GQ120</f>
        <v>355</v>
      </c>
      <c r="EG102" s="380">
        <f>-AMD!GR120</f>
        <v>-1978.3333333333335</v>
      </c>
      <c r="EH102" s="380">
        <f>-AMD!GT120</f>
        <v>-2616.666666666667</v>
      </c>
      <c r="EI102" s="380">
        <f>-AMD!GU120</f>
        <v>-2883.3333333333335</v>
      </c>
      <c r="EJ102" s="380">
        <f>-AMD!GV120</f>
        <v>-3816.666666666667</v>
      </c>
      <c r="EK102" s="380">
        <f>-AMD!GW120</f>
        <v>-4350</v>
      </c>
      <c r="EL102" s="380">
        <f>-AMD!GY120</f>
        <v>-3950</v>
      </c>
      <c r="EM102" s="380">
        <f>-AMD!GZ120</f>
        <v>-4190</v>
      </c>
      <c r="EN102" s="380">
        <f>-AMD!HA120</f>
        <v>-4190</v>
      </c>
      <c r="EO102" s="380">
        <f>-AMD!HB120</f>
        <v>-4790</v>
      </c>
      <c r="EP102" s="380">
        <f>-AMD!HD120</f>
        <v>-5695.454545454546</v>
      </c>
      <c r="EQ102" s="380">
        <f>-AMD!HE120</f>
        <v>-5695.454545454546</v>
      </c>
      <c r="ER102" s="380">
        <f>-AMD!HF120</f>
        <v>-6180.3030303030309</v>
      </c>
      <c r="ES102" s="380">
        <f>-AMD!HG120</f>
        <v>-6422.7272727272739</v>
      </c>
      <c r="ET102" s="380">
        <f>-AMD!HI120</f>
        <v>-8216.6666666666679</v>
      </c>
      <c r="EU102" s="380">
        <f>-AMD!HJ120</f>
        <v>-8216.6666666666679</v>
      </c>
      <c r="EV102" s="380">
        <f>-AMD!HK120</f>
        <v>-8216.6666666666679</v>
      </c>
      <c r="EW102" s="380">
        <f>-AMD!HL120</f>
        <v>-9016.6666666666679</v>
      </c>
      <c r="FA102" s="433"/>
      <c r="FB102" s="433"/>
      <c r="FC102" s="433"/>
      <c r="FD102" s="433"/>
      <c r="FE102" s="433"/>
      <c r="FF102" s="433"/>
      <c r="FG102" s="433"/>
      <c r="FH102" s="433"/>
      <c r="FI102" s="433"/>
      <c r="FJ102" s="433"/>
      <c r="FK102" s="433"/>
      <c r="FL102" s="433"/>
      <c r="FM102" s="433"/>
      <c r="FN102" s="433"/>
      <c r="FO102" s="433"/>
      <c r="FP102" s="433"/>
      <c r="FQ102" s="433"/>
      <c r="FR102" s="433"/>
      <c r="FS102" s="433"/>
      <c r="FT102" s="433"/>
      <c r="FU102" s="433"/>
      <c r="FV102" s="433"/>
      <c r="FW102" s="433"/>
      <c r="FX102" s="60"/>
      <c r="FY102" s="376">
        <v>0</v>
      </c>
      <c r="FZ102" s="376">
        <v>0</v>
      </c>
      <c r="GA102" s="376">
        <v>0</v>
      </c>
      <c r="GB102" s="376">
        <f>SUM(DJ102:DM102)</f>
        <v>1999</v>
      </c>
      <c r="GC102" s="376">
        <f>SUM(DN102:DQ102)</f>
        <v>3687</v>
      </c>
      <c r="GD102" s="376">
        <f>SUM(DR102:DU102)</f>
        <v>985</v>
      </c>
      <c r="GE102" s="376">
        <f>SUM(DV102:DY102)</f>
        <v>862</v>
      </c>
      <c r="GF102" s="376">
        <f>SUM(DZ102:EC102)</f>
        <v>1360</v>
      </c>
      <c r="GG102" s="380">
        <f>SUM(ED102:EG102)</f>
        <v>-913.33333333333348</v>
      </c>
      <c r="GH102" s="380">
        <f>SUM(EH102:EK102)</f>
        <v>-13666.666666666668</v>
      </c>
      <c r="GI102" s="380">
        <f>SUM(EL102:EO102)</f>
        <v>-17120</v>
      </c>
      <c r="GJ102" s="380">
        <f>SUM(EP102:ES102)</f>
        <v>-23993.939393939399</v>
      </c>
      <c r="GK102" s="380">
        <f>SUM(ET102:EW102)</f>
        <v>-33666.666666666672</v>
      </c>
      <c r="GN102" s="70"/>
    </row>
    <row r="103" spans="1:196" s="418" customFormat="1">
      <c r="A103" s="434"/>
      <c r="B103" s="429"/>
      <c r="C103" s="429"/>
      <c r="D103" s="429"/>
      <c r="E103" s="429"/>
      <c r="F103" s="429"/>
      <c r="G103" s="429"/>
      <c r="H103" s="429"/>
      <c r="I103" s="429"/>
      <c r="J103" s="429"/>
      <c r="K103" s="429"/>
      <c r="L103" s="429"/>
      <c r="M103" s="429"/>
      <c r="N103" s="429"/>
      <c r="O103" s="429"/>
      <c r="P103" s="429"/>
      <c r="Q103" s="429"/>
      <c r="R103" s="429"/>
      <c r="S103" s="429"/>
      <c r="T103" s="429"/>
      <c r="U103" s="429"/>
      <c r="V103" s="429"/>
      <c r="W103" s="429"/>
      <c r="X103" s="429"/>
      <c r="Y103" s="429"/>
      <c r="Z103" s="429"/>
      <c r="AA103" s="429"/>
      <c r="AB103" s="429"/>
      <c r="AC103" s="429"/>
      <c r="AD103" s="429"/>
      <c r="AE103" s="429"/>
      <c r="AF103" s="429"/>
      <c r="AG103" s="429"/>
      <c r="AH103" s="429"/>
      <c r="AI103" s="429"/>
      <c r="AJ103" s="429"/>
      <c r="AK103" s="429"/>
      <c r="AL103" s="429"/>
      <c r="AM103" s="429"/>
      <c r="AN103" s="429"/>
      <c r="AO103" s="429"/>
      <c r="AP103" s="429"/>
      <c r="AQ103" s="429"/>
      <c r="AR103" s="429"/>
      <c r="AS103" s="429"/>
      <c r="AT103" s="429"/>
      <c r="AU103" s="429"/>
      <c r="AV103" s="429"/>
      <c r="AW103" s="429"/>
      <c r="AX103" s="429"/>
      <c r="AY103" s="429"/>
      <c r="AZ103" s="429"/>
      <c r="BA103" s="429"/>
      <c r="BB103" s="429"/>
      <c r="BC103" s="429"/>
      <c r="BD103" s="429"/>
      <c r="BE103" s="429"/>
      <c r="BF103" s="429"/>
      <c r="BG103" s="429"/>
      <c r="BH103" s="429"/>
      <c r="BI103" s="429"/>
      <c r="BJ103" s="429"/>
      <c r="BK103" s="429"/>
      <c r="BL103" s="429"/>
      <c r="BM103" s="429"/>
      <c r="BN103" s="429"/>
      <c r="BO103" s="429"/>
      <c r="BP103" s="429"/>
      <c r="BQ103" s="429"/>
      <c r="BR103" s="429"/>
      <c r="BS103" s="429"/>
      <c r="BT103" s="429"/>
      <c r="BU103" s="429"/>
      <c r="BV103" s="429"/>
      <c r="BW103" s="429"/>
      <c r="BX103" s="429"/>
      <c r="BY103" s="429"/>
      <c r="BZ103" s="429"/>
      <c r="CA103" s="429"/>
      <c r="CB103" s="429"/>
      <c r="CC103" s="429"/>
      <c r="CD103" s="429"/>
      <c r="CE103" s="429"/>
      <c r="CF103" s="429"/>
      <c r="CG103" s="429"/>
      <c r="CH103" s="429"/>
      <c r="CI103" s="429"/>
      <c r="CJ103" s="429"/>
      <c r="CK103" s="429"/>
      <c r="CL103" s="429"/>
      <c r="CM103" s="429"/>
      <c r="CN103" s="429"/>
      <c r="CO103" s="429"/>
      <c r="CP103" s="429"/>
      <c r="CQ103" s="429"/>
      <c r="CR103" s="429"/>
      <c r="CS103" s="429"/>
      <c r="CT103" s="431"/>
      <c r="CU103" s="431"/>
      <c r="CV103" s="431"/>
      <c r="CW103" s="431"/>
      <c r="CX103" s="429"/>
      <c r="CY103" s="431"/>
      <c r="CZ103" s="431"/>
      <c r="DA103" s="431"/>
      <c r="DB103" s="431"/>
      <c r="DC103" s="431"/>
      <c r="DD103" s="431"/>
      <c r="DE103" s="431"/>
      <c r="DF103" s="431"/>
      <c r="DG103" s="431"/>
      <c r="DH103" s="431"/>
      <c r="DI103" s="431"/>
      <c r="DJ103" s="435"/>
      <c r="DK103" s="435"/>
      <c r="DL103" s="435"/>
      <c r="DM103" s="435"/>
      <c r="DN103" s="436"/>
      <c r="DO103" s="436"/>
      <c r="DP103" s="436"/>
      <c r="DQ103" s="436"/>
      <c r="DR103" s="436"/>
      <c r="DS103" s="436"/>
      <c r="DT103" s="436"/>
      <c r="DU103" s="436"/>
      <c r="DV103" s="436"/>
      <c r="DW103" s="436"/>
      <c r="DX103" s="437"/>
      <c r="DY103" s="437"/>
      <c r="DZ103" s="437"/>
      <c r="EA103" s="437"/>
      <c r="EB103" s="437"/>
      <c r="EC103" s="437"/>
      <c r="ED103" s="437"/>
      <c r="EE103" s="437"/>
      <c r="EF103" s="437"/>
      <c r="EG103" s="437"/>
      <c r="EH103" s="437"/>
      <c r="EI103" s="437"/>
      <c r="EJ103" s="437"/>
      <c r="EK103" s="437"/>
      <c r="EL103" s="437"/>
      <c r="EM103" s="437"/>
      <c r="EN103" s="437"/>
      <c r="EO103" s="437"/>
      <c r="EP103" s="437"/>
      <c r="EQ103" s="437"/>
      <c r="ER103" s="437"/>
      <c r="ES103" s="437"/>
      <c r="ET103" s="437"/>
      <c r="EU103" s="437"/>
      <c r="EV103" s="437"/>
      <c r="EW103" s="437"/>
      <c r="FA103" s="66"/>
      <c r="FB103" s="66"/>
      <c r="FC103" s="66"/>
      <c r="FD103" s="66"/>
      <c r="FE103" s="66"/>
      <c r="FF103" s="66"/>
      <c r="FG103" s="66"/>
      <c r="FH103" s="66"/>
      <c r="FI103" s="66"/>
      <c r="FJ103" s="66"/>
      <c r="FK103" s="66"/>
      <c r="FL103" s="66"/>
      <c r="FM103" s="66"/>
      <c r="FN103" s="66"/>
      <c r="FO103" s="66"/>
      <c r="FP103" s="66"/>
      <c r="FQ103" s="66"/>
      <c r="FR103" s="66"/>
      <c r="FS103" s="66"/>
      <c r="FT103" s="66"/>
      <c r="FU103" s="66"/>
      <c r="FV103" s="66"/>
      <c r="FW103" s="6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M103" s="432"/>
      <c r="GN103" s="70"/>
    </row>
    <row r="104" spans="1:196">
      <c r="A104" s="61" t="s">
        <v>259</v>
      </c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5"/>
      <c r="DW104" s="65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  <c r="ET104" s="63"/>
      <c r="EU104" s="63"/>
      <c r="EV104" s="63"/>
      <c r="EW104" s="63"/>
      <c r="EZ104" s="63"/>
      <c r="FA104" s="63"/>
      <c r="FB104" s="63"/>
      <c r="FC104" s="63"/>
      <c r="FD104" s="63"/>
      <c r="FE104" s="63"/>
      <c r="FF104" s="63"/>
      <c r="FG104" s="63"/>
      <c r="FH104" s="63"/>
      <c r="FI104" s="63"/>
      <c r="FJ104" s="63"/>
      <c r="FK104" s="63"/>
      <c r="FL104" s="63"/>
      <c r="FM104" s="63"/>
      <c r="FN104" s="63"/>
      <c r="FO104" s="63"/>
      <c r="FP104" s="63"/>
      <c r="FQ104" s="63"/>
      <c r="FR104" s="63"/>
      <c r="FS104" s="63"/>
      <c r="FT104" s="63"/>
      <c r="FU104" s="63"/>
      <c r="FV104" s="63"/>
      <c r="FW104" s="63"/>
      <c r="FX104" s="63"/>
      <c r="FY104" s="63"/>
      <c r="FZ104" s="63"/>
      <c r="GA104" s="63"/>
      <c r="GB104" s="63"/>
      <c r="GC104" s="63"/>
      <c r="GD104" s="63"/>
      <c r="GE104" s="63"/>
      <c r="GF104" s="63"/>
      <c r="GG104" s="63"/>
      <c r="GH104" s="63"/>
      <c r="GI104" s="63"/>
      <c r="GJ104" s="63"/>
      <c r="GK104" s="63"/>
      <c r="GM104" s="59"/>
      <c r="GN104" s="48"/>
    </row>
    <row r="105" spans="1:196" s="418" customFormat="1">
      <c r="A105" s="376" t="s">
        <v>260</v>
      </c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29"/>
      <c r="T105" s="429"/>
      <c r="U105" s="429"/>
      <c r="V105" s="429"/>
      <c r="W105" s="429"/>
      <c r="X105" s="429"/>
      <c r="Y105" s="429"/>
      <c r="Z105" s="429"/>
      <c r="AA105" s="429"/>
      <c r="AB105" s="429"/>
      <c r="AC105" s="429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29"/>
      <c r="AQ105" s="429"/>
      <c r="AR105" s="429"/>
      <c r="AS105" s="429"/>
      <c r="AT105" s="429"/>
      <c r="AU105" s="429"/>
      <c r="AV105" s="429"/>
      <c r="AW105" s="429"/>
      <c r="AX105" s="429"/>
      <c r="AY105" s="429"/>
      <c r="AZ105" s="429"/>
      <c r="BA105" s="429"/>
      <c r="BB105" s="429"/>
      <c r="BC105" s="429"/>
      <c r="BD105" s="429"/>
      <c r="BE105" s="429"/>
      <c r="BF105" s="429"/>
      <c r="BG105" s="429"/>
      <c r="BH105" s="429"/>
      <c r="BI105" s="429"/>
      <c r="BJ105" s="429"/>
      <c r="BK105" s="429"/>
      <c r="BL105" s="429"/>
      <c r="BM105" s="429"/>
      <c r="BN105" s="429"/>
      <c r="BO105" s="429"/>
      <c r="BP105" s="429"/>
      <c r="BQ105" s="429"/>
      <c r="BR105" s="429"/>
      <c r="BS105" s="429"/>
      <c r="BT105" s="429"/>
      <c r="BU105" s="429"/>
      <c r="BV105" s="429"/>
      <c r="BW105" s="429"/>
      <c r="BX105" s="429"/>
      <c r="BY105" s="429"/>
      <c r="BZ105" s="429"/>
      <c r="CA105" s="429"/>
      <c r="CB105" s="429"/>
      <c r="CC105" s="429"/>
      <c r="CD105" s="429"/>
      <c r="CE105" s="429"/>
      <c r="CF105" s="429"/>
      <c r="CG105" s="429"/>
      <c r="CH105" s="429"/>
      <c r="CI105" s="429"/>
      <c r="CJ105" s="429"/>
      <c r="CK105" s="429"/>
      <c r="CL105" s="429"/>
      <c r="CM105" s="429"/>
      <c r="CN105" s="429"/>
      <c r="CO105" s="429"/>
      <c r="CP105" s="429"/>
      <c r="CQ105" s="429"/>
      <c r="CR105" s="429"/>
      <c r="CS105" s="429"/>
      <c r="CT105" s="431"/>
      <c r="CU105" s="431"/>
      <c r="CV105" s="431"/>
      <c r="CW105" s="431"/>
      <c r="CX105" s="429"/>
      <c r="CY105" s="431"/>
      <c r="CZ105" s="431"/>
      <c r="DA105" s="431"/>
      <c r="DB105" s="431"/>
      <c r="DC105" s="431"/>
      <c r="DD105" s="431"/>
      <c r="DE105" s="431"/>
      <c r="DF105" s="431"/>
      <c r="DG105" s="431"/>
      <c r="DH105" s="431"/>
      <c r="DI105" s="431"/>
      <c r="DJ105" s="397">
        <v>1638</v>
      </c>
      <c r="DK105" s="397">
        <v>1728</v>
      </c>
      <c r="DL105" s="397">
        <v>1692</v>
      </c>
      <c r="DM105" s="397">
        <v>1829</v>
      </c>
      <c r="DN105" s="397">
        <v>2124</v>
      </c>
      <c r="DO105" s="397">
        <v>2152</v>
      </c>
      <c r="DP105" s="397">
        <v>1022</v>
      </c>
      <c r="DQ105" s="397">
        <v>903</v>
      </c>
      <c r="DR105" s="397">
        <v>739</v>
      </c>
      <c r="DS105" s="397">
        <v>998</v>
      </c>
      <c r="DT105" s="397">
        <v>1453</v>
      </c>
      <c r="DU105" s="397">
        <v>1461</v>
      </c>
      <c r="DV105" s="376">
        <v>1368</v>
      </c>
      <c r="DW105" s="376">
        <v>1492</v>
      </c>
      <c r="DX105" s="376">
        <v>1881</v>
      </c>
      <c r="DY105" s="376">
        <v>2313</v>
      </c>
      <c r="DZ105" s="376">
        <v>2294</v>
      </c>
      <c r="EA105" s="376">
        <v>2499</v>
      </c>
      <c r="EB105" s="376">
        <v>2750</v>
      </c>
      <c r="EC105" s="376">
        <v>3097</v>
      </c>
      <c r="ED105" s="376">
        <v>2885</v>
      </c>
      <c r="EE105" s="410">
        <f t="shared" ref="EE105:EW105" si="241">EE109+EE113+EE117</f>
        <v>2934.3702882148641</v>
      </c>
      <c r="EF105" s="410">
        <f t="shared" si="241"/>
        <v>2853.3306200558591</v>
      </c>
      <c r="EG105" s="410">
        <f t="shared" si="241"/>
        <v>2834.4591946839851</v>
      </c>
      <c r="EH105" s="410">
        <f t="shared" si="241"/>
        <v>2693.243559240188</v>
      </c>
      <c r="EI105" s="410">
        <f t="shared" si="241"/>
        <v>2865.7856789206312</v>
      </c>
      <c r="EJ105" s="410">
        <f t="shared" si="241"/>
        <v>3121.3180442203166</v>
      </c>
      <c r="EK105" s="410">
        <f t="shared" si="241"/>
        <v>3324.696302984009</v>
      </c>
      <c r="EL105" s="410">
        <f t="shared" si="241"/>
        <v>2962.7809950699379</v>
      </c>
      <c r="EM105" s="410">
        <f t="shared" si="241"/>
        <v>3024.0835285159555</v>
      </c>
      <c r="EN105" s="410">
        <f t="shared" si="241"/>
        <v>3146.9865579070538</v>
      </c>
      <c r="EO105" s="410">
        <f t="shared" si="241"/>
        <v>3324.0919899410401</v>
      </c>
      <c r="EP105" s="410">
        <f t="shared" si="241"/>
        <v>3023.7278630153096</v>
      </c>
      <c r="EQ105" s="410">
        <f t="shared" si="241"/>
        <v>3116.0046768217421</v>
      </c>
      <c r="ER105" s="410">
        <f t="shared" si="241"/>
        <v>3257.4993513050026</v>
      </c>
      <c r="ES105" s="410">
        <f t="shared" si="241"/>
        <v>3422.702275842933</v>
      </c>
      <c r="ET105" s="410">
        <f t="shared" si="241"/>
        <v>3110.2694395224457</v>
      </c>
      <c r="EU105" s="410">
        <f t="shared" si="241"/>
        <v>3189.5321231678763</v>
      </c>
      <c r="EV105" s="410">
        <f t="shared" si="241"/>
        <v>3335.0075240201049</v>
      </c>
      <c r="EW105" s="410">
        <f t="shared" si="241"/>
        <v>3521.9347530564551</v>
      </c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376"/>
      <c r="GB105" s="397">
        <f>SUM(DJ105:DM105)</f>
        <v>6887</v>
      </c>
      <c r="GC105" s="397">
        <f>SUM(DN105:DQ105)</f>
        <v>6201</v>
      </c>
      <c r="GD105" s="397">
        <f>SUM(DR105:DU105)</f>
        <v>4651</v>
      </c>
      <c r="GE105" s="397">
        <f>SUM(DV105:DY105)</f>
        <v>7054</v>
      </c>
      <c r="GF105" s="397">
        <f>SUM(DZ105:EC105)</f>
        <v>10640</v>
      </c>
      <c r="GG105" s="410">
        <f>SUM(ED105:EG105)</f>
        <v>11507.160102954707</v>
      </c>
      <c r="GH105" s="410">
        <f>SUM(EH105:EK105)</f>
        <v>12005.043585365143</v>
      </c>
      <c r="GI105" s="410">
        <f>SUM(EL105:EO105)</f>
        <v>12457.943071433987</v>
      </c>
      <c r="GJ105" s="410">
        <f>SUM(EP105:ES105)</f>
        <v>12819.934166984989</v>
      </c>
      <c r="GK105" s="410">
        <f>SUM(ET105:EW105)</f>
        <v>13156.743839766881</v>
      </c>
      <c r="GM105" s="432"/>
      <c r="GN105" s="70"/>
    </row>
    <row r="106" spans="1:196" s="382" customFormat="1">
      <c r="A106" s="381" t="s">
        <v>198</v>
      </c>
      <c r="B106" s="392"/>
      <c r="C106" s="392"/>
      <c r="D106" s="392"/>
      <c r="E106" s="392"/>
      <c r="F106" s="392"/>
      <c r="G106" s="392"/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2"/>
      <c r="AN106" s="392"/>
      <c r="AO106" s="392"/>
      <c r="AP106" s="392"/>
      <c r="AQ106" s="392"/>
      <c r="AR106" s="392"/>
      <c r="AS106" s="392"/>
      <c r="AT106" s="392"/>
      <c r="AU106" s="392"/>
      <c r="AV106" s="392"/>
      <c r="AW106" s="392"/>
      <c r="AX106" s="392"/>
      <c r="AY106" s="392"/>
      <c r="AZ106" s="392"/>
      <c r="BA106" s="392"/>
      <c r="BB106" s="392"/>
      <c r="BC106" s="392"/>
      <c r="BD106" s="392"/>
      <c r="BE106" s="392"/>
      <c r="BF106" s="392"/>
      <c r="BG106" s="392"/>
      <c r="BH106" s="392"/>
      <c r="BI106" s="392"/>
      <c r="BJ106" s="392"/>
      <c r="BK106" s="392"/>
      <c r="BL106" s="392"/>
      <c r="BM106" s="392"/>
      <c r="BN106" s="392"/>
      <c r="BO106" s="392"/>
      <c r="BP106" s="392"/>
      <c r="BQ106" s="392"/>
      <c r="BR106" s="392"/>
      <c r="BS106" s="392"/>
      <c r="BT106" s="392"/>
      <c r="BU106" s="392"/>
      <c r="BV106" s="392"/>
      <c r="BW106" s="392"/>
      <c r="BX106" s="392"/>
      <c r="BY106" s="392"/>
      <c r="BZ106" s="392"/>
      <c r="CA106" s="392"/>
      <c r="CB106" s="392"/>
      <c r="CC106" s="392"/>
      <c r="CD106" s="392"/>
      <c r="CE106" s="392"/>
      <c r="CF106" s="392"/>
      <c r="CG106" s="392"/>
      <c r="CH106" s="392"/>
      <c r="CI106" s="392"/>
      <c r="CJ106" s="392"/>
      <c r="CK106" s="392"/>
      <c r="CL106" s="392"/>
      <c r="CM106" s="392"/>
      <c r="CN106" s="392"/>
      <c r="CO106" s="392"/>
      <c r="CP106" s="392"/>
      <c r="CQ106" s="392"/>
      <c r="CR106" s="392"/>
      <c r="CS106" s="392"/>
      <c r="CT106" s="387"/>
      <c r="CU106" s="387"/>
      <c r="CV106" s="387"/>
      <c r="CW106" s="387"/>
      <c r="CX106" s="392"/>
      <c r="CY106" s="387"/>
      <c r="CZ106" s="387"/>
      <c r="DA106" s="387"/>
      <c r="DB106" s="387"/>
      <c r="DC106" s="387"/>
      <c r="DD106" s="387"/>
      <c r="DE106" s="387"/>
      <c r="DF106" s="387"/>
      <c r="DG106" s="387"/>
      <c r="DH106" s="387"/>
      <c r="DI106" s="387"/>
      <c r="DJ106" s="442"/>
      <c r="DK106" s="33">
        <f t="shared" ref="DK106:EW106" si="242">DK105/DJ105-1</f>
        <v>5.4945054945054972E-2</v>
      </c>
      <c r="DL106" s="33">
        <f t="shared" si="242"/>
        <v>-2.083333333333337E-2</v>
      </c>
      <c r="DM106" s="33">
        <f t="shared" si="242"/>
        <v>8.0969267139479939E-2</v>
      </c>
      <c r="DN106" s="33">
        <f t="shared" si="242"/>
        <v>0.16129032258064524</v>
      </c>
      <c r="DO106" s="33">
        <f t="shared" si="242"/>
        <v>1.3182674199623268E-2</v>
      </c>
      <c r="DP106" s="33">
        <f t="shared" si="242"/>
        <v>-0.52509293680297398</v>
      </c>
      <c r="DQ106" s="33">
        <f t="shared" si="242"/>
        <v>-0.11643835616438358</v>
      </c>
      <c r="DR106" s="33">
        <f t="shared" si="242"/>
        <v>-0.18161683277962348</v>
      </c>
      <c r="DS106" s="33">
        <f t="shared" si="242"/>
        <v>0.35047361299052771</v>
      </c>
      <c r="DT106" s="33">
        <f t="shared" si="242"/>
        <v>0.45591182364729455</v>
      </c>
      <c r="DU106" s="33">
        <f t="shared" si="242"/>
        <v>5.5058499655884496E-3</v>
      </c>
      <c r="DV106" s="66">
        <f t="shared" si="242"/>
        <v>-6.3655030800821355E-2</v>
      </c>
      <c r="DW106" s="66">
        <f t="shared" si="242"/>
        <v>9.0643274853801081E-2</v>
      </c>
      <c r="DX106" s="66">
        <f t="shared" si="242"/>
        <v>0.26072386058981234</v>
      </c>
      <c r="DY106" s="66">
        <f t="shared" si="242"/>
        <v>0.22966507177033502</v>
      </c>
      <c r="DZ106" s="66">
        <f t="shared" si="242"/>
        <v>-8.2144401210548779E-3</v>
      </c>
      <c r="EA106" s="66">
        <f t="shared" si="242"/>
        <v>8.9363557105492486E-2</v>
      </c>
      <c r="EB106" s="66">
        <f t="shared" si="242"/>
        <v>0.1004401760704281</v>
      </c>
      <c r="EC106" s="66">
        <f t="shared" si="242"/>
        <v>0.12618181818181817</v>
      </c>
      <c r="ED106" s="66">
        <f t="shared" si="242"/>
        <v>-6.8453341943816581E-2</v>
      </c>
      <c r="EE106" s="149">
        <f t="shared" si="242"/>
        <v>1.711275154761327E-2</v>
      </c>
      <c r="EF106" s="149">
        <f t="shared" si="242"/>
        <v>-2.7617396647069303E-2</v>
      </c>
      <c r="EG106" s="149">
        <f t="shared" si="242"/>
        <v>-6.6138235924109168E-3</v>
      </c>
      <c r="EH106" s="149">
        <f t="shared" si="242"/>
        <v>-4.9821015489884712E-2</v>
      </c>
      <c r="EI106" s="149">
        <f t="shared" si="242"/>
        <v>6.406480360399347E-2</v>
      </c>
      <c r="EJ106" s="149">
        <f t="shared" si="242"/>
        <v>8.9166599993593776E-2</v>
      </c>
      <c r="EK106" s="149">
        <f t="shared" si="242"/>
        <v>6.5157813424455036E-2</v>
      </c>
      <c r="EL106" s="149">
        <f t="shared" si="242"/>
        <v>-0.10885665183591109</v>
      </c>
      <c r="EM106" s="149">
        <f t="shared" si="242"/>
        <v>2.0690875750865478E-2</v>
      </c>
      <c r="EN106" s="149">
        <f t="shared" si="242"/>
        <v>4.0641413582716668E-2</v>
      </c>
      <c r="EO106" s="149">
        <f t="shared" si="242"/>
        <v>5.6277784723609559E-2</v>
      </c>
      <c r="EP106" s="149">
        <f t="shared" si="242"/>
        <v>-9.0359751726082127E-2</v>
      </c>
      <c r="EQ106" s="149">
        <f t="shared" si="242"/>
        <v>3.0517565729083929E-2</v>
      </c>
      <c r="ER106" s="149">
        <f t="shared" si="242"/>
        <v>4.5409005813040748E-2</v>
      </c>
      <c r="ES106" s="149">
        <f t="shared" si="242"/>
        <v>5.0714645414049686E-2</v>
      </c>
      <c r="ET106" s="149">
        <f t="shared" si="242"/>
        <v>-9.1282504623789507E-2</v>
      </c>
      <c r="EU106" s="149">
        <f t="shared" si="242"/>
        <v>2.548418559441612E-2</v>
      </c>
      <c r="EV106" s="149">
        <f t="shared" si="242"/>
        <v>4.5610263585538435E-2</v>
      </c>
      <c r="EW106" s="149">
        <f t="shared" si="242"/>
        <v>5.6050017185875323E-2</v>
      </c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386" t="s">
        <v>199</v>
      </c>
      <c r="GC106" s="386" t="s">
        <v>199</v>
      </c>
      <c r="GD106" s="386" t="s">
        <v>199</v>
      </c>
      <c r="GE106" s="386" t="s">
        <v>199</v>
      </c>
      <c r="GF106" s="386" t="s">
        <v>199</v>
      </c>
      <c r="GG106" s="386" t="s">
        <v>199</v>
      </c>
      <c r="GH106" s="386" t="s">
        <v>199</v>
      </c>
      <c r="GI106" s="386" t="s">
        <v>199</v>
      </c>
      <c r="GJ106" s="386" t="s">
        <v>199</v>
      </c>
      <c r="GK106" s="386" t="s">
        <v>199</v>
      </c>
      <c r="GN106" s="443"/>
    </row>
    <row r="107" spans="1:196" s="382" customFormat="1">
      <c r="A107" s="381" t="s">
        <v>200</v>
      </c>
      <c r="B107" s="392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2"/>
      <c r="AN107" s="392"/>
      <c r="AO107" s="392"/>
      <c r="AP107" s="392"/>
      <c r="AQ107" s="392"/>
      <c r="AR107" s="392"/>
      <c r="AS107" s="392"/>
      <c r="AT107" s="392"/>
      <c r="AU107" s="392"/>
      <c r="AV107" s="392"/>
      <c r="AW107" s="392"/>
      <c r="AX107" s="392"/>
      <c r="AY107" s="392"/>
      <c r="AZ107" s="392"/>
      <c r="BA107" s="392"/>
      <c r="BB107" s="392"/>
      <c r="BC107" s="392"/>
      <c r="BD107" s="392"/>
      <c r="BE107" s="392"/>
      <c r="BF107" s="392"/>
      <c r="BG107" s="392"/>
      <c r="BH107" s="392"/>
      <c r="BI107" s="392"/>
      <c r="BJ107" s="392"/>
      <c r="BK107" s="392"/>
      <c r="BL107" s="392"/>
      <c r="BM107" s="392"/>
      <c r="BN107" s="392"/>
      <c r="BO107" s="392"/>
      <c r="BP107" s="392"/>
      <c r="BQ107" s="392"/>
      <c r="BR107" s="392"/>
      <c r="BS107" s="392"/>
      <c r="BT107" s="392"/>
      <c r="BU107" s="392"/>
      <c r="BV107" s="392"/>
      <c r="BW107" s="392"/>
      <c r="BX107" s="392"/>
      <c r="BY107" s="392"/>
      <c r="BZ107" s="392"/>
      <c r="CA107" s="392"/>
      <c r="CB107" s="392"/>
      <c r="CC107" s="392"/>
      <c r="CD107" s="392"/>
      <c r="CE107" s="392"/>
      <c r="CF107" s="392"/>
      <c r="CG107" s="392"/>
      <c r="CH107" s="392"/>
      <c r="CI107" s="392"/>
      <c r="CJ107" s="392"/>
      <c r="CK107" s="392"/>
      <c r="CL107" s="392"/>
      <c r="CM107" s="392"/>
      <c r="CN107" s="392"/>
      <c r="CO107" s="392"/>
      <c r="CP107" s="392"/>
      <c r="CQ107" s="392"/>
      <c r="CR107" s="392"/>
      <c r="CS107" s="392"/>
      <c r="CT107" s="387"/>
      <c r="CU107" s="387"/>
      <c r="CV107" s="387"/>
      <c r="CW107" s="387"/>
      <c r="CX107" s="392"/>
      <c r="CY107" s="387"/>
      <c r="CZ107" s="387"/>
      <c r="DA107" s="387"/>
      <c r="DB107" s="387"/>
      <c r="DC107" s="387"/>
      <c r="DD107" s="387"/>
      <c r="DE107" s="387"/>
      <c r="DF107" s="387"/>
      <c r="DG107" s="387"/>
      <c r="DH107" s="387"/>
      <c r="DI107" s="387"/>
      <c r="DJ107" s="442"/>
      <c r="DK107" s="33"/>
      <c r="DL107" s="33"/>
      <c r="DM107" s="33"/>
      <c r="DN107" s="33">
        <f t="shared" ref="DN107:EW107" si="243">DN105/DJ105-1</f>
        <v>0.29670329670329676</v>
      </c>
      <c r="DO107" s="33">
        <f t="shared" si="243"/>
        <v>0.24537037037037046</v>
      </c>
      <c r="DP107" s="33">
        <f t="shared" si="243"/>
        <v>-0.39598108747044913</v>
      </c>
      <c r="DQ107" s="33">
        <f t="shared" si="243"/>
        <v>-0.50628758884636416</v>
      </c>
      <c r="DR107" s="33">
        <f t="shared" si="243"/>
        <v>-0.65207156308851222</v>
      </c>
      <c r="DS107" s="33">
        <f t="shared" si="243"/>
        <v>-0.53624535315985122</v>
      </c>
      <c r="DT107" s="33">
        <f t="shared" si="243"/>
        <v>0.42172211350293543</v>
      </c>
      <c r="DU107" s="33">
        <f t="shared" si="243"/>
        <v>0.61794019933554822</v>
      </c>
      <c r="DV107" s="66">
        <f t="shared" si="243"/>
        <v>0.85115020297699595</v>
      </c>
      <c r="DW107" s="66">
        <f t="shared" si="243"/>
        <v>0.49498997995991978</v>
      </c>
      <c r="DX107" s="66">
        <f t="shared" si="243"/>
        <v>0.29456297315898139</v>
      </c>
      <c r="DY107" s="66">
        <f t="shared" si="243"/>
        <v>0.58316221765913756</v>
      </c>
      <c r="DZ107" s="66">
        <f>DZ105/DV105-1</f>
        <v>0.67690058479532156</v>
      </c>
      <c r="EA107" s="66">
        <f>EA105/DW105-1</f>
        <v>0.67493297587131362</v>
      </c>
      <c r="EB107" s="66">
        <f>EB105/DX105-1</f>
        <v>0.46198830409356728</v>
      </c>
      <c r="EC107" s="66">
        <f t="shared" si="243"/>
        <v>0.33895373973194975</v>
      </c>
      <c r="ED107" s="66">
        <f t="shared" si="243"/>
        <v>0.25762859633827384</v>
      </c>
      <c r="EE107" s="149">
        <f t="shared" si="243"/>
        <v>0.17421780240690832</v>
      </c>
      <c r="EF107" s="149">
        <f t="shared" si="243"/>
        <v>3.7574770929403201E-2</v>
      </c>
      <c r="EG107" s="149">
        <f t="shared" si="243"/>
        <v>-8.4772620379727104E-2</v>
      </c>
      <c r="EH107" s="149">
        <f t="shared" si="243"/>
        <v>-6.6466703902881119E-2</v>
      </c>
      <c r="EI107" s="149">
        <f t="shared" si="243"/>
        <v>-2.3372854329150372E-2</v>
      </c>
      <c r="EJ107" s="149">
        <f t="shared" si="243"/>
        <v>9.3920915536668925E-2</v>
      </c>
      <c r="EK107" s="149">
        <f t="shared" si="243"/>
        <v>0.17295613541357779</v>
      </c>
      <c r="EL107" s="149">
        <f t="shared" si="243"/>
        <v>0.10007911646349243</v>
      </c>
      <c r="EM107" s="149">
        <f t="shared" si="243"/>
        <v>5.5237155646246983E-2</v>
      </c>
      <c r="EN107" s="149">
        <f t="shared" si="243"/>
        <v>8.2236136539393101E-3</v>
      </c>
      <c r="EO107" s="149">
        <f t="shared" si="243"/>
        <v>-1.8176488554055847E-4</v>
      </c>
      <c r="EP107" s="149">
        <f t="shared" si="243"/>
        <v>2.0570831271966128E-2</v>
      </c>
      <c r="EQ107" s="149">
        <f t="shared" si="243"/>
        <v>3.0396365523308155E-2</v>
      </c>
      <c r="ER107" s="149">
        <f t="shared" si="243"/>
        <v>3.511702111350834E-2</v>
      </c>
      <c r="ES107" s="149">
        <f t="shared" si="243"/>
        <v>2.9665330021038994E-2</v>
      </c>
      <c r="ET107" s="149">
        <f t="shared" si="243"/>
        <v>2.8620821855587009E-2</v>
      </c>
      <c r="EU107" s="149">
        <f t="shared" si="243"/>
        <v>2.3596706029700432E-2</v>
      </c>
      <c r="EV107" s="149">
        <f t="shared" si="243"/>
        <v>2.3793764589408628E-2</v>
      </c>
      <c r="EW107" s="149">
        <f t="shared" si="243"/>
        <v>2.8992436156043855E-2</v>
      </c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386" t="s">
        <v>199</v>
      </c>
      <c r="GC107" s="383">
        <f t="shared" ref="GC107:GK107" si="244">GC105/GB105-1</f>
        <v>-9.9607957020473314E-2</v>
      </c>
      <c r="GD107" s="383">
        <f t="shared" si="244"/>
        <v>-0.24995968392194812</v>
      </c>
      <c r="GE107" s="383">
        <f t="shared" si="244"/>
        <v>0.51666308320791221</v>
      </c>
      <c r="GF107" s="383">
        <f t="shared" si="244"/>
        <v>0.50836404876665719</v>
      </c>
      <c r="GG107" s="444">
        <f t="shared" si="244"/>
        <v>8.1500009676194196E-2</v>
      </c>
      <c r="GH107" s="444">
        <f t="shared" si="244"/>
        <v>4.3267276891593154E-2</v>
      </c>
      <c r="GI107" s="444">
        <f t="shared" si="244"/>
        <v>3.7725767744896332E-2</v>
      </c>
      <c r="GJ107" s="444">
        <f t="shared" si="244"/>
        <v>2.905705167180006E-2</v>
      </c>
      <c r="GK107" s="444">
        <f t="shared" si="244"/>
        <v>2.6272340278413742E-2</v>
      </c>
      <c r="GN107" s="443"/>
    </row>
    <row r="108" spans="1:196" s="382" customFormat="1">
      <c r="A108" s="381" t="s">
        <v>261</v>
      </c>
      <c r="B108" s="392"/>
      <c r="C108" s="392"/>
      <c r="D108" s="392"/>
      <c r="E108" s="392"/>
      <c r="F108" s="392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  <c r="V108" s="392"/>
      <c r="W108" s="392"/>
      <c r="X108" s="392"/>
      <c r="Y108" s="392"/>
      <c r="Z108" s="392"/>
      <c r="AA108" s="392"/>
      <c r="AB108" s="392"/>
      <c r="AC108" s="392"/>
      <c r="AD108" s="392"/>
      <c r="AE108" s="392"/>
      <c r="AF108" s="392"/>
      <c r="AG108" s="392"/>
      <c r="AH108" s="392"/>
      <c r="AI108" s="392"/>
      <c r="AJ108" s="392"/>
      <c r="AK108" s="392"/>
      <c r="AL108" s="392"/>
      <c r="AM108" s="392"/>
      <c r="AN108" s="392"/>
      <c r="AO108" s="392"/>
      <c r="AP108" s="392"/>
      <c r="AQ108" s="392"/>
      <c r="AR108" s="392"/>
      <c r="AS108" s="392"/>
      <c r="AT108" s="392"/>
      <c r="AU108" s="392"/>
      <c r="AV108" s="392"/>
      <c r="AW108" s="392"/>
      <c r="AX108" s="392"/>
      <c r="AY108" s="392"/>
      <c r="AZ108" s="392"/>
      <c r="BA108" s="392"/>
      <c r="BB108" s="392"/>
      <c r="BC108" s="392"/>
      <c r="BD108" s="392"/>
      <c r="BE108" s="392"/>
      <c r="BF108" s="392"/>
      <c r="BG108" s="392"/>
      <c r="BH108" s="392"/>
      <c r="BI108" s="392"/>
      <c r="BJ108" s="392"/>
      <c r="BK108" s="392"/>
      <c r="BL108" s="392"/>
      <c r="BM108" s="392"/>
      <c r="BN108" s="392"/>
      <c r="BO108" s="392"/>
      <c r="BP108" s="392"/>
      <c r="BQ108" s="392"/>
      <c r="BR108" s="392"/>
      <c r="BS108" s="392"/>
      <c r="BT108" s="392"/>
      <c r="BU108" s="392"/>
      <c r="BV108" s="392"/>
      <c r="BW108" s="392"/>
      <c r="BX108" s="392"/>
      <c r="BY108" s="392"/>
      <c r="BZ108" s="392"/>
      <c r="CA108" s="392"/>
      <c r="CB108" s="392"/>
      <c r="CC108" s="392"/>
      <c r="CD108" s="392"/>
      <c r="CE108" s="392"/>
      <c r="CF108" s="392"/>
      <c r="CG108" s="392"/>
      <c r="CH108" s="392"/>
      <c r="CI108" s="392"/>
      <c r="CJ108" s="392"/>
      <c r="CK108" s="392"/>
      <c r="CL108" s="392"/>
      <c r="CM108" s="392"/>
      <c r="CN108" s="392"/>
      <c r="CO108" s="392"/>
      <c r="CP108" s="392"/>
      <c r="CQ108" s="392"/>
      <c r="CR108" s="392"/>
      <c r="CS108" s="392"/>
      <c r="CT108" s="387"/>
      <c r="CU108" s="387"/>
      <c r="CV108" s="387"/>
      <c r="CW108" s="387"/>
      <c r="CX108" s="392"/>
      <c r="CY108" s="387"/>
      <c r="CZ108" s="387"/>
      <c r="DA108" s="387"/>
      <c r="DB108" s="387"/>
      <c r="DC108" s="387"/>
      <c r="DD108" s="387"/>
      <c r="DE108" s="387"/>
      <c r="DF108" s="387"/>
      <c r="DG108" s="387"/>
      <c r="DH108" s="387"/>
      <c r="DI108" s="387"/>
      <c r="DJ108" s="33">
        <f t="shared" ref="DJ108:EW108" si="245">DJ105/DJ$161</f>
        <v>0.47547169811320755</v>
      </c>
      <c r="DK108" s="33">
        <f t="shared" si="245"/>
        <v>0.44883116883116886</v>
      </c>
      <c r="DL108" s="33">
        <f t="shared" si="245"/>
        <v>0.39230234175747741</v>
      </c>
      <c r="DM108" s="33">
        <f t="shared" si="245"/>
        <v>0.37898881060920014</v>
      </c>
      <c r="DN108" s="33">
        <f t="shared" si="245"/>
        <v>0.360794971972142</v>
      </c>
      <c r="DO108" s="33">
        <f t="shared" si="245"/>
        <v>0.32854961832061069</v>
      </c>
      <c r="DP108" s="33">
        <f t="shared" si="245"/>
        <v>0.18364779874213835</v>
      </c>
      <c r="DQ108" s="33">
        <f t="shared" si="245"/>
        <v>0.16127879978567602</v>
      </c>
      <c r="DR108" s="33">
        <f t="shared" si="245"/>
        <v>0.13805342798430786</v>
      </c>
      <c r="DS108" s="33">
        <f t="shared" si="245"/>
        <v>0.18622877402500468</v>
      </c>
      <c r="DT108" s="33">
        <f t="shared" si="245"/>
        <v>0.25051724137931036</v>
      </c>
      <c r="DU108" s="33">
        <f t="shared" si="245"/>
        <v>0.23686770428015563</v>
      </c>
      <c r="DV108" s="66">
        <f t="shared" si="245"/>
        <v>0.24995432121322858</v>
      </c>
      <c r="DW108" s="66">
        <f t="shared" si="245"/>
        <v>0.25569837189374467</v>
      </c>
      <c r="DX108" s="66">
        <f>DX105/DX$161</f>
        <v>0.27584689837219534</v>
      </c>
      <c r="DY108" s="66">
        <f>DY105/DY$161</f>
        <v>0.30203708540088797</v>
      </c>
      <c r="DZ108" s="66">
        <f t="shared" si="245"/>
        <v>0.30841624092497982</v>
      </c>
      <c r="EA108" s="66">
        <f t="shared" si="245"/>
        <v>0.3251789199739753</v>
      </c>
      <c r="EB108" s="66">
        <f t="shared" si="245"/>
        <v>0.29742591390871731</v>
      </c>
      <c r="EC108" s="66">
        <f t="shared" si="245"/>
        <v>0.30155793573515094</v>
      </c>
      <c r="ED108" s="66">
        <f t="shared" si="245"/>
        <v>0.2813810592021847</v>
      </c>
      <c r="EE108" s="149">
        <f t="shared" si="245"/>
        <v>0.26147173506080595</v>
      </c>
      <c r="EF108" s="149">
        <f t="shared" si="245"/>
        <v>0.2379040366433342</v>
      </c>
      <c r="EG108" s="149">
        <f t="shared" si="245"/>
        <v>0.17505765065844817</v>
      </c>
      <c r="EH108" s="149">
        <f t="shared" si="245"/>
        <v>0.15447485077141887</v>
      </c>
      <c r="EI108" s="149">
        <f t="shared" si="245"/>
        <v>0.14917017307666935</v>
      </c>
      <c r="EJ108" s="149">
        <f t="shared" si="245"/>
        <v>0.14100749225753878</v>
      </c>
      <c r="EK108" s="149">
        <f t="shared" si="245"/>
        <v>0.13559945500944137</v>
      </c>
      <c r="EL108" s="149">
        <f t="shared" si="245"/>
        <v>0.12375101561228445</v>
      </c>
      <c r="EM108" s="149">
        <f t="shared" si="245"/>
        <v>0.12080345716240509</v>
      </c>
      <c r="EN108" s="149">
        <f t="shared" si="245"/>
        <v>0.11711055510899684</v>
      </c>
      <c r="EO108" s="149">
        <f t="shared" si="245"/>
        <v>0.1156122063166122</v>
      </c>
      <c r="EP108" s="149">
        <f t="shared" si="245"/>
        <v>0.10731357391799143</v>
      </c>
      <c r="EQ108" s="149">
        <f t="shared" si="245"/>
        <v>0.10606490866262115</v>
      </c>
      <c r="ER108" s="149">
        <f t="shared" si="245"/>
        <v>0.10270797535757287</v>
      </c>
      <c r="ES108" s="149">
        <f t="shared" si="245"/>
        <v>0.10336047686716181</v>
      </c>
      <c r="ET108" s="149">
        <f t="shared" si="245"/>
        <v>9.8073675095188953E-2</v>
      </c>
      <c r="EU108" s="149">
        <f t="shared" si="245"/>
        <v>9.649184949464279E-2</v>
      </c>
      <c r="EV108" s="149">
        <f t="shared" si="245"/>
        <v>9.1818950491135032E-2</v>
      </c>
      <c r="EW108" s="149">
        <f t="shared" si="245"/>
        <v>9.2689302063351742E-2</v>
      </c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  <c r="GB108" s="383">
        <f t="shared" ref="GB108:GG108" si="246">GB105/GB$161</f>
        <v>0.41907022027503954</v>
      </c>
      <c r="GC108" s="383">
        <f t="shared" si="246"/>
        <v>0.26274310410575824</v>
      </c>
      <c r="GD108" s="383">
        <f t="shared" si="246"/>
        <v>0.20507054673721339</v>
      </c>
      <c r="GE108" s="383">
        <f t="shared" si="246"/>
        <v>0.27356990498351758</v>
      </c>
      <c r="GF108" s="383">
        <f t="shared" si="246"/>
        <v>0.30716822079159328</v>
      </c>
      <c r="GG108" s="391">
        <f t="shared" si="246"/>
        <v>0.2317155776317196</v>
      </c>
      <c r="GH108" s="391">
        <f>GH105/GH$161</f>
        <v>0.14411697024432724</v>
      </c>
      <c r="GI108" s="391">
        <f t="shared" ref="GI108:GK108" si="247">GI105/GI$161</f>
        <v>0.11910242232080633</v>
      </c>
      <c r="GJ108" s="391">
        <f t="shared" si="247"/>
        <v>0.10475068931679402</v>
      </c>
      <c r="GK108" s="391">
        <f t="shared" si="247"/>
        <v>9.4593417591659346E-2</v>
      </c>
      <c r="GN108" s="443"/>
    </row>
    <row r="109" spans="1:196" s="382" customFormat="1">
      <c r="A109" s="395" t="s">
        <v>262</v>
      </c>
      <c r="B109" s="392"/>
      <c r="C109" s="392"/>
      <c r="D109" s="392"/>
      <c r="E109" s="392"/>
      <c r="F109" s="392"/>
      <c r="G109" s="392"/>
      <c r="H109" s="392"/>
      <c r="I109" s="392"/>
      <c r="J109" s="392"/>
      <c r="K109" s="392"/>
      <c r="L109" s="392"/>
      <c r="M109" s="392"/>
      <c r="N109" s="392"/>
      <c r="O109" s="392"/>
      <c r="P109" s="392"/>
      <c r="Q109" s="392"/>
      <c r="R109" s="392"/>
      <c r="S109" s="392"/>
      <c r="T109" s="392"/>
      <c r="U109" s="392"/>
      <c r="V109" s="392"/>
      <c r="W109" s="392"/>
      <c r="X109" s="392"/>
      <c r="Y109" s="392"/>
      <c r="Z109" s="392"/>
      <c r="AA109" s="392"/>
      <c r="AB109" s="392"/>
      <c r="AC109" s="392"/>
      <c r="AD109" s="392"/>
      <c r="AE109" s="392"/>
      <c r="AF109" s="392"/>
      <c r="AG109" s="392"/>
      <c r="AH109" s="392"/>
      <c r="AI109" s="392"/>
      <c r="AJ109" s="392"/>
      <c r="AK109" s="392"/>
      <c r="AL109" s="392"/>
      <c r="AM109" s="392"/>
      <c r="AN109" s="392"/>
      <c r="AO109" s="392"/>
      <c r="AP109" s="392"/>
      <c r="AQ109" s="392"/>
      <c r="AR109" s="392"/>
      <c r="AS109" s="392"/>
      <c r="AT109" s="392"/>
      <c r="AU109" s="392"/>
      <c r="AV109" s="392"/>
      <c r="AW109" s="392"/>
      <c r="AX109" s="392"/>
      <c r="AY109" s="392"/>
      <c r="AZ109" s="392"/>
      <c r="BA109" s="392"/>
      <c r="BB109" s="392"/>
      <c r="BC109" s="392"/>
      <c r="BD109" s="392"/>
      <c r="BE109" s="392"/>
      <c r="BF109" s="392"/>
      <c r="BG109" s="392"/>
      <c r="BH109" s="392"/>
      <c r="BI109" s="392"/>
      <c r="BJ109" s="392"/>
      <c r="BK109" s="392"/>
      <c r="BL109" s="392"/>
      <c r="BM109" s="392"/>
      <c r="BN109" s="392"/>
      <c r="BO109" s="392"/>
      <c r="BP109" s="392"/>
      <c r="BQ109" s="392"/>
      <c r="BR109" s="392"/>
      <c r="BS109" s="392"/>
      <c r="BT109" s="392"/>
      <c r="BU109" s="392"/>
      <c r="BV109" s="392"/>
      <c r="BW109" s="392"/>
      <c r="BX109" s="392"/>
      <c r="BY109" s="392"/>
      <c r="BZ109" s="392"/>
      <c r="CA109" s="392"/>
      <c r="CB109" s="392"/>
      <c r="CC109" s="392"/>
      <c r="CD109" s="392"/>
      <c r="CE109" s="392"/>
      <c r="CF109" s="392"/>
      <c r="CG109" s="392"/>
      <c r="CH109" s="392"/>
      <c r="CI109" s="392"/>
      <c r="CJ109" s="392"/>
      <c r="CK109" s="392"/>
      <c r="CL109" s="392"/>
      <c r="CM109" s="392"/>
      <c r="CN109" s="392"/>
      <c r="CO109" s="392"/>
      <c r="CP109" s="392"/>
      <c r="CQ109" s="392"/>
      <c r="CR109" s="392"/>
      <c r="CS109" s="392"/>
      <c r="CT109" s="387"/>
      <c r="CU109" s="387"/>
      <c r="CV109" s="387"/>
      <c r="CW109" s="387"/>
      <c r="CX109" s="392"/>
      <c r="CY109" s="387"/>
      <c r="CZ109" s="387"/>
      <c r="DA109" s="387"/>
      <c r="DB109" s="387"/>
      <c r="DC109" s="387"/>
      <c r="DD109" s="387"/>
      <c r="DE109" s="387"/>
      <c r="DF109" s="387"/>
      <c r="DG109" s="387"/>
      <c r="DH109" s="387"/>
      <c r="DI109" s="387"/>
      <c r="DJ109" s="397">
        <f>DJ199</f>
        <v>593.786224738746</v>
      </c>
      <c r="DK109" s="397">
        <f t="shared" ref="DK109:EW109" si="248">DK199</f>
        <v>535.31327558279736</v>
      </c>
      <c r="DL109" s="397">
        <f t="shared" si="248"/>
        <v>544.50814000000003</v>
      </c>
      <c r="DM109" s="397">
        <f t="shared" si="248"/>
        <v>607.69845000000009</v>
      </c>
      <c r="DN109" s="397">
        <f t="shared" si="248"/>
        <v>465.53502500000008</v>
      </c>
      <c r="DO109" s="397">
        <f t="shared" si="248"/>
        <v>460.26360000000005</v>
      </c>
      <c r="DP109" s="397">
        <f t="shared" si="248"/>
        <v>395.23472500000003</v>
      </c>
      <c r="DQ109" s="397">
        <f t="shared" si="248"/>
        <v>364.83337999999998</v>
      </c>
      <c r="DR109" s="397">
        <f t="shared" si="248"/>
        <v>297.08699999999999</v>
      </c>
      <c r="DS109" s="397">
        <f t="shared" si="248"/>
        <v>379.57729999999998</v>
      </c>
      <c r="DT109" s="397">
        <f t="shared" si="248"/>
        <v>480.46639499999867</v>
      </c>
      <c r="DU109" s="397">
        <f>DU199</f>
        <v>527.03012349999995</v>
      </c>
      <c r="DV109" s="376">
        <f t="shared" si="248"/>
        <v>511.91977499999996</v>
      </c>
      <c r="DW109" s="376">
        <f t="shared" si="248"/>
        <v>497.26308999999998</v>
      </c>
      <c r="DX109" s="376">
        <f>DX199</f>
        <v>690.7645</v>
      </c>
      <c r="DY109" s="376">
        <f>DY199</f>
        <v>892.11506000000008</v>
      </c>
      <c r="DZ109" s="376">
        <f t="shared" si="248"/>
        <v>1014.37098</v>
      </c>
      <c r="EA109" s="376">
        <f t="shared" si="248"/>
        <v>1202.09025</v>
      </c>
      <c r="EB109" s="376">
        <f t="shared" si="248"/>
        <v>1334.2464750000001</v>
      </c>
      <c r="EC109" s="376">
        <f t="shared" si="248"/>
        <v>1468.1142</v>
      </c>
      <c r="ED109" s="376">
        <f t="shared" si="248"/>
        <v>1360.9418634000001</v>
      </c>
      <c r="EE109" s="380">
        <f t="shared" si="248"/>
        <v>1388.2967948543401</v>
      </c>
      <c r="EF109" s="380">
        <f t="shared" si="248"/>
        <v>1331.0989669063415</v>
      </c>
      <c r="EG109" s="380">
        <f t="shared" si="248"/>
        <v>1290.6335583123887</v>
      </c>
      <c r="EH109" s="380">
        <f t="shared" si="248"/>
        <v>1277.4690960176024</v>
      </c>
      <c r="EI109" s="380">
        <f t="shared" si="248"/>
        <v>1354.1172417786586</v>
      </c>
      <c r="EJ109" s="380">
        <f t="shared" si="248"/>
        <v>1463.3945031901962</v>
      </c>
      <c r="EK109" s="380">
        <f t="shared" si="248"/>
        <v>1551.9298706332031</v>
      </c>
      <c r="EL109" s="380">
        <f t="shared" si="248"/>
        <v>1382.769514734184</v>
      </c>
      <c r="EM109" s="380">
        <f t="shared" si="248"/>
        <v>1410.4249050288677</v>
      </c>
      <c r="EN109" s="380">
        <f t="shared" si="248"/>
        <v>1467.2650287015313</v>
      </c>
      <c r="EO109" s="380">
        <f t="shared" si="248"/>
        <v>1541.2151861480886</v>
      </c>
      <c r="EP109" s="380">
        <f t="shared" si="248"/>
        <v>1402.5058193947605</v>
      </c>
      <c r="EQ109" s="380">
        <f t="shared" si="248"/>
        <v>1430.5559357826558</v>
      </c>
      <c r="ER109" s="380">
        <f t="shared" si="248"/>
        <v>1487.7781732139622</v>
      </c>
      <c r="ES109" s="380">
        <f t="shared" si="248"/>
        <v>1562.1670818746604</v>
      </c>
      <c r="ET109" s="380">
        <f t="shared" si="248"/>
        <v>1435.7877649510006</v>
      </c>
      <c r="EU109" s="380">
        <f t="shared" si="248"/>
        <v>1464.5035202500205</v>
      </c>
      <c r="EV109" s="380">
        <f t="shared" si="248"/>
        <v>1523.0836610600215</v>
      </c>
      <c r="EW109" s="380">
        <f t="shared" si="248"/>
        <v>1599.2378441130224</v>
      </c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  <c r="GB109" s="397">
        <f>SUM(DJ109:DM109)</f>
        <v>2281.3060903215437</v>
      </c>
      <c r="GC109" s="397">
        <f>SUM(DN109:DQ109)</f>
        <v>1685.8667300000002</v>
      </c>
      <c r="GD109" s="397">
        <f>SUM(DR109:DU109)</f>
        <v>1684.1608184999984</v>
      </c>
      <c r="GE109" s="397">
        <f>SUM(DV109:DY109)</f>
        <v>2592.0624250000001</v>
      </c>
      <c r="GF109" s="397">
        <f>SUM(DZ109:EC109)</f>
        <v>5018.8219049999998</v>
      </c>
      <c r="GG109" s="410">
        <f>SUM(ED109:EG109)</f>
        <v>5370.9711834730706</v>
      </c>
      <c r="GH109" s="410">
        <f>SUM(EH109:EK109)</f>
        <v>5646.9107116196601</v>
      </c>
      <c r="GI109" s="410">
        <f>SUM(EL109:EO109)</f>
        <v>5801.674634612672</v>
      </c>
      <c r="GJ109" s="410">
        <f>SUM(EP109:ES109)</f>
        <v>5883.0070102660393</v>
      </c>
      <c r="GK109" s="410">
        <f>SUM(ET109:EW109)</f>
        <v>6022.6127903740653</v>
      </c>
      <c r="GN109" s="443"/>
    </row>
    <row r="110" spans="1:196" s="382" customFormat="1">
      <c r="A110" s="396" t="s">
        <v>198</v>
      </c>
      <c r="B110" s="392"/>
      <c r="C110" s="392"/>
      <c r="D110" s="392"/>
      <c r="E110" s="392"/>
      <c r="F110" s="392"/>
      <c r="G110" s="392"/>
      <c r="H110" s="392"/>
      <c r="I110" s="392"/>
      <c r="J110" s="392"/>
      <c r="K110" s="392"/>
      <c r="L110" s="392"/>
      <c r="M110" s="392"/>
      <c r="N110" s="392"/>
      <c r="O110" s="392"/>
      <c r="P110" s="392"/>
      <c r="Q110" s="392"/>
      <c r="R110" s="392"/>
      <c r="S110" s="392"/>
      <c r="T110" s="392"/>
      <c r="U110" s="392"/>
      <c r="V110" s="392"/>
      <c r="W110" s="392"/>
      <c r="X110" s="392"/>
      <c r="Y110" s="392"/>
      <c r="Z110" s="392"/>
      <c r="AA110" s="392"/>
      <c r="AB110" s="392"/>
      <c r="AC110" s="392"/>
      <c r="AD110" s="392"/>
      <c r="AE110" s="392"/>
      <c r="AF110" s="392"/>
      <c r="AG110" s="392"/>
      <c r="AH110" s="392"/>
      <c r="AI110" s="392"/>
      <c r="AJ110" s="392"/>
      <c r="AK110" s="392"/>
      <c r="AL110" s="392"/>
      <c r="AM110" s="392"/>
      <c r="AN110" s="392"/>
      <c r="AO110" s="392"/>
      <c r="AP110" s="392"/>
      <c r="AQ110" s="392"/>
      <c r="AR110" s="392"/>
      <c r="AS110" s="392"/>
      <c r="AT110" s="392"/>
      <c r="AU110" s="392"/>
      <c r="AV110" s="392"/>
      <c r="AW110" s="392"/>
      <c r="AX110" s="392"/>
      <c r="AY110" s="392"/>
      <c r="AZ110" s="392"/>
      <c r="BA110" s="392"/>
      <c r="BB110" s="392"/>
      <c r="BC110" s="392"/>
      <c r="BD110" s="392"/>
      <c r="BE110" s="392"/>
      <c r="BF110" s="392"/>
      <c r="BG110" s="392"/>
      <c r="BH110" s="392"/>
      <c r="BI110" s="392"/>
      <c r="BJ110" s="392"/>
      <c r="BK110" s="392"/>
      <c r="BL110" s="392"/>
      <c r="BM110" s="392"/>
      <c r="BN110" s="392"/>
      <c r="BO110" s="392"/>
      <c r="BP110" s="392"/>
      <c r="BQ110" s="392"/>
      <c r="BR110" s="392"/>
      <c r="BS110" s="392"/>
      <c r="BT110" s="392"/>
      <c r="BU110" s="392"/>
      <c r="BV110" s="392"/>
      <c r="BW110" s="392"/>
      <c r="BX110" s="392"/>
      <c r="BY110" s="392"/>
      <c r="BZ110" s="392"/>
      <c r="CA110" s="392"/>
      <c r="CB110" s="392"/>
      <c r="CC110" s="392"/>
      <c r="CD110" s="392"/>
      <c r="CE110" s="392"/>
      <c r="CF110" s="392"/>
      <c r="CG110" s="392"/>
      <c r="CH110" s="392"/>
      <c r="CI110" s="392"/>
      <c r="CJ110" s="392"/>
      <c r="CK110" s="392"/>
      <c r="CL110" s="392"/>
      <c r="CM110" s="392"/>
      <c r="CN110" s="392"/>
      <c r="CO110" s="392"/>
      <c r="CP110" s="392"/>
      <c r="CQ110" s="392"/>
      <c r="CR110" s="392"/>
      <c r="CS110" s="392"/>
      <c r="CT110" s="387"/>
      <c r="CU110" s="387"/>
      <c r="CV110" s="387"/>
      <c r="CW110" s="387"/>
      <c r="CX110" s="392"/>
      <c r="CY110" s="387"/>
      <c r="CZ110" s="387"/>
      <c r="DA110" s="387"/>
      <c r="DB110" s="387"/>
      <c r="DC110" s="387"/>
      <c r="DD110" s="387"/>
      <c r="DE110" s="387"/>
      <c r="DF110" s="387"/>
      <c r="DG110" s="387"/>
      <c r="DH110" s="387"/>
      <c r="DI110" s="387"/>
      <c r="DJ110" s="442"/>
      <c r="DK110" s="33">
        <f t="shared" ref="DK110:EW110" si="249">DK109/DJ109-1</f>
        <v>-9.8474748520270161E-2</v>
      </c>
      <c r="DL110" s="33">
        <f t="shared" si="249"/>
        <v>1.7176604497977754E-2</v>
      </c>
      <c r="DM110" s="33">
        <f t="shared" si="249"/>
        <v>0.1160502577610687</v>
      </c>
      <c r="DN110" s="33">
        <f t="shared" si="249"/>
        <v>-0.23393744874616673</v>
      </c>
      <c r="DO110" s="33">
        <f t="shared" si="249"/>
        <v>-1.1323369278176232E-2</v>
      </c>
      <c r="DP110" s="33">
        <f t="shared" si="249"/>
        <v>-0.14128615645469256</v>
      </c>
      <c r="DQ110" s="33">
        <f t="shared" si="249"/>
        <v>-7.6919721565457233E-2</v>
      </c>
      <c r="DR110" s="33">
        <f t="shared" si="249"/>
        <v>-0.18569128734876172</v>
      </c>
      <c r="DS110" s="33">
        <f t="shared" si="249"/>
        <v>0.27766378198978758</v>
      </c>
      <c r="DT110" s="33">
        <f t="shared" si="249"/>
        <v>0.2657932784705479</v>
      </c>
      <c r="DU110" s="33">
        <f t="shared" si="249"/>
        <v>9.6913601002212468E-2</v>
      </c>
      <c r="DV110" s="33">
        <f t="shared" si="249"/>
        <v>-2.867074921572299E-2</v>
      </c>
      <c r="DW110" s="33">
        <f t="shared" si="249"/>
        <v>-2.863082403878614E-2</v>
      </c>
      <c r="DX110" s="33">
        <f t="shared" si="249"/>
        <v>0.38913286324951257</v>
      </c>
      <c r="DY110" s="33">
        <f t="shared" si="249"/>
        <v>0.29148944394218312</v>
      </c>
      <c r="DZ110" s="33">
        <f t="shared" si="249"/>
        <v>0.13704052927881283</v>
      </c>
      <c r="EA110" s="33">
        <f t="shared" si="249"/>
        <v>0.18505977960844255</v>
      </c>
      <c r="EB110" s="33">
        <f t="shared" si="249"/>
        <v>0.10993868804775686</v>
      </c>
      <c r="EC110" s="33">
        <f t="shared" si="249"/>
        <v>0.1003320806974588</v>
      </c>
      <c r="ED110" s="33">
        <f t="shared" si="249"/>
        <v>-7.2999999999999954E-2</v>
      </c>
      <c r="EE110" s="154">
        <f t="shared" si="249"/>
        <v>2.0100000000000007E-2</v>
      </c>
      <c r="EF110" s="154">
        <f t="shared" si="249"/>
        <v>-4.1199999999999792E-2</v>
      </c>
      <c r="EG110" s="154">
        <f t="shared" si="249"/>
        <v>-3.0399999999999983E-2</v>
      </c>
      <c r="EH110" s="154">
        <f t="shared" si="249"/>
        <v>-1.0199999999999987E-2</v>
      </c>
      <c r="EI110" s="154">
        <f t="shared" si="249"/>
        <v>6.0000000000000053E-2</v>
      </c>
      <c r="EJ110" s="154">
        <f t="shared" si="249"/>
        <v>8.0699999999999994E-2</v>
      </c>
      <c r="EK110" s="154">
        <f t="shared" si="249"/>
        <v>6.0499999999999998E-2</v>
      </c>
      <c r="EL110" s="154">
        <f t="shared" si="249"/>
        <v>-0.10899999999999999</v>
      </c>
      <c r="EM110" s="154">
        <f t="shared" si="249"/>
        <v>2.0000000000000018E-2</v>
      </c>
      <c r="EN110" s="154">
        <f t="shared" si="249"/>
        <v>4.0300000000000225E-2</v>
      </c>
      <c r="EO110" s="154">
        <f t="shared" si="249"/>
        <v>5.0400000000000222E-2</v>
      </c>
      <c r="EP110" s="154">
        <f t="shared" si="249"/>
        <v>-9.000000000000008E-2</v>
      </c>
      <c r="EQ110" s="154">
        <f t="shared" si="249"/>
        <v>2.0000000000000018E-2</v>
      </c>
      <c r="ER110" s="154">
        <f t="shared" si="249"/>
        <v>4.0000000000000036E-2</v>
      </c>
      <c r="ES110" s="154">
        <f t="shared" si="249"/>
        <v>5.0000000000000044E-2</v>
      </c>
      <c r="ET110" s="154">
        <f t="shared" si="249"/>
        <v>-8.0899999999999861E-2</v>
      </c>
      <c r="EU110" s="154">
        <f t="shared" si="249"/>
        <v>2.0000000000000018E-2</v>
      </c>
      <c r="EV110" s="154">
        <f t="shared" si="249"/>
        <v>4.0000000000000036E-2</v>
      </c>
      <c r="EW110" s="154">
        <f t="shared" si="249"/>
        <v>4.9999999999999822E-2</v>
      </c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  <c r="GB110" s="386" t="s">
        <v>199</v>
      </c>
      <c r="GC110" s="386" t="s">
        <v>199</v>
      </c>
      <c r="GD110" s="386" t="s">
        <v>199</v>
      </c>
      <c r="GE110" s="386" t="s">
        <v>199</v>
      </c>
      <c r="GF110" s="386" t="s">
        <v>199</v>
      </c>
      <c r="GG110" s="386" t="s">
        <v>199</v>
      </c>
      <c r="GH110" s="386" t="s">
        <v>199</v>
      </c>
      <c r="GI110" s="386" t="s">
        <v>199</v>
      </c>
      <c r="GJ110" s="386" t="s">
        <v>199</v>
      </c>
      <c r="GK110" s="386" t="s">
        <v>199</v>
      </c>
      <c r="GN110" s="443"/>
    </row>
    <row r="111" spans="1:196" s="382" customFormat="1">
      <c r="A111" s="396" t="s">
        <v>200</v>
      </c>
      <c r="B111" s="392"/>
      <c r="C111" s="392"/>
      <c r="D111" s="392"/>
      <c r="E111" s="392"/>
      <c r="F111" s="392"/>
      <c r="G111" s="392"/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392"/>
      <c r="V111" s="392"/>
      <c r="W111" s="392"/>
      <c r="X111" s="392"/>
      <c r="Y111" s="392"/>
      <c r="Z111" s="392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2"/>
      <c r="AN111" s="392"/>
      <c r="AO111" s="392"/>
      <c r="AP111" s="392"/>
      <c r="AQ111" s="392"/>
      <c r="AR111" s="392"/>
      <c r="AS111" s="392"/>
      <c r="AT111" s="392"/>
      <c r="AU111" s="392"/>
      <c r="AV111" s="392"/>
      <c r="AW111" s="392"/>
      <c r="AX111" s="392"/>
      <c r="AY111" s="392"/>
      <c r="AZ111" s="392"/>
      <c r="BA111" s="392"/>
      <c r="BB111" s="392"/>
      <c r="BC111" s="392"/>
      <c r="BD111" s="392"/>
      <c r="BE111" s="392"/>
      <c r="BF111" s="392"/>
      <c r="BG111" s="392"/>
      <c r="BH111" s="392"/>
      <c r="BI111" s="392"/>
      <c r="BJ111" s="392"/>
      <c r="BK111" s="392"/>
      <c r="BL111" s="392"/>
      <c r="BM111" s="392"/>
      <c r="BN111" s="392"/>
      <c r="BO111" s="392"/>
      <c r="BP111" s="392"/>
      <c r="BQ111" s="392"/>
      <c r="BR111" s="392"/>
      <c r="BS111" s="392"/>
      <c r="BT111" s="392"/>
      <c r="BU111" s="392"/>
      <c r="BV111" s="392"/>
      <c r="BW111" s="392"/>
      <c r="BX111" s="392"/>
      <c r="BY111" s="392"/>
      <c r="BZ111" s="392"/>
      <c r="CA111" s="392"/>
      <c r="CB111" s="392"/>
      <c r="CC111" s="392"/>
      <c r="CD111" s="392"/>
      <c r="CE111" s="392"/>
      <c r="CF111" s="392"/>
      <c r="CG111" s="392"/>
      <c r="CH111" s="392"/>
      <c r="CI111" s="392"/>
      <c r="CJ111" s="392"/>
      <c r="CK111" s="392"/>
      <c r="CL111" s="392"/>
      <c r="CM111" s="392"/>
      <c r="CN111" s="392"/>
      <c r="CO111" s="392"/>
      <c r="CP111" s="392"/>
      <c r="CQ111" s="392"/>
      <c r="CR111" s="392"/>
      <c r="CS111" s="392"/>
      <c r="CT111" s="387"/>
      <c r="CU111" s="387"/>
      <c r="CV111" s="387"/>
      <c r="CW111" s="387"/>
      <c r="CX111" s="392"/>
      <c r="CY111" s="387"/>
      <c r="CZ111" s="387"/>
      <c r="DA111" s="387"/>
      <c r="DB111" s="387"/>
      <c r="DC111" s="387"/>
      <c r="DD111" s="387"/>
      <c r="DE111" s="387"/>
      <c r="DF111" s="387"/>
      <c r="DG111" s="387"/>
      <c r="DH111" s="387"/>
      <c r="DI111" s="387"/>
      <c r="DJ111" s="442"/>
      <c r="DK111" s="33"/>
      <c r="DL111" s="33"/>
      <c r="DM111" s="33"/>
      <c r="DN111" s="33">
        <f>DN109/DJ109-1</f>
        <v>-0.21598884311466449</v>
      </c>
      <c r="DO111" s="33">
        <f t="shared" ref="DO111:EW111" si="250">DO109/DK109-1</f>
        <v>-0.1401976730375134</v>
      </c>
      <c r="DP111" s="33">
        <f t="shared" si="250"/>
        <v>-0.27414358764223434</v>
      </c>
      <c r="DQ111" s="33">
        <f t="shared" si="250"/>
        <v>-0.39964734153921255</v>
      </c>
      <c r="DR111" s="33">
        <f t="shared" si="250"/>
        <v>-0.36183749010077182</v>
      </c>
      <c r="DS111" s="33">
        <f t="shared" si="250"/>
        <v>-0.17530454287499608</v>
      </c>
      <c r="DT111" s="33">
        <f t="shared" si="250"/>
        <v>0.21564823283176504</v>
      </c>
      <c r="DU111" s="33">
        <f t="shared" si="250"/>
        <v>0.44457758634914368</v>
      </c>
      <c r="DV111" s="66">
        <f t="shared" si="250"/>
        <v>0.72313085055892712</v>
      </c>
      <c r="DW111" s="66">
        <f t="shared" si="250"/>
        <v>0.31004433089123085</v>
      </c>
      <c r="DX111" s="66">
        <f t="shared" si="250"/>
        <v>0.43769576226033857</v>
      </c>
      <c r="DY111" s="66">
        <f t="shared" si="250"/>
        <v>0.69272119414252065</v>
      </c>
      <c r="DZ111" s="66">
        <f t="shared" si="250"/>
        <v>0.98150380105945323</v>
      </c>
      <c r="EA111" s="66">
        <f t="shared" si="250"/>
        <v>1.4174129835375475</v>
      </c>
      <c r="EB111" s="66">
        <f t="shared" si="250"/>
        <v>0.93155044157596434</v>
      </c>
      <c r="EC111" s="66">
        <f t="shared" si="250"/>
        <v>0.64565566239852501</v>
      </c>
      <c r="ED111" s="66">
        <f t="shared" si="250"/>
        <v>0.34166088170227438</v>
      </c>
      <c r="EE111" s="154">
        <f t="shared" si="250"/>
        <v>0.15490230026767127</v>
      </c>
      <c r="EF111" s="154">
        <f t="shared" si="250"/>
        <v>-2.3590154837460631E-3</v>
      </c>
      <c r="EG111" s="154">
        <f t="shared" si="250"/>
        <v>-0.12089021527590382</v>
      </c>
      <c r="EH111" s="154">
        <f t="shared" si="250"/>
        <v>-6.1334557799449407E-2</v>
      </c>
      <c r="EI111" s="154">
        <f t="shared" si="250"/>
        <v>-2.4619773813759793E-2</v>
      </c>
      <c r="EJ111" s="154">
        <f t="shared" si="250"/>
        <v>9.9388204463360053E-2</v>
      </c>
      <c r="EK111" s="154">
        <f t="shared" si="250"/>
        <v>0.2024558486318</v>
      </c>
      <c r="EL111" s="154">
        <f t="shared" si="250"/>
        <v>8.2428936281000009E-2</v>
      </c>
      <c r="EM111" s="154">
        <f t="shared" si="250"/>
        <v>4.1582561327000001E-2</v>
      </c>
      <c r="EN111" s="154">
        <f t="shared" si="250"/>
        <v>2.6448954830000648E-3</v>
      </c>
      <c r="EO111" s="154">
        <f t="shared" si="250"/>
        <v>-6.9041035215997582E-3</v>
      </c>
      <c r="EP111" s="154">
        <f t="shared" si="250"/>
        <v>1.4273025584000232E-2</v>
      </c>
      <c r="EQ111" s="154">
        <f t="shared" si="250"/>
        <v>1.4273025584000232E-2</v>
      </c>
      <c r="ER111" s="154">
        <f t="shared" si="250"/>
        <v>1.398053120000009E-2</v>
      </c>
      <c r="ES111" s="154">
        <f t="shared" si="250"/>
        <v>1.3594400000000118E-2</v>
      </c>
      <c r="ET111" s="154">
        <f t="shared" si="250"/>
        <v>2.3730344000000292E-2</v>
      </c>
      <c r="EU111" s="154">
        <f t="shared" si="250"/>
        <v>2.3730344000000292E-2</v>
      </c>
      <c r="EV111" s="154">
        <f t="shared" si="250"/>
        <v>2.3730344000000292E-2</v>
      </c>
      <c r="EW111" s="154">
        <f t="shared" si="250"/>
        <v>2.373034400000007E-2</v>
      </c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  <c r="GB111" s="386" t="s">
        <v>199</v>
      </c>
      <c r="GC111" s="383">
        <f t="shared" ref="GC111:GK111" si="251">GC109/GB109-1</f>
        <v>-0.26100809656700563</v>
      </c>
      <c r="GD111" s="383">
        <f t="shared" si="251"/>
        <v>-1.0118898900162154E-3</v>
      </c>
      <c r="GE111" s="383">
        <f t="shared" si="251"/>
        <v>0.53908248934839031</v>
      </c>
      <c r="GF111" s="383">
        <f t="shared" si="251"/>
        <v>0.93622725154854236</v>
      </c>
      <c r="GG111" s="444">
        <f t="shared" si="251"/>
        <v>7.0165725171925653E-2</v>
      </c>
      <c r="GH111" s="444">
        <f t="shared" si="251"/>
        <v>5.1376095443535164E-2</v>
      </c>
      <c r="GI111" s="444">
        <f t="shared" si="251"/>
        <v>2.7406830193817955E-2</v>
      </c>
      <c r="GJ111" s="444">
        <f t="shared" si="251"/>
        <v>1.4018775745909595E-2</v>
      </c>
      <c r="GK111" s="444">
        <f t="shared" si="251"/>
        <v>2.3730344000000292E-2</v>
      </c>
      <c r="GN111" s="443"/>
    </row>
    <row r="112" spans="1:196" s="382" customFormat="1">
      <c r="A112" s="396" t="s">
        <v>261</v>
      </c>
      <c r="B112" s="392"/>
      <c r="C112" s="392"/>
      <c r="D112" s="392"/>
      <c r="E112" s="392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392"/>
      <c r="T112" s="392"/>
      <c r="U112" s="392"/>
      <c r="V112" s="392"/>
      <c r="W112" s="392"/>
      <c r="X112" s="392"/>
      <c r="Y112" s="392"/>
      <c r="Z112" s="392"/>
      <c r="AA112" s="392"/>
      <c r="AB112" s="392"/>
      <c r="AC112" s="392"/>
      <c r="AD112" s="392"/>
      <c r="AE112" s="392"/>
      <c r="AF112" s="392"/>
      <c r="AG112" s="392"/>
      <c r="AH112" s="392"/>
      <c r="AI112" s="392"/>
      <c r="AJ112" s="392"/>
      <c r="AK112" s="392"/>
      <c r="AL112" s="392"/>
      <c r="AM112" s="392"/>
      <c r="AN112" s="392"/>
      <c r="AO112" s="392"/>
      <c r="AP112" s="392"/>
      <c r="AQ112" s="392"/>
      <c r="AR112" s="392"/>
      <c r="AS112" s="392"/>
      <c r="AT112" s="392"/>
      <c r="AU112" s="392"/>
      <c r="AV112" s="392"/>
      <c r="AW112" s="392"/>
      <c r="AX112" s="392"/>
      <c r="AY112" s="392"/>
      <c r="AZ112" s="392"/>
      <c r="BA112" s="392"/>
      <c r="BB112" s="392"/>
      <c r="BC112" s="392"/>
      <c r="BD112" s="392"/>
      <c r="BE112" s="392"/>
      <c r="BF112" s="392"/>
      <c r="BG112" s="392"/>
      <c r="BH112" s="392"/>
      <c r="BI112" s="392"/>
      <c r="BJ112" s="392"/>
      <c r="BK112" s="392"/>
      <c r="BL112" s="392"/>
      <c r="BM112" s="392"/>
      <c r="BN112" s="392"/>
      <c r="BO112" s="392"/>
      <c r="BP112" s="392"/>
      <c r="BQ112" s="392"/>
      <c r="BR112" s="392"/>
      <c r="BS112" s="392"/>
      <c r="BT112" s="392"/>
      <c r="BU112" s="392"/>
      <c r="BV112" s="392"/>
      <c r="BW112" s="392"/>
      <c r="BX112" s="392"/>
      <c r="BY112" s="392"/>
      <c r="BZ112" s="392"/>
      <c r="CA112" s="392"/>
      <c r="CB112" s="392"/>
      <c r="CC112" s="392"/>
      <c r="CD112" s="392"/>
      <c r="CE112" s="392"/>
      <c r="CF112" s="392"/>
      <c r="CG112" s="392"/>
      <c r="CH112" s="392"/>
      <c r="CI112" s="392"/>
      <c r="CJ112" s="392"/>
      <c r="CK112" s="392"/>
      <c r="CL112" s="392"/>
      <c r="CM112" s="392"/>
      <c r="CN112" s="392"/>
      <c r="CO112" s="392"/>
      <c r="CP112" s="392"/>
      <c r="CQ112" s="392"/>
      <c r="CR112" s="392"/>
      <c r="CS112" s="392"/>
      <c r="CT112" s="387"/>
      <c r="CU112" s="387"/>
      <c r="CV112" s="387"/>
      <c r="CW112" s="387"/>
      <c r="CX112" s="392"/>
      <c r="CY112" s="387"/>
      <c r="CZ112" s="387"/>
      <c r="DA112" s="387"/>
      <c r="DB112" s="387"/>
      <c r="DC112" s="387"/>
      <c r="DD112" s="387"/>
      <c r="DE112" s="387"/>
      <c r="DF112" s="387"/>
      <c r="DG112" s="387"/>
      <c r="DH112" s="387"/>
      <c r="DI112" s="387"/>
      <c r="DJ112" s="33">
        <f t="shared" ref="DJ112:EW112" si="252">DJ109/DJ$161</f>
        <v>0.17236174883563019</v>
      </c>
      <c r="DK112" s="33">
        <f t="shared" si="252"/>
        <v>0.13904240924228503</v>
      </c>
      <c r="DL112" s="33">
        <f t="shared" si="252"/>
        <v>0.12624811963830282</v>
      </c>
      <c r="DM112" s="33">
        <f t="shared" si="252"/>
        <v>0.12592176750932452</v>
      </c>
      <c r="DN112" s="33">
        <f t="shared" si="252"/>
        <v>7.907848224902328E-2</v>
      </c>
      <c r="DO112" s="33">
        <f t="shared" si="252"/>
        <v>7.026925190839696E-2</v>
      </c>
      <c r="DP112" s="33">
        <f t="shared" si="252"/>
        <v>7.1021513926325247E-2</v>
      </c>
      <c r="DQ112" s="33">
        <f t="shared" si="252"/>
        <v>6.516045365243793E-2</v>
      </c>
      <c r="DR112" s="33">
        <f t="shared" si="252"/>
        <v>5.5499159349897249E-2</v>
      </c>
      <c r="DS112" s="33">
        <f t="shared" si="252"/>
        <v>7.0829874976674742E-2</v>
      </c>
      <c r="DT112" s="33">
        <f t="shared" si="252"/>
        <v>8.2839033620689423E-2</v>
      </c>
      <c r="DU112" s="33">
        <f t="shared" si="252"/>
        <v>8.5445869568741881E-2</v>
      </c>
      <c r="DV112" s="66">
        <f t="shared" si="252"/>
        <v>9.353549698520007E-2</v>
      </c>
      <c r="DW112" s="66">
        <f t="shared" si="252"/>
        <v>8.5220752356469573E-2</v>
      </c>
      <c r="DX112" s="66">
        <f>DX109/DX$161</f>
        <v>0.10129997067018624</v>
      </c>
      <c r="DY112" s="66">
        <f>DY109/DY$161</f>
        <v>0.11649452337424916</v>
      </c>
      <c r="DZ112" s="66">
        <f t="shared" si="252"/>
        <v>0.13637684592632429</v>
      </c>
      <c r="EA112" s="66">
        <f t="shared" si="252"/>
        <v>0.15642033181522447</v>
      </c>
      <c r="EB112" s="66">
        <f t="shared" si="252"/>
        <v>0.1443052644386762</v>
      </c>
      <c r="EC112" s="66">
        <f t="shared" si="252"/>
        <v>0.142951723466407</v>
      </c>
      <c r="ED112" s="66">
        <f t="shared" si="252"/>
        <v>0.13273596639032478</v>
      </c>
      <c r="EE112" s="154">
        <f t="shared" si="252"/>
        <v>0.12370639560651794</v>
      </c>
      <c r="EF112" s="154">
        <f t="shared" si="252"/>
        <v>0.11098392004519655</v>
      </c>
      <c r="EG112" s="154">
        <f t="shared" si="252"/>
        <v>7.9710189161608172E-2</v>
      </c>
      <c r="EH112" s="154">
        <f t="shared" si="252"/>
        <v>7.3271073941820086E-2</v>
      </c>
      <c r="EI112" s="154">
        <f t="shared" si="252"/>
        <v>7.048465096604975E-2</v>
      </c>
      <c r="EJ112" s="154">
        <f t="shared" si="252"/>
        <v>6.6109760734062301E-2</v>
      </c>
      <c r="EK112" s="154">
        <f t="shared" si="252"/>
        <v>6.3296260919187886E-2</v>
      </c>
      <c r="EL112" s="154">
        <f t="shared" si="252"/>
        <v>5.7756254036597003E-2</v>
      </c>
      <c r="EM112" s="154">
        <f t="shared" si="252"/>
        <v>5.6342426718305215E-2</v>
      </c>
      <c r="EN112" s="154">
        <f t="shared" si="252"/>
        <v>5.4602146797072398E-2</v>
      </c>
      <c r="EO112" s="154">
        <f t="shared" si="252"/>
        <v>5.3603597198406405E-2</v>
      </c>
      <c r="EP112" s="154">
        <f t="shared" si="252"/>
        <v>4.9775614320643216E-2</v>
      </c>
      <c r="EQ112" s="154">
        <f t="shared" si="252"/>
        <v>4.8694337911046104E-2</v>
      </c>
      <c r="ER112" s="154">
        <f t="shared" si="252"/>
        <v>4.6909198582273784E-2</v>
      </c>
      <c r="ES112" s="154">
        <f t="shared" si="252"/>
        <v>4.7175103621591524E-2</v>
      </c>
      <c r="ET112" s="154">
        <f t="shared" si="252"/>
        <v>4.5273564076516962E-2</v>
      </c>
      <c r="EU112" s="154">
        <f t="shared" si="252"/>
        <v>4.4305135613428574E-2</v>
      </c>
      <c r="EV112" s="154">
        <f t="shared" si="252"/>
        <v>4.1933321667637635E-2</v>
      </c>
      <c r="EW112" s="154">
        <f t="shared" si="252"/>
        <v>4.2088298051374852E-2</v>
      </c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  <c r="GB112" s="383">
        <f t="shared" ref="GB112:GG112" si="253">GB109/GB$161</f>
        <v>0.13881624013152877</v>
      </c>
      <c r="GC112" s="383">
        <f t="shared" si="253"/>
        <v>7.1432004152366432E-2</v>
      </c>
      <c r="GD112" s="383">
        <f t="shared" si="253"/>
        <v>7.4257531679894115E-2</v>
      </c>
      <c r="GE112" s="383">
        <f t="shared" si="253"/>
        <v>0.1005259811906147</v>
      </c>
      <c r="GF112" s="383">
        <f t="shared" si="253"/>
        <v>0.14488934163803804</v>
      </c>
      <c r="GG112" s="391">
        <f t="shared" si="253"/>
        <v>0.10815333054262639</v>
      </c>
      <c r="GH112" s="391">
        <f>GH109/GH$161</f>
        <v>6.77894800807681E-2</v>
      </c>
      <c r="GI112" s="391">
        <f t="shared" ref="GI112:GK112" si="254">GI109/GI$161</f>
        <v>5.5466098900708055E-2</v>
      </c>
      <c r="GJ112" s="391">
        <f t="shared" si="254"/>
        <v>4.8069594707273712E-2</v>
      </c>
      <c r="GK112" s="391">
        <f t="shared" si="254"/>
        <v>4.3300951482446511E-2</v>
      </c>
      <c r="GN112" s="443"/>
    </row>
    <row r="113" spans="1:196" s="382" customFormat="1">
      <c r="A113" s="395" t="s">
        <v>263</v>
      </c>
      <c r="B113" s="392"/>
      <c r="C113" s="392"/>
      <c r="D113" s="392"/>
      <c r="E113" s="392"/>
      <c r="F113" s="392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92"/>
      <c r="Y113" s="392"/>
      <c r="Z113" s="392"/>
      <c r="AA113" s="392"/>
      <c r="AB113" s="392"/>
      <c r="AC113" s="392"/>
      <c r="AD113" s="392"/>
      <c r="AE113" s="392"/>
      <c r="AF113" s="392"/>
      <c r="AG113" s="392"/>
      <c r="AH113" s="392"/>
      <c r="AI113" s="392"/>
      <c r="AJ113" s="392"/>
      <c r="AK113" s="392"/>
      <c r="AL113" s="392"/>
      <c r="AM113" s="392"/>
      <c r="AN113" s="392"/>
      <c r="AO113" s="392"/>
      <c r="AP113" s="392"/>
      <c r="AQ113" s="392"/>
      <c r="AR113" s="392"/>
      <c r="AS113" s="392"/>
      <c r="AT113" s="392"/>
      <c r="AU113" s="392"/>
      <c r="AV113" s="392"/>
      <c r="AW113" s="392"/>
      <c r="AX113" s="392"/>
      <c r="AY113" s="392"/>
      <c r="AZ113" s="392"/>
      <c r="BA113" s="392"/>
      <c r="BB113" s="392"/>
      <c r="BC113" s="392"/>
      <c r="BD113" s="392"/>
      <c r="BE113" s="392"/>
      <c r="BF113" s="392"/>
      <c r="BG113" s="392"/>
      <c r="BH113" s="392"/>
      <c r="BI113" s="392"/>
      <c r="BJ113" s="392"/>
      <c r="BK113" s="392"/>
      <c r="BL113" s="392"/>
      <c r="BM113" s="392"/>
      <c r="BN113" s="392"/>
      <c r="BO113" s="392"/>
      <c r="BP113" s="392"/>
      <c r="BQ113" s="392"/>
      <c r="BR113" s="392"/>
      <c r="BS113" s="392"/>
      <c r="BT113" s="392"/>
      <c r="BU113" s="392"/>
      <c r="BV113" s="392"/>
      <c r="BW113" s="392"/>
      <c r="BX113" s="392"/>
      <c r="BY113" s="392"/>
      <c r="BZ113" s="392"/>
      <c r="CA113" s="392"/>
      <c r="CB113" s="392"/>
      <c r="CC113" s="392"/>
      <c r="CD113" s="392"/>
      <c r="CE113" s="392"/>
      <c r="CF113" s="392"/>
      <c r="CG113" s="392"/>
      <c r="CH113" s="392"/>
      <c r="CI113" s="392"/>
      <c r="CJ113" s="392"/>
      <c r="CK113" s="392"/>
      <c r="CL113" s="392"/>
      <c r="CM113" s="392"/>
      <c r="CN113" s="392"/>
      <c r="CO113" s="392"/>
      <c r="CP113" s="392"/>
      <c r="CQ113" s="392"/>
      <c r="CR113" s="392"/>
      <c r="CS113" s="392"/>
      <c r="CT113" s="387"/>
      <c r="CU113" s="387"/>
      <c r="CV113" s="387"/>
      <c r="CW113" s="387"/>
      <c r="CX113" s="392"/>
      <c r="CY113" s="387"/>
      <c r="CZ113" s="387"/>
      <c r="DA113" s="387"/>
      <c r="DB113" s="387"/>
      <c r="DC113" s="387"/>
      <c r="DD113" s="387"/>
      <c r="DE113" s="387"/>
      <c r="DF113" s="387"/>
      <c r="DG113" s="387"/>
      <c r="DH113" s="387"/>
      <c r="DI113" s="387"/>
      <c r="DJ113" s="397">
        <f>DJ203</f>
        <v>994.85963541877243</v>
      </c>
      <c r="DK113" s="397">
        <f t="shared" ref="DK113:EW113" si="255">DK203</f>
        <v>1110.8789199999999</v>
      </c>
      <c r="DL113" s="397">
        <f t="shared" si="255"/>
        <v>1074.554795</v>
      </c>
      <c r="DM113" s="397">
        <f t="shared" si="255"/>
        <v>1175.25055</v>
      </c>
      <c r="DN113" s="397">
        <f t="shared" si="255"/>
        <v>1582.492</v>
      </c>
      <c r="DO113" s="397">
        <f t="shared" si="255"/>
        <v>1644.3096880000001</v>
      </c>
      <c r="DP113" s="397">
        <f t="shared" si="255"/>
        <v>560.12120299999992</v>
      </c>
      <c r="DQ113" s="397">
        <f t="shared" si="255"/>
        <v>485.36032491346151</v>
      </c>
      <c r="DR113" s="397">
        <f t="shared" si="255"/>
        <v>392.16490605959501</v>
      </c>
      <c r="DS113" s="397">
        <f t="shared" si="255"/>
        <v>557.85241017651583</v>
      </c>
      <c r="DT113" s="397">
        <f t="shared" si="255"/>
        <v>893.22413464516126</v>
      </c>
      <c r="DU113" s="397">
        <f>DU203</f>
        <v>862.29581199999996</v>
      </c>
      <c r="DV113" s="376">
        <f t="shared" si="255"/>
        <v>770.23468200000013</v>
      </c>
      <c r="DW113" s="376">
        <f t="shared" si="255"/>
        <v>907.63209199999994</v>
      </c>
      <c r="DX113" s="376">
        <f>DX203</f>
        <v>1097.8490983194595</v>
      </c>
      <c r="DY113" s="376">
        <f>DY203</f>
        <v>1304.9091787725945</v>
      </c>
      <c r="DZ113" s="376">
        <f t="shared" si="255"/>
        <v>1180.3330387538788</v>
      </c>
      <c r="EA113" s="376">
        <f t="shared" si="255"/>
        <v>1192.1688642733288</v>
      </c>
      <c r="EB113" s="376">
        <f t="shared" si="255"/>
        <v>1351.8204594126794</v>
      </c>
      <c r="EC113" s="376">
        <f t="shared" si="255"/>
        <v>1547.7108618123164</v>
      </c>
      <c r="ED113" s="376">
        <f t="shared" si="255"/>
        <v>1416.4649807306319</v>
      </c>
      <c r="EE113" s="380">
        <f t="shared" si="255"/>
        <v>1444.9359268433179</v>
      </c>
      <c r="EF113" s="380">
        <f t="shared" si="255"/>
        <v>1416.0372083064512</v>
      </c>
      <c r="EG113" s="380">
        <f t="shared" si="255"/>
        <v>1430.1975803895157</v>
      </c>
      <c r="EH113" s="380">
        <f t="shared" si="255"/>
        <v>1315.7817739583545</v>
      </c>
      <c r="EI113" s="380">
        <f t="shared" si="255"/>
        <v>1408.6759671998145</v>
      </c>
      <c r="EJ113" s="380">
        <f t="shared" si="255"/>
        <v>1550.8113722902758</v>
      </c>
      <c r="EK113" s="380">
        <f t="shared" si="255"/>
        <v>1660.2986551739691</v>
      </c>
      <c r="EL113" s="380">
        <f t="shared" si="255"/>
        <v>1477.6658031048328</v>
      </c>
      <c r="EM113" s="380">
        <f t="shared" si="255"/>
        <v>1507.2191191669294</v>
      </c>
      <c r="EN113" s="380">
        <f t="shared" si="255"/>
        <v>1567.9600496693567</v>
      </c>
      <c r="EO113" s="380">
        <f t="shared" si="255"/>
        <v>1663.2920206892538</v>
      </c>
      <c r="EP113" s="380">
        <f t="shared" si="255"/>
        <v>1513.5957388272211</v>
      </c>
      <c r="EQ113" s="380">
        <f t="shared" si="255"/>
        <v>1574.5936471019584</v>
      </c>
      <c r="ER113" s="380">
        <f t="shared" si="255"/>
        <v>1653.3233294570562</v>
      </c>
      <c r="ES113" s="380">
        <f t="shared" si="255"/>
        <v>1735.989495929909</v>
      </c>
      <c r="ET113" s="380">
        <f t="shared" si="255"/>
        <v>1562.3905463369183</v>
      </c>
      <c r="EU113" s="380">
        <f t="shared" si="255"/>
        <v>1609.5747408362931</v>
      </c>
      <c r="EV113" s="380">
        <f t="shared" si="255"/>
        <v>1690.6973077744426</v>
      </c>
      <c r="EW113" s="380">
        <f t="shared" si="255"/>
        <v>1792.9844948947969</v>
      </c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  <c r="GB113" s="397">
        <f>SUM(DJ113:DM113)</f>
        <v>4355.543900418772</v>
      </c>
      <c r="GC113" s="397">
        <f>SUM(DN113:DQ113)</f>
        <v>4272.2832159134614</v>
      </c>
      <c r="GD113" s="397">
        <f>SUM(DR113:DU113)</f>
        <v>2705.537262881272</v>
      </c>
      <c r="GE113" s="397">
        <f>SUM(DV113:DY113)</f>
        <v>4080.6250510920545</v>
      </c>
      <c r="GF113" s="397">
        <f>SUM(DZ113:EC113)</f>
        <v>5272.0332242522036</v>
      </c>
      <c r="GG113" s="410">
        <f>SUM(ED113:EG113)</f>
        <v>5707.6356962699165</v>
      </c>
      <c r="GH113" s="410">
        <f>SUM(EH113:EK113)</f>
        <v>5935.5677686224135</v>
      </c>
      <c r="GI113" s="410">
        <f>SUM(EL113:EO113)</f>
        <v>6216.1369926303732</v>
      </c>
      <c r="GJ113" s="410">
        <f>SUM(EP113:ES113)</f>
        <v>6477.5022113161449</v>
      </c>
      <c r="GK113" s="410">
        <f>SUM(ET113:EW113)</f>
        <v>6655.6470898424504</v>
      </c>
      <c r="GN113" s="443"/>
    </row>
    <row r="114" spans="1:196" s="382" customFormat="1">
      <c r="A114" s="396" t="s">
        <v>198</v>
      </c>
      <c r="B114" s="392"/>
      <c r="C114" s="392"/>
      <c r="D114" s="392"/>
      <c r="E114" s="392"/>
      <c r="F114" s="392"/>
      <c r="G114" s="392"/>
      <c r="H114" s="392"/>
      <c r="I114" s="392"/>
      <c r="J114" s="392"/>
      <c r="K114" s="392"/>
      <c r="L114" s="392"/>
      <c r="M114" s="392"/>
      <c r="N114" s="392"/>
      <c r="O114" s="392"/>
      <c r="P114" s="392"/>
      <c r="Q114" s="392"/>
      <c r="R114" s="392"/>
      <c r="S114" s="392"/>
      <c r="T114" s="392"/>
      <c r="U114" s="392"/>
      <c r="V114" s="392"/>
      <c r="W114" s="392"/>
      <c r="X114" s="392"/>
      <c r="Y114" s="392"/>
      <c r="Z114" s="392"/>
      <c r="AA114" s="392"/>
      <c r="AB114" s="392"/>
      <c r="AC114" s="392"/>
      <c r="AD114" s="392"/>
      <c r="AE114" s="392"/>
      <c r="AF114" s="392"/>
      <c r="AG114" s="392"/>
      <c r="AH114" s="392"/>
      <c r="AI114" s="392"/>
      <c r="AJ114" s="392"/>
      <c r="AK114" s="392"/>
      <c r="AL114" s="392"/>
      <c r="AM114" s="392"/>
      <c r="AN114" s="392"/>
      <c r="AO114" s="392"/>
      <c r="AP114" s="392"/>
      <c r="AQ114" s="392"/>
      <c r="AR114" s="392"/>
      <c r="AS114" s="392"/>
      <c r="AT114" s="392"/>
      <c r="AU114" s="392"/>
      <c r="AV114" s="392"/>
      <c r="AW114" s="392"/>
      <c r="AX114" s="392"/>
      <c r="AY114" s="392"/>
      <c r="AZ114" s="392"/>
      <c r="BA114" s="392"/>
      <c r="BB114" s="392"/>
      <c r="BC114" s="392"/>
      <c r="BD114" s="392"/>
      <c r="BE114" s="392"/>
      <c r="BF114" s="392"/>
      <c r="BG114" s="392"/>
      <c r="BH114" s="392"/>
      <c r="BI114" s="392"/>
      <c r="BJ114" s="392"/>
      <c r="BK114" s="392"/>
      <c r="BL114" s="392"/>
      <c r="BM114" s="392"/>
      <c r="BN114" s="392"/>
      <c r="BO114" s="392"/>
      <c r="BP114" s="392"/>
      <c r="BQ114" s="392"/>
      <c r="BR114" s="392"/>
      <c r="BS114" s="392"/>
      <c r="BT114" s="392"/>
      <c r="BU114" s="392"/>
      <c r="BV114" s="392"/>
      <c r="BW114" s="392"/>
      <c r="BX114" s="392"/>
      <c r="BY114" s="392"/>
      <c r="BZ114" s="392"/>
      <c r="CA114" s="392"/>
      <c r="CB114" s="392"/>
      <c r="CC114" s="392"/>
      <c r="CD114" s="392"/>
      <c r="CE114" s="392"/>
      <c r="CF114" s="392"/>
      <c r="CG114" s="392"/>
      <c r="CH114" s="392"/>
      <c r="CI114" s="392"/>
      <c r="CJ114" s="392"/>
      <c r="CK114" s="392"/>
      <c r="CL114" s="392"/>
      <c r="CM114" s="392"/>
      <c r="CN114" s="392"/>
      <c r="CO114" s="392"/>
      <c r="CP114" s="392"/>
      <c r="CQ114" s="392"/>
      <c r="CR114" s="392"/>
      <c r="CS114" s="392"/>
      <c r="CT114" s="387"/>
      <c r="CU114" s="387"/>
      <c r="CV114" s="387"/>
      <c r="CW114" s="387"/>
      <c r="CX114" s="392"/>
      <c r="CY114" s="387"/>
      <c r="CZ114" s="387"/>
      <c r="DA114" s="387"/>
      <c r="DB114" s="387"/>
      <c r="DC114" s="387"/>
      <c r="DD114" s="387"/>
      <c r="DE114" s="387"/>
      <c r="DF114" s="387"/>
      <c r="DG114" s="387"/>
      <c r="DH114" s="387"/>
      <c r="DI114" s="387"/>
      <c r="DJ114" s="442"/>
      <c r="DK114" s="33">
        <f>DK113/DJ113-1</f>
        <v>0.11661874746017897</v>
      </c>
      <c r="DL114" s="33">
        <f t="shared" ref="DL114:EW114" si="256">DL113/DK113-1</f>
        <v>-3.269854558046692E-2</v>
      </c>
      <c r="DM114" s="33">
        <f t="shared" si="256"/>
        <v>9.3709278920485417E-2</v>
      </c>
      <c r="DN114" s="33">
        <f t="shared" si="256"/>
        <v>0.34651457938054153</v>
      </c>
      <c r="DO114" s="33">
        <f t="shared" si="256"/>
        <v>3.9063507430053379E-2</v>
      </c>
      <c r="DP114" s="33">
        <f t="shared" si="256"/>
        <v>-0.65935784050431268</v>
      </c>
      <c r="DQ114" s="33">
        <f t="shared" si="256"/>
        <v>-0.13347267999518742</v>
      </c>
      <c r="DR114" s="33">
        <f t="shared" si="256"/>
        <v>-0.19201284915589878</v>
      </c>
      <c r="DS114" s="33">
        <f t="shared" si="256"/>
        <v>0.4224944699456159</v>
      </c>
      <c r="DT114" s="33">
        <f t="shared" si="256"/>
        <v>0.60118360761859391</v>
      </c>
      <c r="DU114" s="33">
        <f t="shared" si="256"/>
        <v>-3.4625489219956784E-2</v>
      </c>
      <c r="DV114" s="66">
        <f t="shared" si="256"/>
        <v>-0.10676281702734258</v>
      </c>
      <c r="DW114" s="66">
        <f t="shared" si="256"/>
        <v>0.17838382665817143</v>
      </c>
      <c r="DX114" s="66">
        <f t="shared" si="256"/>
        <v>0.2095750117212245</v>
      </c>
      <c r="DY114" s="66">
        <f t="shared" si="256"/>
        <v>0.18860522886988185</v>
      </c>
      <c r="DZ114" s="66">
        <f t="shared" si="256"/>
        <v>-9.5467287720278571E-2</v>
      </c>
      <c r="EA114" s="66">
        <f t="shared" si="256"/>
        <v>1.002753047728433E-2</v>
      </c>
      <c r="EB114" s="66">
        <f t="shared" si="256"/>
        <v>0.13391693066624755</v>
      </c>
      <c r="EC114" s="66">
        <f t="shared" si="256"/>
        <v>0.14490859421135327</v>
      </c>
      <c r="ED114" s="66">
        <f t="shared" si="256"/>
        <v>-8.4800000000000098E-2</v>
      </c>
      <c r="EE114" s="149">
        <f t="shared" si="256"/>
        <v>2.0100000000000229E-2</v>
      </c>
      <c r="EF114" s="149">
        <f t="shared" si="256"/>
        <v>-2.000000000000024E-2</v>
      </c>
      <c r="EG114" s="149">
        <f t="shared" si="256"/>
        <v>1.0000000000000009E-2</v>
      </c>
      <c r="EH114" s="149">
        <f t="shared" si="256"/>
        <v>-7.999999999999996E-2</v>
      </c>
      <c r="EI114" s="149">
        <f t="shared" si="256"/>
        <v>7.0600000000000218E-2</v>
      </c>
      <c r="EJ114" s="149">
        <f t="shared" si="256"/>
        <v>0.10089999999999999</v>
      </c>
      <c r="EK114" s="149">
        <f t="shared" si="256"/>
        <v>7.0599999999999996E-2</v>
      </c>
      <c r="EL114" s="149">
        <f t="shared" si="256"/>
        <v>-0.10999999999999988</v>
      </c>
      <c r="EM114" s="149">
        <f t="shared" si="256"/>
        <v>2.0000000000000018E-2</v>
      </c>
      <c r="EN114" s="149">
        <f t="shared" si="256"/>
        <v>4.0300000000000002E-2</v>
      </c>
      <c r="EO114" s="149">
        <f t="shared" si="256"/>
        <v>6.0800000000000187E-2</v>
      </c>
      <c r="EP114" s="149">
        <f t="shared" si="256"/>
        <v>-8.9999999999999969E-2</v>
      </c>
      <c r="EQ114" s="149">
        <f t="shared" si="256"/>
        <v>4.0300000000000225E-2</v>
      </c>
      <c r="ER114" s="149">
        <f t="shared" si="256"/>
        <v>4.9999999999999822E-2</v>
      </c>
      <c r="ES114" s="149">
        <f t="shared" si="256"/>
        <v>5.0000000000000044E-2</v>
      </c>
      <c r="ET114" s="149">
        <f t="shared" si="256"/>
        <v>-9.9999999999999867E-2</v>
      </c>
      <c r="EU114" s="149">
        <f t="shared" si="256"/>
        <v>3.0200000000000005E-2</v>
      </c>
      <c r="EV114" s="149">
        <f t="shared" si="256"/>
        <v>5.0400000000000222E-2</v>
      </c>
      <c r="EW114" s="149">
        <f t="shared" si="256"/>
        <v>6.050000000000022E-2</v>
      </c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  <c r="GB114" s="386" t="s">
        <v>199</v>
      </c>
      <c r="GC114" s="386" t="s">
        <v>199</v>
      </c>
      <c r="GD114" s="386" t="s">
        <v>199</v>
      </c>
      <c r="GE114" s="386" t="s">
        <v>199</v>
      </c>
      <c r="GF114" s="386" t="s">
        <v>199</v>
      </c>
      <c r="GG114" s="386" t="s">
        <v>199</v>
      </c>
      <c r="GH114" s="386" t="s">
        <v>199</v>
      </c>
      <c r="GI114" s="386" t="s">
        <v>199</v>
      </c>
      <c r="GJ114" s="386" t="s">
        <v>199</v>
      </c>
      <c r="GK114" s="386" t="s">
        <v>199</v>
      </c>
      <c r="GN114" s="443"/>
    </row>
    <row r="115" spans="1:196" s="382" customFormat="1">
      <c r="A115" s="396" t="s">
        <v>200</v>
      </c>
      <c r="B115" s="392"/>
      <c r="C115" s="392"/>
      <c r="D115" s="392"/>
      <c r="E115" s="392"/>
      <c r="F115" s="392"/>
      <c r="G115" s="392"/>
      <c r="H115" s="392"/>
      <c r="I115" s="392"/>
      <c r="J115" s="392"/>
      <c r="K115" s="392"/>
      <c r="L115" s="392"/>
      <c r="M115" s="392"/>
      <c r="N115" s="392"/>
      <c r="O115" s="392"/>
      <c r="P115" s="392"/>
      <c r="Q115" s="392"/>
      <c r="R115" s="392"/>
      <c r="S115" s="392"/>
      <c r="T115" s="392"/>
      <c r="U115" s="392"/>
      <c r="V115" s="392"/>
      <c r="W115" s="392"/>
      <c r="X115" s="392"/>
      <c r="Y115" s="392"/>
      <c r="Z115" s="392"/>
      <c r="AA115" s="392"/>
      <c r="AB115" s="392"/>
      <c r="AC115" s="392"/>
      <c r="AD115" s="392"/>
      <c r="AE115" s="392"/>
      <c r="AF115" s="392"/>
      <c r="AG115" s="392"/>
      <c r="AH115" s="392"/>
      <c r="AI115" s="392"/>
      <c r="AJ115" s="392"/>
      <c r="AK115" s="392"/>
      <c r="AL115" s="392"/>
      <c r="AM115" s="392"/>
      <c r="AN115" s="392"/>
      <c r="AO115" s="392"/>
      <c r="AP115" s="392"/>
      <c r="AQ115" s="392"/>
      <c r="AR115" s="392"/>
      <c r="AS115" s="392"/>
      <c r="AT115" s="392"/>
      <c r="AU115" s="392"/>
      <c r="AV115" s="392"/>
      <c r="AW115" s="392"/>
      <c r="AX115" s="392"/>
      <c r="AY115" s="392"/>
      <c r="AZ115" s="392"/>
      <c r="BA115" s="392"/>
      <c r="BB115" s="392"/>
      <c r="BC115" s="392"/>
      <c r="BD115" s="392"/>
      <c r="BE115" s="392"/>
      <c r="BF115" s="392"/>
      <c r="BG115" s="392"/>
      <c r="BH115" s="392"/>
      <c r="BI115" s="392"/>
      <c r="BJ115" s="392"/>
      <c r="BK115" s="392"/>
      <c r="BL115" s="392"/>
      <c r="BM115" s="392"/>
      <c r="BN115" s="392"/>
      <c r="BO115" s="392"/>
      <c r="BP115" s="392"/>
      <c r="BQ115" s="392"/>
      <c r="BR115" s="392"/>
      <c r="BS115" s="392"/>
      <c r="BT115" s="392"/>
      <c r="BU115" s="392"/>
      <c r="BV115" s="392"/>
      <c r="BW115" s="392"/>
      <c r="BX115" s="392"/>
      <c r="BY115" s="392"/>
      <c r="BZ115" s="392"/>
      <c r="CA115" s="392"/>
      <c r="CB115" s="392"/>
      <c r="CC115" s="392"/>
      <c r="CD115" s="392"/>
      <c r="CE115" s="392"/>
      <c r="CF115" s="392"/>
      <c r="CG115" s="392"/>
      <c r="CH115" s="392"/>
      <c r="CI115" s="392"/>
      <c r="CJ115" s="392"/>
      <c r="CK115" s="392"/>
      <c r="CL115" s="392"/>
      <c r="CM115" s="392"/>
      <c r="CN115" s="392"/>
      <c r="CO115" s="392"/>
      <c r="CP115" s="392"/>
      <c r="CQ115" s="392"/>
      <c r="CR115" s="392"/>
      <c r="CS115" s="392"/>
      <c r="CT115" s="387"/>
      <c r="CU115" s="387"/>
      <c r="CV115" s="387"/>
      <c r="CW115" s="387"/>
      <c r="CX115" s="392"/>
      <c r="CY115" s="387"/>
      <c r="CZ115" s="387"/>
      <c r="DA115" s="387"/>
      <c r="DB115" s="387"/>
      <c r="DC115" s="387"/>
      <c r="DD115" s="387"/>
      <c r="DE115" s="387"/>
      <c r="DF115" s="387"/>
      <c r="DG115" s="387"/>
      <c r="DH115" s="387"/>
      <c r="DI115" s="387"/>
      <c r="DJ115" s="442"/>
      <c r="DK115" s="33"/>
      <c r="DL115" s="33"/>
      <c r="DM115" s="33"/>
      <c r="DN115" s="33">
        <f>DN113/DJ113-1</f>
        <v>0.59066861661733006</v>
      </c>
      <c r="DO115" s="33">
        <f t="shared" ref="DO115:EW115" si="257">DO113/DK113-1</f>
        <v>0.48018803705447954</v>
      </c>
      <c r="DP115" s="33">
        <f t="shared" si="257"/>
        <v>-0.47874114414053692</v>
      </c>
      <c r="DQ115" s="33">
        <f t="shared" si="257"/>
        <v>-0.58701544541845863</v>
      </c>
      <c r="DR115" s="33">
        <f t="shared" si="257"/>
        <v>-0.75218522048794245</v>
      </c>
      <c r="DS115" s="33">
        <f t="shared" si="257"/>
        <v>-0.66073762488437282</v>
      </c>
      <c r="DT115" s="33">
        <f t="shared" si="257"/>
        <v>0.5946979508382606</v>
      </c>
      <c r="DU115" s="33">
        <f t="shared" si="257"/>
        <v>0.77660959855700007</v>
      </c>
      <c r="DV115" s="66">
        <f t="shared" si="257"/>
        <v>0.96405815537954354</v>
      </c>
      <c r="DW115" s="66">
        <f t="shared" si="257"/>
        <v>0.62701115105482241</v>
      </c>
      <c r="DX115" s="66">
        <f t="shared" si="257"/>
        <v>0.22908579799580386</v>
      </c>
      <c r="DY115" s="66">
        <f t="shared" si="257"/>
        <v>0.51329643564660454</v>
      </c>
      <c r="DZ115" s="66">
        <f t="shared" si="257"/>
        <v>0.5324329926159812</v>
      </c>
      <c r="EA115" s="66">
        <f t="shared" si="257"/>
        <v>0.31349351216343835</v>
      </c>
      <c r="EB115" s="66">
        <f t="shared" si="257"/>
        <v>0.23133540072309433</v>
      </c>
      <c r="EC115" s="66">
        <f t="shared" si="257"/>
        <v>0.18606787889108323</v>
      </c>
      <c r="ED115" s="66">
        <f t="shared" si="257"/>
        <v>0.20005535236567318</v>
      </c>
      <c r="EE115" s="149">
        <f t="shared" si="257"/>
        <v>0.21202286869323661</v>
      </c>
      <c r="EF115" s="149">
        <f t="shared" si="257"/>
        <v>4.7503903677912795E-2</v>
      </c>
      <c r="EG115" s="149">
        <f t="shared" si="257"/>
        <v>-7.59271543040001E-2</v>
      </c>
      <c r="EH115" s="149">
        <f t="shared" si="257"/>
        <v>-7.1080618400000017E-2</v>
      </c>
      <c r="EI115" s="149">
        <f t="shared" si="257"/>
        <v>-2.5094510400000103E-2</v>
      </c>
      <c r="EJ115" s="149">
        <f t="shared" si="257"/>
        <v>9.5176993368000229E-2</v>
      </c>
      <c r="EK115" s="149">
        <f t="shared" si="257"/>
        <v>0.16088761297008003</v>
      </c>
      <c r="EL115" s="149">
        <f t="shared" si="257"/>
        <v>0.12303258211236034</v>
      </c>
      <c r="EM115" s="149">
        <f t="shared" si="257"/>
        <v>6.9954449612000147E-2</v>
      </c>
      <c r="EN115" s="149">
        <f t="shared" si="257"/>
        <v>1.105787440400019E-2</v>
      </c>
      <c r="EO115" s="149">
        <f t="shared" si="257"/>
        <v>1.8029078720003255E-3</v>
      </c>
      <c r="EP115" s="149">
        <f t="shared" si="257"/>
        <v>2.4315332768000353E-2</v>
      </c>
      <c r="EQ115" s="149">
        <f t="shared" si="257"/>
        <v>4.4701216351520356E-2</v>
      </c>
      <c r="ER115" s="149">
        <f t="shared" si="257"/>
        <v>5.4442254320000272E-2</v>
      </c>
      <c r="ES115" s="149">
        <f t="shared" si="257"/>
        <v>4.3706982500000269E-2</v>
      </c>
      <c r="ET115" s="149">
        <f t="shared" si="257"/>
        <v>3.2237675000000188E-2</v>
      </c>
      <c r="EU115" s="149">
        <f t="shared" si="257"/>
        <v>2.2215950000000095E-2</v>
      </c>
      <c r="EV115" s="149">
        <f t="shared" si="257"/>
        <v>2.260536560000026E-2</v>
      </c>
      <c r="EW115" s="149">
        <f t="shared" si="257"/>
        <v>3.2831419256000416E-2</v>
      </c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386" t="s">
        <v>199</v>
      </c>
      <c r="GC115" s="383">
        <f t="shared" ref="GC115:GK115" si="258">GC113/GB113-1</f>
        <v>-1.9116024636396278E-2</v>
      </c>
      <c r="GD115" s="383">
        <f t="shared" si="258"/>
        <v>-0.36672333594279327</v>
      </c>
      <c r="GE115" s="383">
        <f t="shared" si="258"/>
        <v>0.50824943610141871</v>
      </c>
      <c r="GF115" s="383">
        <f t="shared" si="258"/>
        <v>0.29196707814193945</v>
      </c>
      <c r="GG115" s="444">
        <f t="shared" si="258"/>
        <v>8.2625137871641385E-2</v>
      </c>
      <c r="GH115" s="444">
        <f t="shared" si="258"/>
        <v>3.9934586662820237E-2</v>
      </c>
      <c r="GI115" s="444">
        <f t="shared" si="258"/>
        <v>4.7269146768258885E-2</v>
      </c>
      <c r="GJ115" s="444">
        <f t="shared" si="258"/>
        <v>4.2046244958184875E-2</v>
      </c>
      <c r="GK115" s="444">
        <f t="shared" si="258"/>
        <v>2.7502094590579729E-2</v>
      </c>
      <c r="GN115" s="443"/>
    </row>
    <row r="116" spans="1:196" s="382" customFormat="1">
      <c r="A116" s="396" t="s">
        <v>261</v>
      </c>
      <c r="B116" s="392"/>
      <c r="C116" s="392"/>
      <c r="D116" s="392"/>
      <c r="E116" s="392"/>
      <c r="F116" s="392"/>
      <c r="G116" s="392"/>
      <c r="H116" s="392"/>
      <c r="I116" s="392"/>
      <c r="J116" s="392"/>
      <c r="K116" s="392"/>
      <c r="L116" s="392"/>
      <c r="M116" s="392"/>
      <c r="N116" s="392"/>
      <c r="O116" s="392"/>
      <c r="P116" s="392"/>
      <c r="Q116" s="392"/>
      <c r="R116" s="392"/>
      <c r="S116" s="392"/>
      <c r="T116" s="392"/>
      <c r="U116" s="392"/>
      <c r="V116" s="392"/>
      <c r="W116" s="392"/>
      <c r="X116" s="392"/>
      <c r="Y116" s="392"/>
      <c r="Z116" s="392"/>
      <c r="AA116" s="392"/>
      <c r="AB116" s="392"/>
      <c r="AC116" s="392"/>
      <c r="AD116" s="392"/>
      <c r="AE116" s="392"/>
      <c r="AF116" s="392"/>
      <c r="AG116" s="392"/>
      <c r="AH116" s="392"/>
      <c r="AI116" s="392"/>
      <c r="AJ116" s="392"/>
      <c r="AK116" s="392"/>
      <c r="AL116" s="392"/>
      <c r="AM116" s="392"/>
      <c r="AN116" s="392"/>
      <c r="AO116" s="392"/>
      <c r="AP116" s="392"/>
      <c r="AQ116" s="392"/>
      <c r="AR116" s="392"/>
      <c r="AS116" s="392"/>
      <c r="AT116" s="392"/>
      <c r="AU116" s="392"/>
      <c r="AV116" s="392"/>
      <c r="AW116" s="392"/>
      <c r="AX116" s="392"/>
      <c r="AY116" s="392"/>
      <c r="AZ116" s="392"/>
      <c r="BA116" s="392"/>
      <c r="BB116" s="392"/>
      <c r="BC116" s="392"/>
      <c r="BD116" s="392"/>
      <c r="BE116" s="392"/>
      <c r="BF116" s="392"/>
      <c r="BG116" s="392"/>
      <c r="BH116" s="392"/>
      <c r="BI116" s="392"/>
      <c r="BJ116" s="392"/>
      <c r="BK116" s="392"/>
      <c r="BL116" s="392"/>
      <c r="BM116" s="392"/>
      <c r="BN116" s="392"/>
      <c r="BO116" s="392"/>
      <c r="BP116" s="392"/>
      <c r="BQ116" s="392"/>
      <c r="BR116" s="392"/>
      <c r="BS116" s="392"/>
      <c r="BT116" s="392"/>
      <c r="BU116" s="392"/>
      <c r="BV116" s="392"/>
      <c r="BW116" s="392"/>
      <c r="BX116" s="392"/>
      <c r="BY116" s="392"/>
      <c r="BZ116" s="392"/>
      <c r="CA116" s="392"/>
      <c r="CB116" s="392"/>
      <c r="CC116" s="392"/>
      <c r="CD116" s="392"/>
      <c r="CE116" s="392"/>
      <c r="CF116" s="392"/>
      <c r="CG116" s="392"/>
      <c r="CH116" s="392"/>
      <c r="CI116" s="392"/>
      <c r="CJ116" s="392"/>
      <c r="CK116" s="392"/>
      <c r="CL116" s="392"/>
      <c r="CM116" s="392"/>
      <c r="CN116" s="392"/>
      <c r="CO116" s="392"/>
      <c r="CP116" s="392"/>
      <c r="CQ116" s="392"/>
      <c r="CR116" s="392"/>
      <c r="CS116" s="392"/>
      <c r="CT116" s="387"/>
      <c r="CU116" s="387"/>
      <c r="CV116" s="387"/>
      <c r="CW116" s="387"/>
      <c r="CX116" s="392"/>
      <c r="CY116" s="387"/>
      <c r="CZ116" s="387"/>
      <c r="DA116" s="387"/>
      <c r="DB116" s="387"/>
      <c r="DC116" s="387"/>
      <c r="DD116" s="387"/>
      <c r="DE116" s="387"/>
      <c r="DF116" s="387"/>
      <c r="DG116" s="387"/>
      <c r="DH116" s="387"/>
      <c r="DI116" s="387"/>
      <c r="DJ116" s="33">
        <f t="shared" ref="DJ116:EW116" si="259">DJ113/DJ$161</f>
        <v>0.28878363872823581</v>
      </c>
      <c r="DK116" s="33">
        <f t="shared" si="259"/>
        <v>0.28853997922077917</v>
      </c>
      <c r="DL116" s="33">
        <f t="shared" si="259"/>
        <v>0.24914324020403431</v>
      </c>
      <c r="DM116" s="33">
        <f t="shared" si="259"/>
        <v>0.24352477206796519</v>
      </c>
      <c r="DN116" s="33">
        <f t="shared" si="259"/>
        <v>0.26881127908951929</v>
      </c>
      <c r="DO116" s="33">
        <f t="shared" si="259"/>
        <v>0.25103964702290077</v>
      </c>
      <c r="DP116" s="33">
        <f t="shared" si="259"/>
        <v>0.10065071033243485</v>
      </c>
      <c r="DQ116" s="33">
        <f t="shared" si="259"/>
        <v>8.6686966407119398E-2</v>
      </c>
      <c r="DR116" s="33">
        <f t="shared" si="259"/>
        <v>7.3260770793871666E-2</v>
      </c>
      <c r="DS116" s="33">
        <f t="shared" si="259"/>
        <v>0.10409636316038735</v>
      </c>
      <c r="DT116" s="33">
        <f t="shared" si="259"/>
        <v>0.15400416114571747</v>
      </c>
      <c r="DU116" s="33">
        <f t="shared" si="259"/>
        <v>0.13980152594033721</v>
      </c>
      <c r="DV116" s="66">
        <f t="shared" si="259"/>
        <v>0.1407335432121323</v>
      </c>
      <c r="DW116" s="66">
        <f t="shared" si="259"/>
        <v>0.15554963016281062</v>
      </c>
      <c r="DX116" s="66">
        <f>DX113/DX$161</f>
        <v>0.16099854792776938</v>
      </c>
      <c r="DY116" s="66">
        <f>DY113/DY$161</f>
        <v>0.17039816907450961</v>
      </c>
      <c r="DZ116" s="66">
        <f t="shared" si="259"/>
        <v>0.15868957229818215</v>
      </c>
      <c r="EA116" s="66">
        <f t="shared" si="259"/>
        <v>0.15512932521448652</v>
      </c>
      <c r="EB116" s="66">
        <f t="shared" si="259"/>
        <v>0.14620597657502482</v>
      </c>
      <c r="EC116" s="66">
        <f t="shared" si="259"/>
        <v>0.15070212870616517</v>
      </c>
      <c r="ED116" s="66">
        <f t="shared" si="259"/>
        <v>0.1381512709188171</v>
      </c>
      <c r="EE116" s="154">
        <f t="shared" si="259"/>
        <v>0.12875331561282208</v>
      </c>
      <c r="EF116" s="154">
        <f t="shared" si="259"/>
        <v>0.1180658720462852</v>
      </c>
      <c r="EG116" s="154">
        <f t="shared" si="259"/>
        <v>8.8329734599795207E-2</v>
      </c>
      <c r="EH116" s="154">
        <f t="shared" si="259"/>
        <v>7.5468552586945209E-2</v>
      </c>
      <c r="EI116" s="154">
        <f t="shared" si="259"/>
        <v>7.3324547394376383E-2</v>
      </c>
      <c r="EJ116" s="154">
        <f t="shared" si="259"/>
        <v>7.0058872397204847E-2</v>
      </c>
      <c r="EK116" s="154">
        <f t="shared" si="259"/>
        <v>6.7716137739387824E-2</v>
      </c>
      <c r="EL116" s="154">
        <f t="shared" si="259"/>
        <v>6.1719932784113335E-2</v>
      </c>
      <c r="EM116" s="154">
        <f t="shared" si="259"/>
        <v>6.0209077751894324E-2</v>
      </c>
      <c r="EN116" s="154">
        <f t="shared" si="259"/>
        <v>5.8349366426156818E-2</v>
      </c>
      <c r="EO116" s="154">
        <f t="shared" si="259"/>
        <v>5.7849440040349677E-2</v>
      </c>
      <c r="EP116" s="154">
        <f t="shared" si="259"/>
        <v>5.371824964387327E-2</v>
      </c>
      <c r="EQ116" s="154">
        <f t="shared" si="259"/>
        <v>5.3597201763817139E-2</v>
      </c>
      <c r="ER116" s="154">
        <f t="shared" si="259"/>
        <v>5.2128787596518615E-2</v>
      </c>
      <c r="ES116" s="154">
        <f t="shared" si="259"/>
        <v>5.2424279903664446E-2</v>
      </c>
      <c r="ET116" s="154">
        <f t="shared" si="259"/>
        <v>4.9265629808833762E-2</v>
      </c>
      <c r="EU116" s="154">
        <f t="shared" si="259"/>
        <v>4.8693926772211946E-2</v>
      </c>
      <c r="EV116" s="154">
        <f t="shared" si="259"/>
        <v>4.6548036632585714E-2</v>
      </c>
      <c r="EW116" s="154">
        <f t="shared" si="259"/>
        <v>4.7187268673272331E-2</v>
      </c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383">
        <f t="shared" ref="GB116:GG116" si="260">GB113/GB$161</f>
        <v>0.26503248755134307</v>
      </c>
      <c r="GC116" s="383">
        <f t="shared" si="260"/>
        <v>0.18102127943364524</v>
      </c>
      <c r="GD116" s="383">
        <f t="shared" si="260"/>
        <v>0.1192917664409732</v>
      </c>
      <c r="GE116" s="383">
        <f t="shared" si="260"/>
        <v>0.15825577083932729</v>
      </c>
      <c r="GF116" s="383">
        <f t="shared" si="260"/>
        <v>0.15219934825636433</v>
      </c>
      <c r="GG116" s="391">
        <f t="shared" si="260"/>
        <v>0.11493262372642347</v>
      </c>
      <c r="GH116" s="391">
        <f>GH113/GH$161</f>
        <v>7.1254722018381234E-2</v>
      </c>
      <c r="GI116" s="391">
        <f t="shared" ref="GI116:GK116" si="261">GI113/GI$161</f>
        <v>5.942850830630983E-2</v>
      </c>
      <c r="GJ116" s="391">
        <f t="shared" si="261"/>
        <v>5.2927168957997831E-2</v>
      </c>
      <c r="GK116" s="391">
        <f t="shared" si="261"/>
        <v>4.785229629608221E-2</v>
      </c>
      <c r="GN116" s="443"/>
    </row>
    <row r="117" spans="1:196" s="382" customFormat="1">
      <c r="A117" s="395" t="s">
        <v>264</v>
      </c>
      <c r="B117" s="392"/>
      <c r="C117" s="392"/>
      <c r="D117" s="392"/>
      <c r="E117" s="392"/>
      <c r="F117" s="392"/>
      <c r="G117" s="392"/>
      <c r="H117" s="392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392"/>
      <c r="V117" s="392"/>
      <c r="W117" s="392"/>
      <c r="X117" s="392"/>
      <c r="Y117" s="392"/>
      <c r="Z117" s="392"/>
      <c r="AA117" s="392"/>
      <c r="AB117" s="392"/>
      <c r="AC117" s="392"/>
      <c r="AD117" s="392"/>
      <c r="AE117" s="392"/>
      <c r="AF117" s="392"/>
      <c r="AG117" s="392"/>
      <c r="AH117" s="392"/>
      <c r="AI117" s="392"/>
      <c r="AJ117" s="392"/>
      <c r="AK117" s="392"/>
      <c r="AL117" s="392"/>
      <c r="AM117" s="392"/>
      <c r="AN117" s="392"/>
      <c r="AO117" s="392"/>
      <c r="AP117" s="392"/>
      <c r="AQ117" s="392"/>
      <c r="AR117" s="392"/>
      <c r="AS117" s="392"/>
      <c r="AT117" s="392"/>
      <c r="AU117" s="392"/>
      <c r="AV117" s="392"/>
      <c r="AW117" s="392"/>
      <c r="AX117" s="392"/>
      <c r="AY117" s="392"/>
      <c r="AZ117" s="392"/>
      <c r="BA117" s="392"/>
      <c r="BB117" s="392"/>
      <c r="BC117" s="392"/>
      <c r="BD117" s="392"/>
      <c r="BE117" s="392"/>
      <c r="BF117" s="392"/>
      <c r="BG117" s="392"/>
      <c r="BH117" s="392"/>
      <c r="BI117" s="392"/>
      <c r="BJ117" s="392"/>
      <c r="BK117" s="392"/>
      <c r="BL117" s="392"/>
      <c r="BM117" s="392"/>
      <c r="BN117" s="392"/>
      <c r="BO117" s="392"/>
      <c r="BP117" s="392"/>
      <c r="BQ117" s="392"/>
      <c r="BR117" s="392"/>
      <c r="BS117" s="392"/>
      <c r="BT117" s="392"/>
      <c r="BU117" s="392"/>
      <c r="BV117" s="392"/>
      <c r="BW117" s="392"/>
      <c r="BX117" s="392"/>
      <c r="BY117" s="392"/>
      <c r="BZ117" s="392"/>
      <c r="CA117" s="392"/>
      <c r="CB117" s="392"/>
      <c r="CC117" s="392"/>
      <c r="CD117" s="392"/>
      <c r="CE117" s="392"/>
      <c r="CF117" s="392"/>
      <c r="CG117" s="392"/>
      <c r="CH117" s="392"/>
      <c r="CI117" s="392"/>
      <c r="CJ117" s="392"/>
      <c r="CK117" s="392"/>
      <c r="CL117" s="392"/>
      <c r="CM117" s="392"/>
      <c r="CN117" s="392"/>
      <c r="CO117" s="392"/>
      <c r="CP117" s="392"/>
      <c r="CQ117" s="392"/>
      <c r="CR117" s="392"/>
      <c r="CS117" s="392"/>
      <c r="CT117" s="387"/>
      <c r="CU117" s="387"/>
      <c r="CV117" s="387"/>
      <c r="CW117" s="387"/>
      <c r="CX117" s="392"/>
      <c r="CY117" s="387"/>
      <c r="CZ117" s="387"/>
      <c r="DA117" s="387"/>
      <c r="DB117" s="387"/>
      <c r="DC117" s="387"/>
      <c r="DD117" s="387"/>
      <c r="DE117" s="387"/>
      <c r="DF117" s="387"/>
      <c r="DG117" s="387"/>
      <c r="DH117" s="387"/>
      <c r="DI117" s="387"/>
      <c r="DJ117" s="445">
        <f>DJ105-DJ109-DJ113</f>
        <v>49.354139842481459</v>
      </c>
      <c r="DK117" s="445">
        <f t="shared" ref="DK117:ED117" si="262">DK105-DK109-DK113</f>
        <v>81.80780441720276</v>
      </c>
      <c r="DL117" s="445">
        <f t="shared" si="262"/>
        <v>72.937065000000075</v>
      </c>
      <c r="DM117" s="445">
        <f t="shared" si="262"/>
        <v>46.050999999999931</v>
      </c>
      <c r="DN117" s="445">
        <f t="shared" si="262"/>
        <v>75.972974999999906</v>
      </c>
      <c r="DO117" s="445">
        <f t="shared" si="262"/>
        <v>47.426711999999952</v>
      </c>
      <c r="DP117" s="445">
        <f t="shared" si="262"/>
        <v>66.644072000000051</v>
      </c>
      <c r="DQ117" s="445">
        <f t="shared" si="262"/>
        <v>52.806295086538455</v>
      </c>
      <c r="DR117" s="445">
        <f t="shared" si="262"/>
        <v>49.748093940404999</v>
      </c>
      <c r="DS117" s="445">
        <f t="shared" si="262"/>
        <v>60.570289823484245</v>
      </c>
      <c r="DT117" s="445">
        <f t="shared" si="262"/>
        <v>79.309470354840073</v>
      </c>
      <c r="DU117" s="445">
        <f t="shared" si="262"/>
        <v>71.6740645000001</v>
      </c>
      <c r="DV117" s="134">
        <f t="shared" si="262"/>
        <v>85.845542999999907</v>
      </c>
      <c r="DW117" s="134">
        <f t="shared" si="262"/>
        <v>87.104818000000137</v>
      </c>
      <c r="DX117" s="134">
        <f t="shared" si="262"/>
        <v>92.38640168054053</v>
      </c>
      <c r="DY117" s="134">
        <f t="shared" si="262"/>
        <v>115.97576122740543</v>
      </c>
      <c r="DZ117" s="134">
        <f t="shared" si="262"/>
        <v>99.295981246121073</v>
      </c>
      <c r="EA117" s="134">
        <f t="shared" si="262"/>
        <v>104.74088572667119</v>
      </c>
      <c r="EB117" s="134">
        <f t="shared" si="262"/>
        <v>63.933065587320471</v>
      </c>
      <c r="EC117" s="134">
        <f t="shared" si="262"/>
        <v>81.174938187683665</v>
      </c>
      <c r="ED117" s="134">
        <f t="shared" si="262"/>
        <v>107.59315586936805</v>
      </c>
      <c r="EE117" s="410">
        <f t="shared" ref="EE117:EH117" si="263">ED117*(1+EE118)</f>
        <v>101.13756651720595</v>
      </c>
      <c r="EF117" s="410">
        <f t="shared" si="263"/>
        <v>106.19444484306625</v>
      </c>
      <c r="EG117" s="410">
        <f t="shared" si="263"/>
        <v>113.62805598208089</v>
      </c>
      <c r="EH117" s="410">
        <f t="shared" si="263"/>
        <v>99.992689264231188</v>
      </c>
      <c r="EI117" s="410">
        <f>EH117*(1+EI118)</f>
        <v>102.99246994215812</v>
      </c>
      <c r="EJ117" s="410">
        <f>EI117*(1+EJ118)</f>
        <v>107.11216873984445</v>
      </c>
      <c r="EK117" s="410">
        <f>EJ117*(1+EK118)</f>
        <v>112.46777717683668</v>
      </c>
      <c r="EL117" s="410">
        <f t="shared" ref="EL117" si="264">EK117*(1+EL118)</f>
        <v>102.34567723092138</v>
      </c>
      <c r="EM117" s="410">
        <f>EL117*(1+EM118)</f>
        <v>106.43950432015824</v>
      </c>
      <c r="EN117" s="410">
        <f>EM117*(1+EN118)</f>
        <v>111.76147953616615</v>
      </c>
      <c r="EO117" s="410">
        <f>EN117*(1+EO118)</f>
        <v>119.58478310369779</v>
      </c>
      <c r="EP117" s="410">
        <f t="shared" ref="EP117" si="265">EO117*(1+EP118)</f>
        <v>107.62630479332802</v>
      </c>
      <c r="EQ117" s="410">
        <f>EP117*(1+EQ118)</f>
        <v>110.85509393712786</v>
      </c>
      <c r="ER117" s="410">
        <f>EQ117*(1+ER118)</f>
        <v>116.39784863398425</v>
      </c>
      <c r="ES117" s="410">
        <f>ER117*(1+ES118)</f>
        <v>124.54569803836316</v>
      </c>
      <c r="ET117" s="410">
        <f t="shared" ref="ET117" si="266">ES117*(1+ET118)</f>
        <v>112.09112823452685</v>
      </c>
      <c r="EU117" s="410">
        <f>ET117*(1+EU118)</f>
        <v>115.45386208156266</v>
      </c>
      <c r="EV117" s="410">
        <f>EU117*(1+EV118)</f>
        <v>121.22655518564081</v>
      </c>
      <c r="EW117" s="410">
        <f>EV117*(1+EW118)</f>
        <v>129.71241404863568</v>
      </c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397">
        <f>SUM(DJ117:DM117)</f>
        <v>250.15000925968423</v>
      </c>
      <c r="GC117" s="397">
        <f>SUM(DN117:DQ117)</f>
        <v>242.85005408653836</v>
      </c>
      <c r="GD117" s="397">
        <f>SUM(DR117:DU117)</f>
        <v>261.30191861872942</v>
      </c>
      <c r="GE117" s="397">
        <f>SUM(DV117:DY117)</f>
        <v>381.312523907946</v>
      </c>
      <c r="GF117" s="397">
        <f>SUM(DZ117:EC117)</f>
        <v>349.1448707477964</v>
      </c>
      <c r="GG117" s="410">
        <f>SUM(ED117:EG117)</f>
        <v>428.55322321172116</v>
      </c>
      <c r="GH117" s="410">
        <f>SUM(EH117:EK117)</f>
        <v>422.56510512307045</v>
      </c>
      <c r="GI117" s="410">
        <f>SUM(EL117:EO117)</f>
        <v>440.13144419094351</v>
      </c>
      <c r="GJ117" s="410">
        <f>SUM(EP117:ES117)</f>
        <v>459.42494540280325</v>
      </c>
      <c r="GK117" s="410">
        <f>SUM(ET117:EW117)</f>
        <v>478.48395955036597</v>
      </c>
      <c r="GN117" s="443"/>
    </row>
    <row r="118" spans="1:196" s="382" customFormat="1">
      <c r="A118" s="396" t="s">
        <v>198</v>
      </c>
      <c r="B118" s="392"/>
      <c r="C118" s="392"/>
      <c r="D118" s="392"/>
      <c r="E118" s="392"/>
      <c r="F118" s="392"/>
      <c r="G118" s="392"/>
      <c r="H118" s="392"/>
      <c r="I118" s="392"/>
      <c r="J118" s="392"/>
      <c r="K118" s="392"/>
      <c r="L118" s="392"/>
      <c r="M118" s="392"/>
      <c r="N118" s="392"/>
      <c r="O118" s="392"/>
      <c r="P118" s="392"/>
      <c r="Q118" s="392"/>
      <c r="R118" s="392"/>
      <c r="S118" s="392"/>
      <c r="T118" s="392"/>
      <c r="U118" s="392"/>
      <c r="V118" s="392"/>
      <c r="W118" s="392"/>
      <c r="X118" s="392"/>
      <c r="Y118" s="392"/>
      <c r="Z118" s="392"/>
      <c r="AA118" s="392"/>
      <c r="AB118" s="392"/>
      <c r="AC118" s="392"/>
      <c r="AD118" s="392"/>
      <c r="AE118" s="392"/>
      <c r="AF118" s="392"/>
      <c r="AG118" s="392"/>
      <c r="AH118" s="392"/>
      <c r="AI118" s="392"/>
      <c r="AJ118" s="392"/>
      <c r="AK118" s="392"/>
      <c r="AL118" s="392"/>
      <c r="AM118" s="392"/>
      <c r="AN118" s="392"/>
      <c r="AO118" s="392"/>
      <c r="AP118" s="392"/>
      <c r="AQ118" s="392"/>
      <c r="AR118" s="392"/>
      <c r="AS118" s="392"/>
      <c r="AT118" s="392"/>
      <c r="AU118" s="392"/>
      <c r="AV118" s="392"/>
      <c r="AW118" s="392"/>
      <c r="AX118" s="392"/>
      <c r="AY118" s="392"/>
      <c r="AZ118" s="392"/>
      <c r="BA118" s="392"/>
      <c r="BB118" s="392"/>
      <c r="BC118" s="392"/>
      <c r="BD118" s="392"/>
      <c r="BE118" s="392"/>
      <c r="BF118" s="392"/>
      <c r="BG118" s="392"/>
      <c r="BH118" s="392"/>
      <c r="BI118" s="392"/>
      <c r="BJ118" s="392"/>
      <c r="BK118" s="392"/>
      <c r="BL118" s="392"/>
      <c r="BM118" s="392"/>
      <c r="BN118" s="392"/>
      <c r="BO118" s="392"/>
      <c r="BP118" s="392"/>
      <c r="BQ118" s="392"/>
      <c r="BR118" s="392"/>
      <c r="BS118" s="392"/>
      <c r="BT118" s="392"/>
      <c r="BU118" s="392"/>
      <c r="BV118" s="392"/>
      <c r="BW118" s="392"/>
      <c r="BX118" s="392"/>
      <c r="BY118" s="392"/>
      <c r="BZ118" s="392"/>
      <c r="CA118" s="392"/>
      <c r="CB118" s="392"/>
      <c r="CC118" s="392"/>
      <c r="CD118" s="392"/>
      <c r="CE118" s="392"/>
      <c r="CF118" s="392"/>
      <c r="CG118" s="392"/>
      <c r="CH118" s="392"/>
      <c r="CI118" s="392"/>
      <c r="CJ118" s="392"/>
      <c r="CK118" s="392"/>
      <c r="CL118" s="392"/>
      <c r="CM118" s="392"/>
      <c r="CN118" s="392"/>
      <c r="CO118" s="392"/>
      <c r="CP118" s="392"/>
      <c r="CQ118" s="392"/>
      <c r="CR118" s="392"/>
      <c r="CS118" s="392"/>
      <c r="CT118" s="387"/>
      <c r="CU118" s="387"/>
      <c r="CV118" s="387"/>
      <c r="CW118" s="387"/>
      <c r="CX118" s="392"/>
      <c r="CY118" s="387"/>
      <c r="CZ118" s="387"/>
      <c r="DA118" s="387"/>
      <c r="DB118" s="387"/>
      <c r="DC118" s="387"/>
      <c r="DD118" s="387"/>
      <c r="DE118" s="387"/>
      <c r="DF118" s="387"/>
      <c r="DG118" s="387"/>
      <c r="DH118" s="387"/>
      <c r="DI118" s="387"/>
      <c r="DJ118" s="33"/>
      <c r="DK118" s="33">
        <f t="shared" ref="DK118:DU118" si="267">DK117/DJ117-1</f>
        <v>0.65756722087144737</v>
      </c>
      <c r="DL118" s="33">
        <f t="shared" si="267"/>
        <v>-0.10843390163564059</v>
      </c>
      <c r="DM118" s="33">
        <f t="shared" si="267"/>
        <v>-0.36862005620873439</v>
      </c>
      <c r="DN118" s="33">
        <f t="shared" si="267"/>
        <v>0.64975733425984283</v>
      </c>
      <c r="DO118" s="33">
        <f t="shared" si="267"/>
        <v>-0.37574233469203999</v>
      </c>
      <c r="DP118" s="33">
        <f t="shared" si="267"/>
        <v>0.40520118704413077</v>
      </c>
      <c r="DQ118" s="33">
        <f t="shared" si="267"/>
        <v>-0.20763702604279022</v>
      </c>
      <c r="DR118" s="33">
        <f t="shared" si="267"/>
        <v>-5.7913571499793814E-2</v>
      </c>
      <c r="DS118" s="33">
        <f t="shared" si="267"/>
        <v>0.2175399100927069</v>
      </c>
      <c r="DT118" s="33">
        <f t="shared" si="267"/>
        <v>0.30937907984204971</v>
      </c>
      <c r="DU118" s="33">
        <f t="shared" si="267"/>
        <v>-9.6273570113105666E-2</v>
      </c>
      <c r="DV118" s="66">
        <v>-0.12</v>
      </c>
      <c r="DW118" s="66">
        <f t="shared" ref="DW118:ED118" si="268">DW117/DV117-1</f>
        <v>1.4669078393507728E-2</v>
      </c>
      <c r="DX118" s="66">
        <f t="shared" si="268"/>
        <v>6.0634805304804029E-2</v>
      </c>
      <c r="DY118" s="66">
        <f t="shared" si="268"/>
        <v>0.25533367592812684</v>
      </c>
      <c r="DZ118" s="66">
        <f t="shared" si="268"/>
        <v>-0.14382125889718134</v>
      </c>
      <c r="EA118" s="66">
        <f t="shared" si="268"/>
        <v>5.4835094152038799E-2</v>
      </c>
      <c r="EB118" s="66">
        <f t="shared" si="268"/>
        <v>-0.38960736159747245</v>
      </c>
      <c r="EC118" s="66">
        <f t="shared" si="268"/>
        <v>0.26968631086231998</v>
      </c>
      <c r="ED118" s="66">
        <f t="shared" si="268"/>
        <v>0.32544795563136875</v>
      </c>
      <c r="EE118" s="149">
        <v>-0.06</v>
      </c>
      <c r="EF118" s="149">
        <v>0.05</v>
      </c>
      <c r="EG118" s="149">
        <v>7.0000000000000007E-2</v>
      </c>
      <c r="EH118" s="149">
        <v>-0.12</v>
      </c>
      <c r="EI118" s="149">
        <v>0.03</v>
      </c>
      <c r="EJ118" s="149">
        <v>0.04</v>
      </c>
      <c r="EK118" s="149">
        <v>0.05</v>
      </c>
      <c r="EL118" s="149">
        <v>-0.09</v>
      </c>
      <c r="EM118" s="149">
        <v>0.04</v>
      </c>
      <c r="EN118" s="149">
        <v>0.05</v>
      </c>
      <c r="EO118" s="149">
        <v>7.0000000000000007E-2</v>
      </c>
      <c r="EP118" s="149">
        <v>-0.1</v>
      </c>
      <c r="EQ118" s="149">
        <v>0.03</v>
      </c>
      <c r="ER118" s="149">
        <v>0.05</v>
      </c>
      <c r="ES118" s="149">
        <v>7.0000000000000007E-2</v>
      </c>
      <c r="ET118" s="149">
        <v>-0.1</v>
      </c>
      <c r="EU118" s="149">
        <v>0.03</v>
      </c>
      <c r="EV118" s="149">
        <v>0.05</v>
      </c>
      <c r="EW118" s="149">
        <v>7.0000000000000007E-2</v>
      </c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  <c r="FK118" s="56"/>
      <c r="FL118" s="56"/>
      <c r="FM118" s="56"/>
      <c r="FN118" s="56"/>
      <c r="FO118" s="56"/>
      <c r="FP118" s="56"/>
      <c r="FQ118" s="56"/>
      <c r="FR118" s="56"/>
      <c r="FS118" s="56"/>
      <c r="FT118" s="56"/>
      <c r="FU118" s="56"/>
      <c r="FV118" s="56"/>
      <c r="FW118" s="56"/>
      <c r="FX118" s="56"/>
      <c r="FY118" s="56"/>
      <c r="FZ118" s="56"/>
      <c r="GA118" s="56"/>
      <c r="GB118" s="383"/>
      <c r="GC118" s="386" t="s">
        <v>199</v>
      </c>
      <c r="GD118" s="386" t="s">
        <v>199</v>
      </c>
      <c r="GE118" s="386" t="s">
        <v>199</v>
      </c>
      <c r="GF118" s="386" t="s">
        <v>199</v>
      </c>
      <c r="GG118" s="386" t="s">
        <v>199</v>
      </c>
      <c r="GH118" s="386" t="s">
        <v>199</v>
      </c>
      <c r="GI118" s="386" t="s">
        <v>199</v>
      </c>
      <c r="GJ118" s="386" t="s">
        <v>199</v>
      </c>
      <c r="GK118" s="386" t="s">
        <v>199</v>
      </c>
      <c r="GN118" s="443"/>
    </row>
    <row r="119" spans="1:196" s="382" customFormat="1">
      <c r="A119" s="396" t="s">
        <v>200</v>
      </c>
      <c r="B119" s="392"/>
      <c r="C119" s="392"/>
      <c r="D119" s="392"/>
      <c r="E119" s="392"/>
      <c r="F119" s="392"/>
      <c r="G119" s="392"/>
      <c r="H119" s="392"/>
      <c r="I119" s="392"/>
      <c r="J119" s="392"/>
      <c r="K119" s="392"/>
      <c r="L119" s="392"/>
      <c r="M119" s="392"/>
      <c r="N119" s="392"/>
      <c r="O119" s="392"/>
      <c r="P119" s="392"/>
      <c r="Q119" s="392"/>
      <c r="R119" s="392"/>
      <c r="S119" s="392"/>
      <c r="T119" s="392"/>
      <c r="U119" s="392"/>
      <c r="V119" s="392"/>
      <c r="W119" s="392"/>
      <c r="X119" s="392"/>
      <c r="Y119" s="392"/>
      <c r="Z119" s="392"/>
      <c r="AA119" s="392"/>
      <c r="AB119" s="392"/>
      <c r="AC119" s="392"/>
      <c r="AD119" s="392"/>
      <c r="AE119" s="392"/>
      <c r="AF119" s="392"/>
      <c r="AG119" s="392"/>
      <c r="AH119" s="392"/>
      <c r="AI119" s="392"/>
      <c r="AJ119" s="392"/>
      <c r="AK119" s="392"/>
      <c r="AL119" s="392"/>
      <c r="AM119" s="392"/>
      <c r="AN119" s="392"/>
      <c r="AO119" s="392"/>
      <c r="AP119" s="392"/>
      <c r="AQ119" s="392"/>
      <c r="AR119" s="392"/>
      <c r="AS119" s="392"/>
      <c r="AT119" s="392"/>
      <c r="AU119" s="392"/>
      <c r="AV119" s="392"/>
      <c r="AW119" s="392"/>
      <c r="AX119" s="392"/>
      <c r="AY119" s="392"/>
      <c r="AZ119" s="392"/>
      <c r="BA119" s="392"/>
      <c r="BB119" s="392"/>
      <c r="BC119" s="392"/>
      <c r="BD119" s="392"/>
      <c r="BE119" s="392"/>
      <c r="BF119" s="392"/>
      <c r="BG119" s="392"/>
      <c r="BH119" s="392"/>
      <c r="BI119" s="392"/>
      <c r="BJ119" s="392"/>
      <c r="BK119" s="392"/>
      <c r="BL119" s="392"/>
      <c r="BM119" s="392"/>
      <c r="BN119" s="392"/>
      <c r="BO119" s="392"/>
      <c r="BP119" s="392"/>
      <c r="BQ119" s="392"/>
      <c r="BR119" s="392"/>
      <c r="BS119" s="392"/>
      <c r="BT119" s="392"/>
      <c r="BU119" s="392"/>
      <c r="BV119" s="392"/>
      <c r="BW119" s="392"/>
      <c r="BX119" s="392"/>
      <c r="BY119" s="392"/>
      <c r="BZ119" s="392"/>
      <c r="CA119" s="392"/>
      <c r="CB119" s="392"/>
      <c r="CC119" s="392"/>
      <c r="CD119" s="392"/>
      <c r="CE119" s="392"/>
      <c r="CF119" s="392"/>
      <c r="CG119" s="392"/>
      <c r="CH119" s="392"/>
      <c r="CI119" s="392"/>
      <c r="CJ119" s="392"/>
      <c r="CK119" s="392"/>
      <c r="CL119" s="392"/>
      <c r="CM119" s="392"/>
      <c r="CN119" s="392"/>
      <c r="CO119" s="392"/>
      <c r="CP119" s="392"/>
      <c r="CQ119" s="392"/>
      <c r="CR119" s="392"/>
      <c r="CS119" s="392"/>
      <c r="CT119" s="387"/>
      <c r="CU119" s="387"/>
      <c r="CV119" s="387"/>
      <c r="CW119" s="387"/>
      <c r="CX119" s="392"/>
      <c r="CY119" s="387"/>
      <c r="CZ119" s="387"/>
      <c r="DA119" s="387"/>
      <c r="DB119" s="387"/>
      <c r="DC119" s="387"/>
      <c r="DD119" s="387"/>
      <c r="DE119" s="387"/>
      <c r="DF119" s="387"/>
      <c r="DG119" s="387"/>
      <c r="DH119" s="387"/>
      <c r="DI119" s="387"/>
      <c r="DJ119" s="33"/>
      <c r="DK119" s="33"/>
      <c r="DL119" s="33"/>
      <c r="DM119" s="33"/>
      <c r="DN119" s="33">
        <f t="shared" ref="DN119:EW119" si="269">DN117/DJ117-1</f>
        <v>0.53934351287399696</v>
      </c>
      <c r="DO119" s="33">
        <f t="shared" si="269"/>
        <v>-0.42026665624548976</v>
      </c>
      <c r="DP119" s="33">
        <f t="shared" si="269"/>
        <v>-8.6279767358338533E-2</v>
      </c>
      <c r="DQ119" s="33">
        <f t="shared" si="269"/>
        <v>0.14669160466740205</v>
      </c>
      <c r="DR119" s="33">
        <f t="shared" si="269"/>
        <v>-0.34518697022980793</v>
      </c>
      <c r="DS119" s="33">
        <f t="shared" si="269"/>
        <v>0.27713449381614952</v>
      </c>
      <c r="DT119" s="33">
        <f t="shared" si="269"/>
        <v>0.19004538550465533</v>
      </c>
      <c r="DU119" s="33">
        <f t="shared" si="269"/>
        <v>0.35730151836142499</v>
      </c>
      <c r="DV119" s="66">
        <f t="shared" si="269"/>
        <v>0.72560466543376156</v>
      </c>
      <c r="DW119" s="66">
        <f t="shared" si="269"/>
        <v>0.43807827655841858</v>
      </c>
      <c r="DX119" s="66">
        <f t="shared" si="269"/>
        <v>0.16488486516418144</v>
      </c>
      <c r="DY119" s="66">
        <f t="shared" si="269"/>
        <v>0.6180994064792471</v>
      </c>
      <c r="DZ119" s="66">
        <f t="shared" si="269"/>
        <v>0.15668184714168776</v>
      </c>
      <c r="EA119" s="66">
        <f t="shared" si="269"/>
        <v>0.2024694859780436</v>
      </c>
      <c r="EB119" s="66">
        <f t="shared" si="269"/>
        <v>-0.30798186286773876</v>
      </c>
      <c r="EC119" s="66">
        <f t="shared" si="269"/>
        <v>-0.30006979623513108</v>
      </c>
      <c r="ED119" s="66">
        <f t="shared" si="269"/>
        <v>8.3560024475523242E-2</v>
      </c>
      <c r="EE119" s="149">
        <f t="shared" si="269"/>
        <v>-3.4402222059381482E-2</v>
      </c>
      <c r="EF119" s="149">
        <f t="shared" si="269"/>
        <v>0.66102538440026359</v>
      </c>
      <c r="EG119" s="149">
        <f t="shared" si="269"/>
        <v>0.3997923314627323</v>
      </c>
      <c r="EH119" s="149">
        <f t="shared" si="269"/>
        <v>-7.0640800000000059E-2</v>
      </c>
      <c r="EI119" s="149">
        <f t="shared" si="269"/>
        <v>1.8340400000000034E-2</v>
      </c>
      <c r="EJ119" s="149">
        <f t="shared" si="269"/>
        <v>8.6419200000000806E-3</v>
      </c>
      <c r="EK119" s="149">
        <f t="shared" si="269"/>
        <v>-1.0211199999999976E-2</v>
      </c>
      <c r="EL119" s="149">
        <f t="shared" si="269"/>
        <v>2.3531600000000097E-2</v>
      </c>
      <c r="EM119" s="149">
        <f t="shared" si="269"/>
        <v>3.3468800000000076E-2</v>
      </c>
      <c r="EN119" s="149">
        <f t="shared" si="269"/>
        <v>4.3406000000000056E-2</v>
      </c>
      <c r="EO119" s="149">
        <f t="shared" si="269"/>
        <v>6.3280400000000236E-2</v>
      </c>
      <c r="EP119" s="149">
        <f t="shared" si="269"/>
        <v>5.1596000000000197E-2</v>
      </c>
      <c r="EQ119" s="149">
        <f t="shared" si="269"/>
        <v>4.1484500000000146E-2</v>
      </c>
      <c r="ER119" s="149">
        <f t="shared" si="269"/>
        <v>4.1484500000000146E-2</v>
      </c>
      <c r="ES119" s="149">
        <f t="shared" si="269"/>
        <v>4.1484500000000146E-2</v>
      </c>
      <c r="ET119" s="149">
        <f t="shared" si="269"/>
        <v>4.1484500000000146E-2</v>
      </c>
      <c r="EU119" s="149">
        <f t="shared" si="269"/>
        <v>4.1484500000000146E-2</v>
      </c>
      <c r="EV119" s="149">
        <f t="shared" si="269"/>
        <v>4.1484500000000368E-2</v>
      </c>
      <c r="EW119" s="149">
        <f t="shared" si="269"/>
        <v>4.1484500000000368E-2</v>
      </c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383"/>
      <c r="GC119" s="383">
        <f t="shared" ref="GC119:GK119" si="270">GC117/GB117-1</f>
        <v>-2.9182310225572161E-2</v>
      </c>
      <c r="GD119" s="383">
        <f t="shared" si="270"/>
        <v>7.5980483519331843E-2</v>
      </c>
      <c r="GE119" s="383">
        <f t="shared" si="270"/>
        <v>0.45927946462699465</v>
      </c>
      <c r="GF119" s="383">
        <f t="shared" si="270"/>
        <v>-8.4360337369656646E-2</v>
      </c>
      <c r="GG119" s="444">
        <f t="shared" si="270"/>
        <v>0.22743668636416858</v>
      </c>
      <c r="GH119" s="444">
        <f t="shared" si="270"/>
        <v>-1.3972869096103735E-2</v>
      </c>
      <c r="GI119" s="444">
        <f t="shared" si="270"/>
        <v>4.1570728048538008E-2</v>
      </c>
      <c r="GJ119" s="444">
        <f t="shared" si="270"/>
        <v>4.383577103273173E-2</v>
      </c>
      <c r="GK119" s="444">
        <f t="shared" si="270"/>
        <v>4.1484500000000368E-2</v>
      </c>
      <c r="GN119" s="443"/>
    </row>
    <row r="120" spans="1:196" s="382" customFormat="1">
      <c r="A120" s="396" t="s">
        <v>261</v>
      </c>
      <c r="B120" s="392"/>
      <c r="C120" s="392"/>
      <c r="D120" s="392"/>
      <c r="E120" s="392"/>
      <c r="F120" s="392"/>
      <c r="G120" s="392"/>
      <c r="H120" s="392"/>
      <c r="I120" s="392"/>
      <c r="J120" s="392"/>
      <c r="K120" s="392"/>
      <c r="L120" s="392"/>
      <c r="M120" s="392"/>
      <c r="N120" s="392"/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/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/>
      <c r="AM120" s="392"/>
      <c r="AN120" s="392"/>
      <c r="AO120" s="392"/>
      <c r="AP120" s="392"/>
      <c r="AQ120" s="392"/>
      <c r="AR120" s="392"/>
      <c r="AS120" s="392"/>
      <c r="AT120" s="392"/>
      <c r="AU120" s="392"/>
      <c r="AV120" s="392"/>
      <c r="AW120" s="392"/>
      <c r="AX120" s="392"/>
      <c r="AY120" s="392"/>
      <c r="AZ120" s="392"/>
      <c r="BA120" s="392"/>
      <c r="BB120" s="392"/>
      <c r="BC120" s="392"/>
      <c r="BD120" s="392"/>
      <c r="BE120" s="392"/>
      <c r="BF120" s="392"/>
      <c r="BG120" s="392"/>
      <c r="BH120" s="392"/>
      <c r="BI120" s="392"/>
      <c r="BJ120" s="392"/>
      <c r="BK120" s="392"/>
      <c r="BL120" s="392"/>
      <c r="BM120" s="392"/>
      <c r="BN120" s="392"/>
      <c r="BO120" s="392"/>
      <c r="BP120" s="392"/>
      <c r="BQ120" s="392"/>
      <c r="BR120" s="392"/>
      <c r="BS120" s="392"/>
      <c r="BT120" s="392"/>
      <c r="BU120" s="392"/>
      <c r="BV120" s="392"/>
      <c r="BW120" s="392"/>
      <c r="BX120" s="392"/>
      <c r="BY120" s="392"/>
      <c r="BZ120" s="392"/>
      <c r="CA120" s="392"/>
      <c r="CB120" s="392"/>
      <c r="CC120" s="392"/>
      <c r="CD120" s="392"/>
      <c r="CE120" s="392"/>
      <c r="CF120" s="392"/>
      <c r="CG120" s="392"/>
      <c r="CH120" s="392"/>
      <c r="CI120" s="392"/>
      <c r="CJ120" s="392"/>
      <c r="CK120" s="392"/>
      <c r="CL120" s="392"/>
      <c r="CM120" s="392"/>
      <c r="CN120" s="392"/>
      <c r="CO120" s="392"/>
      <c r="CP120" s="392"/>
      <c r="CQ120" s="392"/>
      <c r="CR120" s="392"/>
      <c r="CS120" s="392"/>
      <c r="CT120" s="387"/>
      <c r="CU120" s="387"/>
      <c r="CV120" s="387"/>
      <c r="CW120" s="387"/>
      <c r="CX120" s="392"/>
      <c r="CY120" s="387"/>
      <c r="CZ120" s="387"/>
      <c r="DA120" s="387"/>
      <c r="DB120" s="387"/>
      <c r="DC120" s="387"/>
      <c r="DD120" s="387"/>
      <c r="DE120" s="387"/>
      <c r="DF120" s="387"/>
      <c r="DG120" s="387"/>
      <c r="DH120" s="387"/>
      <c r="DI120" s="387"/>
      <c r="DJ120" s="33">
        <f t="shared" ref="DJ120:EW120" si="271">DJ117/DJ$161</f>
        <v>1.4326310549341498E-2</v>
      </c>
      <c r="DK120" s="33">
        <f t="shared" si="271"/>
        <v>2.1248780368104615E-2</v>
      </c>
      <c r="DL120" s="33">
        <f t="shared" si="271"/>
        <v>1.6910981915140292E-2</v>
      </c>
      <c r="DM120" s="33">
        <f t="shared" si="271"/>
        <v>9.5422710319104705E-3</v>
      </c>
      <c r="DN120" s="33">
        <f t="shared" si="271"/>
        <v>1.2905210633599441E-2</v>
      </c>
      <c r="DO120" s="33">
        <f t="shared" si="271"/>
        <v>7.2407193893129695E-3</v>
      </c>
      <c r="DP120" s="33">
        <f t="shared" si="271"/>
        <v>1.1975574483378265E-2</v>
      </c>
      <c r="DQ120" s="33">
        <f t="shared" si="271"/>
        <v>9.431379726118674E-3</v>
      </c>
      <c r="DR120" s="33">
        <f t="shared" si="271"/>
        <v>9.2934978405389505E-3</v>
      </c>
      <c r="DS120" s="33">
        <f t="shared" si="271"/>
        <v>1.1302535887942573E-2</v>
      </c>
      <c r="DT120" s="33">
        <f t="shared" si="271"/>
        <v>1.3674046612903461E-2</v>
      </c>
      <c r="DU120" s="33">
        <f t="shared" si="271"/>
        <v>1.162030877107654E-2</v>
      </c>
      <c r="DV120" s="66">
        <f t="shared" si="271"/>
        <v>1.56852810158962E-2</v>
      </c>
      <c r="DW120" s="66">
        <f t="shared" si="271"/>
        <v>1.4927989374464462E-2</v>
      </c>
      <c r="DX120" s="66">
        <f>DX117/DX$161</f>
        <v>1.3548379774239703E-2</v>
      </c>
      <c r="DY120" s="66">
        <f>DY117/DY$161</f>
        <v>1.5144392952129201E-2</v>
      </c>
      <c r="DZ120" s="66">
        <f t="shared" si="271"/>
        <v>1.334982270047339E-2</v>
      </c>
      <c r="EA120" s="66">
        <f t="shared" si="271"/>
        <v>1.3629262944264307E-2</v>
      </c>
      <c r="EB120" s="66">
        <f t="shared" si="271"/>
        <v>6.9146728950162739E-3</v>
      </c>
      <c r="EC120" s="66">
        <f t="shared" si="271"/>
        <v>7.9040835625787398E-3</v>
      </c>
      <c r="ED120" s="66">
        <f t="shared" si="271"/>
        <v>1.0493821893042821E-2</v>
      </c>
      <c r="EE120" s="154">
        <f t="shared" si="271"/>
        <v>9.0120238414658979E-3</v>
      </c>
      <c r="EF120" s="154">
        <f t="shared" si="271"/>
        <v>8.8542445518524516E-3</v>
      </c>
      <c r="EG120" s="154">
        <f t="shared" si="271"/>
        <v>7.0177268970447867E-3</v>
      </c>
      <c r="EH120" s="154">
        <f t="shared" si="271"/>
        <v>5.7352242426535914E-3</v>
      </c>
      <c r="EI120" s="154">
        <f t="shared" si="271"/>
        <v>5.3609747162432124E-3</v>
      </c>
      <c r="EJ120" s="154">
        <f t="shared" si="271"/>
        <v>4.8388591262716329E-3</v>
      </c>
      <c r="EK120" s="154">
        <f t="shared" si="271"/>
        <v>4.587056350865649E-3</v>
      </c>
      <c r="EL120" s="154">
        <f t="shared" si="271"/>
        <v>4.2748287915741149E-3</v>
      </c>
      <c r="EM120" s="154">
        <f t="shared" si="271"/>
        <v>4.251952692205547E-3</v>
      </c>
      <c r="EN120" s="154">
        <f t="shared" si="271"/>
        <v>4.1590418857676533E-3</v>
      </c>
      <c r="EO120" s="154">
        <f t="shared" si="271"/>
        <v>4.159169077856132E-3</v>
      </c>
      <c r="EP120" s="154">
        <f t="shared" si="271"/>
        <v>3.8197099534749376E-3</v>
      </c>
      <c r="EQ120" s="154">
        <f t="shared" si="271"/>
        <v>3.7733689877579046E-3</v>
      </c>
      <c r="ER120" s="154">
        <f t="shared" si="271"/>
        <v>3.6699891787804672E-3</v>
      </c>
      <c r="ES120" s="154">
        <f t="shared" si="271"/>
        <v>3.7610933419058206E-3</v>
      </c>
      <c r="ET120" s="154">
        <f t="shared" si="271"/>
        <v>3.5344812098382231E-3</v>
      </c>
      <c r="EU120" s="154">
        <f t="shared" si="271"/>
        <v>3.4927871090022671E-3</v>
      </c>
      <c r="EV120" s="154">
        <f t="shared" si="271"/>
        <v>3.3375921909116809E-3</v>
      </c>
      <c r="EW120" s="154">
        <f t="shared" si="271"/>
        <v>3.4137353387045611E-3</v>
      </c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383"/>
      <c r="GC120" s="383">
        <f t="shared" ref="GC120:GK120" si="272">GC117/GC$161</f>
        <v>1.0289820519746551E-2</v>
      </c>
      <c r="GD120" s="383">
        <f t="shared" si="272"/>
        <v>1.1521248616346094E-2</v>
      </c>
      <c r="GE120" s="383">
        <f t="shared" si="272"/>
        <v>1.4788152953575568E-2</v>
      </c>
      <c r="GF120" s="383">
        <f t="shared" si="272"/>
        <v>1.0079530897190924E-2</v>
      </c>
      <c r="GG120" s="391">
        <f t="shared" si="272"/>
        <v>8.6296233626697531E-3</v>
      </c>
      <c r="GH120" s="391">
        <f t="shared" si="272"/>
        <v>5.0727681451778967E-3</v>
      </c>
      <c r="GI120" s="391">
        <f t="shared" si="272"/>
        <v>4.2078151137884597E-3</v>
      </c>
      <c r="GJ120" s="391">
        <f t="shared" si="272"/>
        <v>3.753925651522454E-3</v>
      </c>
      <c r="GK120" s="391">
        <f t="shared" si="272"/>
        <v>3.4401698131306308E-3</v>
      </c>
      <c r="GN120" s="443"/>
    </row>
    <row r="121" spans="1:196" s="418" customFormat="1">
      <c r="A121" s="376" t="s">
        <v>265</v>
      </c>
      <c r="B121" s="429"/>
      <c r="C121" s="429"/>
      <c r="D121" s="429"/>
      <c r="E121" s="429"/>
      <c r="F121" s="429"/>
      <c r="G121" s="429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29"/>
      <c r="S121" s="429"/>
      <c r="T121" s="429"/>
      <c r="U121" s="429"/>
      <c r="V121" s="429"/>
      <c r="W121" s="429"/>
      <c r="X121" s="429"/>
      <c r="Y121" s="429"/>
      <c r="Z121" s="429"/>
      <c r="AA121" s="429"/>
      <c r="AB121" s="429"/>
      <c r="AC121" s="429"/>
      <c r="AD121" s="429"/>
      <c r="AE121" s="429"/>
      <c r="AF121" s="429"/>
      <c r="AG121" s="429"/>
      <c r="AH121" s="429"/>
      <c r="AI121" s="429"/>
      <c r="AJ121" s="429"/>
      <c r="AK121" s="429"/>
      <c r="AL121" s="429"/>
      <c r="AM121" s="429"/>
      <c r="AN121" s="429"/>
      <c r="AO121" s="429"/>
      <c r="AP121" s="429"/>
      <c r="AQ121" s="429"/>
      <c r="AR121" s="429"/>
      <c r="AS121" s="429"/>
      <c r="AT121" s="429"/>
      <c r="AU121" s="429"/>
      <c r="AV121" s="429"/>
      <c r="AW121" s="429"/>
      <c r="AX121" s="429"/>
      <c r="AY121" s="429"/>
      <c r="AZ121" s="429"/>
      <c r="BA121" s="429"/>
      <c r="BB121" s="429"/>
      <c r="BC121" s="429"/>
      <c r="BD121" s="429"/>
      <c r="BE121" s="429"/>
      <c r="BF121" s="429"/>
      <c r="BG121" s="429"/>
      <c r="BH121" s="429"/>
      <c r="BI121" s="429"/>
      <c r="BJ121" s="429"/>
      <c r="BK121" s="429"/>
      <c r="BL121" s="429"/>
      <c r="BM121" s="429"/>
      <c r="BN121" s="429"/>
      <c r="BO121" s="429"/>
      <c r="BP121" s="429"/>
      <c r="BQ121" s="429"/>
      <c r="BR121" s="429"/>
      <c r="BS121" s="429"/>
      <c r="BT121" s="429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  <c r="CE121" s="429"/>
      <c r="CF121" s="429"/>
      <c r="CG121" s="429"/>
      <c r="CH121" s="429"/>
      <c r="CI121" s="429"/>
      <c r="CJ121" s="429"/>
      <c r="CK121" s="429"/>
      <c r="CL121" s="429"/>
      <c r="CM121" s="429"/>
      <c r="CN121" s="429"/>
      <c r="CO121" s="429"/>
      <c r="CP121" s="429"/>
      <c r="CQ121" s="429"/>
      <c r="CR121" s="429"/>
      <c r="CS121" s="429"/>
      <c r="CT121" s="431"/>
      <c r="CU121" s="431"/>
      <c r="CV121" s="431"/>
      <c r="CW121" s="431"/>
      <c r="CX121" s="429"/>
      <c r="CY121" s="431"/>
      <c r="CZ121" s="431"/>
      <c r="DA121" s="431"/>
      <c r="DB121" s="431"/>
      <c r="DC121" s="431"/>
      <c r="DD121" s="431"/>
      <c r="DE121" s="431"/>
      <c r="DF121" s="431"/>
      <c r="DG121" s="431"/>
      <c r="DH121" s="431"/>
      <c r="DI121" s="431"/>
      <c r="DJ121" s="397">
        <v>1155</v>
      </c>
      <c r="DK121" s="397">
        <v>1255</v>
      </c>
      <c r="DL121" s="397">
        <v>1434</v>
      </c>
      <c r="DM121" s="397">
        <v>1763</v>
      </c>
      <c r="DN121" s="397">
        <v>1875</v>
      </c>
      <c r="DO121" s="397">
        <v>1655</v>
      </c>
      <c r="DP121" s="397">
        <v>1631</v>
      </c>
      <c r="DQ121" s="397">
        <v>1644</v>
      </c>
      <c r="DR121" s="397">
        <v>1757</v>
      </c>
      <c r="DS121" s="397">
        <v>1581</v>
      </c>
      <c r="DT121" s="397">
        <v>1506</v>
      </c>
      <c r="DU121" s="397">
        <v>1368</v>
      </c>
      <c r="DV121" s="376">
        <v>922</v>
      </c>
      <c r="DW121" s="376">
        <v>648</v>
      </c>
      <c r="DX121" s="376">
        <v>462</v>
      </c>
      <c r="DY121" s="376">
        <v>563</v>
      </c>
      <c r="DZ121" s="376">
        <v>647</v>
      </c>
      <c r="EA121" s="376">
        <v>1122</v>
      </c>
      <c r="EB121" s="376">
        <v>1298</v>
      </c>
      <c r="EC121" s="376">
        <v>843</v>
      </c>
      <c r="ED121" s="376">
        <v>720</v>
      </c>
      <c r="EE121" s="410">
        <f t="shared" ref="EE121:EW121" si="273">EE125+EE129+EE133+EE137</f>
        <v>741.64601191168026</v>
      </c>
      <c r="EF121" s="410">
        <f t="shared" si="273"/>
        <v>672.13373831198851</v>
      </c>
      <c r="EG121" s="410">
        <f t="shared" si="273"/>
        <v>614.00752665386563</v>
      </c>
      <c r="EH121" s="410">
        <f t="shared" si="273"/>
        <v>619.37314505501354</v>
      </c>
      <c r="EI121" s="410">
        <f t="shared" si="273"/>
        <v>653.6964710996989</v>
      </c>
      <c r="EJ121" s="410">
        <f t="shared" si="273"/>
        <v>863.23881671125696</v>
      </c>
      <c r="EK121" s="410">
        <f t="shared" si="273"/>
        <v>922.3094530910613</v>
      </c>
      <c r="EL121" s="410">
        <f t="shared" si="273"/>
        <v>789.04208792668533</v>
      </c>
      <c r="EM121" s="410">
        <f t="shared" si="273"/>
        <v>822.05105211843306</v>
      </c>
      <c r="EN121" s="410">
        <f t="shared" si="273"/>
        <v>925.85070553987327</v>
      </c>
      <c r="EO121" s="410">
        <f t="shared" si="273"/>
        <v>975.63028884338769</v>
      </c>
      <c r="EP121" s="410">
        <f t="shared" si="273"/>
        <v>819.92717368407057</v>
      </c>
      <c r="EQ121" s="410">
        <f t="shared" si="273"/>
        <v>854.28214834801554</v>
      </c>
      <c r="ER121" s="410">
        <f t="shared" si="273"/>
        <v>974.83889431610623</v>
      </c>
      <c r="ES121" s="410">
        <f t="shared" si="273"/>
        <v>1027.2686870347666</v>
      </c>
      <c r="ET121" s="410">
        <f t="shared" si="273"/>
        <v>862.91704691192933</v>
      </c>
      <c r="EU121" s="410">
        <f t="shared" si="273"/>
        <v>899.10665188039343</v>
      </c>
      <c r="EV121" s="410">
        <f t="shared" si="273"/>
        <v>1013.4173642349888</v>
      </c>
      <c r="EW121" s="410">
        <f t="shared" si="273"/>
        <v>1067.9847469045221</v>
      </c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  <c r="GB121" s="397">
        <f>SUM(DJ121:DM121)</f>
        <v>5607</v>
      </c>
      <c r="GC121" s="397">
        <f>SUM(DN121:DQ121)</f>
        <v>6805</v>
      </c>
      <c r="GD121" s="397">
        <f>SUM(DR121:DU121)</f>
        <v>6212</v>
      </c>
      <c r="GE121" s="397">
        <f>SUM(DV121:DY121)</f>
        <v>2595</v>
      </c>
      <c r="GF121" s="397">
        <f>SUM(DZ121:EC121)</f>
        <v>3910</v>
      </c>
      <c r="GG121" s="410">
        <f>SUM(ED121:EG121)</f>
        <v>2747.7872768775346</v>
      </c>
      <c r="GH121" s="410">
        <f>SUM(EH121:EK121)</f>
        <v>3058.6178859570309</v>
      </c>
      <c r="GI121" s="410">
        <f>SUM(EL121:EO121)</f>
        <v>3512.5741344283797</v>
      </c>
      <c r="GJ121" s="410">
        <f>SUM(EP121:ES121)</f>
        <v>3676.316903382959</v>
      </c>
      <c r="GK121" s="410">
        <f>SUM(ET121:EW121)</f>
        <v>3843.4258099318336</v>
      </c>
      <c r="GM121" s="432"/>
      <c r="GN121" s="70"/>
    </row>
    <row r="122" spans="1:196" s="382" customFormat="1">
      <c r="A122" s="381" t="s">
        <v>198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/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/>
      <c r="AM122" s="392"/>
      <c r="AN122" s="392"/>
      <c r="AO122" s="392"/>
      <c r="AP122" s="392"/>
      <c r="AQ122" s="392"/>
      <c r="AR122" s="392"/>
      <c r="AS122" s="392"/>
      <c r="AT122" s="392"/>
      <c r="AU122" s="392"/>
      <c r="AV122" s="392"/>
      <c r="AW122" s="392"/>
      <c r="AX122" s="392"/>
      <c r="AY122" s="392"/>
      <c r="AZ122" s="392"/>
      <c r="BA122" s="392"/>
      <c r="BB122" s="392"/>
      <c r="BC122" s="392"/>
      <c r="BD122" s="392"/>
      <c r="BE122" s="392"/>
      <c r="BF122" s="392"/>
      <c r="BG122" s="392"/>
      <c r="BH122" s="392"/>
      <c r="BI122" s="392"/>
      <c r="BJ122" s="392"/>
      <c r="BK122" s="392"/>
      <c r="BL122" s="392"/>
      <c r="BM122" s="392"/>
      <c r="BN122" s="392"/>
      <c r="BO122" s="392"/>
      <c r="BP122" s="392"/>
      <c r="BQ122" s="392"/>
      <c r="BR122" s="392"/>
      <c r="BS122" s="392"/>
      <c r="BT122" s="392"/>
      <c r="BU122" s="392"/>
      <c r="BV122" s="392"/>
      <c r="BW122" s="392"/>
      <c r="BX122" s="392"/>
      <c r="BY122" s="392"/>
      <c r="BZ122" s="392"/>
      <c r="CA122" s="392"/>
      <c r="CB122" s="392"/>
      <c r="CC122" s="392"/>
      <c r="CD122" s="392"/>
      <c r="CE122" s="392"/>
      <c r="CF122" s="392"/>
      <c r="CG122" s="392"/>
      <c r="CH122" s="392"/>
      <c r="CI122" s="392"/>
      <c r="CJ122" s="392"/>
      <c r="CK122" s="392"/>
      <c r="CL122" s="392"/>
      <c r="CM122" s="392"/>
      <c r="CN122" s="392"/>
      <c r="CO122" s="392"/>
      <c r="CP122" s="392"/>
      <c r="CQ122" s="392"/>
      <c r="CR122" s="392"/>
      <c r="CS122" s="392"/>
      <c r="CT122" s="387"/>
      <c r="CU122" s="387"/>
      <c r="CV122" s="387"/>
      <c r="CW122" s="387"/>
      <c r="CX122" s="392"/>
      <c r="CY122" s="387"/>
      <c r="CZ122" s="387"/>
      <c r="DA122" s="387"/>
      <c r="DB122" s="387"/>
      <c r="DC122" s="387"/>
      <c r="DD122" s="387"/>
      <c r="DE122" s="387"/>
      <c r="DF122" s="387"/>
      <c r="DG122" s="387"/>
      <c r="DH122" s="387"/>
      <c r="DI122" s="387"/>
      <c r="DJ122" s="442"/>
      <c r="DK122" s="33">
        <f t="shared" ref="DK122:EW122" si="274">DK121/DJ121-1</f>
        <v>8.6580086580086535E-2</v>
      </c>
      <c r="DL122" s="33">
        <f t="shared" si="274"/>
        <v>0.14262948207171311</v>
      </c>
      <c r="DM122" s="33">
        <f t="shared" si="274"/>
        <v>0.22942817294281737</v>
      </c>
      <c r="DN122" s="33">
        <f t="shared" si="274"/>
        <v>6.3528077141236539E-2</v>
      </c>
      <c r="DO122" s="33">
        <f t="shared" si="274"/>
        <v>-0.11733333333333329</v>
      </c>
      <c r="DP122" s="33">
        <f t="shared" si="274"/>
        <v>-1.4501510574018162E-2</v>
      </c>
      <c r="DQ122" s="33">
        <f t="shared" si="274"/>
        <v>7.9705702023298297E-3</v>
      </c>
      <c r="DR122" s="33">
        <f t="shared" si="274"/>
        <v>6.8734793187347876E-2</v>
      </c>
      <c r="DS122" s="33">
        <f t="shared" si="274"/>
        <v>-0.10017074558907224</v>
      </c>
      <c r="DT122" s="33">
        <f t="shared" si="274"/>
        <v>-4.7438330170778031E-2</v>
      </c>
      <c r="DU122" s="33">
        <f t="shared" si="274"/>
        <v>-9.1633466135458197E-2</v>
      </c>
      <c r="DV122" s="66">
        <f t="shared" si="274"/>
        <v>-0.32602339181286555</v>
      </c>
      <c r="DW122" s="66">
        <f t="shared" si="274"/>
        <v>-0.29718004338394799</v>
      </c>
      <c r="DX122" s="66">
        <f t="shared" si="274"/>
        <v>-0.28703703703703709</v>
      </c>
      <c r="DY122" s="66">
        <f t="shared" si="274"/>
        <v>0.21861471861471871</v>
      </c>
      <c r="DZ122" s="66">
        <f t="shared" si="274"/>
        <v>0.14920071047957362</v>
      </c>
      <c r="EA122" s="66">
        <f t="shared" si="274"/>
        <v>0.73415765069551786</v>
      </c>
      <c r="EB122" s="66">
        <f t="shared" si="274"/>
        <v>0.15686274509803932</v>
      </c>
      <c r="EC122" s="66">
        <f t="shared" si="274"/>
        <v>-0.35053929121725735</v>
      </c>
      <c r="ED122" s="66">
        <f t="shared" si="274"/>
        <v>-0.14590747330960852</v>
      </c>
      <c r="EE122" s="149">
        <f t="shared" si="274"/>
        <v>3.0063905432889282E-2</v>
      </c>
      <c r="EF122" s="149">
        <f t="shared" si="274"/>
        <v>-9.3727024056282082E-2</v>
      </c>
      <c r="EG122" s="149">
        <f t="shared" si="274"/>
        <v>-8.6480127904458914E-2</v>
      </c>
      <c r="EH122" s="149">
        <f t="shared" si="274"/>
        <v>8.7386850620361223E-3</v>
      </c>
      <c r="EI122" s="149">
        <f t="shared" si="274"/>
        <v>5.5416232232084806E-2</v>
      </c>
      <c r="EJ122" s="149">
        <f t="shared" si="274"/>
        <v>0.32054991096869423</v>
      </c>
      <c r="EK122" s="149">
        <f t="shared" si="274"/>
        <v>6.8429078067700821E-2</v>
      </c>
      <c r="EL122" s="149">
        <f t="shared" si="274"/>
        <v>-0.14449311423377365</v>
      </c>
      <c r="EM122" s="149">
        <f t="shared" si="274"/>
        <v>4.1834224937839837E-2</v>
      </c>
      <c r="EN122" s="149">
        <f t="shared" si="274"/>
        <v>0.1262691084135803</v>
      </c>
      <c r="EO122" s="149">
        <f t="shared" si="274"/>
        <v>5.376631783683461E-2</v>
      </c>
      <c r="EP122" s="149">
        <f t="shared" si="274"/>
        <v>-0.15959233424774422</v>
      </c>
      <c r="EQ122" s="149">
        <f t="shared" si="274"/>
        <v>4.1900031815730987E-2</v>
      </c>
      <c r="ER122" s="149">
        <f t="shared" si="274"/>
        <v>0.14112052581365497</v>
      </c>
      <c r="ES122" s="149">
        <f t="shared" si="274"/>
        <v>5.3783033303612893E-2</v>
      </c>
      <c r="ET122" s="149">
        <f t="shared" si="274"/>
        <v>-0.15998895147601722</v>
      </c>
      <c r="EU122" s="149">
        <f t="shared" si="274"/>
        <v>4.193868355941488E-2</v>
      </c>
      <c r="EV122" s="149">
        <f t="shared" si="274"/>
        <v>0.12713810104232426</v>
      </c>
      <c r="EW122" s="149">
        <f t="shared" si="274"/>
        <v>5.3844925689353396E-2</v>
      </c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  <c r="GB122" s="386" t="s">
        <v>199</v>
      </c>
      <c r="GC122" s="386" t="s">
        <v>199</v>
      </c>
      <c r="GD122" s="386" t="s">
        <v>199</v>
      </c>
      <c r="GE122" s="386" t="s">
        <v>199</v>
      </c>
      <c r="GF122" s="386" t="s">
        <v>199</v>
      </c>
      <c r="GG122" s="386" t="s">
        <v>199</v>
      </c>
      <c r="GH122" s="386" t="s">
        <v>199</v>
      </c>
      <c r="GI122" s="386" t="s">
        <v>199</v>
      </c>
      <c r="GJ122" s="386" t="s">
        <v>199</v>
      </c>
      <c r="GK122" s="386" t="s">
        <v>199</v>
      </c>
      <c r="GN122" s="443"/>
    </row>
    <row r="123" spans="1:196" s="382" customFormat="1">
      <c r="A123" s="381" t="s">
        <v>200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/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/>
      <c r="AM123" s="392"/>
      <c r="AN123" s="392"/>
      <c r="AO123" s="392"/>
      <c r="AP123" s="392"/>
      <c r="AQ123" s="392"/>
      <c r="AR123" s="392"/>
      <c r="AS123" s="392"/>
      <c r="AT123" s="392"/>
      <c r="AU123" s="392"/>
      <c r="AV123" s="392"/>
      <c r="AW123" s="392"/>
      <c r="AX123" s="392"/>
      <c r="AY123" s="392"/>
      <c r="AZ123" s="392"/>
      <c r="BA123" s="392"/>
      <c r="BB123" s="392"/>
      <c r="BC123" s="392"/>
      <c r="BD123" s="392"/>
      <c r="BE123" s="392"/>
      <c r="BF123" s="392"/>
      <c r="BG123" s="392"/>
      <c r="BH123" s="392"/>
      <c r="BI123" s="392"/>
      <c r="BJ123" s="392"/>
      <c r="BK123" s="392"/>
      <c r="BL123" s="392"/>
      <c r="BM123" s="392"/>
      <c r="BN123" s="392"/>
      <c r="BO123" s="392"/>
      <c r="BP123" s="392"/>
      <c r="BQ123" s="392"/>
      <c r="BR123" s="392"/>
      <c r="BS123" s="392"/>
      <c r="BT123" s="392"/>
      <c r="BU123" s="392"/>
      <c r="BV123" s="392"/>
      <c r="BW123" s="392"/>
      <c r="BX123" s="392"/>
      <c r="BY123" s="392"/>
      <c r="BZ123" s="392"/>
      <c r="CA123" s="392"/>
      <c r="CB123" s="392"/>
      <c r="CC123" s="392"/>
      <c r="CD123" s="392"/>
      <c r="CE123" s="392"/>
      <c r="CF123" s="392"/>
      <c r="CG123" s="392"/>
      <c r="CH123" s="392"/>
      <c r="CI123" s="392"/>
      <c r="CJ123" s="392"/>
      <c r="CK123" s="392"/>
      <c r="CL123" s="392"/>
      <c r="CM123" s="392"/>
      <c r="CN123" s="392"/>
      <c r="CO123" s="392"/>
      <c r="CP123" s="392"/>
      <c r="CQ123" s="392"/>
      <c r="CR123" s="392"/>
      <c r="CS123" s="392"/>
      <c r="CT123" s="387"/>
      <c r="CU123" s="387"/>
      <c r="CV123" s="387"/>
      <c r="CW123" s="387"/>
      <c r="CX123" s="392"/>
      <c r="CY123" s="387"/>
      <c r="CZ123" s="387"/>
      <c r="DA123" s="387"/>
      <c r="DB123" s="387"/>
      <c r="DC123" s="387"/>
      <c r="DD123" s="387"/>
      <c r="DE123" s="387"/>
      <c r="DF123" s="387"/>
      <c r="DG123" s="387"/>
      <c r="DH123" s="387"/>
      <c r="DI123" s="387"/>
      <c r="DJ123" s="442"/>
      <c r="DK123" s="33"/>
      <c r="DL123" s="33"/>
      <c r="DM123" s="33"/>
      <c r="DN123" s="33">
        <f t="shared" ref="DN123:EW123" si="275">DN121/DJ121-1</f>
        <v>0.62337662337662336</v>
      </c>
      <c r="DO123" s="33">
        <f t="shared" si="275"/>
        <v>0.31872509960159356</v>
      </c>
      <c r="DP123" s="33">
        <f t="shared" si="275"/>
        <v>0.13737796373779632</v>
      </c>
      <c r="DQ123" s="33">
        <f t="shared" si="275"/>
        <v>-6.7498581962563864E-2</v>
      </c>
      <c r="DR123" s="33">
        <f t="shared" si="275"/>
        <v>-6.2933333333333286E-2</v>
      </c>
      <c r="DS123" s="33">
        <f t="shared" si="275"/>
        <v>-4.4712990936555896E-2</v>
      </c>
      <c r="DT123" s="33">
        <f t="shared" si="275"/>
        <v>-7.6640098099325593E-2</v>
      </c>
      <c r="DU123" s="33">
        <f t="shared" si="275"/>
        <v>-0.16788321167883213</v>
      </c>
      <c r="DV123" s="66">
        <f t="shared" si="275"/>
        <v>-0.47524188958451907</v>
      </c>
      <c r="DW123" s="66">
        <f t="shared" si="275"/>
        <v>-0.59013282732447814</v>
      </c>
      <c r="DX123" s="66">
        <f t="shared" si="275"/>
        <v>-0.69322709163346619</v>
      </c>
      <c r="DY123" s="66">
        <f t="shared" si="275"/>
        <v>-0.58845029239766089</v>
      </c>
      <c r="DZ123" s="66">
        <f>DZ121/DV121-1</f>
        <v>-0.29826464208242953</v>
      </c>
      <c r="EA123" s="66">
        <f>EA121/DW121-1</f>
        <v>0.7314814814814814</v>
      </c>
      <c r="EB123" s="66">
        <f>EB121/DX121-1</f>
        <v>1.8095238095238093</v>
      </c>
      <c r="EC123" s="66">
        <f t="shared" si="275"/>
        <v>0.49733570159857909</v>
      </c>
      <c r="ED123" s="66">
        <f t="shared" si="275"/>
        <v>0.1128284389489953</v>
      </c>
      <c r="EE123" s="149">
        <f t="shared" si="275"/>
        <v>-0.33899642432114063</v>
      </c>
      <c r="EF123" s="149">
        <f t="shared" si="275"/>
        <v>-0.48217739729430775</v>
      </c>
      <c r="EG123" s="149">
        <f t="shared" si="275"/>
        <v>-0.2716399446573361</v>
      </c>
      <c r="EH123" s="149">
        <f t="shared" si="275"/>
        <v>-0.13975952075692566</v>
      </c>
      <c r="EI123" s="149">
        <f t="shared" si="275"/>
        <v>-0.11858695307385392</v>
      </c>
      <c r="EJ123" s="149">
        <f t="shared" si="275"/>
        <v>0.2843259719103135</v>
      </c>
      <c r="EK123" s="149">
        <f t="shared" si="275"/>
        <v>0.50211424624928847</v>
      </c>
      <c r="EL123" s="149">
        <f t="shared" si="275"/>
        <v>0.27393655056936894</v>
      </c>
      <c r="EM123" s="149">
        <f t="shared" si="275"/>
        <v>0.25754243515421615</v>
      </c>
      <c r="EN123" s="149">
        <f t="shared" si="275"/>
        <v>7.2531363993979525E-2</v>
      </c>
      <c r="EO123" s="149">
        <f t="shared" si="275"/>
        <v>5.7812305374974837E-2</v>
      </c>
      <c r="EP123" s="149">
        <f t="shared" si="275"/>
        <v>3.9142507389612113E-2</v>
      </c>
      <c r="EQ123" s="149">
        <f t="shared" si="275"/>
        <v>3.9208144246665189E-2</v>
      </c>
      <c r="ER123" s="149">
        <f t="shared" si="275"/>
        <v>5.29115423071016E-2</v>
      </c>
      <c r="ES123" s="149">
        <f t="shared" si="275"/>
        <v>5.2928244214923259E-2</v>
      </c>
      <c r="ET123" s="149">
        <f t="shared" si="275"/>
        <v>5.2431331229940925E-2</v>
      </c>
      <c r="EU123" s="149">
        <f t="shared" si="275"/>
        <v>5.2470373657061753E-2</v>
      </c>
      <c r="EV123" s="149">
        <f t="shared" si="275"/>
        <v>3.9574200561567796E-2</v>
      </c>
      <c r="EW123" s="149">
        <f t="shared" si="275"/>
        <v>3.9635258412561214E-2</v>
      </c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  <c r="GB123" s="386" t="s">
        <v>199</v>
      </c>
      <c r="GC123" s="383">
        <f t="shared" ref="GC123:GK123" si="276">GC121/GB121-1</f>
        <v>0.21366149456037098</v>
      </c>
      <c r="GD123" s="383">
        <f t="shared" si="276"/>
        <v>-8.7141807494489298E-2</v>
      </c>
      <c r="GE123" s="383">
        <f t="shared" si="276"/>
        <v>-0.58226014166130069</v>
      </c>
      <c r="GF123" s="383">
        <f t="shared" si="276"/>
        <v>0.50674373795761074</v>
      </c>
      <c r="GG123" s="444">
        <f t="shared" si="276"/>
        <v>-0.2972411056579195</v>
      </c>
      <c r="GH123" s="444">
        <f t="shared" si="276"/>
        <v>0.11312033201955529</v>
      </c>
      <c r="GI123" s="444">
        <f t="shared" si="276"/>
        <v>0.14841875167067742</v>
      </c>
      <c r="GJ123" s="444">
        <f t="shared" si="276"/>
        <v>4.6616174545516254E-2</v>
      </c>
      <c r="GK123" s="444">
        <f t="shared" si="276"/>
        <v>4.5455522725774911E-2</v>
      </c>
      <c r="GN123" s="443"/>
    </row>
    <row r="124" spans="1:196" s="382" customFormat="1">
      <c r="A124" s="381" t="s">
        <v>261</v>
      </c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  <c r="S124" s="392"/>
      <c r="T124" s="392"/>
      <c r="U124" s="392"/>
      <c r="V124" s="392"/>
      <c r="W124" s="392"/>
      <c r="X124" s="392"/>
      <c r="Y124" s="392"/>
      <c r="Z124" s="392"/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/>
      <c r="AM124" s="392"/>
      <c r="AN124" s="392"/>
      <c r="AO124" s="392"/>
      <c r="AP124" s="392"/>
      <c r="AQ124" s="392"/>
      <c r="AR124" s="392"/>
      <c r="AS124" s="392"/>
      <c r="AT124" s="392"/>
      <c r="AU124" s="392"/>
      <c r="AV124" s="392"/>
      <c r="AW124" s="392"/>
      <c r="AX124" s="392"/>
      <c r="AY124" s="392"/>
      <c r="AZ124" s="392"/>
      <c r="BA124" s="392"/>
      <c r="BB124" s="392"/>
      <c r="BC124" s="392"/>
      <c r="BD124" s="392"/>
      <c r="BE124" s="392"/>
      <c r="BF124" s="392"/>
      <c r="BG124" s="392"/>
      <c r="BH124" s="392"/>
      <c r="BI124" s="392"/>
      <c r="BJ124" s="392"/>
      <c r="BK124" s="392"/>
      <c r="BL124" s="392"/>
      <c r="BM124" s="392"/>
      <c r="BN124" s="392"/>
      <c r="BO124" s="392"/>
      <c r="BP124" s="392"/>
      <c r="BQ124" s="392"/>
      <c r="BR124" s="392"/>
      <c r="BS124" s="392"/>
      <c r="BT124" s="392"/>
      <c r="BU124" s="392"/>
      <c r="BV124" s="392"/>
      <c r="BW124" s="392"/>
      <c r="BX124" s="392"/>
      <c r="BY124" s="392"/>
      <c r="BZ124" s="392"/>
      <c r="CA124" s="392"/>
      <c r="CB124" s="392"/>
      <c r="CC124" s="392"/>
      <c r="CD124" s="392"/>
      <c r="CE124" s="392"/>
      <c r="CF124" s="392"/>
      <c r="CG124" s="392"/>
      <c r="CH124" s="392"/>
      <c r="CI124" s="392"/>
      <c r="CJ124" s="392"/>
      <c r="CK124" s="392"/>
      <c r="CL124" s="392"/>
      <c r="CM124" s="392"/>
      <c r="CN124" s="392"/>
      <c r="CO124" s="392"/>
      <c r="CP124" s="392"/>
      <c r="CQ124" s="392"/>
      <c r="CR124" s="392"/>
      <c r="CS124" s="392"/>
      <c r="CT124" s="387"/>
      <c r="CU124" s="387"/>
      <c r="CV124" s="387"/>
      <c r="CW124" s="387"/>
      <c r="CX124" s="392"/>
      <c r="CY124" s="387"/>
      <c r="CZ124" s="387"/>
      <c r="DA124" s="387"/>
      <c r="DB124" s="387"/>
      <c r="DC124" s="387"/>
      <c r="DD124" s="387"/>
      <c r="DE124" s="387"/>
      <c r="DF124" s="387"/>
      <c r="DG124" s="387"/>
      <c r="DH124" s="387"/>
      <c r="DI124" s="387"/>
      <c r="DJ124" s="33">
        <f t="shared" ref="DJ124:EW124" si="277">DJ121/DJ$161</f>
        <v>0.33526850507982581</v>
      </c>
      <c r="DK124" s="33">
        <f t="shared" si="277"/>
        <v>0.32597402597402597</v>
      </c>
      <c r="DL124" s="33">
        <f t="shared" si="277"/>
        <v>0.3324831903547415</v>
      </c>
      <c r="DM124" s="33">
        <f t="shared" si="277"/>
        <v>0.36531288852051386</v>
      </c>
      <c r="DN124" s="33">
        <f t="shared" si="277"/>
        <v>0.31849838627484289</v>
      </c>
      <c r="DO124" s="33">
        <f t="shared" si="277"/>
        <v>0.25267175572519085</v>
      </c>
      <c r="DP124" s="33">
        <f t="shared" si="277"/>
        <v>0.2930817610062893</v>
      </c>
      <c r="DQ124" s="33">
        <f t="shared" si="277"/>
        <v>0.29362386140382213</v>
      </c>
      <c r="DR124" s="33">
        <f t="shared" si="277"/>
        <v>0.32822716233887539</v>
      </c>
      <c r="DS124" s="33">
        <f t="shared" si="277"/>
        <v>0.2950177271879082</v>
      </c>
      <c r="DT124" s="33">
        <f t="shared" si="277"/>
        <v>0.2596551724137931</v>
      </c>
      <c r="DU124" s="33">
        <f t="shared" si="277"/>
        <v>0.22178988326848248</v>
      </c>
      <c r="DV124" s="66">
        <f t="shared" si="277"/>
        <v>0.16846336561300931</v>
      </c>
      <c r="DW124" s="66">
        <f t="shared" si="277"/>
        <v>0.11105398457583547</v>
      </c>
      <c r="DX124" s="66">
        <f>DX121/DX$161</f>
        <v>6.775186977562693E-2</v>
      </c>
      <c r="DY124" s="66">
        <f>DY121/DY$161</f>
        <v>7.3517889788456511E-2</v>
      </c>
      <c r="DZ124" s="66">
        <f t="shared" si="277"/>
        <v>8.6985748857219686E-2</v>
      </c>
      <c r="EA124" s="66">
        <f t="shared" si="277"/>
        <v>0.14599869876382562</v>
      </c>
      <c r="EB124" s="66">
        <f t="shared" si="277"/>
        <v>0.14038503136491456</v>
      </c>
      <c r="EC124" s="66">
        <f t="shared" si="277"/>
        <v>8.2083739045764367E-2</v>
      </c>
      <c r="ED124" s="66">
        <f t="shared" si="277"/>
        <v>7.0223349263630164E-2</v>
      </c>
      <c r="EE124" s="149">
        <f t="shared" si="277"/>
        <v>6.6085548342109848E-2</v>
      </c>
      <c r="EF124" s="149">
        <f t="shared" si="277"/>
        <v>5.6040939800192563E-2</v>
      </c>
      <c r="EG124" s="149">
        <f t="shared" si="277"/>
        <v>3.7921419120875342E-2</v>
      </c>
      <c r="EH124" s="149">
        <f t="shared" si="277"/>
        <v>3.5525035909188228E-2</v>
      </c>
      <c r="EI124" s="149">
        <f t="shared" si="277"/>
        <v>3.4026276441676183E-2</v>
      </c>
      <c r="EJ124" s="149">
        <f t="shared" si="277"/>
        <v>3.8997352733474842E-2</v>
      </c>
      <c r="EK124" s="149">
        <f t="shared" si="277"/>
        <v>3.7616867163763133E-2</v>
      </c>
      <c r="EL124" s="149">
        <f t="shared" si="277"/>
        <v>3.2957130447456441E-2</v>
      </c>
      <c r="EM124" s="149">
        <f t="shared" si="277"/>
        <v>3.283858006019863E-2</v>
      </c>
      <c r="EN124" s="149">
        <f t="shared" si="277"/>
        <v>3.4454195491048341E-2</v>
      </c>
      <c r="EO124" s="149">
        <f t="shared" si="277"/>
        <v>3.3932505653821679E-2</v>
      </c>
      <c r="EP124" s="149">
        <f t="shared" si="277"/>
        <v>2.9099614564113238E-2</v>
      </c>
      <c r="EQ124" s="149">
        <f t="shared" si="277"/>
        <v>2.9078697702424387E-2</v>
      </c>
      <c r="ER124" s="149">
        <f t="shared" si="277"/>
        <v>3.0736377305773267E-2</v>
      </c>
      <c r="ES124" s="149">
        <f t="shared" si="277"/>
        <v>3.1021974102748165E-2</v>
      </c>
      <c r="ET124" s="149">
        <f t="shared" si="277"/>
        <v>2.7209683192570795E-2</v>
      </c>
      <c r="EU124" s="149">
        <f t="shared" si="277"/>
        <v>2.7200373090052996E-2</v>
      </c>
      <c r="EV124" s="149">
        <f t="shared" si="277"/>
        <v>2.7901262028153684E-2</v>
      </c>
      <c r="EW124" s="149">
        <f t="shared" si="277"/>
        <v>2.8106926375901189E-2</v>
      </c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  <c r="FK124" s="56"/>
      <c r="FL124" s="56"/>
      <c r="FM124" s="56"/>
      <c r="FN124" s="56"/>
      <c r="FO124" s="56"/>
      <c r="FP124" s="56"/>
      <c r="FQ124" s="56"/>
      <c r="FR124" s="56"/>
      <c r="FS124" s="56"/>
      <c r="FT124" s="56"/>
      <c r="FU124" s="56"/>
      <c r="FV124" s="56"/>
      <c r="FW124" s="56"/>
      <c r="FX124" s="56"/>
      <c r="FY124" s="56"/>
      <c r="FZ124" s="56"/>
      <c r="GA124" s="56"/>
      <c r="GB124" s="383">
        <f t="shared" ref="GB124:GG124" si="278">GB121/GB$161</f>
        <v>0.34118291347207008</v>
      </c>
      <c r="GC124" s="383">
        <f t="shared" si="278"/>
        <v>0.28833524003220201</v>
      </c>
      <c r="GD124" s="383">
        <f t="shared" si="278"/>
        <v>0.27389770723104057</v>
      </c>
      <c r="GE124" s="383">
        <f t="shared" si="278"/>
        <v>0.10063990692262943</v>
      </c>
      <c r="GF124" s="383">
        <f t="shared" si="278"/>
        <v>0.11287854730217385</v>
      </c>
      <c r="GG124" s="391">
        <f t="shared" si="278"/>
        <v>5.5331212077885335E-2</v>
      </c>
      <c r="GH124" s="391">
        <f>GH121/GH$161</f>
        <v>3.6717796126670969E-2</v>
      </c>
      <c r="GI124" s="391">
        <f t="shared" ref="GI124:GK124" si="279">GI121/GI$161</f>
        <v>3.3581473730693021E-2</v>
      </c>
      <c r="GJ124" s="391">
        <f t="shared" si="279"/>
        <v>3.0038900727593531E-2</v>
      </c>
      <c r="GK124" s="391">
        <f t="shared" si="279"/>
        <v>2.7633188503872648E-2</v>
      </c>
      <c r="GN124" s="443"/>
    </row>
    <row r="125" spans="1:196" s="382" customFormat="1">
      <c r="A125" s="395" t="s">
        <v>266</v>
      </c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/>
      <c r="AM125" s="392"/>
      <c r="AN125" s="392"/>
      <c r="AO125" s="392"/>
      <c r="AP125" s="392"/>
      <c r="AQ125" s="392"/>
      <c r="AR125" s="392"/>
      <c r="AS125" s="392"/>
      <c r="AT125" s="392"/>
      <c r="AU125" s="392"/>
      <c r="AV125" s="392"/>
      <c r="AW125" s="392"/>
      <c r="AX125" s="392"/>
      <c r="AY125" s="392"/>
      <c r="AZ125" s="392"/>
      <c r="BA125" s="392"/>
      <c r="BB125" s="392"/>
      <c r="BC125" s="392"/>
      <c r="BD125" s="392"/>
      <c r="BE125" s="392"/>
      <c r="BF125" s="392"/>
      <c r="BG125" s="392"/>
      <c r="BH125" s="392"/>
      <c r="BI125" s="392"/>
      <c r="BJ125" s="392"/>
      <c r="BK125" s="392"/>
      <c r="BL125" s="392"/>
      <c r="BM125" s="392"/>
      <c r="BN125" s="392"/>
      <c r="BO125" s="392"/>
      <c r="BP125" s="392"/>
      <c r="BQ125" s="392"/>
      <c r="BR125" s="392"/>
      <c r="BS125" s="392"/>
      <c r="BT125" s="392"/>
      <c r="BU125" s="392"/>
      <c r="BV125" s="392"/>
      <c r="BW125" s="392"/>
      <c r="BX125" s="392"/>
      <c r="BY125" s="392"/>
      <c r="BZ125" s="392"/>
      <c r="CA125" s="392"/>
      <c r="CB125" s="392"/>
      <c r="CC125" s="392"/>
      <c r="CD125" s="392"/>
      <c r="CE125" s="392"/>
      <c r="CF125" s="392"/>
      <c r="CG125" s="392"/>
      <c r="CH125" s="392"/>
      <c r="CI125" s="392"/>
      <c r="CJ125" s="392"/>
      <c r="CK125" s="392"/>
      <c r="CL125" s="392"/>
      <c r="CM125" s="392"/>
      <c r="CN125" s="392"/>
      <c r="CO125" s="392"/>
      <c r="CP125" s="392"/>
      <c r="CQ125" s="392"/>
      <c r="CR125" s="392"/>
      <c r="CS125" s="392"/>
      <c r="CT125" s="387"/>
      <c r="CU125" s="387"/>
      <c r="CV125" s="387"/>
      <c r="CW125" s="387"/>
      <c r="CX125" s="392"/>
      <c r="CY125" s="387"/>
      <c r="CZ125" s="387"/>
      <c r="DA125" s="387"/>
      <c r="DB125" s="387"/>
      <c r="DC125" s="387"/>
      <c r="DD125" s="387"/>
      <c r="DE125" s="387"/>
      <c r="DF125" s="387"/>
      <c r="DG125" s="387"/>
      <c r="DH125" s="387"/>
      <c r="DI125" s="387"/>
      <c r="DJ125" s="397">
        <f>DJ250</f>
        <v>307.39236582108111</v>
      </c>
      <c r="DK125" s="397">
        <f t="shared" ref="DK125:EW125" si="280">DK250</f>
        <v>352.43860823402196</v>
      </c>
      <c r="DL125" s="397">
        <f t="shared" si="280"/>
        <v>412.24812036049667</v>
      </c>
      <c r="DM125" s="397">
        <f t="shared" si="280"/>
        <v>484.014727073671</v>
      </c>
      <c r="DN125" s="397">
        <f t="shared" si="280"/>
        <v>458.77995925760285</v>
      </c>
      <c r="DO125" s="397">
        <f t="shared" si="280"/>
        <v>260.66255615674601</v>
      </c>
      <c r="DP125" s="397">
        <f t="shared" si="280"/>
        <v>105.71665413136795</v>
      </c>
      <c r="DQ125" s="397">
        <f t="shared" si="280"/>
        <v>161.73070221589873</v>
      </c>
      <c r="DR125" s="397">
        <f t="shared" si="280"/>
        <v>207.99160002655606</v>
      </c>
      <c r="DS125" s="397">
        <f t="shared" si="280"/>
        <v>223.67224628083005</v>
      </c>
      <c r="DT125" s="397">
        <f t="shared" si="280"/>
        <v>253.12676010792774</v>
      </c>
      <c r="DU125" s="397">
        <f>DU250</f>
        <v>270.18794588201445</v>
      </c>
      <c r="DV125" s="376">
        <f t="shared" si="280"/>
        <v>147.19971891904135</v>
      </c>
      <c r="DW125" s="376">
        <f t="shared" si="280"/>
        <v>161.98725598978021</v>
      </c>
      <c r="DX125" s="376">
        <f>DX250</f>
        <v>101.70312284442969</v>
      </c>
      <c r="DY125" s="376">
        <f>DY250</f>
        <v>174.08286332842013</v>
      </c>
      <c r="DZ125" s="376">
        <f t="shared" si="280"/>
        <v>96.465311379807233</v>
      </c>
      <c r="EA125" s="376">
        <f t="shared" si="280"/>
        <v>133.23642996115564</v>
      </c>
      <c r="EB125" s="376">
        <f t="shared" si="280"/>
        <v>309.44535984697814</v>
      </c>
      <c r="EC125" s="376">
        <f t="shared" si="280"/>
        <v>262.5833104756951</v>
      </c>
      <c r="ED125" s="376">
        <f t="shared" si="280"/>
        <v>233.3840463507978</v>
      </c>
      <c r="EE125" s="380">
        <f t="shared" si="280"/>
        <v>223.9319924735905</v>
      </c>
      <c r="EF125" s="380">
        <f t="shared" si="280"/>
        <v>201.53879322623143</v>
      </c>
      <c r="EG125" s="380">
        <f t="shared" si="280"/>
        <v>185.01261218168048</v>
      </c>
      <c r="EH125" s="380">
        <f t="shared" si="280"/>
        <v>159.55487674548121</v>
      </c>
      <c r="EI125" s="380">
        <f t="shared" si="280"/>
        <v>169.2558132516065</v>
      </c>
      <c r="EJ125" s="380">
        <f t="shared" si="280"/>
        <v>183.05016203161247</v>
      </c>
      <c r="EK125" s="380">
        <f t="shared" si="280"/>
        <v>197.96875023718889</v>
      </c>
      <c r="EL125" s="380">
        <f t="shared" si="280"/>
        <v>165.50187519828989</v>
      </c>
      <c r="EM125" s="380">
        <f t="shared" si="280"/>
        <v>175.56438921034592</v>
      </c>
      <c r="EN125" s="380">
        <f t="shared" si="280"/>
        <v>189.87288693098915</v>
      </c>
      <c r="EO125" s="380">
        <f t="shared" si="280"/>
        <v>205.34752721586477</v>
      </c>
      <c r="EP125" s="380">
        <f t="shared" si="280"/>
        <v>171.67053275246295</v>
      </c>
      <c r="EQ125" s="380">
        <f t="shared" si="280"/>
        <v>182.10810114381272</v>
      </c>
      <c r="ER125" s="380">
        <f t="shared" si="280"/>
        <v>196.94991138703347</v>
      </c>
      <c r="ES125" s="380">
        <f t="shared" si="280"/>
        <v>213.00132916507673</v>
      </c>
      <c r="ET125" s="380">
        <f t="shared" si="280"/>
        <v>178.06911118200412</v>
      </c>
      <c r="EU125" s="380">
        <f t="shared" si="280"/>
        <v>188.89571314187</v>
      </c>
      <c r="EV125" s="380">
        <f t="shared" si="280"/>
        <v>204.29071376293246</v>
      </c>
      <c r="EW125" s="380">
        <f t="shared" si="280"/>
        <v>220.94040693461147</v>
      </c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  <c r="GB125" s="397">
        <f>SUM(DJ125:DM125)</f>
        <v>1556.0938214892708</v>
      </c>
      <c r="GC125" s="397">
        <f>SUM(DN125:DQ125)</f>
        <v>986.88987176161561</v>
      </c>
      <c r="GD125" s="397">
        <f>SUM(DR125:DU125)</f>
        <v>954.97855229732829</v>
      </c>
      <c r="GE125" s="397">
        <f>SUM(DV125:DY125)</f>
        <v>584.97296108167131</v>
      </c>
      <c r="GF125" s="397">
        <f>SUM(DZ125:EC125)</f>
        <v>801.730411663636</v>
      </c>
      <c r="GG125" s="410">
        <f>SUM(ED125:EG125)</f>
        <v>843.86744423230016</v>
      </c>
      <c r="GH125" s="410">
        <f>SUM(EH125:EK125)</f>
        <v>709.82960226588898</v>
      </c>
      <c r="GI125" s="410">
        <f>SUM(EL125:EO125)</f>
        <v>736.28667855548974</v>
      </c>
      <c r="GJ125" s="410">
        <f>SUM(EP125:ES125)</f>
        <v>763.72987444838589</v>
      </c>
      <c r="GK125" s="410">
        <f>SUM(ET125:EW125)</f>
        <v>792.19594502141808</v>
      </c>
      <c r="GN125" s="443"/>
    </row>
    <row r="126" spans="1:196" s="382" customFormat="1">
      <c r="A126" s="396" t="s">
        <v>198</v>
      </c>
      <c r="B126" s="392"/>
      <c r="C126" s="392"/>
      <c r="D126" s="392"/>
      <c r="E126" s="392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2"/>
      <c r="Y126" s="392"/>
      <c r="Z126" s="392"/>
      <c r="AA126" s="392"/>
      <c r="AB126" s="392"/>
      <c r="AC126" s="392"/>
      <c r="AD126" s="392"/>
      <c r="AE126" s="392"/>
      <c r="AF126" s="392"/>
      <c r="AG126" s="392"/>
      <c r="AH126" s="392"/>
      <c r="AI126" s="392"/>
      <c r="AJ126" s="392"/>
      <c r="AK126" s="392"/>
      <c r="AL126" s="392"/>
      <c r="AM126" s="392"/>
      <c r="AN126" s="392"/>
      <c r="AO126" s="392"/>
      <c r="AP126" s="392"/>
      <c r="AQ126" s="392"/>
      <c r="AR126" s="392"/>
      <c r="AS126" s="392"/>
      <c r="AT126" s="392"/>
      <c r="AU126" s="392"/>
      <c r="AV126" s="392"/>
      <c r="AW126" s="392"/>
      <c r="AX126" s="392"/>
      <c r="AY126" s="392"/>
      <c r="AZ126" s="392"/>
      <c r="BA126" s="392"/>
      <c r="BB126" s="392"/>
      <c r="BC126" s="392"/>
      <c r="BD126" s="392"/>
      <c r="BE126" s="392"/>
      <c r="BF126" s="392"/>
      <c r="BG126" s="392"/>
      <c r="BH126" s="392"/>
      <c r="BI126" s="392"/>
      <c r="BJ126" s="392"/>
      <c r="BK126" s="392"/>
      <c r="BL126" s="392"/>
      <c r="BM126" s="392"/>
      <c r="BN126" s="392"/>
      <c r="BO126" s="392"/>
      <c r="BP126" s="392"/>
      <c r="BQ126" s="392"/>
      <c r="BR126" s="392"/>
      <c r="BS126" s="392"/>
      <c r="BT126" s="392"/>
      <c r="BU126" s="392"/>
      <c r="BV126" s="392"/>
      <c r="BW126" s="392"/>
      <c r="BX126" s="392"/>
      <c r="BY126" s="392"/>
      <c r="BZ126" s="392"/>
      <c r="CA126" s="392"/>
      <c r="CB126" s="392"/>
      <c r="CC126" s="392"/>
      <c r="CD126" s="392"/>
      <c r="CE126" s="392"/>
      <c r="CF126" s="392"/>
      <c r="CG126" s="392"/>
      <c r="CH126" s="392"/>
      <c r="CI126" s="392"/>
      <c r="CJ126" s="392"/>
      <c r="CK126" s="392"/>
      <c r="CL126" s="392"/>
      <c r="CM126" s="392"/>
      <c r="CN126" s="392"/>
      <c r="CO126" s="392"/>
      <c r="CP126" s="392"/>
      <c r="CQ126" s="392"/>
      <c r="CR126" s="392"/>
      <c r="CS126" s="392"/>
      <c r="CT126" s="387"/>
      <c r="CU126" s="387"/>
      <c r="CV126" s="387"/>
      <c r="CW126" s="387"/>
      <c r="CX126" s="392"/>
      <c r="CY126" s="387"/>
      <c r="CZ126" s="387"/>
      <c r="DA126" s="387"/>
      <c r="DB126" s="387"/>
      <c r="DC126" s="387"/>
      <c r="DD126" s="387"/>
      <c r="DE126" s="387"/>
      <c r="DF126" s="387"/>
      <c r="DG126" s="387"/>
      <c r="DH126" s="387"/>
      <c r="DI126" s="387"/>
      <c r="DJ126" s="442"/>
      <c r="DK126" s="33">
        <f>DK125/DJ125-1</f>
        <v>0.14654313971857125</v>
      </c>
      <c r="DL126" s="33">
        <f t="shared" ref="DL126:EW126" si="281">DL125/DK125-1</f>
        <v>0.1697019302912488</v>
      </c>
      <c r="DM126" s="33">
        <f t="shared" si="281"/>
        <v>0.17408595253367531</v>
      </c>
      <c r="DN126" s="33">
        <f t="shared" si="281"/>
        <v>-5.2136363636363536E-2</v>
      </c>
      <c r="DO126" s="33">
        <f t="shared" si="281"/>
        <v>-0.43183534743202423</v>
      </c>
      <c r="DP126" s="33">
        <f t="shared" si="281"/>
        <v>-0.59443099273607736</v>
      </c>
      <c r="DQ126" s="33">
        <f t="shared" si="281"/>
        <v>0.5298507462686568</v>
      </c>
      <c r="DR126" s="33">
        <f t="shared" si="281"/>
        <v>0.2860365853658533</v>
      </c>
      <c r="DS126" s="33">
        <f t="shared" si="281"/>
        <v>7.5390766993820524E-2</v>
      </c>
      <c r="DT126" s="33">
        <f t="shared" si="281"/>
        <v>0.13168604651162785</v>
      </c>
      <c r="DU126" s="33">
        <f t="shared" si="281"/>
        <v>6.7401746724890632E-2</v>
      </c>
      <c r="DV126" s="66">
        <f t="shared" si="281"/>
        <v>-0.45519509229578858</v>
      </c>
      <c r="DW126" s="66">
        <f t="shared" si="281"/>
        <v>0.10045900345008052</v>
      </c>
      <c r="DX126" s="66">
        <f t="shared" si="281"/>
        <v>-0.37215355477812317</v>
      </c>
      <c r="DY126" s="66">
        <f t="shared" si="281"/>
        <v>0.71167667677919999</v>
      </c>
      <c r="DZ126" s="66">
        <f t="shared" si="281"/>
        <v>-0.44586555198245836</v>
      </c>
      <c r="EA126" s="66">
        <f t="shared" si="281"/>
        <v>0.38118488454955202</v>
      </c>
      <c r="EB126" s="66">
        <f t="shared" si="281"/>
        <v>1.3225281549287629</v>
      </c>
      <c r="EC126" s="66">
        <f t="shared" si="281"/>
        <v>-0.15143884980035405</v>
      </c>
      <c r="ED126" s="66">
        <f t="shared" si="281"/>
        <v>-0.11119999999999997</v>
      </c>
      <c r="EE126" s="149">
        <f t="shared" si="281"/>
        <v>-4.049999999999998E-2</v>
      </c>
      <c r="EF126" s="149">
        <f t="shared" si="281"/>
        <v>-0.10000000000000009</v>
      </c>
      <c r="EG126" s="149">
        <f t="shared" si="281"/>
        <v>-8.1999999999999851E-2</v>
      </c>
      <c r="EH126" s="149">
        <f t="shared" si="281"/>
        <v>-0.13760000000000017</v>
      </c>
      <c r="EI126" s="149">
        <f t="shared" si="281"/>
        <v>6.0800000000000187E-2</v>
      </c>
      <c r="EJ126" s="149">
        <f t="shared" si="281"/>
        <v>8.150000000000035E-2</v>
      </c>
      <c r="EK126" s="149">
        <f t="shared" si="281"/>
        <v>8.1499999999999906E-2</v>
      </c>
      <c r="EL126" s="149">
        <f t="shared" si="281"/>
        <v>-0.16400000000000003</v>
      </c>
      <c r="EM126" s="149">
        <f t="shared" si="281"/>
        <v>6.0799999999999965E-2</v>
      </c>
      <c r="EN126" s="149">
        <f t="shared" si="281"/>
        <v>8.1500000000000128E-2</v>
      </c>
      <c r="EO126" s="149">
        <f t="shared" si="281"/>
        <v>8.1499999999999906E-2</v>
      </c>
      <c r="EP126" s="149">
        <f t="shared" si="281"/>
        <v>-0.16400000000000003</v>
      </c>
      <c r="EQ126" s="149">
        <f t="shared" si="281"/>
        <v>6.0800000000000187E-2</v>
      </c>
      <c r="ER126" s="149">
        <f t="shared" si="281"/>
        <v>8.1500000000000128E-2</v>
      </c>
      <c r="ES126" s="149">
        <f t="shared" si="281"/>
        <v>8.1500000000000128E-2</v>
      </c>
      <c r="ET126" s="149">
        <f t="shared" si="281"/>
        <v>-0.16400000000000015</v>
      </c>
      <c r="EU126" s="149">
        <f t="shared" si="281"/>
        <v>6.0800000000000187E-2</v>
      </c>
      <c r="EV126" s="149">
        <f t="shared" si="281"/>
        <v>8.150000000000035E-2</v>
      </c>
      <c r="EW126" s="149">
        <f t="shared" si="281"/>
        <v>8.1500000000000128E-2</v>
      </c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  <c r="GB126" s="386" t="s">
        <v>199</v>
      </c>
      <c r="GC126" s="386" t="s">
        <v>199</v>
      </c>
      <c r="GD126" s="386" t="s">
        <v>199</v>
      </c>
      <c r="GE126" s="386" t="s">
        <v>199</v>
      </c>
      <c r="GF126" s="386" t="s">
        <v>199</v>
      </c>
      <c r="GG126" s="386" t="s">
        <v>199</v>
      </c>
      <c r="GH126" s="386" t="s">
        <v>199</v>
      </c>
      <c r="GI126" s="386" t="s">
        <v>199</v>
      </c>
      <c r="GJ126" s="386" t="s">
        <v>199</v>
      </c>
      <c r="GK126" s="386" t="s">
        <v>199</v>
      </c>
      <c r="GN126" s="443"/>
    </row>
    <row r="127" spans="1:196" s="382" customFormat="1">
      <c r="A127" s="396" t="s">
        <v>200</v>
      </c>
      <c r="B127" s="392"/>
      <c r="C127" s="392"/>
      <c r="D127" s="392"/>
      <c r="E127" s="392"/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92"/>
      <c r="AG127" s="392"/>
      <c r="AH127" s="392"/>
      <c r="AI127" s="392"/>
      <c r="AJ127" s="392"/>
      <c r="AK127" s="392"/>
      <c r="AL127" s="392"/>
      <c r="AM127" s="392"/>
      <c r="AN127" s="392"/>
      <c r="AO127" s="392"/>
      <c r="AP127" s="392"/>
      <c r="AQ127" s="392"/>
      <c r="AR127" s="392"/>
      <c r="AS127" s="392"/>
      <c r="AT127" s="392"/>
      <c r="AU127" s="392"/>
      <c r="AV127" s="392"/>
      <c r="AW127" s="392"/>
      <c r="AX127" s="392"/>
      <c r="AY127" s="392"/>
      <c r="AZ127" s="392"/>
      <c r="BA127" s="392"/>
      <c r="BB127" s="392"/>
      <c r="BC127" s="392"/>
      <c r="BD127" s="392"/>
      <c r="BE127" s="392"/>
      <c r="BF127" s="392"/>
      <c r="BG127" s="392"/>
      <c r="BH127" s="392"/>
      <c r="BI127" s="392"/>
      <c r="BJ127" s="392"/>
      <c r="BK127" s="392"/>
      <c r="BL127" s="392"/>
      <c r="BM127" s="392"/>
      <c r="BN127" s="392"/>
      <c r="BO127" s="392"/>
      <c r="BP127" s="392"/>
      <c r="BQ127" s="392"/>
      <c r="BR127" s="392"/>
      <c r="BS127" s="392"/>
      <c r="BT127" s="392"/>
      <c r="BU127" s="392"/>
      <c r="BV127" s="392"/>
      <c r="BW127" s="392"/>
      <c r="BX127" s="392"/>
      <c r="BY127" s="392"/>
      <c r="BZ127" s="392"/>
      <c r="CA127" s="392"/>
      <c r="CB127" s="392"/>
      <c r="CC127" s="392"/>
      <c r="CD127" s="392"/>
      <c r="CE127" s="392"/>
      <c r="CF127" s="392"/>
      <c r="CG127" s="392"/>
      <c r="CH127" s="392"/>
      <c r="CI127" s="392"/>
      <c r="CJ127" s="392"/>
      <c r="CK127" s="392"/>
      <c r="CL127" s="392"/>
      <c r="CM127" s="392"/>
      <c r="CN127" s="392"/>
      <c r="CO127" s="392"/>
      <c r="CP127" s="392"/>
      <c r="CQ127" s="392"/>
      <c r="CR127" s="392"/>
      <c r="CS127" s="392"/>
      <c r="CT127" s="387"/>
      <c r="CU127" s="387"/>
      <c r="CV127" s="387"/>
      <c r="CW127" s="387"/>
      <c r="CX127" s="392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442"/>
      <c r="DK127" s="33"/>
      <c r="DL127" s="33"/>
      <c r="DM127" s="33"/>
      <c r="DN127" s="33">
        <f t="shared" ref="DN127:EW127" si="282">DN125/DJ125-1</f>
        <v>0.49248976314733017</v>
      </c>
      <c r="DO127" s="33">
        <f t="shared" si="282"/>
        <v>-0.26040294659300189</v>
      </c>
      <c r="DP127" s="33">
        <f t="shared" si="282"/>
        <v>-0.74356061577934573</v>
      </c>
      <c r="DQ127" s="33">
        <f t="shared" si="282"/>
        <v>-0.66585582386363629</v>
      </c>
      <c r="DR127" s="33">
        <f t="shared" si="282"/>
        <v>-0.54664192314954696</v>
      </c>
      <c r="DS127" s="33">
        <f t="shared" si="282"/>
        <v>-0.14190879741727203</v>
      </c>
      <c r="DT127" s="33">
        <f t="shared" si="282"/>
        <v>1.3943886815920394</v>
      </c>
      <c r="DU127" s="33">
        <f t="shared" si="282"/>
        <v>0.67060392479674746</v>
      </c>
      <c r="DV127" s="66">
        <f t="shared" si="282"/>
        <v>-0.29228046276750064</v>
      </c>
      <c r="DW127" s="66">
        <f t="shared" si="282"/>
        <v>-0.27578294275098258</v>
      </c>
      <c r="DX127" s="66">
        <f t="shared" si="282"/>
        <v>-0.59821267889232377</v>
      </c>
      <c r="DY127" s="66">
        <f t="shared" si="282"/>
        <v>-0.3556971508845973</v>
      </c>
      <c r="DZ127" s="66">
        <f t="shared" si="282"/>
        <v>-0.34466375283731099</v>
      </c>
      <c r="EA127" s="66">
        <f t="shared" si="282"/>
        <v>-0.17748819716063635</v>
      </c>
      <c r="EB127" s="66">
        <f t="shared" si="282"/>
        <v>2.0426338070299144</v>
      </c>
      <c r="EC127" s="66">
        <f t="shared" si="282"/>
        <v>0.50838115513019999</v>
      </c>
      <c r="ED127" s="66">
        <f t="shared" si="282"/>
        <v>1.4193572073997505</v>
      </c>
      <c r="EE127" s="149">
        <f t="shared" si="282"/>
        <v>0.68071144310063447</v>
      </c>
      <c r="EF127" s="149">
        <f t="shared" si="282"/>
        <v>-0.34870959666064116</v>
      </c>
      <c r="EG127" s="149">
        <f t="shared" si="282"/>
        <v>-0.29541366567999994</v>
      </c>
      <c r="EH127" s="149">
        <f t="shared" si="282"/>
        <v>-0.31634197264000008</v>
      </c>
      <c r="EI127" s="149">
        <f t="shared" si="282"/>
        <v>-0.24416421529599996</v>
      </c>
      <c r="EJ127" s="149">
        <f t="shared" si="282"/>
        <v>-9.1737332047359677E-2</v>
      </c>
      <c r="EK127" s="149">
        <f t="shared" si="282"/>
        <v>7.0028404565120272E-2</v>
      </c>
      <c r="EL127" s="149">
        <f t="shared" si="282"/>
        <v>3.7272432996800386E-2</v>
      </c>
      <c r="EM127" s="149">
        <f t="shared" si="282"/>
        <v>3.7272432996800164E-2</v>
      </c>
      <c r="EN127" s="149">
        <f t="shared" si="282"/>
        <v>3.7272432996800164E-2</v>
      </c>
      <c r="EO127" s="149">
        <f t="shared" si="282"/>
        <v>3.7272432996800164E-2</v>
      </c>
      <c r="EP127" s="149">
        <f t="shared" si="282"/>
        <v>3.7272432996800164E-2</v>
      </c>
      <c r="EQ127" s="149">
        <f t="shared" si="282"/>
        <v>3.7272432996800386E-2</v>
      </c>
      <c r="ER127" s="149">
        <f t="shared" si="282"/>
        <v>3.7272432996800164E-2</v>
      </c>
      <c r="ES127" s="149">
        <f t="shared" si="282"/>
        <v>3.7272432996800386E-2</v>
      </c>
      <c r="ET127" s="149">
        <f t="shared" si="282"/>
        <v>3.7272432996800164E-2</v>
      </c>
      <c r="EU127" s="149">
        <f t="shared" si="282"/>
        <v>3.7272432996800164E-2</v>
      </c>
      <c r="EV127" s="149">
        <f t="shared" si="282"/>
        <v>3.7272432996800386E-2</v>
      </c>
      <c r="EW127" s="149">
        <f t="shared" si="282"/>
        <v>3.7272432996800386E-2</v>
      </c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  <c r="GB127" s="386" t="s">
        <v>199</v>
      </c>
      <c r="GC127" s="383">
        <f t="shared" ref="GC127:GK127" si="283">GC125/GB125-1</f>
        <v>-0.36579025111923802</v>
      </c>
      <c r="GD127" s="383">
        <f t="shared" si="283"/>
        <v>-3.2335238588805271E-2</v>
      </c>
      <c r="GE127" s="383">
        <f t="shared" si="283"/>
        <v>-0.38744911110889257</v>
      </c>
      <c r="GF127" s="383">
        <f t="shared" si="283"/>
        <v>0.37054268317147399</v>
      </c>
      <c r="GG127" s="444">
        <f t="shared" si="283"/>
        <v>5.2557607838808806E-2</v>
      </c>
      <c r="GH127" s="444">
        <f t="shared" si="283"/>
        <v>-0.15883755545084544</v>
      </c>
      <c r="GI127" s="444">
        <f t="shared" si="283"/>
        <v>3.7272432996800386E-2</v>
      </c>
      <c r="GJ127" s="444">
        <f t="shared" si="283"/>
        <v>3.7272432996800386E-2</v>
      </c>
      <c r="GK127" s="444">
        <f t="shared" si="283"/>
        <v>3.7272432996800386E-2</v>
      </c>
      <c r="GN127" s="443"/>
    </row>
    <row r="128" spans="1:196" s="382" customFormat="1">
      <c r="A128" s="396" t="s">
        <v>261</v>
      </c>
      <c r="B128" s="392"/>
      <c r="C128" s="392"/>
      <c r="D128" s="392"/>
      <c r="E128" s="392"/>
      <c r="F128" s="392"/>
      <c r="G128" s="392"/>
      <c r="H128" s="392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92"/>
      <c r="AG128" s="392"/>
      <c r="AH128" s="392"/>
      <c r="AI128" s="392"/>
      <c r="AJ128" s="392"/>
      <c r="AK128" s="392"/>
      <c r="AL128" s="392"/>
      <c r="AM128" s="392"/>
      <c r="AN128" s="392"/>
      <c r="AO128" s="392"/>
      <c r="AP128" s="392"/>
      <c r="AQ128" s="392"/>
      <c r="AR128" s="392"/>
      <c r="AS128" s="392"/>
      <c r="AT128" s="392"/>
      <c r="AU128" s="392"/>
      <c r="AV128" s="392"/>
      <c r="AW128" s="392"/>
      <c r="AX128" s="392"/>
      <c r="AY128" s="392"/>
      <c r="AZ128" s="392"/>
      <c r="BA128" s="392"/>
      <c r="BB128" s="392"/>
      <c r="BC128" s="392"/>
      <c r="BD128" s="392"/>
      <c r="BE128" s="392"/>
      <c r="BF128" s="392"/>
      <c r="BG128" s="392"/>
      <c r="BH128" s="392"/>
      <c r="BI128" s="392"/>
      <c r="BJ128" s="392"/>
      <c r="BK128" s="392"/>
      <c r="BL128" s="392"/>
      <c r="BM128" s="392"/>
      <c r="BN128" s="392"/>
      <c r="BO128" s="392"/>
      <c r="BP128" s="392"/>
      <c r="BQ128" s="392"/>
      <c r="BR128" s="392"/>
      <c r="BS128" s="392"/>
      <c r="BT128" s="392"/>
      <c r="BU128" s="392"/>
      <c r="BV128" s="392"/>
      <c r="BW128" s="392"/>
      <c r="BX128" s="392"/>
      <c r="BY128" s="392"/>
      <c r="BZ128" s="392"/>
      <c r="CA128" s="392"/>
      <c r="CB128" s="392"/>
      <c r="CC128" s="392"/>
      <c r="CD128" s="392"/>
      <c r="CE128" s="392"/>
      <c r="CF128" s="392"/>
      <c r="CG128" s="392"/>
      <c r="CH128" s="392"/>
      <c r="CI128" s="392"/>
      <c r="CJ128" s="392"/>
      <c r="CK128" s="392"/>
      <c r="CL128" s="392"/>
      <c r="CM128" s="392"/>
      <c r="CN128" s="392"/>
      <c r="CO128" s="392"/>
      <c r="CP128" s="392"/>
      <c r="CQ128" s="392"/>
      <c r="CR128" s="392"/>
      <c r="CS128" s="392"/>
      <c r="CT128" s="387"/>
      <c r="CU128" s="387"/>
      <c r="CV128" s="387"/>
      <c r="CW128" s="387"/>
      <c r="CX128" s="392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3">
        <f t="shared" ref="DJ128:EW128" si="284">DJ125/DJ$161</f>
        <v>8.9228553213666503E-2</v>
      </c>
      <c r="DK128" s="33">
        <f t="shared" si="284"/>
        <v>9.1542495645200506E-2</v>
      </c>
      <c r="DL128" s="33">
        <f t="shared" si="284"/>
        <v>9.5582684989681588E-2</v>
      </c>
      <c r="DM128" s="33">
        <f t="shared" si="284"/>
        <v>0.10029314692782242</v>
      </c>
      <c r="DN128" s="33">
        <f t="shared" si="284"/>
        <v>7.7931027562018487E-2</v>
      </c>
      <c r="DO128" s="33">
        <f t="shared" si="284"/>
        <v>3.9795810100266567E-2</v>
      </c>
      <c r="DP128" s="33">
        <f t="shared" si="284"/>
        <v>1.8996703347954707E-2</v>
      </c>
      <c r="DQ128" s="33">
        <f t="shared" si="284"/>
        <v>2.8885640688676321E-2</v>
      </c>
      <c r="DR128" s="33">
        <f t="shared" si="284"/>
        <v>3.885514665170111E-2</v>
      </c>
      <c r="DS128" s="33">
        <f t="shared" si="284"/>
        <v>4.173768357544879E-2</v>
      </c>
      <c r="DT128" s="33">
        <f t="shared" si="284"/>
        <v>4.3642544846194439E-2</v>
      </c>
      <c r="DU128" s="33">
        <f t="shared" si="284"/>
        <v>4.380479018839404E-2</v>
      </c>
      <c r="DV128" s="66">
        <f t="shared" si="284"/>
        <v>2.6895618293265366E-2</v>
      </c>
      <c r="DW128" s="66">
        <f t="shared" si="284"/>
        <v>2.7761312080510747E-2</v>
      </c>
      <c r="DX128" s="66">
        <f>DX125/DX$161</f>
        <v>1.4914668256992182E-2</v>
      </c>
      <c r="DY128" s="66">
        <f>DY125/DY$161</f>
        <v>2.2732157655839663E-2</v>
      </c>
      <c r="DZ128" s="66">
        <f t="shared" si="284"/>
        <v>1.296925401718301E-2</v>
      </c>
      <c r="EA128" s="66">
        <f t="shared" si="284"/>
        <v>1.7337206240879068E-2</v>
      </c>
      <c r="EB128" s="66">
        <f t="shared" si="284"/>
        <v>3.3468025075381588E-2</v>
      </c>
      <c r="EC128" s="66">
        <f t="shared" si="284"/>
        <v>2.5567995177769729E-2</v>
      </c>
      <c r="ED128" s="66">
        <f t="shared" si="284"/>
        <v>2.2762513054793505E-2</v>
      </c>
      <c r="EE128" s="149">
        <f t="shared" si="284"/>
        <v>1.9953816613687607E-2</v>
      </c>
      <c r="EF128" s="149">
        <f t="shared" si="284"/>
        <v>1.680383342600798E-2</v>
      </c>
      <c r="EG128" s="149">
        <f t="shared" si="284"/>
        <v>1.1426473625533532E-2</v>
      </c>
      <c r="EH128" s="149">
        <f t="shared" si="284"/>
        <v>9.1514990133546477E-3</v>
      </c>
      <c r="EI128" s="149">
        <f t="shared" si="284"/>
        <v>8.8101211275799021E-3</v>
      </c>
      <c r="EJ128" s="149">
        <f t="shared" si="284"/>
        <v>8.2694054049405052E-3</v>
      </c>
      <c r="EK128" s="149">
        <f t="shared" si="284"/>
        <v>8.0742576748948081E-3</v>
      </c>
      <c r="EL128" s="149">
        <f t="shared" si="284"/>
        <v>6.9127705272871371E-3</v>
      </c>
      <c r="EM128" s="149">
        <f t="shared" si="284"/>
        <v>7.0132934395578279E-3</v>
      </c>
      <c r="EN128" s="149">
        <f t="shared" si="284"/>
        <v>7.0658449851861991E-3</v>
      </c>
      <c r="EO128" s="149">
        <f t="shared" si="284"/>
        <v>7.1420047203650909E-3</v>
      </c>
      <c r="EP128" s="149">
        <f t="shared" si="284"/>
        <v>6.0926707827804027E-3</v>
      </c>
      <c r="EQ128" s="149">
        <f t="shared" si="284"/>
        <v>6.1987323890165145E-3</v>
      </c>
      <c r="ER128" s="149">
        <f t="shared" si="284"/>
        <v>6.2097715038106835E-3</v>
      </c>
      <c r="ES128" s="149">
        <f t="shared" si="284"/>
        <v>6.4323207750868767E-3</v>
      </c>
      <c r="ET128" s="149">
        <f t="shared" si="284"/>
        <v>5.6149129501894138E-3</v>
      </c>
      <c r="EU128" s="149">
        <f t="shared" si="284"/>
        <v>5.7145988874899292E-3</v>
      </c>
      <c r="EV128" s="149">
        <f t="shared" si="284"/>
        <v>5.6245027328113012E-3</v>
      </c>
      <c r="EW128" s="149">
        <f t="shared" si="284"/>
        <v>5.8146483544562677E-3</v>
      </c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  <c r="GB128" s="383">
        <f t="shared" ref="GB128:GG128" si="285">GB125/GB$161</f>
        <v>9.4687466319171881E-2</v>
      </c>
      <c r="GC128" s="383">
        <f t="shared" si="285"/>
        <v>4.1815595600254885E-2</v>
      </c>
      <c r="GD128" s="383">
        <f t="shared" si="285"/>
        <v>4.2106638108347812E-2</v>
      </c>
      <c r="GE128" s="383">
        <f t="shared" si="285"/>
        <v>2.2686560445284908E-2</v>
      </c>
      <c r="GF128" s="383">
        <f t="shared" si="285"/>
        <v>2.3145310536205894E-2</v>
      </c>
      <c r="GG128" s="391">
        <f t="shared" si="285"/>
        <v>1.6992657661440029E-2</v>
      </c>
      <c r="GH128" s="391">
        <f>GH125/GH$161</f>
        <v>8.5212928167127736E-3</v>
      </c>
      <c r="GI128" s="391">
        <f t="shared" ref="GI128:GK128" si="286">GI125/GI$161</f>
        <v>7.0391658105727435E-3</v>
      </c>
      <c r="GJ128" s="391">
        <f t="shared" si="286"/>
        <v>6.2403776617139814E-3</v>
      </c>
      <c r="GK128" s="391">
        <f t="shared" si="286"/>
        <v>5.6956738501916428E-3</v>
      </c>
      <c r="GN128" s="443"/>
    </row>
    <row r="129" spans="1:196" s="382" customFormat="1">
      <c r="A129" s="395" t="s">
        <v>267</v>
      </c>
      <c r="B129" s="392"/>
      <c r="C129" s="392"/>
      <c r="D129" s="392"/>
      <c r="E129" s="392"/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/>
      <c r="AM129" s="392"/>
      <c r="AN129" s="392"/>
      <c r="AO129" s="392"/>
      <c r="AP129" s="392"/>
      <c r="AQ129" s="392"/>
      <c r="AR129" s="392"/>
      <c r="AS129" s="392"/>
      <c r="AT129" s="392"/>
      <c r="AU129" s="392"/>
      <c r="AV129" s="392"/>
      <c r="AW129" s="392"/>
      <c r="AX129" s="392"/>
      <c r="AY129" s="392"/>
      <c r="AZ129" s="392"/>
      <c r="BA129" s="392"/>
      <c r="BB129" s="392"/>
      <c r="BC129" s="392"/>
      <c r="BD129" s="392"/>
      <c r="BE129" s="392"/>
      <c r="BF129" s="392"/>
      <c r="BG129" s="392"/>
      <c r="BH129" s="392"/>
      <c r="BI129" s="392"/>
      <c r="BJ129" s="392"/>
      <c r="BK129" s="392"/>
      <c r="BL129" s="392"/>
      <c r="BM129" s="392"/>
      <c r="BN129" s="392"/>
      <c r="BO129" s="392"/>
      <c r="BP129" s="392"/>
      <c r="BQ129" s="392"/>
      <c r="BR129" s="392"/>
      <c r="BS129" s="392"/>
      <c r="BT129" s="392"/>
      <c r="BU129" s="392"/>
      <c r="BV129" s="392"/>
      <c r="BW129" s="392"/>
      <c r="BX129" s="392"/>
      <c r="BY129" s="392"/>
      <c r="BZ129" s="392"/>
      <c r="CA129" s="392"/>
      <c r="CB129" s="392"/>
      <c r="CC129" s="392"/>
      <c r="CD129" s="392"/>
      <c r="CE129" s="392"/>
      <c r="CF129" s="392"/>
      <c r="CG129" s="392"/>
      <c r="CH129" s="392"/>
      <c r="CI129" s="392"/>
      <c r="CJ129" s="392"/>
      <c r="CK129" s="392"/>
      <c r="CL129" s="392"/>
      <c r="CM129" s="392"/>
      <c r="CN129" s="392"/>
      <c r="CO129" s="392"/>
      <c r="CP129" s="392"/>
      <c r="CQ129" s="392"/>
      <c r="CR129" s="392"/>
      <c r="CS129" s="392"/>
      <c r="CT129" s="387"/>
      <c r="CU129" s="387"/>
      <c r="CV129" s="387"/>
      <c r="CW129" s="387"/>
      <c r="CX129" s="392"/>
      <c r="CY129" s="387"/>
      <c r="CZ129" s="387"/>
      <c r="DA129" s="387"/>
      <c r="DB129" s="387"/>
      <c r="DC129" s="387"/>
      <c r="DD129" s="387"/>
      <c r="DE129" s="387"/>
      <c r="DF129" s="387"/>
      <c r="DG129" s="387"/>
      <c r="DH129" s="387"/>
      <c r="DI129" s="387"/>
      <c r="DJ129" s="397">
        <f>DJ262</f>
        <v>152.96177402140046</v>
      </c>
      <c r="DK129" s="397">
        <f t="shared" ref="DK129:EW129" si="287">DK262</f>
        <v>164.4601052740899</v>
      </c>
      <c r="DL129" s="397">
        <f t="shared" si="287"/>
        <v>177.02227797283675</v>
      </c>
      <c r="DM129" s="397">
        <f t="shared" si="287"/>
        <v>166.36960625966228</v>
      </c>
      <c r="DN129" s="397">
        <f t="shared" si="287"/>
        <v>169.10968240906396</v>
      </c>
      <c r="DO129" s="397">
        <f t="shared" si="287"/>
        <v>183.74274584325411</v>
      </c>
      <c r="DP129" s="397">
        <f t="shared" si="287"/>
        <v>67.418987868632243</v>
      </c>
      <c r="DQ129" s="397">
        <f t="shared" si="287"/>
        <v>168.66958287063986</v>
      </c>
      <c r="DR129" s="397">
        <f t="shared" si="287"/>
        <v>106.82157391384897</v>
      </c>
      <c r="DS129" s="397">
        <f t="shared" si="287"/>
        <v>28.891845426203442</v>
      </c>
      <c r="DT129" s="397">
        <f t="shared" si="287"/>
        <v>31.75476465479996</v>
      </c>
      <c r="DU129" s="397">
        <f>DU262</f>
        <v>20.355618368461514</v>
      </c>
      <c r="DV129" s="376">
        <f t="shared" si="287"/>
        <v>17.790810454035359</v>
      </c>
      <c r="DW129" s="376">
        <f t="shared" si="287"/>
        <v>18.564323952036897</v>
      </c>
      <c r="DX129" s="376">
        <f>DX262</f>
        <v>16.676951016913147</v>
      </c>
      <c r="DY129" s="376">
        <f>DY262</f>
        <v>23.878361683307464</v>
      </c>
      <c r="DZ129" s="376">
        <f t="shared" si="287"/>
        <v>19.10268934664597</v>
      </c>
      <c r="EA129" s="376">
        <f t="shared" si="287"/>
        <v>20.248850707444731</v>
      </c>
      <c r="EB129" s="376">
        <f t="shared" si="287"/>
        <v>20.046362200370282</v>
      </c>
      <c r="EC129" s="376">
        <f t="shared" si="287"/>
        <v>20.046362200370282</v>
      </c>
      <c r="ED129" s="376">
        <f t="shared" si="287"/>
        <v>20.447289444377688</v>
      </c>
      <c r="EE129" s="380">
        <f t="shared" si="287"/>
        <v>20.856235233265245</v>
      </c>
      <c r="EF129" s="380">
        <f t="shared" si="287"/>
        <v>20.647672880932589</v>
      </c>
      <c r="EG129" s="380">
        <f t="shared" si="287"/>
        <v>21.267103067360566</v>
      </c>
      <c r="EH129" s="380">
        <f t="shared" si="287"/>
        <v>21.692445128707778</v>
      </c>
      <c r="EI129" s="380">
        <f t="shared" si="287"/>
        <v>21.692445128707778</v>
      </c>
      <c r="EJ129" s="380">
        <f t="shared" si="287"/>
        <v>21.692445128707778</v>
      </c>
      <c r="EK129" s="380">
        <f t="shared" si="287"/>
        <v>21.692445128707778</v>
      </c>
      <c r="EL129" s="380">
        <f t="shared" si="287"/>
        <v>22.126294031281933</v>
      </c>
      <c r="EM129" s="380">
        <f t="shared" si="287"/>
        <v>22.126294031281933</v>
      </c>
      <c r="EN129" s="380">
        <f t="shared" si="287"/>
        <v>22.126294031281933</v>
      </c>
      <c r="EO129" s="380">
        <f t="shared" si="287"/>
        <v>22.126294031281933</v>
      </c>
      <c r="EP129" s="380">
        <f t="shared" si="287"/>
        <v>22.568819911907571</v>
      </c>
      <c r="EQ129" s="380">
        <f t="shared" si="287"/>
        <v>22.568819911907571</v>
      </c>
      <c r="ER129" s="380">
        <f t="shared" si="287"/>
        <v>22.568819911907571</v>
      </c>
      <c r="ES129" s="380">
        <f t="shared" si="287"/>
        <v>22.568819911907571</v>
      </c>
      <c r="ET129" s="380">
        <f t="shared" si="287"/>
        <v>23.020196310145725</v>
      </c>
      <c r="EU129" s="380">
        <f t="shared" si="287"/>
        <v>23.020196310145725</v>
      </c>
      <c r="EV129" s="380">
        <f t="shared" si="287"/>
        <v>23.020196310145725</v>
      </c>
      <c r="EW129" s="380">
        <f t="shared" si="287"/>
        <v>23.020196310145725</v>
      </c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  <c r="GB129" s="397">
        <f>SUM(DJ129:DM129)</f>
        <v>660.81376352798941</v>
      </c>
      <c r="GC129" s="397">
        <f>SUM(DN129:DQ129)</f>
        <v>588.94099899159016</v>
      </c>
      <c r="GD129" s="397">
        <f>SUM(DR129:DU129)</f>
        <v>187.82380236331389</v>
      </c>
      <c r="GE129" s="397">
        <f>SUM(DV129:DY129)</f>
        <v>76.910447106292864</v>
      </c>
      <c r="GF129" s="397">
        <f>SUM(DZ129:EC129)</f>
        <v>79.44426445483127</v>
      </c>
      <c r="GG129" s="410">
        <f>SUM(ED129:EG129)</f>
        <v>83.218300625936081</v>
      </c>
      <c r="GH129" s="410">
        <f>SUM(EH129:EK129)</f>
        <v>86.769780514831112</v>
      </c>
      <c r="GI129" s="410">
        <f>SUM(EL129:EO129)</f>
        <v>88.505176125127733</v>
      </c>
      <c r="GJ129" s="410">
        <f>SUM(EP129:ES129)</f>
        <v>90.275279647630285</v>
      </c>
      <c r="GK129" s="410">
        <f>SUM(ET129:EW129)</f>
        <v>92.080785240582898</v>
      </c>
      <c r="GN129" s="443"/>
    </row>
    <row r="130" spans="1:196" s="382" customFormat="1">
      <c r="A130" s="396" t="s">
        <v>198</v>
      </c>
      <c r="B130" s="392"/>
      <c r="C130" s="392"/>
      <c r="D130" s="392"/>
      <c r="E130" s="392"/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92"/>
      <c r="AG130" s="392"/>
      <c r="AH130" s="392"/>
      <c r="AI130" s="392"/>
      <c r="AJ130" s="392"/>
      <c r="AK130" s="392"/>
      <c r="AL130" s="392"/>
      <c r="AM130" s="392"/>
      <c r="AN130" s="392"/>
      <c r="AO130" s="392"/>
      <c r="AP130" s="392"/>
      <c r="AQ130" s="392"/>
      <c r="AR130" s="392"/>
      <c r="AS130" s="392"/>
      <c r="AT130" s="392"/>
      <c r="AU130" s="392"/>
      <c r="AV130" s="392"/>
      <c r="AW130" s="392"/>
      <c r="AX130" s="392"/>
      <c r="AY130" s="392"/>
      <c r="AZ130" s="392"/>
      <c r="BA130" s="392"/>
      <c r="BB130" s="392"/>
      <c r="BC130" s="392"/>
      <c r="BD130" s="392"/>
      <c r="BE130" s="392"/>
      <c r="BF130" s="392"/>
      <c r="BG130" s="392"/>
      <c r="BH130" s="392"/>
      <c r="BI130" s="392"/>
      <c r="BJ130" s="392"/>
      <c r="BK130" s="392"/>
      <c r="BL130" s="392"/>
      <c r="BM130" s="392"/>
      <c r="BN130" s="392"/>
      <c r="BO130" s="392"/>
      <c r="BP130" s="392"/>
      <c r="BQ130" s="392"/>
      <c r="BR130" s="392"/>
      <c r="BS130" s="392"/>
      <c r="BT130" s="392"/>
      <c r="BU130" s="392"/>
      <c r="BV130" s="392"/>
      <c r="BW130" s="392"/>
      <c r="BX130" s="392"/>
      <c r="BY130" s="392"/>
      <c r="BZ130" s="392"/>
      <c r="CA130" s="392"/>
      <c r="CB130" s="392"/>
      <c r="CC130" s="392"/>
      <c r="CD130" s="392"/>
      <c r="CE130" s="392"/>
      <c r="CF130" s="392"/>
      <c r="CG130" s="392"/>
      <c r="CH130" s="392"/>
      <c r="CI130" s="392"/>
      <c r="CJ130" s="392"/>
      <c r="CK130" s="392"/>
      <c r="CL130" s="392"/>
      <c r="CM130" s="392"/>
      <c r="CN130" s="392"/>
      <c r="CO130" s="392"/>
      <c r="CP130" s="392"/>
      <c r="CQ130" s="392"/>
      <c r="CR130" s="392"/>
      <c r="CS130" s="392"/>
      <c r="CT130" s="387"/>
      <c r="CU130" s="387"/>
      <c r="CV130" s="387"/>
      <c r="CW130" s="387"/>
      <c r="CX130" s="392"/>
      <c r="CY130" s="387"/>
      <c r="CZ130" s="387"/>
      <c r="DA130" s="387"/>
      <c r="DB130" s="387"/>
      <c r="DC130" s="387"/>
      <c r="DD130" s="387"/>
      <c r="DE130" s="387"/>
      <c r="DF130" s="387"/>
      <c r="DG130" s="387"/>
      <c r="DH130" s="387"/>
      <c r="DI130" s="387"/>
      <c r="DJ130" s="442"/>
      <c r="DK130" s="33">
        <f t="shared" ref="DK130:EW130" si="288">DK129/DJ129-1</f>
        <v>7.5171272863772787E-2</v>
      </c>
      <c r="DL130" s="33">
        <f t="shared" si="288"/>
        <v>7.63843162924569E-2</v>
      </c>
      <c r="DM130" s="33">
        <f t="shared" si="288"/>
        <v>-6.0177011815479409E-2</v>
      </c>
      <c r="DN130" s="33">
        <f t="shared" si="288"/>
        <v>1.6469812070872392E-2</v>
      </c>
      <c r="DO130" s="33">
        <f t="shared" si="288"/>
        <v>8.6530015465311028E-2</v>
      </c>
      <c r="DP130" s="33">
        <f t="shared" si="288"/>
        <v>-0.63307945813466004</v>
      </c>
      <c r="DQ130" s="33">
        <f t="shared" si="288"/>
        <v>1.5018112582659531</v>
      </c>
      <c r="DR130" s="33">
        <f t="shared" si="288"/>
        <v>-0.36668146030944337</v>
      </c>
      <c r="DS130" s="33">
        <f t="shared" si="288"/>
        <v>-0.72953173813461536</v>
      </c>
      <c r="DT130" s="33">
        <f t="shared" si="288"/>
        <v>9.9090909090908896E-2</v>
      </c>
      <c r="DU130" s="33">
        <f t="shared" si="288"/>
        <v>-0.35897435897435892</v>
      </c>
      <c r="DV130" s="66">
        <f t="shared" si="288"/>
        <v>-0.12600000000000022</v>
      </c>
      <c r="DW130" s="66">
        <f t="shared" si="288"/>
        <v>4.3478260869565188E-2</v>
      </c>
      <c r="DX130" s="66">
        <f t="shared" si="288"/>
        <v>-0.10166666666666657</v>
      </c>
      <c r="DY130" s="66">
        <f t="shared" si="288"/>
        <v>0.4318181818181821</v>
      </c>
      <c r="DZ130" s="66">
        <f t="shared" si="288"/>
        <v>-0.20000000000000007</v>
      </c>
      <c r="EA130" s="66">
        <f t="shared" si="288"/>
        <v>6.0000000000000053E-2</v>
      </c>
      <c r="EB130" s="66">
        <f t="shared" si="288"/>
        <v>-1.000000000000012E-2</v>
      </c>
      <c r="EC130" s="66">
        <f t="shared" si="288"/>
        <v>0</v>
      </c>
      <c r="ED130" s="66">
        <f t="shared" si="288"/>
        <v>2.0000000000000018E-2</v>
      </c>
      <c r="EE130" s="149">
        <f t="shared" si="288"/>
        <v>2.000000000000024E-2</v>
      </c>
      <c r="EF130" s="149">
        <f t="shared" si="288"/>
        <v>-1.000000000000012E-2</v>
      </c>
      <c r="EG130" s="149">
        <f t="shared" si="288"/>
        <v>3.0000000000000027E-2</v>
      </c>
      <c r="EH130" s="149">
        <f t="shared" si="288"/>
        <v>2.0000000000000018E-2</v>
      </c>
      <c r="EI130" s="149">
        <f t="shared" si="288"/>
        <v>0</v>
      </c>
      <c r="EJ130" s="149">
        <f t="shared" si="288"/>
        <v>0</v>
      </c>
      <c r="EK130" s="149">
        <f t="shared" si="288"/>
        <v>0</v>
      </c>
      <c r="EL130" s="149">
        <f t="shared" si="288"/>
        <v>2.0000000000000018E-2</v>
      </c>
      <c r="EM130" s="149">
        <f t="shared" si="288"/>
        <v>0</v>
      </c>
      <c r="EN130" s="149">
        <f t="shared" si="288"/>
        <v>0</v>
      </c>
      <c r="EO130" s="149">
        <f t="shared" si="288"/>
        <v>0</v>
      </c>
      <c r="EP130" s="149">
        <f t="shared" si="288"/>
        <v>2.0000000000000018E-2</v>
      </c>
      <c r="EQ130" s="149">
        <f t="shared" si="288"/>
        <v>0</v>
      </c>
      <c r="ER130" s="149">
        <f t="shared" si="288"/>
        <v>0</v>
      </c>
      <c r="ES130" s="149">
        <f t="shared" si="288"/>
        <v>0</v>
      </c>
      <c r="ET130" s="149">
        <f t="shared" si="288"/>
        <v>2.0000000000000018E-2</v>
      </c>
      <c r="EU130" s="149">
        <f t="shared" si="288"/>
        <v>0</v>
      </c>
      <c r="EV130" s="149">
        <f t="shared" si="288"/>
        <v>0</v>
      </c>
      <c r="EW130" s="149">
        <f t="shared" si="288"/>
        <v>0</v>
      </c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  <c r="GB130" s="386" t="s">
        <v>199</v>
      </c>
      <c r="GC130" s="386" t="s">
        <v>199</v>
      </c>
      <c r="GD130" s="386" t="s">
        <v>199</v>
      </c>
      <c r="GE130" s="386" t="s">
        <v>199</v>
      </c>
      <c r="GF130" s="386" t="s">
        <v>199</v>
      </c>
      <c r="GG130" s="386" t="s">
        <v>199</v>
      </c>
      <c r="GH130" s="386" t="s">
        <v>199</v>
      </c>
      <c r="GI130" s="386" t="s">
        <v>199</v>
      </c>
      <c r="GJ130" s="386" t="s">
        <v>199</v>
      </c>
      <c r="GK130" s="386" t="s">
        <v>199</v>
      </c>
      <c r="GN130" s="443"/>
    </row>
    <row r="131" spans="1:196" s="382" customFormat="1">
      <c r="A131" s="396" t="s">
        <v>200</v>
      </c>
      <c r="B131" s="392"/>
      <c r="C131" s="392"/>
      <c r="D131" s="392"/>
      <c r="E131" s="392"/>
      <c r="F131" s="392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92"/>
      <c r="AG131" s="392"/>
      <c r="AH131" s="392"/>
      <c r="AI131" s="392"/>
      <c r="AJ131" s="392"/>
      <c r="AK131" s="392"/>
      <c r="AL131" s="392"/>
      <c r="AM131" s="392"/>
      <c r="AN131" s="392"/>
      <c r="AO131" s="392"/>
      <c r="AP131" s="392"/>
      <c r="AQ131" s="392"/>
      <c r="AR131" s="392"/>
      <c r="AS131" s="392"/>
      <c r="AT131" s="392"/>
      <c r="AU131" s="392"/>
      <c r="AV131" s="392"/>
      <c r="AW131" s="392"/>
      <c r="AX131" s="392"/>
      <c r="AY131" s="392"/>
      <c r="AZ131" s="392"/>
      <c r="BA131" s="392"/>
      <c r="BB131" s="392"/>
      <c r="BC131" s="392"/>
      <c r="BD131" s="392"/>
      <c r="BE131" s="392"/>
      <c r="BF131" s="392"/>
      <c r="BG131" s="392"/>
      <c r="BH131" s="392"/>
      <c r="BI131" s="392"/>
      <c r="BJ131" s="392"/>
      <c r="BK131" s="392"/>
      <c r="BL131" s="392"/>
      <c r="BM131" s="392"/>
      <c r="BN131" s="392"/>
      <c r="BO131" s="392"/>
      <c r="BP131" s="392"/>
      <c r="BQ131" s="392"/>
      <c r="BR131" s="392"/>
      <c r="BS131" s="392"/>
      <c r="BT131" s="392"/>
      <c r="BU131" s="392"/>
      <c r="BV131" s="392"/>
      <c r="BW131" s="392"/>
      <c r="BX131" s="392"/>
      <c r="BY131" s="392"/>
      <c r="BZ131" s="392"/>
      <c r="CA131" s="392"/>
      <c r="CB131" s="392"/>
      <c r="CC131" s="392"/>
      <c r="CD131" s="392"/>
      <c r="CE131" s="392"/>
      <c r="CF131" s="392"/>
      <c r="CG131" s="392"/>
      <c r="CH131" s="392"/>
      <c r="CI131" s="392"/>
      <c r="CJ131" s="392"/>
      <c r="CK131" s="392"/>
      <c r="CL131" s="392"/>
      <c r="CM131" s="392"/>
      <c r="CN131" s="392"/>
      <c r="CO131" s="392"/>
      <c r="CP131" s="392"/>
      <c r="CQ131" s="392"/>
      <c r="CR131" s="392"/>
      <c r="CS131" s="392"/>
      <c r="CT131" s="387"/>
      <c r="CU131" s="387"/>
      <c r="CV131" s="387"/>
      <c r="CW131" s="387"/>
      <c r="CX131" s="392"/>
      <c r="CY131" s="387"/>
      <c r="CZ131" s="387"/>
      <c r="DA131" s="387"/>
      <c r="DB131" s="387"/>
      <c r="DC131" s="387"/>
      <c r="DD131" s="387"/>
      <c r="DE131" s="387"/>
      <c r="DF131" s="387"/>
      <c r="DG131" s="387"/>
      <c r="DH131" s="387"/>
      <c r="DI131" s="387"/>
      <c r="DJ131" s="442"/>
      <c r="DK131" s="33"/>
      <c r="DL131" s="33"/>
      <c r="DM131" s="33"/>
      <c r="DN131" s="33">
        <f t="shared" ref="DN131:EW131" si="289">DN129/DJ129-1</f>
        <v>0.10556826037729072</v>
      </c>
      <c r="DO131" s="33">
        <f t="shared" si="289"/>
        <v>0.11724813465872286</v>
      </c>
      <c r="DP131" s="33">
        <f t="shared" si="289"/>
        <v>-0.61914969889282878</v>
      </c>
      <c r="DQ131" s="33">
        <f t="shared" si="289"/>
        <v>1.3824499935330081E-2</v>
      </c>
      <c r="DR131" s="33">
        <f t="shared" si="289"/>
        <v>-0.36832964031322946</v>
      </c>
      <c r="DS131" s="33">
        <f t="shared" si="289"/>
        <v>-0.8427592594547908</v>
      </c>
      <c r="DT131" s="33">
        <f t="shared" si="289"/>
        <v>-0.52899375000000015</v>
      </c>
      <c r="DU131" s="33">
        <f t="shared" si="289"/>
        <v>-0.87931660218740726</v>
      </c>
      <c r="DV131" s="66">
        <f t="shared" si="289"/>
        <v>-0.83345302075043803</v>
      </c>
      <c r="DW131" s="66">
        <f t="shared" si="289"/>
        <v>-0.35745454545454569</v>
      </c>
      <c r="DX131" s="66">
        <f t="shared" si="289"/>
        <v>-0.47482051282051285</v>
      </c>
      <c r="DY131" s="66">
        <f t="shared" si="289"/>
        <v>0.17305999999999999</v>
      </c>
      <c r="DZ131" s="66">
        <f t="shared" si="289"/>
        <v>7.3739130434782751E-2</v>
      </c>
      <c r="EA131" s="66">
        <f t="shared" si="289"/>
        <v>9.0740000000000265E-2</v>
      </c>
      <c r="EB131" s="66">
        <f t="shared" si="289"/>
        <v>0.20204000000000022</v>
      </c>
      <c r="EC131" s="66">
        <f t="shared" si="289"/>
        <v>-0.16047999999999996</v>
      </c>
      <c r="ED131" s="66">
        <f t="shared" si="289"/>
        <v>7.0388000000000117E-2</v>
      </c>
      <c r="EE131" s="149">
        <f t="shared" si="289"/>
        <v>2.9996000000000134E-2</v>
      </c>
      <c r="EF131" s="149">
        <f t="shared" si="289"/>
        <v>2.9995999999999912E-2</v>
      </c>
      <c r="EG131" s="149">
        <f t="shared" si="289"/>
        <v>6.0895879999999902E-2</v>
      </c>
      <c r="EH131" s="149">
        <f t="shared" si="289"/>
        <v>6.0895879999999902E-2</v>
      </c>
      <c r="EI131" s="149">
        <f t="shared" si="289"/>
        <v>4.0093999999999852E-2</v>
      </c>
      <c r="EJ131" s="149">
        <f t="shared" si="289"/>
        <v>5.0599999999999978E-2</v>
      </c>
      <c r="EK131" s="149">
        <f t="shared" si="289"/>
        <v>2.0000000000000018E-2</v>
      </c>
      <c r="EL131" s="149">
        <f t="shared" si="289"/>
        <v>2.0000000000000018E-2</v>
      </c>
      <c r="EM131" s="149">
        <f t="shared" si="289"/>
        <v>2.0000000000000018E-2</v>
      </c>
      <c r="EN131" s="149">
        <f t="shared" si="289"/>
        <v>2.0000000000000018E-2</v>
      </c>
      <c r="EO131" s="149">
        <f t="shared" si="289"/>
        <v>2.0000000000000018E-2</v>
      </c>
      <c r="EP131" s="149">
        <f t="shared" si="289"/>
        <v>2.0000000000000018E-2</v>
      </c>
      <c r="EQ131" s="149">
        <f t="shared" si="289"/>
        <v>2.0000000000000018E-2</v>
      </c>
      <c r="ER131" s="149">
        <f t="shared" si="289"/>
        <v>2.0000000000000018E-2</v>
      </c>
      <c r="ES131" s="149">
        <f t="shared" si="289"/>
        <v>2.0000000000000018E-2</v>
      </c>
      <c r="ET131" s="149">
        <f t="shared" si="289"/>
        <v>2.0000000000000018E-2</v>
      </c>
      <c r="EU131" s="149">
        <f t="shared" si="289"/>
        <v>2.0000000000000018E-2</v>
      </c>
      <c r="EV131" s="149">
        <f t="shared" si="289"/>
        <v>2.0000000000000018E-2</v>
      </c>
      <c r="EW131" s="149">
        <f t="shared" si="289"/>
        <v>2.0000000000000018E-2</v>
      </c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386" t="s">
        <v>199</v>
      </c>
      <c r="GC131" s="383">
        <f t="shared" ref="GC131:GK131" si="290">GC129/GB129-1</f>
        <v>-0.10876402475741564</v>
      </c>
      <c r="GD131" s="383">
        <f t="shared" si="290"/>
        <v>-0.68108214119085986</v>
      </c>
      <c r="GE131" s="383">
        <f t="shared" si="290"/>
        <v>-0.59051810186696996</v>
      </c>
      <c r="GF131" s="383">
        <f t="shared" si="290"/>
        <v>3.2945034697777542E-2</v>
      </c>
      <c r="GG131" s="444">
        <f t="shared" si="290"/>
        <v>4.7505458034048154E-2</v>
      </c>
      <c r="GH131" s="444">
        <f t="shared" si="290"/>
        <v>4.2676669220377716E-2</v>
      </c>
      <c r="GI131" s="444">
        <f t="shared" si="290"/>
        <v>2.0000000000000018E-2</v>
      </c>
      <c r="GJ131" s="444">
        <f t="shared" si="290"/>
        <v>2.0000000000000018E-2</v>
      </c>
      <c r="GK131" s="444">
        <f t="shared" si="290"/>
        <v>2.0000000000000018E-2</v>
      </c>
      <c r="GN131" s="443"/>
    </row>
    <row r="132" spans="1:196" s="382" customFormat="1">
      <c r="A132" s="396" t="s">
        <v>261</v>
      </c>
      <c r="B132" s="392"/>
      <c r="C132" s="392"/>
      <c r="D132" s="392"/>
      <c r="E132" s="392"/>
      <c r="F132" s="392"/>
      <c r="G132" s="392"/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92"/>
      <c r="AG132" s="392"/>
      <c r="AH132" s="392"/>
      <c r="AI132" s="392"/>
      <c r="AJ132" s="392"/>
      <c r="AK132" s="392"/>
      <c r="AL132" s="392"/>
      <c r="AM132" s="392"/>
      <c r="AN132" s="392"/>
      <c r="AO132" s="392"/>
      <c r="AP132" s="392"/>
      <c r="AQ132" s="392"/>
      <c r="AR132" s="392"/>
      <c r="AS132" s="392"/>
      <c r="AT132" s="392"/>
      <c r="AU132" s="392"/>
      <c r="AV132" s="392"/>
      <c r="AW132" s="392"/>
      <c r="AX132" s="392"/>
      <c r="AY132" s="392"/>
      <c r="AZ132" s="392"/>
      <c r="BA132" s="392"/>
      <c r="BB132" s="392"/>
      <c r="BC132" s="392"/>
      <c r="BD132" s="392"/>
      <c r="BE132" s="392"/>
      <c r="BF132" s="392"/>
      <c r="BG132" s="392"/>
      <c r="BH132" s="392"/>
      <c r="BI132" s="392"/>
      <c r="BJ132" s="392"/>
      <c r="BK132" s="392"/>
      <c r="BL132" s="392"/>
      <c r="BM132" s="392"/>
      <c r="BN132" s="392"/>
      <c r="BO132" s="392"/>
      <c r="BP132" s="392"/>
      <c r="BQ132" s="392"/>
      <c r="BR132" s="392"/>
      <c r="BS132" s="392"/>
      <c r="BT132" s="392"/>
      <c r="BU132" s="392"/>
      <c r="BV132" s="392"/>
      <c r="BW132" s="392"/>
      <c r="BX132" s="392"/>
      <c r="BY132" s="392"/>
      <c r="BZ132" s="392"/>
      <c r="CA132" s="392"/>
      <c r="CB132" s="392"/>
      <c r="CC132" s="392"/>
      <c r="CD132" s="392"/>
      <c r="CE132" s="392"/>
      <c r="CF132" s="392"/>
      <c r="CG132" s="392"/>
      <c r="CH132" s="392"/>
      <c r="CI132" s="392"/>
      <c r="CJ132" s="392"/>
      <c r="CK132" s="392"/>
      <c r="CL132" s="392"/>
      <c r="CM132" s="392"/>
      <c r="CN132" s="392"/>
      <c r="CO132" s="392"/>
      <c r="CP132" s="392"/>
      <c r="CQ132" s="392"/>
      <c r="CR132" s="392"/>
      <c r="CS132" s="392"/>
      <c r="CT132" s="387"/>
      <c r="CU132" s="387"/>
      <c r="CV132" s="387"/>
      <c r="CW132" s="387"/>
      <c r="CX132" s="392"/>
      <c r="CY132" s="387"/>
      <c r="CZ132" s="387"/>
      <c r="DA132" s="387"/>
      <c r="DB132" s="387"/>
      <c r="DC132" s="387"/>
      <c r="DD132" s="387"/>
      <c r="DE132" s="387"/>
      <c r="DF132" s="387"/>
      <c r="DG132" s="387"/>
      <c r="DH132" s="387"/>
      <c r="DI132" s="387"/>
      <c r="DJ132" s="33">
        <f t="shared" ref="DJ132:EW132" si="291">DJ129/DJ$161</f>
        <v>4.4401095506937723E-2</v>
      </c>
      <c r="DK132" s="33">
        <f t="shared" si="291"/>
        <v>4.2716910460802573E-2</v>
      </c>
      <c r="DL132" s="33">
        <f t="shared" si="291"/>
        <v>4.1043885456257069E-2</v>
      </c>
      <c r="DM132" s="33">
        <f t="shared" si="291"/>
        <v>3.447360262322053E-2</v>
      </c>
      <c r="DN132" s="33">
        <f t="shared" si="291"/>
        <v>2.8725952507060296E-2</v>
      </c>
      <c r="DO132" s="33">
        <f t="shared" si="291"/>
        <v>2.8052327609657115E-2</v>
      </c>
      <c r="DP132" s="33">
        <f t="shared" si="291"/>
        <v>1.2114822617903368E-2</v>
      </c>
      <c r="DQ132" s="33">
        <f t="shared" si="291"/>
        <v>3.0124947824725818E-2</v>
      </c>
      <c r="DR132" s="33">
        <f t="shared" si="291"/>
        <v>1.9955459352484394E-2</v>
      </c>
      <c r="DS132" s="33">
        <f t="shared" si="291"/>
        <v>5.3912755040499052E-3</v>
      </c>
      <c r="DT132" s="33">
        <f t="shared" si="291"/>
        <v>5.4749594232413722E-3</v>
      </c>
      <c r="DU132" s="33">
        <f t="shared" si="291"/>
        <v>3.3001975305547199E-3</v>
      </c>
      <c r="DV132" s="66">
        <f t="shared" si="291"/>
        <v>3.2506505488827625E-3</v>
      </c>
      <c r="DW132" s="66">
        <f t="shared" si="291"/>
        <v>3.1815465213430845E-3</v>
      </c>
      <c r="DX132" s="66">
        <f>DX129/DX$161</f>
        <v>2.4456593366935248E-3</v>
      </c>
      <c r="DY132" s="66">
        <f>DY129/DY$161</f>
        <v>3.1180937168069291E-3</v>
      </c>
      <c r="DZ132" s="66">
        <f t="shared" si="291"/>
        <v>2.5682561638405445E-3</v>
      </c>
      <c r="EA132" s="66">
        <f t="shared" si="291"/>
        <v>2.6348537029856514E-3</v>
      </c>
      <c r="EB132" s="66">
        <f t="shared" si="291"/>
        <v>2.168111853814653E-3</v>
      </c>
      <c r="EC132" s="66">
        <f t="shared" si="291"/>
        <v>1.9519340019834744E-3</v>
      </c>
      <c r="ED132" s="66">
        <f t="shared" si="291"/>
        <v>1.9942738168709341E-3</v>
      </c>
      <c r="EE132" s="149">
        <f t="shared" si="291"/>
        <v>1.8584280365637573E-3</v>
      </c>
      <c r="EF132" s="149">
        <f t="shared" si="291"/>
        <v>1.7215546951123387E-3</v>
      </c>
      <c r="EG132" s="149">
        <f t="shared" si="291"/>
        <v>1.3134671708330211E-3</v>
      </c>
      <c r="EH132" s="149">
        <f t="shared" si="291"/>
        <v>1.2442013321177997E-3</v>
      </c>
      <c r="EI132" s="149">
        <f t="shared" si="291"/>
        <v>1.1291374013440696E-3</v>
      </c>
      <c r="EJ132" s="149">
        <f t="shared" si="291"/>
        <v>9.7996975803131049E-4</v>
      </c>
      <c r="EK132" s="149">
        <f t="shared" si="291"/>
        <v>8.8473757276263736E-4</v>
      </c>
      <c r="EL132" s="149">
        <f t="shared" si="291"/>
        <v>9.2418284127765275E-4</v>
      </c>
      <c r="EM132" s="149">
        <f t="shared" si="291"/>
        <v>8.838819390952692E-4</v>
      </c>
      <c r="EN132" s="149">
        <f t="shared" si="291"/>
        <v>8.2339804407415029E-4</v>
      </c>
      <c r="EO132" s="149">
        <f t="shared" si="291"/>
        <v>7.6955441615560248E-4</v>
      </c>
      <c r="EP132" s="149">
        <f t="shared" si="291"/>
        <v>8.0097840598761163E-4</v>
      </c>
      <c r="EQ132" s="149">
        <f t="shared" si="291"/>
        <v>7.6821445114813038E-4</v>
      </c>
      <c r="ER132" s="149">
        <f t="shared" si="291"/>
        <v>7.1158810774070555E-4</v>
      </c>
      <c r="ES132" s="149">
        <f t="shared" si="291"/>
        <v>6.8154452255107898E-4</v>
      </c>
      <c r="ET132" s="149">
        <f t="shared" si="291"/>
        <v>7.2587770849053684E-4</v>
      </c>
      <c r="EU132" s="149">
        <f t="shared" si="291"/>
        <v>6.9642230644459933E-4</v>
      </c>
      <c r="EV132" s="149">
        <f t="shared" si="291"/>
        <v>6.3378875462013421E-4</v>
      </c>
      <c r="EW132" s="149">
        <f t="shared" si="291"/>
        <v>6.0583914210705697E-4</v>
      </c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383">
        <f t="shared" ref="GB132:GG132" si="292">GB129/GB$161</f>
        <v>4.0210159640257356E-2</v>
      </c>
      <c r="GC132" s="383">
        <f t="shared" si="292"/>
        <v>2.495406970008009E-2</v>
      </c>
      <c r="GD132" s="383">
        <f t="shared" si="292"/>
        <v>8.2814727673418825E-3</v>
      </c>
      <c r="GE132" s="383">
        <f t="shared" si="292"/>
        <v>2.9827592439904153E-3</v>
      </c>
      <c r="GF132" s="383">
        <f t="shared" si="292"/>
        <v>2.2934918575833966E-3</v>
      </c>
      <c r="GG132" s="391">
        <f t="shared" si="292"/>
        <v>1.6757372302587117E-3</v>
      </c>
      <c r="GH132" s="391">
        <f>GH129/GH$161</f>
        <v>1.0416453541082559E-3</v>
      </c>
      <c r="GI132" s="391">
        <f t="shared" ref="GI132:GK132" si="293">GI129/GI$161</f>
        <v>8.4614135768553908E-4</v>
      </c>
      <c r="GJ132" s="391">
        <f t="shared" si="293"/>
        <v>7.3763231918214968E-4</v>
      </c>
      <c r="GK132" s="391">
        <f t="shared" si="293"/>
        <v>6.620358560226171E-4</v>
      </c>
      <c r="GN132" s="443"/>
    </row>
    <row r="133" spans="1:196" s="382" customFormat="1">
      <c r="A133" s="395" t="s">
        <v>268</v>
      </c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392"/>
      <c r="AW133" s="392"/>
      <c r="AX133" s="392"/>
      <c r="AY133" s="392"/>
      <c r="AZ133" s="392"/>
      <c r="BA133" s="392"/>
      <c r="BB133" s="392"/>
      <c r="BC133" s="392"/>
      <c r="BD133" s="392"/>
      <c r="BE133" s="392"/>
      <c r="BF133" s="392"/>
      <c r="BG133" s="392"/>
      <c r="BH133" s="392"/>
      <c r="BI133" s="392"/>
      <c r="BJ133" s="392"/>
      <c r="BK133" s="392"/>
      <c r="BL133" s="392"/>
      <c r="BM133" s="392"/>
      <c r="BN133" s="392"/>
      <c r="BO133" s="392"/>
      <c r="BP133" s="392"/>
      <c r="BQ133" s="392"/>
      <c r="BR133" s="392"/>
      <c r="BS133" s="392"/>
      <c r="BT133" s="392"/>
      <c r="BU133" s="392"/>
      <c r="BV133" s="392"/>
      <c r="BW133" s="392"/>
      <c r="BX133" s="392"/>
      <c r="BY133" s="392"/>
      <c r="BZ133" s="392"/>
      <c r="CA133" s="392"/>
      <c r="CB133" s="392"/>
      <c r="CC133" s="392"/>
      <c r="CD133" s="392"/>
      <c r="CE133" s="392"/>
      <c r="CF133" s="392"/>
      <c r="CG133" s="392"/>
      <c r="CH133" s="392"/>
      <c r="CI133" s="392"/>
      <c r="CJ133" s="392"/>
      <c r="CK133" s="392"/>
      <c r="CL133" s="392"/>
      <c r="CM133" s="392"/>
      <c r="CN133" s="392"/>
      <c r="CO133" s="392"/>
      <c r="CP133" s="392"/>
      <c r="CQ133" s="392"/>
      <c r="CR133" s="392"/>
      <c r="CS133" s="392"/>
      <c r="CT133" s="387"/>
      <c r="CU133" s="387"/>
      <c r="CV133" s="387"/>
      <c r="CW133" s="387"/>
      <c r="CX133" s="392"/>
      <c r="CY133" s="387"/>
      <c r="CZ133" s="387"/>
      <c r="DA133" s="387"/>
      <c r="DB133" s="387"/>
      <c r="DC133" s="387"/>
      <c r="DD133" s="387"/>
      <c r="DE133" s="387"/>
      <c r="DF133" s="387"/>
      <c r="DG133" s="387"/>
      <c r="DH133" s="387"/>
      <c r="DI133" s="387"/>
      <c r="DJ133" s="397">
        <f>DJ327</f>
        <v>666.65744999999993</v>
      </c>
      <c r="DK133" s="397">
        <f t="shared" ref="DK133:EW133" si="294">DK327</f>
        <v>764.73405000000002</v>
      </c>
      <c r="DL133" s="397">
        <f t="shared" si="294"/>
        <v>892.82816999999989</v>
      </c>
      <c r="DM133" s="397">
        <f t="shared" si="294"/>
        <v>1079.5174399999999</v>
      </c>
      <c r="DN133" s="397">
        <f t="shared" si="294"/>
        <v>1104.345</v>
      </c>
      <c r="DO133" s="397">
        <f t="shared" si="294"/>
        <v>1210.0214099999998</v>
      </c>
      <c r="DP133" s="397">
        <f t="shared" si="294"/>
        <v>1464.5084299999999</v>
      </c>
      <c r="DQ133" s="397">
        <f t="shared" si="294"/>
        <v>1306.4060099999999</v>
      </c>
      <c r="DR133" s="397">
        <f t="shared" si="294"/>
        <v>1431.9349199999999</v>
      </c>
      <c r="DS133" s="397">
        <f t="shared" si="294"/>
        <v>1350.9696999999999</v>
      </c>
      <c r="DT133" s="397">
        <f t="shared" si="294"/>
        <v>1260.98775</v>
      </c>
      <c r="DU133" s="397">
        <f>DU327</f>
        <v>1088.03298</v>
      </c>
      <c r="DV133" s="376">
        <f t="shared" si="294"/>
        <v>761.97029999999995</v>
      </c>
      <c r="DW133" s="376">
        <f t="shared" si="294"/>
        <v>487.99829999999997</v>
      </c>
      <c r="DX133" s="376">
        <f>DX327</f>
        <v>372.02</v>
      </c>
      <c r="DY133" s="376">
        <f>DY327</f>
        <v>372.57</v>
      </c>
      <c r="DZ133" s="376">
        <f t="shared" si="294"/>
        <v>531.96</v>
      </c>
      <c r="EA133" s="376">
        <f t="shared" si="294"/>
        <v>960.96</v>
      </c>
      <c r="EB133" s="376">
        <f t="shared" si="294"/>
        <v>927.96</v>
      </c>
      <c r="EC133" s="376">
        <f t="shared" si="294"/>
        <v>548.02</v>
      </c>
      <c r="ED133" s="376">
        <f t="shared" si="294"/>
        <v>438.41600000000005</v>
      </c>
      <c r="EE133" s="380">
        <f t="shared" si="294"/>
        <v>469.10512000000006</v>
      </c>
      <c r="EF133" s="380">
        <f t="shared" si="294"/>
        <v>422.19460800000007</v>
      </c>
      <c r="EG133" s="380">
        <f t="shared" si="294"/>
        <v>379.97514720000015</v>
      </c>
      <c r="EH133" s="380">
        <f t="shared" si="294"/>
        <v>410.37315897600007</v>
      </c>
      <c r="EI133" s="380">
        <f t="shared" si="294"/>
        <v>434.99554851456014</v>
      </c>
      <c r="EJ133" s="380">
        <f t="shared" si="294"/>
        <v>630.74354534611223</v>
      </c>
      <c r="EK133" s="380">
        <f t="shared" si="294"/>
        <v>674.89559352034019</v>
      </c>
      <c r="EL133" s="380">
        <f t="shared" si="294"/>
        <v>573.661254492289</v>
      </c>
      <c r="EM133" s="380">
        <f t="shared" si="294"/>
        <v>596.60770467198074</v>
      </c>
      <c r="EN133" s="380">
        <f t="shared" si="294"/>
        <v>686.09886037277772</v>
      </c>
      <c r="EO133" s="380">
        <f t="shared" si="294"/>
        <v>720.40380339141655</v>
      </c>
      <c r="EP133" s="380">
        <f t="shared" si="294"/>
        <v>597.93515681487565</v>
      </c>
      <c r="EQ133" s="380">
        <f t="shared" si="294"/>
        <v>621.8525630874708</v>
      </c>
      <c r="ER133" s="380">
        <f t="shared" si="294"/>
        <v>727.56749881234077</v>
      </c>
      <c r="ES133" s="380">
        <f t="shared" si="294"/>
        <v>763.94587375295794</v>
      </c>
      <c r="ET133" s="380">
        <f t="shared" si="294"/>
        <v>634.07507521495506</v>
      </c>
      <c r="EU133" s="380">
        <f t="shared" si="294"/>
        <v>659.43807822355325</v>
      </c>
      <c r="EV133" s="380">
        <f t="shared" si="294"/>
        <v>758.35378995708618</v>
      </c>
      <c r="EW133" s="380">
        <f t="shared" si="294"/>
        <v>796.2714794549405</v>
      </c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397">
        <f>SUM(DJ133:DM133)</f>
        <v>3403.73711</v>
      </c>
      <c r="GC133" s="397">
        <f>SUM(DN133:DQ133)</f>
        <v>5085.2808499999992</v>
      </c>
      <c r="GD133" s="397">
        <f>SUM(DR133:DU133)</f>
        <v>5131.9253499999995</v>
      </c>
      <c r="GE133" s="397">
        <f>SUM(DV133:DY133)</f>
        <v>1994.5585999999998</v>
      </c>
      <c r="GF133" s="397">
        <f>SUM(DZ133:EC133)</f>
        <v>2968.9</v>
      </c>
      <c r="GG133" s="410">
        <f>SUM(ED133:EG133)</f>
        <v>1709.6908752000004</v>
      </c>
      <c r="GH133" s="410">
        <f>SUM(EH133:EK133)</f>
        <v>2151.0078463570126</v>
      </c>
      <c r="GI133" s="410">
        <f>SUM(EL133:EO133)</f>
        <v>2576.7716229284642</v>
      </c>
      <c r="GJ133" s="410">
        <f>SUM(EP133:ES133)</f>
        <v>2711.301092467645</v>
      </c>
      <c r="GK133" s="410">
        <f>SUM(ET133:EW133)</f>
        <v>2848.1384228505349</v>
      </c>
      <c r="GN133" s="443"/>
    </row>
    <row r="134" spans="1:196" s="382" customFormat="1">
      <c r="A134" s="396" t="s">
        <v>198</v>
      </c>
      <c r="B134" s="392"/>
      <c r="C134" s="392"/>
      <c r="D134" s="392"/>
      <c r="E134" s="392"/>
      <c r="F134" s="392"/>
      <c r="G134" s="392"/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392"/>
      <c r="V134" s="392"/>
      <c r="W134" s="392"/>
      <c r="X134" s="392"/>
      <c r="Y134" s="392"/>
      <c r="Z134" s="392"/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/>
      <c r="AM134" s="392"/>
      <c r="AN134" s="392"/>
      <c r="AO134" s="392"/>
      <c r="AP134" s="392"/>
      <c r="AQ134" s="392"/>
      <c r="AR134" s="392"/>
      <c r="AS134" s="392"/>
      <c r="AT134" s="392"/>
      <c r="AU134" s="392"/>
      <c r="AV134" s="392"/>
      <c r="AW134" s="392"/>
      <c r="AX134" s="392"/>
      <c r="AY134" s="392"/>
      <c r="AZ134" s="392"/>
      <c r="BA134" s="392"/>
      <c r="BB134" s="392"/>
      <c r="BC134" s="392"/>
      <c r="BD134" s="392"/>
      <c r="BE134" s="392"/>
      <c r="BF134" s="392"/>
      <c r="BG134" s="392"/>
      <c r="BH134" s="392"/>
      <c r="BI134" s="392"/>
      <c r="BJ134" s="392"/>
      <c r="BK134" s="392"/>
      <c r="BL134" s="392"/>
      <c r="BM134" s="392"/>
      <c r="BN134" s="392"/>
      <c r="BO134" s="392"/>
      <c r="BP134" s="392"/>
      <c r="BQ134" s="392"/>
      <c r="BR134" s="392"/>
      <c r="BS134" s="392"/>
      <c r="BT134" s="392"/>
      <c r="BU134" s="392"/>
      <c r="BV134" s="392"/>
      <c r="BW134" s="392"/>
      <c r="BX134" s="392"/>
      <c r="BY134" s="392"/>
      <c r="BZ134" s="392"/>
      <c r="CA134" s="392"/>
      <c r="CB134" s="392"/>
      <c r="CC134" s="392"/>
      <c r="CD134" s="392"/>
      <c r="CE134" s="392"/>
      <c r="CF134" s="392"/>
      <c r="CG134" s="392"/>
      <c r="CH134" s="392"/>
      <c r="CI134" s="392"/>
      <c r="CJ134" s="392"/>
      <c r="CK134" s="392"/>
      <c r="CL134" s="392"/>
      <c r="CM134" s="392"/>
      <c r="CN134" s="392"/>
      <c r="CO134" s="392"/>
      <c r="CP134" s="392"/>
      <c r="CQ134" s="392"/>
      <c r="CR134" s="392"/>
      <c r="CS134" s="392"/>
      <c r="CT134" s="387"/>
      <c r="CU134" s="387"/>
      <c r="CV134" s="387"/>
      <c r="CW134" s="387"/>
      <c r="CX134" s="392"/>
      <c r="CY134" s="387"/>
      <c r="CZ134" s="387"/>
      <c r="DA134" s="387"/>
      <c r="DB134" s="387"/>
      <c r="DC134" s="387"/>
      <c r="DD134" s="387"/>
      <c r="DE134" s="387"/>
      <c r="DF134" s="387"/>
      <c r="DG134" s="387"/>
      <c r="DH134" s="387"/>
      <c r="DI134" s="387"/>
      <c r="DJ134" s="442"/>
      <c r="DK134" s="33">
        <f t="shared" ref="DK134:EW134" si="295">DK133/DJ133-1</f>
        <v>0.14711693389161118</v>
      </c>
      <c r="DL134" s="33">
        <f t="shared" si="295"/>
        <v>0.16750152553034603</v>
      </c>
      <c r="DM134" s="33">
        <f t="shared" si="295"/>
        <v>0.20909876757136825</v>
      </c>
      <c r="DN134" s="33">
        <f t="shared" si="295"/>
        <v>2.2998757667129555E-2</v>
      </c>
      <c r="DO134" s="33">
        <f t="shared" si="295"/>
        <v>9.5691482281352158E-2</v>
      </c>
      <c r="DP134" s="33">
        <f t="shared" si="295"/>
        <v>0.21031612986087578</v>
      </c>
      <c r="DQ134" s="33">
        <f t="shared" si="295"/>
        <v>-0.10795596444603595</v>
      </c>
      <c r="DR134" s="33">
        <f t="shared" si="295"/>
        <v>9.6087211050108312E-2</v>
      </c>
      <c r="DS134" s="33">
        <f t="shared" si="295"/>
        <v>-5.6542527784712471E-2</v>
      </c>
      <c r="DT134" s="33">
        <f t="shared" si="295"/>
        <v>-6.6605453845485885E-2</v>
      </c>
      <c r="DU134" s="33">
        <f t="shared" si="295"/>
        <v>-0.1371581682692794</v>
      </c>
      <c r="DV134" s="66">
        <f t="shared" si="295"/>
        <v>-0.29968087915864461</v>
      </c>
      <c r="DW134" s="66">
        <f t="shared" si="295"/>
        <v>-0.35955732132866591</v>
      </c>
      <c r="DX134" s="66">
        <f t="shared" si="295"/>
        <v>-0.2376612787380612</v>
      </c>
      <c r="DY134" s="66">
        <f t="shared" si="295"/>
        <v>1.4784151389710676E-3</v>
      </c>
      <c r="DZ134" s="66">
        <f t="shared" si="295"/>
        <v>0.42781222320637746</v>
      </c>
      <c r="EA134" s="66">
        <f t="shared" si="295"/>
        <v>0.80645161290322576</v>
      </c>
      <c r="EB134" s="66">
        <f t="shared" si="295"/>
        <v>-3.434065934065933E-2</v>
      </c>
      <c r="EC134" s="66">
        <f t="shared" si="295"/>
        <v>-0.40943575154101475</v>
      </c>
      <c r="ED134" s="66">
        <f t="shared" si="295"/>
        <v>-0.19999999999999984</v>
      </c>
      <c r="EE134" s="149">
        <f t="shared" si="295"/>
        <v>7.0000000000000062E-2</v>
      </c>
      <c r="EF134" s="149">
        <f t="shared" si="295"/>
        <v>-9.9999999999999978E-2</v>
      </c>
      <c r="EG134" s="149">
        <f t="shared" si="295"/>
        <v>-9.9999999999999756E-2</v>
      </c>
      <c r="EH134" s="149">
        <f t="shared" si="295"/>
        <v>7.9999999999999849E-2</v>
      </c>
      <c r="EI134" s="149">
        <f t="shared" si="295"/>
        <v>6.0000000000000053E-2</v>
      </c>
      <c r="EJ134" s="149">
        <f t="shared" si="295"/>
        <v>0.44999999999999996</v>
      </c>
      <c r="EK134" s="149">
        <f t="shared" si="295"/>
        <v>7.0000000000000062E-2</v>
      </c>
      <c r="EL134" s="149">
        <f t="shared" si="295"/>
        <v>-0.15000000000000024</v>
      </c>
      <c r="EM134" s="149">
        <f t="shared" si="295"/>
        <v>4.0000000000000258E-2</v>
      </c>
      <c r="EN134" s="149">
        <f t="shared" si="295"/>
        <v>0.14999999999999969</v>
      </c>
      <c r="EO134" s="149">
        <f t="shared" si="295"/>
        <v>4.9999999999999822E-2</v>
      </c>
      <c r="EP134" s="149">
        <f t="shared" si="295"/>
        <v>-0.17000000000000015</v>
      </c>
      <c r="EQ134" s="149">
        <f t="shared" si="295"/>
        <v>4.0000000000000258E-2</v>
      </c>
      <c r="ER134" s="149">
        <f t="shared" si="295"/>
        <v>0.16999999999999993</v>
      </c>
      <c r="ES134" s="149">
        <f t="shared" si="295"/>
        <v>5.0000000000000266E-2</v>
      </c>
      <c r="ET134" s="149">
        <f t="shared" si="295"/>
        <v>-0.17000000000000004</v>
      </c>
      <c r="EU134" s="149">
        <f t="shared" si="295"/>
        <v>4.0000000000000036E-2</v>
      </c>
      <c r="EV134" s="149">
        <f t="shared" si="295"/>
        <v>0.14999999999999991</v>
      </c>
      <c r="EW134" s="149">
        <f t="shared" si="295"/>
        <v>5.0000000000000044E-2</v>
      </c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  <c r="GB134" s="386" t="s">
        <v>199</v>
      </c>
      <c r="GC134" s="386" t="s">
        <v>199</v>
      </c>
      <c r="GD134" s="386" t="s">
        <v>199</v>
      </c>
      <c r="GE134" s="386" t="s">
        <v>199</v>
      </c>
      <c r="GF134" s="386" t="s">
        <v>199</v>
      </c>
      <c r="GG134" s="386" t="s">
        <v>199</v>
      </c>
      <c r="GH134" s="386" t="s">
        <v>199</v>
      </c>
      <c r="GI134" s="386" t="s">
        <v>199</v>
      </c>
      <c r="GJ134" s="386" t="s">
        <v>199</v>
      </c>
      <c r="GK134" s="386" t="s">
        <v>199</v>
      </c>
      <c r="GN134" s="443"/>
    </row>
    <row r="135" spans="1:196" s="382" customFormat="1">
      <c r="A135" s="396" t="s">
        <v>200</v>
      </c>
      <c r="B135" s="392"/>
      <c r="C135" s="392"/>
      <c r="D135" s="392"/>
      <c r="E135" s="392"/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/>
      <c r="AM135" s="392"/>
      <c r="AN135" s="392"/>
      <c r="AO135" s="392"/>
      <c r="AP135" s="392"/>
      <c r="AQ135" s="392"/>
      <c r="AR135" s="392"/>
      <c r="AS135" s="392"/>
      <c r="AT135" s="392"/>
      <c r="AU135" s="392"/>
      <c r="AV135" s="392"/>
      <c r="AW135" s="392"/>
      <c r="AX135" s="392"/>
      <c r="AY135" s="392"/>
      <c r="AZ135" s="392"/>
      <c r="BA135" s="392"/>
      <c r="BB135" s="392"/>
      <c r="BC135" s="392"/>
      <c r="BD135" s="392"/>
      <c r="BE135" s="392"/>
      <c r="BF135" s="392"/>
      <c r="BG135" s="392"/>
      <c r="BH135" s="392"/>
      <c r="BI135" s="392"/>
      <c r="BJ135" s="392"/>
      <c r="BK135" s="392"/>
      <c r="BL135" s="392"/>
      <c r="BM135" s="392"/>
      <c r="BN135" s="392"/>
      <c r="BO135" s="392"/>
      <c r="BP135" s="392"/>
      <c r="BQ135" s="392"/>
      <c r="BR135" s="392"/>
      <c r="BS135" s="392"/>
      <c r="BT135" s="392"/>
      <c r="BU135" s="392"/>
      <c r="BV135" s="392"/>
      <c r="BW135" s="392"/>
      <c r="BX135" s="392"/>
      <c r="BY135" s="392"/>
      <c r="BZ135" s="392"/>
      <c r="CA135" s="392"/>
      <c r="CB135" s="392"/>
      <c r="CC135" s="392"/>
      <c r="CD135" s="392"/>
      <c r="CE135" s="392"/>
      <c r="CF135" s="392"/>
      <c r="CG135" s="392"/>
      <c r="CH135" s="392"/>
      <c r="CI135" s="392"/>
      <c r="CJ135" s="392"/>
      <c r="CK135" s="392"/>
      <c r="CL135" s="392"/>
      <c r="CM135" s="392"/>
      <c r="CN135" s="392"/>
      <c r="CO135" s="392"/>
      <c r="CP135" s="392"/>
      <c r="CQ135" s="392"/>
      <c r="CR135" s="392"/>
      <c r="CS135" s="392"/>
      <c r="CT135" s="387"/>
      <c r="CU135" s="387"/>
      <c r="CV135" s="387"/>
      <c r="CW135" s="387"/>
      <c r="CX135" s="392"/>
      <c r="CY135" s="387"/>
      <c r="CZ135" s="387"/>
      <c r="DA135" s="387"/>
      <c r="DB135" s="387"/>
      <c r="DC135" s="387"/>
      <c r="DD135" s="387"/>
      <c r="DE135" s="387"/>
      <c r="DF135" s="387"/>
      <c r="DG135" s="387"/>
      <c r="DH135" s="387"/>
      <c r="DI135" s="387"/>
      <c r="DJ135" s="442"/>
      <c r="DK135" s="33"/>
      <c r="DL135" s="33"/>
      <c r="DM135" s="33"/>
      <c r="DN135" s="33">
        <f t="shared" ref="DN135:EW135" si="296">DN133/DJ133-1</f>
        <v>0.65654040167105343</v>
      </c>
      <c r="DO135" s="33">
        <f t="shared" si="296"/>
        <v>0.58227740742026568</v>
      </c>
      <c r="DP135" s="33">
        <f t="shared" si="296"/>
        <v>0.64030266876548048</v>
      </c>
      <c r="DQ135" s="33">
        <f t="shared" si="296"/>
        <v>0.21017591897357413</v>
      </c>
      <c r="DR135" s="33">
        <f t="shared" si="296"/>
        <v>0.29663730084348638</v>
      </c>
      <c r="DS135" s="33">
        <f t="shared" si="296"/>
        <v>0.11648412898743676</v>
      </c>
      <c r="DT135" s="33">
        <f t="shared" si="296"/>
        <v>-0.1389685957628799</v>
      </c>
      <c r="DU135" s="33">
        <f t="shared" si="296"/>
        <v>-0.16715556138631049</v>
      </c>
      <c r="DV135" s="66">
        <f t="shared" si="296"/>
        <v>-0.46787365168802508</v>
      </c>
      <c r="DW135" s="66">
        <f t="shared" si="296"/>
        <v>-0.63877924131088948</v>
      </c>
      <c r="DX135" s="66">
        <f t="shared" si="296"/>
        <v>-0.70497730846314721</v>
      </c>
      <c r="DY135" s="66">
        <f t="shared" si="296"/>
        <v>-0.65757471800165468</v>
      </c>
      <c r="DZ135" s="66">
        <f t="shared" si="296"/>
        <v>-0.30186255291052677</v>
      </c>
      <c r="EA135" s="66">
        <f t="shared" si="296"/>
        <v>0.96918718774225265</v>
      </c>
      <c r="EB135" s="66">
        <f t="shared" si="296"/>
        <v>1.4943820224719104</v>
      </c>
      <c r="EC135" s="66">
        <f t="shared" si="296"/>
        <v>0.47091821671095357</v>
      </c>
      <c r="ED135" s="66">
        <f t="shared" si="296"/>
        <v>-0.17584780810587253</v>
      </c>
      <c r="EE135" s="149">
        <f t="shared" si="296"/>
        <v>-0.51183699633699631</v>
      </c>
      <c r="EF135" s="149">
        <f t="shared" si="296"/>
        <v>-0.54502930298719765</v>
      </c>
      <c r="EG135" s="149">
        <f t="shared" si="296"/>
        <v>-0.30663999999999969</v>
      </c>
      <c r="EH135" s="149">
        <f t="shared" si="296"/>
        <v>-6.396399999999991E-2</v>
      </c>
      <c r="EI135" s="149">
        <f t="shared" si="296"/>
        <v>-7.2711999999999777E-2</v>
      </c>
      <c r="EJ135" s="149">
        <f t="shared" si="296"/>
        <v>0.49396400000000029</v>
      </c>
      <c r="EK135" s="149">
        <f t="shared" si="296"/>
        <v>0.7761572000000001</v>
      </c>
      <c r="EL135" s="149">
        <f t="shared" si="296"/>
        <v>0.39790150000000013</v>
      </c>
      <c r="EM135" s="149">
        <f t="shared" si="296"/>
        <v>0.37152600000000024</v>
      </c>
      <c r="EN135" s="149">
        <f t="shared" si="296"/>
        <v>8.7761999999999896E-2</v>
      </c>
      <c r="EO135" s="149">
        <f t="shared" si="296"/>
        <v>6.7429999999999657E-2</v>
      </c>
      <c r="EP135" s="149">
        <f t="shared" si="296"/>
        <v>4.2313999999999963E-2</v>
      </c>
      <c r="EQ135" s="149">
        <f t="shared" si="296"/>
        <v>4.2313999999999741E-2</v>
      </c>
      <c r="ER135" s="149">
        <f t="shared" si="296"/>
        <v>6.0441199999999862E-2</v>
      </c>
      <c r="ES135" s="149">
        <f t="shared" si="296"/>
        <v>6.0441200000000084E-2</v>
      </c>
      <c r="ET135" s="149">
        <f t="shared" si="296"/>
        <v>6.0441200000000306E-2</v>
      </c>
      <c r="EU135" s="149">
        <f t="shared" si="296"/>
        <v>6.0441200000000084E-2</v>
      </c>
      <c r="EV135" s="149">
        <f t="shared" si="296"/>
        <v>4.2313999999999963E-2</v>
      </c>
      <c r="EW135" s="149">
        <f t="shared" si="296"/>
        <v>4.2313999999999963E-2</v>
      </c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386" t="s">
        <v>199</v>
      </c>
      <c r="GC135" s="383">
        <f t="shared" ref="GC135:GK135" si="297">GC133/GB133-1</f>
        <v>0.49402867661539207</v>
      </c>
      <c r="GD135" s="383">
        <f t="shared" si="297"/>
        <v>9.1724530809347282E-3</v>
      </c>
      <c r="GE135" s="383">
        <f t="shared" si="297"/>
        <v>-0.61134302158155907</v>
      </c>
      <c r="GF135" s="383">
        <f t="shared" si="297"/>
        <v>0.4884997613005706</v>
      </c>
      <c r="GG135" s="444">
        <f t="shared" si="297"/>
        <v>-0.4241332226750647</v>
      </c>
      <c r="GH135" s="444">
        <f t="shared" si="297"/>
        <v>0.25812676288945324</v>
      </c>
      <c r="GI135" s="444">
        <f t="shared" si="297"/>
        <v>0.19793687749327993</v>
      </c>
      <c r="GJ135" s="444">
        <f t="shared" si="297"/>
        <v>5.2208534253528338E-2</v>
      </c>
      <c r="GK135" s="444">
        <f t="shared" si="297"/>
        <v>5.0469249159764029E-2</v>
      </c>
      <c r="GN135" s="443"/>
    </row>
    <row r="136" spans="1:196" s="382" customFormat="1">
      <c r="A136" s="396" t="s">
        <v>261</v>
      </c>
      <c r="B136" s="392"/>
      <c r="C136" s="392"/>
      <c r="D136" s="392"/>
      <c r="E136" s="392"/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392"/>
      <c r="AD136" s="392"/>
      <c r="AE136" s="392"/>
      <c r="AF136" s="392"/>
      <c r="AG136" s="392"/>
      <c r="AH136" s="392"/>
      <c r="AI136" s="392"/>
      <c r="AJ136" s="392"/>
      <c r="AK136" s="392"/>
      <c r="AL136" s="392"/>
      <c r="AM136" s="392"/>
      <c r="AN136" s="392"/>
      <c r="AO136" s="392"/>
      <c r="AP136" s="392"/>
      <c r="AQ136" s="392"/>
      <c r="AR136" s="392"/>
      <c r="AS136" s="392"/>
      <c r="AT136" s="392"/>
      <c r="AU136" s="392"/>
      <c r="AV136" s="392"/>
      <c r="AW136" s="392"/>
      <c r="AX136" s="392"/>
      <c r="AY136" s="392"/>
      <c r="AZ136" s="392"/>
      <c r="BA136" s="392"/>
      <c r="BB136" s="392"/>
      <c r="BC136" s="392"/>
      <c r="BD136" s="392"/>
      <c r="BE136" s="392"/>
      <c r="BF136" s="392"/>
      <c r="BG136" s="392"/>
      <c r="BH136" s="392"/>
      <c r="BI136" s="392"/>
      <c r="BJ136" s="392"/>
      <c r="BK136" s="392"/>
      <c r="BL136" s="392"/>
      <c r="BM136" s="392"/>
      <c r="BN136" s="392"/>
      <c r="BO136" s="392"/>
      <c r="BP136" s="392"/>
      <c r="BQ136" s="392"/>
      <c r="BR136" s="392"/>
      <c r="BS136" s="392"/>
      <c r="BT136" s="392"/>
      <c r="BU136" s="392"/>
      <c r="BV136" s="392"/>
      <c r="BW136" s="392"/>
      <c r="BX136" s="392"/>
      <c r="BY136" s="392"/>
      <c r="BZ136" s="392"/>
      <c r="CA136" s="392"/>
      <c r="CB136" s="392"/>
      <c r="CC136" s="392"/>
      <c r="CD136" s="392"/>
      <c r="CE136" s="392"/>
      <c r="CF136" s="392"/>
      <c r="CG136" s="392"/>
      <c r="CH136" s="392"/>
      <c r="CI136" s="392"/>
      <c r="CJ136" s="392"/>
      <c r="CK136" s="392"/>
      <c r="CL136" s="392"/>
      <c r="CM136" s="392"/>
      <c r="CN136" s="392"/>
      <c r="CO136" s="392"/>
      <c r="CP136" s="392"/>
      <c r="CQ136" s="392"/>
      <c r="CR136" s="392"/>
      <c r="CS136" s="392"/>
      <c r="CT136" s="387"/>
      <c r="CU136" s="387"/>
      <c r="CV136" s="387"/>
      <c r="CW136" s="387"/>
      <c r="CX136" s="392"/>
      <c r="CY136" s="387"/>
      <c r="CZ136" s="387"/>
      <c r="DA136" s="387"/>
      <c r="DB136" s="387"/>
      <c r="DC136" s="387"/>
      <c r="DD136" s="387"/>
      <c r="DE136" s="387"/>
      <c r="DF136" s="387"/>
      <c r="DG136" s="387"/>
      <c r="DH136" s="387"/>
      <c r="DI136" s="387"/>
      <c r="DJ136" s="33">
        <f t="shared" ref="DJ136:EW136" si="298">DJ133/DJ$161</f>
        <v>0.19351449927431058</v>
      </c>
      <c r="DK136" s="33">
        <f t="shared" si="298"/>
        <v>0.1986322207792208</v>
      </c>
      <c r="DL136" s="33">
        <f t="shared" si="298"/>
        <v>0.20700861813123114</v>
      </c>
      <c r="DM136" s="33">
        <f t="shared" si="298"/>
        <v>0.22368782428512221</v>
      </c>
      <c r="DN136" s="33">
        <f t="shared" si="298"/>
        <v>0.18759045354170206</v>
      </c>
      <c r="DO136" s="33">
        <f t="shared" si="298"/>
        <v>0.18473609312977096</v>
      </c>
      <c r="DP136" s="33">
        <f t="shared" si="298"/>
        <v>0.26316413836477986</v>
      </c>
      <c r="DQ136" s="33">
        <f t="shared" si="298"/>
        <v>0.23332845329523128</v>
      </c>
      <c r="DR136" s="33">
        <f t="shared" si="298"/>
        <v>0.26750138613861385</v>
      </c>
      <c r="DS136" s="33">
        <f t="shared" si="298"/>
        <v>0.25209361821235304</v>
      </c>
      <c r="DT136" s="33">
        <f t="shared" si="298"/>
        <v>0.21741168103448277</v>
      </c>
      <c r="DU136" s="33">
        <f t="shared" si="298"/>
        <v>0.176399640077821</v>
      </c>
      <c r="DV136" s="66">
        <f t="shared" si="298"/>
        <v>0.13922351543942993</v>
      </c>
      <c r="DW136" s="66">
        <f t="shared" si="298"/>
        <v>8.3632956298200514E-2</v>
      </c>
      <c r="DX136" s="66">
        <f>DX133/DX$161</f>
        <v>5.4556386566945295E-2</v>
      </c>
      <c r="DY136" s="66">
        <f>DY133/DY$161</f>
        <v>4.8651083833899191E-2</v>
      </c>
      <c r="DZ136" s="66">
        <f t="shared" si="298"/>
        <v>7.1519225598279113E-2</v>
      </c>
      <c r="EA136" s="66">
        <f t="shared" si="298"/>
        <v>0.12504359141184127</v>
      </c>
      <c r="EB136" s="66">
        <f t="shared" si="298"/>
        <v>0.10036340038935757</v>
      </c>
      <c r="EC136" s="66">
        <f t="shared" si="298"/>
        <v>5.3361246348588118E-2</v>
      </c>
      <c r="ED136" s="66">
        <f t="shared" si="298"/>
        <v>4.2759777626060667E-2</v>
      </c>
      <c r="EE136" s="149">
        <f t="shared" si="298"/>
        <v>4.1800358374991221E-2</v>
      </c>
      <c r="EF136" s="149">
        <f t="shared" si="298"/>
        <v>3.5201599417274618E-2</v>
      </c>
      <c r="EG136" s="149">
        <f t="shared" si="298"/>
        <v>2.3467459578244559E-2</v>
      </c>
      <c r="EH136" s="149">
        <f t="shared" si="298"/>
        <v>2.3537541666412625E-2</v>
      </c>
      <c r="EI136" s="149">
        <f t="shared" si="298"/>
        <v>2.2642433360172694E-2</v>
      </c>
      <c r="EJ136" s="149">
        <f t="shared" si="298"/>
        <v>2.8494233630428061E-2</v>
      </c>
      <c r="EK136" s="149">
        <f t="shared" si="298"/>
        <v>2.7525965179885415E-2</v>
      </c>
      <c r="EL136" s="149">
        <f t="shared" si="298"/>
        <v>2.3960989009638951E-2</v>
      </c>
      <c r="EM136" s="149">
        <f t="shared" si="298"/>
        <v>2.3832765402968661E-2</v>
      </c>
      <c r="EN136" s="149">
        <f t="shared" si="298"/>
        <v>2.5532177185829352E-2</v>
      </c>
      <c r="EO136" s="149">
        <f t="shared" si="298"/>
        <v>2.5055706460890653E-2</v>
      </c>
      <c r="EP136" s="149">
        <f t="shared" si="298"/>
        <v>2.1221009811719971E-2</v>
      </c>
      <c r="EQ136" s="149">
        <f t="shared" si="298"/>
        <v>2.1167084823750619E-2</v>
      </c>
      <c r="ER136" s="149">
        <f t="shared" si="298"/>
        <v>2.2939984534164858E-2</v>
      </c>
      <c r="ES136" s="149">
        <f t="shared" si="298"/>
        <v>2.3070019957362443E-2</v>
      </c>
      <c r="ET136" s="149">
        <f t="shared" si="298"/>
        <v>1.9993789644840904E-2</v>
      </c>
      <c r="EU136" s="149">
        <f t="shared" si="298"/>
        <v>1.9949759819877656E-2</v>
      </c>
      <c r="EV136" s="149">
        <f t="shared" si="298"/>
        <v>2.0878888156419806E-2</v>
      </c>
      <c r="EW136" s="149">
        <f t="shared" si="298"/>
        <v>2.0956051959673511E-2</v>
      </c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383">
        <f t="shared" ref="GB136:GG136" si="299">GB133/GB$161</f>
        <v>0.20711555981501764</v>
      </c>
      <c r="GC136" s="383">
        <f t="shared" si="299"/>
        <v>0.21546887208169141</v>
      </c>
      <c r="GD136" s="383">
        <f t="shared" si="299"/>
        <v>0.22627536816578481</v>
      </c>
      <c r="GE136" s="383">
        <f t="shared" si="299"/>
        <v>7.7353445801822754E-2</v>
      </c>
      <c r="GF136" s="383">
        <f t="shared" si="299"/>
        <v>8.5709749126706897E-2</v>
      </c>
      <c r="GG136" s="391">
        <f t="shared" si="299"/>
        <v>3.4427435194625065E-2</v>
      </c>
      <c r="GH136" s="391">
        <f>GH133/GH$161</f>
        <v>2.58222081064872E-2</v>
      </c>
      <c r="GI136" s="391">
        <f t="shared" ref="GI136:GK136" si="300">GI133/GI$161</f>
        <v>2.4634864704271713E-2</v>
      </c>
      <c r="GJ136" s="391">
        <f t="shared" si="300"/>
        <v>2.2153831266370421E-2</v>
      </c>
      <c r="GK136" s="391">
        <f t="shared" si="300"/>
        <v>2.0477342302373528E-2</v>
      </c>
      <c r="GN136" s="443"/>
    </row>
    <row r="137" spans="1:196" s="382" customFormat="1">
      <c r="A137" s="395" t="s">
        <v>269</v>
      </c>
      <c r="B137" s="392"/>
      <c r="C137" s="392"/>
      <c r="D137" s="392"/>
      <c r="E137" s="392"/>
      <c r="F137" s="392"/>
      <c r="G137" s="392"/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392"/>
      <c r="V137" s="392"/>
      <c r="W137" s="392"/>
      <c r="X137" s="392"/>
      <c r="Y137" s="392"/>
      <c r="Z137" s="392"/>
      <c r="AA137" s="392"/>
      <c r="AB137" s="392"/>
      <c r="AC137" s="392"/>
      <c r="AD137" s="392"/>
      <c r="AE137" s="392"/>
      <c r="AF137" s="392"/>
      <c r="AG137" s="392"/>
      <c r="AH137" s="392"/>
      <c r="AI137" s="392"/>
      <c r="AJ137" s="392"/>
      <c r="AK137" s="392"/>
      <c r="AL137" s="392"/>
      <c r="AM137" s="392"/>
      <c r="AN137" s="392"/>
      <c r="AO137" s="392"/>
      <c r="AP137" s="392"/>
      <c r="AQ137" s="392"/>
      <c r="AR137" s="392"/>
      <c r="AS137" s="392"/>
      <c r="AT137" s="392"/>
      <c r="AU137" s="392"/>
      <c r="AV137" s="392"/>
      <c r="AW137" s="392"/>
      <c r="AX137" s="392"/>
      <c r="AY137" s="392"/>
      <c r="AZ137" s="392"/>
      <c r="BA137" s="392"/>
      <c r="BB137" s="392"/>
      <c r="BC137" s="392"/>
      <c r="BD137" s="392"/>
      <c r="BE137" s="392"/>
      <c r="BF137" s="392"/>
      <c r="BG137" s="392"/>
      <c r="BH137" s="392"/>
      <c r="BI137" s="392"/>
      <c r="BJ137" s="392"/>
      <c r="BK137" s="392"/>
      <c r="BL137" s="392"/>
      <c r="BM137" s="392"/>
      <c r="BN137" s="392"/>
      <c r="BO137" s="392"/>
      <c r="BP137" s="392"/>
      <c r="BQ137" s="392"/>
      <c r="BR137" s="392"/>
      <c r="BS137" s="392"/>
      <c r="BT137" s="392"/>
      <c r="BU137" s="392"/>
      <c r="BV137" s="392"/>
      <c r="BW137" s="392"/>
      <c r="BX137" s="392"/>
      <c r="BY137" s="392"/>
      <c r="BZ137" s="392"/>
      <c r="CA137" s="392"/>
      <c r="CB137" s="392"/>
      <c r="CC137" s="392"/>
      <c r="CD137" s="392"/>
      <c r="CE137" s="392"/>
      <c r="CF137" s="392"/>
      <c r="CG137" s="392"/>
      <c r="CH137" s="392"/>
      <c r="CI137" s="392"/>
      <c r="CJ137" s="392"/>
      <c r="CK137" s="392"/>
      <c r="CL137" s="392"/>
      <c r="CM137" s="392"/>
      <c r="CN137" s="392"/>
      <c r="CO137" s="392"/>
      <c r="CP137" s="392"/>
      <c r="CQ137" s="392"/>
      <c r="CR137" s="392"/>
      <c r="CS137" s="392"/>
      <c r="CT137" s="387"/>
      <c r="CU137" s="387"/>
      <c r="CV137" s="387"/>
      <c r="CW137" s="387"/>
      <c r="CX137" s="392"/>
      <c r="CY137" s="387"/>
      <c r="CZ137" s="387"/>
      <c r="DA137" s="387"/>
      <c r="DB137" s="387"/>
      <c r="DC137" s="387"/>
      <c r="DD137" s="387"/>
      <c r="DE137" s="387"/>
      <c r="DF137" s="387"/>
      <c r="DG137" s="387"/>
      <c r="DH137" s="387"/>
      <c r="DI137" s="387"/>
      <c r="DJ137" s="445">
        <f>DJ121-DJ125-DJ129-DJ133</f>
        <v>27.988410157518501</v>
      </c>
      <c r="DK137" s="445">
        <f t="shared" ref="DK137:ED137" si="301">DK121-DK125-DK129-DK133</f>
        <v>-26.632763508111907</v>
      </c>
      <c r="DL137" s="445">
        <f t="shared" si="301"/>
        <v>-48.098568333333219</v>
      </c>
      <c r="DM137" s="445">
        <f t="shared" si="301"/>
        <v>33.098226666666733</v>
      </c>
      <c r="DN137" s="445">
        <f t="shared" si="301"/>
        <v>142.7653583333331</v>
      </c>
      <c r="DO137" s="445">
        <f t="shared" si="301"/>
        <v>0.57328800000004776</v>
      </c>
      <c r="DP137" s="445">
        <f t="shared" si="301"/>
        <v>-6.644072000000051</v>
      </c>
      <c r="DQ137" s="445">
        <f t="shared" si="301"/>
        <v>7.1937049134614881</v>
      </c>
      <c r="DR137" s="445">
        <f t="shared" si="301"/>
        <v>10.25190605959483</v>
      </c>
      <c r="DS137" s="445">
        <f t="shared" si="301"/>
        <v>-22.533791707033288</v>
      </c>
      <c r="DT137" s="445">
        <f t="shared" si="301"/>
        <v>-39.869274762727855</v>
      </c>
      <c r="DU137" s="445">
        <f t="shared" si="301"/>
        <v>-10.57654425047599</v>
      </c>
      <c r="DV137" s="134">
        <f t="shared" si="301"/>
        <v>-4.9608293730766491</v>
      </c>
      <c r="DW137" s="134">
        <f t="shared" si="301"/>
        <v>-20.549879941817096</v>
      </c>
      <c r="DX137" s="134">
        <f t="shared" si="301"/>
        <v>-28.400073861342833</v>
      </c>
      <c r="DY137" s="134">
        <f t="shared" si="301"/>
        <v>-7.5312250117275426</v>
      </c>
      <c r="DZ137" s="134">
        <f t="shared" si="301"/>
        <v>-0.52800072645322871</v>
      </c>
      <c r="EA137" s="134">
        <f t="shared" si="301"/>
        <v>7.5547193313996104</v>
      </c>
      <c r="EB137" s="134">
        <f t="shared" si="301"/>
        <v>40.548277952651574</v>
      </c>
      <c r="EC137" s="134">
        <f t="shared" si="301"/>
        <v>12.350327323934721</v>
      </c>
      <c r="ED137" s="134">
        <f t="shared" si="301"/>
        <v>27.752664204824441</v>
      </c>
      <c r="EE137" s="380">
        <f t="shared" ref="EE137:EH137" si="302">ED137</f>
        <v>27.752664204824441</v>
      </c>
      <c r="EF137" s="380">
        <f t="shared" si="302"/>
        <v>27.752664204824441</v>
      </c>
      <c r="EG137" s="380">
        <f t="shared" si="302"/>
        <v>27.752664204824441</v>
      </c>
      <c r="EH137" s="380">
        <f t="shared" si="302"/>
        <v>27.752664204824441</v>
      </c>
      <c r="EI137" s="380">
        <f>EH137</f>
        <v>27.752664204824441</v>
      </c>
      <c r="EJ137" s="380">
        <f>EI137</f>
        <v>27.752664204824441</v>
      </c>
      <c r="EK137" s="380">
        <f>EJ137</f>
        <v>27.752664204824441</v>
      </c>
      <c r="EL137" s="380">
        <f t="shared" ref="EL137" si="303">EK137</f>
        <v>27.752664204824441</v>
      </c>
      <c r="EM137" s="380">
        <f>EL137</f>
        <v>27.752664204824441</v>
      </c>
      <c r="EN137" s="380">
        <f>EM137</f>
        <v>27.752664204824441</v>
      </c>
      <c r="EO137" s="380">
        <f>EN137</f>
        <v>27.752664204824441</v>
      </c>
      <c r="EP137" s="380">
        <f t="shared" ref="EP137" si="304">EO137</f>
        <v>27.752664204824441</v>
      </c>
      <c r="EQ137" s="380">
        <f>EP137</f>
        <v>27.752664204824441</v>
      </c>
      <c r="ER137" s="380">
        <f>EQ137</f>
        <v>27.752664204824441</v>
      </c>
      <c r="ES137" s="380">
        <f>ER137</f>
        <v>27.752664204824441</v>
      </c>
      <c r="ET137" s="380">
        <f t="shared" ref="ET137" si="305">ES137</f>
        <v>27.752664204824441</v>
      </c>
      <c r="EU137" s="380">
        <f>ET137</f>
        <v>27.752664204824441</v>
      </c>
      <c r="EV137" s="380">
        <f>EU137</f>
        <v>27.752664204824441</v>
      </c>
      <c r="EW137" s="380">
        <f>EV137</f>
        <v>27.752664204824441</v>
      </c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397">
        <f>SUM(DJ137:DM137)</f>
        <v>-13.644695017259892</v>
      </c>
      <c r="GC137" s="397">
        <f>SUM(DN137:DQ137)</f>
        <v>143.88827924679458</v>
      </c>
      <c r="GD137" s="397">
        <f>SUM(DR137:DU137)</f>
        <v>-62.727704660642303</v>
      </c>
      <c r="GE137" s="397">
        <f>SUM(DV137:DY137)</f>
        <v>-61.44200818796412</v>
      </c>
      <c r="GF137" s="397">
        <f>SUM(DZ137:EC137)</f>
        <v>59.925323881532677</v>
      </c>
      <c r="GG137" s="410">
        <f>SUM(ED137:EG137)</f>
        <v>111.01065681929776</v>
      </c>
      <c r="GH137" s="410">
        <f>SUM(EH137:EK137)</f>
        <v>111.01065681929776</v>
      </c>
      <c r="GI137" s="410">
        <f>SUM(EL137:EO137)</f>
        <v>111.01065681929776</v>
      </c>
      <c r="GJ137" s="410">
        <f>SUM(EP137:ES137)</f>
        <v>111.01065681929776</v>
      </c>
      <c r="GK137" s="410">
        <f>SUM(ET137:EW137)</f>
        <v>111.01065681929776</v>
      </c>
      <c r="GN137" s="443"/>
    </row>
    <row r="138" spans="1:196" s="382" customFormat="1">
      <c r="A138" s="396" t="s">
        <v>198</v>
      </c>
      <c r="B138" s="392"/>
      <c r="C138" s="392"/>
      <c r="D138" s="392"/>
      <c r="E138" s="392"/>
      <c r="F138" s="392"/>
      <c r="G138" s="39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392"/>
      <c r="V138" s="392"/>
      <c r="W138" s="392"/>
      <c r="X138" s="392"/>
      <c r="Y138" s="392"/>
      <c r="Z138" s="392"/>
      <c r="AA138" s="392"/>
      <c r="AB138" s="392"/>
      <c r="AC138" s="392"/>
      <c r="AD138" s="392"/>
      <c r="AE138" s="392"/>
      <c r="AF138" s="392"/>
      <c r="AG138" s="392"/>
      <c r="AH138" s="392"/>
      <c r="AI138" s="392"/>
      <c r="AJ138" s="392"/>
      <c r="AK138" s="392"/>
      <c r="AL138" s="392"/>
      <c r="AM138" s="392"/>
      <c r="AN138" s="392"/>
      <c r="AO138" s="392"/>
      <c r="AP138" s="392"/>
      <c r="AQ138" s="392"/>
      <c r="AR138" s="392"/>
      <c r="AS138" s="392"/>
      <c r="AT138" s="392"/>
      <c r="AU138" s="392"/>
      <c r="AV138" s="392"/>
      <c r="AW138" s="392"/>
      <c r="AX138" s="392"/>
      <c r="AY138" s="392"/>
      <c r="AZ138" s="392"/>
      <c r="BA138" s="392"/>
      <c r="BB138" s="392"/>
      <c r="BC138" s="392"/>
      <c r="BD138" s="392"/>
      <c r="BE138" s="392"/>
      <c r="BF138" s="392"/>
      <c r="BG138" s="392"/>
      <c r="BH138" s="392"/>
      <c r="BI138" s="392"/>
      <c r="BJ138" s="392"/>
      <c r="BK138" s="392"/>
      <c r="BL138" s="392"/>
      <c r="BM138" s="392"/>
      <c r="BN138" s="392"/>
      <c r="BO138" s="392"/>
      <c r="BP138" s="392"/>
      <c r="BQ138" s="392"/>
      <c r="BR138" s="392"/>
      <c r="BS138" s="392"/>
      <c r="BT138" s="392"/>
      <c r="BU138" s="392"/>
      <c r="BV138" s="392"/>
      <c r="BW138" s="392"/>
      <c r="BX138" s="392"/>
      <c r="BY138" s="392"/>
      <c r="BZ138" s="392"/>
      <c r="CA138" s="392"/>
      <c r="CB138" s="392"/>
      <c r="CC138" s="392"/>
      <c r="CD138" s="392"/>
      <c r="CE138" s="392"/>
      <c r="CF138" s="392"/>
      <c r="CG138" s="392"/>
      <c r="CH138" s="392"/>
      <c r="CI138" s="392"/>
      <c r="CJ138" s="392"/>
      <c r="CK138" s="392"/>
      <c r="CL138" s="392"/>
      <c r="CM138" s="392"/>
      <c r="CN138" s="392"/>
      <c r="CO138" s="392"/>
      <c r="CP138" s="392"/>
      <c r="CQ138" s="392"/>
      <c r="CR138" s="392"/>
      <c r="CS138" s="392"/>
      <c r="CT138" s="387"/>
      <c r="CU138" s="387"/>
      <c r="CV138" s="387"/>
      <c r="CW138" s="387"/>
      <c r="CX138" s="392"/>
      <c r="CY138" s="387"/>
      <c r="CZ138" s="387"/>
      <c r="DA138" s="387"/>
      <c r="DB138" s="387"/>
      <c r="DC138" s="387"/>
      <c r="DD138" s="387"/>
      <c r="DE138" s="387"/>
      <c r="DF138" s="387"/>
      <c r="DG138" s="387"/>
      <c r="DH138" s="387"/>
      <c r="DI138" s="387"/>
      <c r="DJ138" s="33"/>
      <c r="DK138" s="67" t="s">
        <v>199</v>
      </c>
      <c r="DL138" s="67" t="s">
        <v>199</v>
      </c>
      <c r="DM138" s="33">
        <f>DM137/DL137-1</f>
        <v>-1.6881333023737639</v>
      </c>
      <c r="DN138" s="33">
        <f>DN137/DM137-1</f>
        <v>3.3133839093896915</v>
      </c>
      <c r="DO138" s="33">
        <f>DO137/DN137-1</f>
        <v>-0.99598440401304134</v>
      </c>
      <c r="DP138" s="67" t="s">
        <v>199</v>
      </c>
      <c r="DQ138" s="67" t="s">
        <v>199</v>
      </c>
      <c r="DR138" s="33">
        <f>DR137/DQ137-1</f>
        <v>0.42512185069067399</v>
      </c>
      <c r="DS138" s="67" t="s">
        <v>199</v>
      </c>
      <c r="DT138" s="67" t="s">
        <v>199</v>
      </c>
      <c r="DU138" s="67" t="s">
        <v>199</v>
      </c>
      <c r="DV138" s="67" t="s">
        <v>199</v>
      </c>
      <c r="DW138" s="67" t="s">
        <v>199</v>
      </c>
      <c r="DX138" s="67" t="s">
        <v>199</v>
      </c>
      <c r="DY138" s="67" t="s">
        <v>199</v>
      </c>
      <c r="DZ138" s="67" t="s">
        <v>199</v>
      </c>
      <c r="EA138" s="67" t="s">
        <v>199</v>
      </c>
      <c r="EB138" s="67" t="s">
        <v>199</v>
      </c>
      <c r="EC138" s="67" t="s">
        <v>199</v>
      </c>
      <c r="ED138" s="67" t="s">
        <v>199</v>
      </c>
      <c r="EE138" s="68" t="s">
        <v>199</v>
      </c>
      <c r="EF138" s="68" t="s">
        <v>199</v>
      </c>
      <c r="EG138" s="68" t="s">
        <v>199</v>
      </c>
      <c r="EH138" s="68" t="s">
        <v>199</v>
      </c>
      <c r="EI138" s="68" t="s">
        <v>199</v>
      </c>
      <c r="EJ138" s="68" t="s">
        <v>199</v>
      </c>
      <c r="EK138" s="68" t="s">
        <v>199</v>
      </c>
      <c r="EL138" s="68" t="s">
        <v>199</v>
      </c>
      <c r="EM138" s="68" t="s">
        <v>199</v>
      </c>
      <c r="EN138" s="68" t="s">
        <v>199</v>
      </c>
      <c r="EO138" s="68" t="s">
        <v>199</v>
      </c>
      <c r="EP138" s="68" t="s">
        <v>199</v>
      </c>
      <c r="EQ138" s="68" t="s">
        <v>199</v>
      </c>
      <c r="ER138" s="68" t="s">
        <v>199</v>
      </c>
      <c r="ES138" s="68" t="s">
        <v>199</v>
      </c>
      <c r="ET138" s="68" t="s">
        <v>199</v>
      </c>
      <c r="EU138" s="68" t="s">
        <v>199</v>
      </c>
      <c r="EV138" s="68" t="s">
        <v>199</v>
      </c>
      <c r="EW138" s="68" t="s">
        <v>199</v>
      </c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383"/>
      <c r="GC138" s="383" t="s">
        <v>199</v>
      </c>
      <c r="GD138" s="383" t="s">
        <v>199</v>
      </c>
      <c r="GE138" s="383" t="s">
        <v>199</v>
      </c>
      <c r="GF138" s="383" t="s">
        <v>199</v>
      </c>
      <c r="GG138" s="391" t="s">
        <v>199</v>
      </c>
      <c r="GH138" s="391" t="s">
        <v>199</v>
      </c>
      <c r="GI138" s="391" t="s">
        <v>199</v>
      </c>
      <c r="GJ138" s="391" t="s">
        <v>199</v>
      </c>
      <c r="GK138" s="391" t="s">
        <v>199</v>
      </c>
      <c r="GN138" s="443"/>
    </row>
    <row r="139" spans="1:196" s="382" customFormat="1">
      <c r="A139" s="396" t="s">
        <v>200</v>
      </c>
      <c r="B139" s="392"/>
      <c r="C139" s="392"/>
      <c r="D139" s="392"/>
      <c r="E139" s="392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392"/>
      <c r="AG139" s="392"/>
      <c r="AH139" s="392"/>
      <c r="AI139" s="392"/>
      <c r="AJ139" s="392"/>
      <c r="AK139" s="392"/>
      <c r="AL139" s="392"/>
      <c r="AM139" s="392"/>
      <c r="AN139" s="392"/>
      <c r="AO139" s="392"/>
      <c r="AP139" s="392"/>
      <c r="AQ139" s="392"/>
      <c r="AR139" s="392"/>
      <c r="AS139" s="392"/>
      <c r="AT139" s="392"/>
      <c r="AU139" s="392"/>
      <c r="AV139" s="392"/>
      <c r="AW139" s="392"/>
      <c r="AX139" s="392"/>
      <c r="AY139" s="392"/>
      <c r="AZ139" s="392"/>
      <c r="BA139" s="392"/>
      <c r="BB139" s="392"/>
      <c r="BC139" s="392"/>
      <c r="BD139" s="392"/>
      <c r="BE139" s="392"/>
      <c r="BF139" s="392"/>
      <c r="BG139" s="392"/>
      <c r="BH139" s="392"/>
      <c r="BI139" s="392"/>
      <c r="BJ139" s="392"/>
      <c r="BK139" s="392"/>
      <c r="BL139" s="392"/>
      <c r="BM139" s="392"/>
      <c r="BN139" s="392"/>
      <c r="BO139" s="392"/>
      <c r="BP139" s="392"/>
      <c r="BQ139" s="392"/>
      <c r="BR139" s="392"/>
      <c r="BS139" s="392"/>
      <c r="BT139" s="392"/>
      <c r="BU139" s="392"/>
      <c r="BV139" s="392"/>
      <c r="BW139" s="392"/>
      <c r="BX139" s="392"/>
      <c r="BY139" s="392"/>
      <c r="BZ139" s="392"/>
      <c r="CA139" s="392"/>
      <c r="CB139" s="392"/>
      <c r="CC139" s="392"/>
      <c r="CD139" s="392"/>
      <c r="CE139" s="392"/>
      <c r="CF139" s="392"/>
      <c r="CG139" s="392"/>
      <c r="CH139" s="392"/>
      <c r="CI139" s="392"/>
      <c r="CJ139" s="392"/>
      <c r="CK139" s="392"/>
      <c r="CL139" s="392"/>
      <c r="CM139" s="392"/>
      <c r="CN139" s="392"/>
      <c r="CO139" s="392"/>
      <c r="CP139" s="392"/>
      <c r="CQ139" s="392"/>
      <c r="CR139" s="392"/>
      <c r="CS139" s="392"/>
      <c r="CT139" s="387"/>
      <c r="CU139" s="387"/>
      <c r="CV139" s="387"/>
      <c r="CW139" s="387"/>
      <c r="CX139" s="392"/>
      <c r="CY139" s="387"/>
      <c r="CZ139" s="387"/>
      <c r="DA139" s="387"/>
      <c r="DB139" s="387"/>
      <c r="DC139" s="387"/>
      <c r="DD139" s="387"/>
      <c r="DE139" s="387"/>
      <c r="DF139" s="387"/>
      <c r="DG139" s="387"/>
      <c r="DH139" s="387"/>
      <c r="DI139" s="387"/>
      <c r="DJ139" s="33"/>
      <c r="DK139" s="33"/>
      <c r="DL139" s="33"/>
      <c r="DM139" s="33"/>
      <c r="DN139" s="33">
        <f>DN137/DJ137-1</f>
        <v>4.1008741664800192</v>
      </c>
      <c r="DO139" s="67" t="s">
        <v>199</v>
      </c>
      <c r="DP139" s="67" t="s">
        <v>199</v>
      </c>
      <c r="DQ139" s="33">
        <f>DQ137/DM137-1</f>
        <v>-0.78265588105642292</v>
      </c>
      <c r="DR139" s="33">
        <f>DR137/DN137-1</f>
        <v>-0.92819052059072793</v>
      </c>
      <c r="DS139" s="67" t="s">
        <v>199</v>
      </c>
      <c r="DT139" s="67" t="s">
        <v>199</v>
      </c>
      <c r="DU139" s="67" t="s">
        <v>199</v>
      </c>
      <c r="DV139" s="67" t="s">
        <v>199</v>
      </c>
      <c r="DW139" s="67" t="s">
        <v>199</v>
      </c>
      <c r="DX139" s="67" t="s">
        <v>199</v>
      </c>
      <c r="DY139" s="67" t="s">
        <v>199</v>
      </c>
      <c r="DZ139" s="67" t="s">
        <v>199</v>
      </c>
      <c r="EA139" s="67" t="s">
        <v>199</v>
      </c>
      <c r="EB139" s="67" t="s">
        <v>199</v>
      </c>
      <c r="EC139" s="67" t="s">
        <v>199</v>
      </c>
      <c r="ED139" s="67" t="s">
        <v>199</v>
      </c>
      <c r="EE139" s="68" t="s">
        <v>199</v>
      </c>
      <c r="EF139" s="68" t="s">
        <v>199</v>
      </c>
      <c r="EG139" s="68" t="s">
        <v>199</v>
      </c>
      <c r="EH139" s="68" t="s">
        <v>199</v>
      </c>
      <c r="EI139" s="68" t="s">
        <v>199</v>
      </c>
      <c r="EJ139" s="68" t="s">
        <v>199</v>
      </c>
      <c r="EK139" s="68" t="s">
        <v>199</v>
      </c>
      <c r="EL139" s="68" t="s">
        <v>199</v>
      </c>
      <c r="EM139" s="68" t="s">
        <v>199</v>
      </c>
      <c r="EN139" s="68" t="s">
        <v>199</v>
      </c>
      <c r="EO139" s="68" t="s">
        <v>199</v>
      </c>
      <c r="EP139" s="68" t="s">
        <v>199</v>
      </c>
      <c r="EQ139" s="68" t="s">
        <v>199</v>
      </c>
      <c r="ER139" s="68" t="s">
        <v>199</v>
      </c>
      <c r="ES139" s="68" t="s">
        <v>199</v>
      </c>
      <c r="ET139" s="68" t="s">
        <v>199</v>
      </c>
      <c r="EU139" s="68" t="s">
        <v>199</v>
      </c>
      <c r="EV139" s="68" t="s">
        <v>199</v>
      </c>
      <c r="EW139" s="68" t="s">
        <v>199</v>
      </c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  <c r="GB139" s="383"/>
      <c r="GC139" s="383">
        <f t="shared" ref="GC139:GK139" si="306">GC137/GB137-1</f>
        <v>-11.545364265363405</v>
      </c>
      <c r="GD139" s="383">
        <f t="shared" si="306"/>
        <v>-1.4359472848587818</v>
      </c>
      <c r="GE139" s="383">
        <f t="shared" si="306"/>
        <v>-2.0496469297478948E-2</v>
      </c>
      <c r="GF139" s="383">
        <f t="shared" si="306"/>
        <v>-1.9753151898650256</v>
      </c>
      <c r="GG139" s="391">
        <f t="shared" si="306"/>
        <v>0.85248321792563853</v>
      </c>
      <c r="GH139" s="391">
        <f t="shared" si="306"/>
        <v>0</v>
      </c>
      <c r="GI139" s="391">
        <f t="shared" si="306"/>
        <v>0</v>
      </c>
      <c r="GJ139" s="391">
        <f t="shared" si="306"/>
        <v>0</v>
      </c>
      <c r="GK139" s="391">
        <f t="shared" si="306"/>
        <v>0</v>
      </c>
      <c r="GN139" s="443"/>
    </row>
    <row r="140" spans="1:196" s="382" customFormat="1">
      <c r="A140" s="396" t="s">
        <v>261</v>
      </c>
      <c r="B140" s="392"/>
      <c r="C140" s="392"/>
      <c r="D140" s="392"/>
      <c r="E140" s="392"/>
      <c r="F140" s="392"/>
      <c r="G140" s="392"/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392"/>
      <c r="V140" s="392"/>
      <c r="W140" s="392"/>
      <c r="X140" s="392"/>
      <c r="Y140" s="392"/>
      <c r="Z140" s="392"/>
      <c r="AA140" s="392"/>
      <c r="AB140" s="392"/>
      <c r="AC140" s="392"/>
      <c r="AD140" s="392"/>
      <c r="AE140" s="392"/>
      <c r="AF140" s="392"/>
      <c r="AG140" s="392"/>
      <c r="AH140" s="392"/>
      <c r="AI140" s="392"/>
      <c r="AJ140" s="392"/>
      <c r="AK140" s="392"/>
      <c r="AL140" s="392"/>
      <c r="AM140" s="392"/>
      <c r="AN140" s="392"/>
      <c r="AO140" s="392"/>
      <c r="AP140" s="392"/>
      <c r="AQ140" s="392"/>
      <c r="AR140" s="392"/>
      <c r="AS140" s="392"/>
      <c r="AT140" s="392"/>
      <c r="AU140" s="392"/>
      <c r="AV140" s="392"/>
      <c r="AW140" s="392"/>
      <c r="AX140" s="392"/>
      <c r="AY140" s="392"/>
      <c r="AZ140" s="392"/>
      <c r="BA140" s="392"/>
      <c r="BB140" s="392"/>
      <c r="BC140" s="392"/>
      <c r="BD140" s="392"/>
      <c r="BE140" s="392"/>
      <c r="BF140" s="392"/>
      <c r="BG140" s="392"/>
      <c r="BH140" s="392"/>
      <c r="BI140" s="392"/>
      <c r="BJ140" s="392"/>
      <c r="BK140" s="392"/>
      <c r="BL140" s="392"/>
      <c r="BM140" s="392"/>
      <c r="BN140" s="392"/>
      <c r="BO140" s="392"/>
      <c r="BP140" s="392"/>
      <c r="BQ140" s="392"/>
      <c r="BR140" s="392"/>
      <c r="BS140" s="392"/>
      <c r="BT140" s="392"/>
      <c r="BU140" s="392"/>
      <c r="BV140" s="392"/>
      <c r="BW140" s="392"/>
      <c r="BX140" s="392"/>
      <c r="BY140" s="392"/>
      <c r="BZ140" s="392"/>
      <c r="CA140" s="392"/>
      <c r="CB140" s="392"/>
      <c r="CC140" s="392"/>
      <c r="CD140" s="392"/>
      <c r="CE140" s="392"/>
      <c r="CF140" s="392"/>
      <c r="CG140" s="392"/>
      <c r="CH140" s="392"/>
      <c r="CI140" s="392"/>
      <c r="CJ140" s="392"/>
      <c r="CK140" s="392"/>
      <c r="CL140" s="392"/>
      <c r="CM140" s="392"/>
      <c r="CN140" s="392"/>
      <c r="CO140" s="392"/>
      <c r="CP140" s="392"/>
      <c r="CQ140" s="392"/>
      <c r="CR140" s="392"/>
      <c r="CS140" s="392"/>
      <c r="CT140" s="387"/>
      <c r="CU140" s="387"/>
      <c r="CV140" s="387"/>
      <c r="CW140" s="387"/>
      <c r="CX140" s="392"/>
      <c r="CY140" s="387"/>
      <c r="CZ140" s="387"/>
      <c r="DA140" s="387"/>
      <c r="DB140" s="387"/>
      <c r="DC140" s="387"/>
      <c r="DD140" s="387"/>
      <c r="DE140" s="387"/>
      <c r="DF140" s="387"/>
      <c r="DG140" s="387"/>
      <c r="DH140" s="387"/>
      <c r="DI140" s="387"/>
      <c r="DJ140" s="33">
        <f t="shared" ref="DJ140:EW140" si="307">DJ137/DJ$161</f>
        <v>8.12435708491103E-3</v>
      </c>
      <c r="DK140" s="33">
        <f t="shared" si="307"/>
        <v>-6.9176009111978978E-3</v>
      </c>
      <c r="DL140" s="33">
        <f t="shared" si="307"/>
        <v>-1.1151998222428291E-2</v>
      </c>
      <c r="DM140" s="33">
        <f t="shared" si="307"/>
        <v>6.8583146843486809E-3</v>
      </c>
      <c r="DN140" s="33">
        <f t="shared" si="307"/>
        <v>2.4250952664062016E-2</v>
      </c>
      <c r="DO140" s="33">
        <f t="shared" si="307"/>
        <v>8.7524885496190503E-5</v>
      </c>
      <c r="DP140" s="33">
        <f t="shared" si="307"/>
        <v>-1.1939033243486166E-3</v>
      </c>
      <c r="DQ140" s="33">
        <f t="shared" si="307"/>
        <v>1.2848195951886924E-3</v>
      </c>
      <c r="DR140" s="33">
        <f t="shared" si="307"/>
        <v>1.9151701960760004E-3</v>
      </c>
      <c r="DS140" s="33">
        <f t="shared" si="307"/>
        <v>-4.2048501039435131E-3</v>
      </c>
      <c r="DT140" s="33">
        <f t="shared" si="307"/>
        <v>-6.8740128901254921E-3</v>
      </c>
      <c r="DU140" s="33">
        <f t="shared" si="307"/>
        <v>-1.7147445282872876E-3</v>
      </c>
      <c r="DV140" s="66">
        <f t="shared" si="307"/>
        <v>-9.0641866856872814E-4</v>
      </c>
      <c r="DW140" s="66">
        <f t="shared" si="307"/>
        <v>-3.5218303242188684E-3</v>
      </c>
      <c r="DX140" s="66">
        <f>DX137/DX$161</f>
        <v>-4.1648443850040816E-3</v>
      </c>
      <c r="DY140" s="66">
        <f>DY137/DY$161</f>
        <v>-9.8344541808925864E-4</v>
      </c>
      <c r="DZ140" s="66">
        <f t="shared" si="307"/>
        <v>-7.0986922082983157E-5</v>
      </c>
      <c r="EA140" s="66">
        <f t="shared" si="307"/>
        <v>9.8304740811966298E-4</v>
      </c>
      <c r="EB140" s="66">
        <f t="shared" si="307"/>
        <v>4.3854940463607583E-3</v>
      </c>
      <c r="EC140" s="66">
        <f t="shared" si="307"/>
        <v>1.2025635174230497E-3</v>
      </c>
      <c r="ED140" s="66">
        <f t="shared" si="307"/>
        <v>2.7067847659050463E-3</v>
      </c>
      <c r="EE140" s="149">
        <f t="shared" si="307"/>
        <v>2.4729453168672562E-3</v>
      </c>
      <c r="EF140" s="149">
        <f t="shared" si="307"/>
        <v>2.313952261797635E-3</v>
      </c>
      <c r="EG140" s="149">
        <f t="shared" si="307"/>
        <v>1.7140187462642345E-3</v>
      </c>
      <c r="EH140" s="149">
        <f t="shared" si="307"/>
        <v>1.591793897303153E-3</v>
      </c>
      <c r="EI140" s="149">
        <f t="shared" si="307"/>
        <v>1.4445845525795171E-3</v>
      </c>
      <c r="EJ140" s="149">
        <f t="shared" si="307"/>
        <v>1.2537439400749626E-3</v>
      </c>
      <c r="EK140" s="149">
        <f t="shared" si="307"/>
        <v>1.1319067362202694E-3</v>
      </c>
      <c r="EL140" s="149">
        <f t="shared" si="307"/>
        <v>1.1591880692527008E-3</v>
      </c>
      <c r="EM140" s="149">
        <f t="shared" si="307"/>
        <v>1.1086392785768695E-3</v>
      </c>
      <c r="EN140" s="149">
        <f t="shared" si="307"/>
        <v>1.0327752759586365E-3</v>
      </c>
      <c r="EO140" s="149">
        <f t="shared" si="307"/>
        <v>9.6524005641033183E-4</v>
      </c>
      <c r="EP140" s="149">
        <f t="shared" si="307"/>
        <v>9.8495556362525175E-4</v>
      </c>
      <c r="EQ140" s="149">
        <f t="shared" si="307"/>
        <v>9.4466603850912442E-4</v>
      </c>
      <c r="ER140" s="149">
        <f t="shared" si="307"/>
        <v>8.750331600570182E-4</v>
      </c>
      <c r="ES140" s="149">
        <f t="shared" si="307"/>
        <v>8.3808884774776778E-4</v>
      </c>
      <c r="ET140" s="149">
        <f t="shared" si="307"/>
        <v>8.7510288904994087E-4</v>
      </c>
      <c r="EU140" s="149">
        <f t="shared" si="307"/>
        <v>8.395920762408112E-4</v>
      </c>
      <c r="EV140" s="149">
        <f t="shared" si="307"/>
        <v>7.6408238430244362E-4</v>
      </c>
      <c r="EW140" s="149">
        <f t="shared" si="307"/>
        <v>7.3038691966435419E-4</v>
      </c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  <c r="GB140" s="383"/>
      <c r="GC140" s="383">
        <f t="shared" ref="GC140:GK140" si="308">GC137/GC$161</f>
        <v>6.0967026501756102E-3</v>
      </c>
      <c r="GD140" s="383">
        <f t="shared" si="308"/>
        <v>-2.7657718104339641E-3</v>
      </c>
      <c r="GE140" s="383">
        <f t="shared" si="308"/>
        <v>-2.3828585684686492E-3</v>
      </c>
      <c r="GF140" s="383">
        <f t="shared" si="308"/>
        <v>1.7299957816776662E-3</v>
      </c>
      <c r="GG140" s="391">
        <f t="shared" si="308"/>
        <v>2.2353819915615211E-3</v>
      </c>
      <c r="GH140" s="391">
        <f t="shared" si="308"/>
        <v>1.3326498493627375E-3</v>
      </c>
      <c r="GI140" s="391">
        <f t="shared" si="308"/>
        <v>1.0613018581630271E-3</v>
      </c>
      <c r="GJ140" s="391">
        <f t="shared" si="308"/>
        <v>9.0705948032698011E-4</v>
      </c>
      <c r="GK140" s="391">
        <f t="shared" si="308"/>
        <v>7.9813649528486072E-4</v>
      </c>
      <c r="GN140" s="443"/>
    </row>
    <row r="141" spans="1:196" s="418" customFormat="1">
      <c r="A141" s="376" t="s">
        <v>270</v>
      </c>
      <c r="B141" s="429"/>
      <c r="C141" s="429"/>
      <c r="D141" s="429"/>
      <c r="E141" s="429"/>
      <c r="F141" s="429"/>
      <c r="G141" s="429"/>
      <c r="H141" s="429"/>
      <c r="I141" s="429"/>
      <c r="J141" s="429"/>
      <c r="K141" s="429"/>
      <c r="L141" s="429"/>
      <c r="M141" s="429"/>
      <c r="N141" s="429"/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  <c r="Y141" s="429"/>
      <c r="Z141" s="429"/>
      <c r="AA141" s="429"/>
      <c r="AB141" s="429"/>
      <c r="AC141" s="429"/>
      <c r="AD141" s="429"/>
      <c r="AE141" s="429"/>
      <c r="AF141" s="429"/>
      <c r="AG141" s="429"/>
      <c r="AH141" s="429"/>
      <c r="AI141" s="429"/>
      <c r="AJ141" s="429"/>
      <c r="AK141" s="429"/>
      <c r="AL141" s="429"/>
      <c r="AM141" s="429"/>
      <c r="AN141" s="429"/>
      <c r="AO141" s="429"/>
      <c r="AP141" s="429"/>
      <c r="AQ141" s="429"/>
      <c r="AR141" s="429"/>
      <c r="AS141" s="429"/>
      <c r="AT141" s="429"/>
      <c r="AU141" s="429"/>
      <c r="AV141" s="429"/>
      <c r="AW141" s="429"/>
      <c r="AX141" s="429"/>
      <c r="AY141" s="429"/>
      <c r="AZ141" s="429"/>
      <c r="BA141" s="429"/>
      <c r="BB141" s="429"/>
      <c r="BC141" s="429"/>
      <c r="BD141" s="429"/>
      <c r="BE141" s="429"/>
      <c r="BF141" s="429"/>
      <c r="BG141" s="429"/>
      <c r="BH141" s="429"/>
      <c r="BI141" s="429"/>
      <c r="BJ141" s="429"/>
      <c r="BK141" s="429"/>
      <c r="BL141" s="429"/>
      <c r="BM141" s="429"/>
      <c r="BN141" s="429"/>
      <c r="BO141" s="429"/>
      <c r="BP141" s="429"/>
      <c r="BQ141" s="429"/>
      <c r="BR141" s="429"/>
      <c r="BS141" s="429"/>
      <c r="BT141" s="429"/>
      <c r="BU141" s="429"/>
      <c r="BV141" s="429"/>
      <c r="BW141" s="429"/>
      <c r="BX141" s="429"/>
      <c r="BY141" s="429"/>
      <c r="BZ141" s="429"/>
      <c r="CA141" s="429"/>
      <c r="CB141" s="429"/>
      <c r="CC141" s="429"/>
      <c r="CD141" s="429"/>
      <c r="CE141" s="429"/>
      <c r="CF141" s="429"/>
      <c r="CG141" s="429"/>
      <c r="CH141" s="429"/>
      <c r="CI141" s="429"/>
      <c r="CJ141" s="429"/>
      <c r="CK141" s="429"/>
      <c r="CL141" s="429"/>
      <c r="CM141" s="429"/>
      <c r="CN141" s="429"/>
      <c r="CO141" s="429"/>
      <c r="CP141" s="429"/>
      <c r="CQ141" s="429"/>
      <c r="CR141" s="429"/>
      <c r="CS141" s="429"/>
      <c r="CT141" s="431"/>
      <c r="CU141" s="431"/>
      <c r="CV141" s="431"/>
      <c r="CW141" s="431"/>
      <c r="CX141" s="429"/>
      <c r="CY141" s="431"/>
      <c r="CZ141" s="431"/>
      <c r="DA141" s="431"/>
      <c r="DB141" s="431"/>
      <c r="DC141" s="431"/>
      <c r="DD141" s="431"/>
      <c r="DE141" s="431"/>
      <c r="DF141" s="431"/>
      <c r="DG141" s="431"/>
      <c r="DH141" s="431"/>
      <c r="DI141" s="431"/>
      <c r="DJ141" s="397">
        <v>610</v>
      </c>
      <c r="DK141" s="397">
        <v>813</v>
      </c>
      <c r="DL141" s="397">
        <v>1108</v>
      </c>
      <c r="DM141" s="397">
        <v>1163</v>
      </c>
      <c r="DN141" s="397">
        <v>1293</v>
      </c>
      <c r="DO141" s="397">
        <v>1486</v>
      </c>
      <c r="DP141" s="397">
        <v>1609</v>
      </c>
      <c r="DQ141" s="397">
        <v>1655</v>
      </c>
      <c r="DR141" s="397">
        <v>1295</v>
      </c>
      <c r="DS141" s="397">
        <v>1321</v>
      </c>
      <c r="DT141" s="397">
        <v>1598</v>
      </c>
      <c r="DU141" s="397">
        <v>2282</v>
      </c>
      <c r="DV141" s="376">
        <v>2337</v>
      </c>
      <c r="DW141" s="376">
        <v>2834</v>
      </c>
      <c r="DX141" s="376">
        <v>3549</v>
      </c>
      <c r="DY141" s="376">
        <v>3859</v>
      </c>
      <c r="DZ141" s="376">
        <v>3674</v>
      </c>
      <c r="EA141" s="376">
        <v>3240</v>
      </c>
      <c r="EB141" s="376">
        <v>4341</v>
      </c>
      <c r="EC141" s="376">
        <v>5380</v>
      </c>
      <c r="ED141" s="376">
        <v>5775</v>
      </c>
      <c r="EE141" s="410">
        <f t="shared" ref="EE141:EW141" si="309">EE145+EE149+EE153</f>
        <v>6586.1980092402737</v>
      </c>
      <c r="EF141" s="410">
        <f t="shared" si="309"/>
        <v>7431.0316756359171</v>
      </c>
      <c r="EG141" s="410">
        <f t="shared" si="309"/>
        <v>11664.499974011527</v>
      </c>
      <c r="EH141" s="410">
        <f t="shared" si="309"/>
        <v>13129.898210400257</v>
      </c>
      <c r="EI141" s="410">
        <f t="shared" si="309"/>
        <v>14660.024230281106</v>
      </c>
      <c r="EJ141" s="410">
        <f t="shared" si="309"/>
        <v>17057.340486455916</v>
      </c>
      <c r="EK141" s="410">
        <f t="shared" si="309"/>
        <v>19100.992895778527</v>
      </c>
      <c r="EL141" s="410">
        <f t="shared" si="309"/>
        <v>19112.776568507019</v>
      </c>
      <c r="EM141" s="410">
        <f t="shared" si="309"/>
        <v>20067.009837097707</v>
      </c>
      <c r="EN141" s="410">
        <f t="shared" si="309"/>
        <v>21623.151675483103</v>
      </c>
      <c r="EO141" s="410">
        <f t="shared" si="309"/>
        <v>23229.384798762341</v>
      </c>
      <c r="EP141" s="410">
        <f t="shared" si="309"/>
        <v>23183.310400507766</v>
      </c>
      <c r="EQ141" s="410">
        <f t="shared" si="309"/>
        <v>24212.410766580153</v>
      </c>
      <c r="ER141" s="410">
        <f t="shared" si="309"/>
        <v>26216.472049705662</v>
      </c>
      <c r="ES141" s="410">
        <f t="shared" si="309"/>
        <v>27346.244860697145</v>
      </c>
      <c r="ET141" s="410">
        <f t="shared" si="309"/>
        <v>26501.484568252439</v>
      </c>
      <c r="EU141" s="410">
        <f t="shared" si="309"/>
        <v>27690.201185881415</v>
      </c>
      <c r="EV141" s="410">
        <f t="shared" si="309"/>
        <v>30633.23199667962</v>
      </c>
      <c r="EW141" s="410">
        <f t="shared" si="309"/>
        <v>32027.188921340483</v>
      </c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  <c r="GB141" s="397">
        <f>SUM(DJ141:DM141)</f>
        <v>3694</v>
      </c>
      <c r="GC141" s="397">
        <f>SUM(DN141:DQ141)</f>
        <v>6043</v>
      </c>
      <c r="GD141" s="397">
        <f>SUM(DR141:DU141)</f>
        <v>6496</v>
      </c>
      <c r="GE141" s="397">
        <f>SUM(DV141:DY141)</f>
        <v>12579</v>
      </c>
      <c r="GF141" s="397">
        <f>SUM(DZ141:EC141)</f>
        <v>16635</v>
      </c>
      <c r="GG141" s="410">
        <f>SUM(ED141:EG141)</f>
        <v>31456.729658887718</v>
      </c>
      <c r="GH141" s="410">
        <f>SUM(EH141:EK141)</f>
        <v>63948.255822915802</v>
      </c>
      <c r="GI141" s="410">
        <f>SUM(EL141:EO141)</f>
        <v>84032.322879850166</v>
      </c>
      <c r="GJ141" s="410">
        <f>SUM(EP141:ES141)</f>
        <v>100958.43807749073</v>
      </c>
      <c r="GK141" s="410">
        <f>SUM(ET141:EW141)</f>
        <v>116852.10667215395</v>
      </c>
      <c r="GM141" s="432"/>
      <c r="GN141" s="70"/>
    </row>
    <row r="142" spans="1:196" s="382" customFormat="1">
      <c r="A142" s="381" t="s">
        <v>198</v>
      </c>
      <c r="B142" s="392"/>
      <c r="C142" s="392"/>
      <c r="D142" s="392"/>
      <c r="E142" s="392"/>
      <c r="F142" s="392"/>
      <c r="G142" s="392"/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/>
      <c r="T142" s="392"/>
      <c r="U142" s="392"/>
      <c r="V142" s="392"/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/>
      <c r="AH142" s="392"/>
      <c r="AI142" s="392"/>
      <c r="AJ142" s="392"/>
      <c r="AK142" s="392"/>
      <c r="AL142" s="392"/>
      <c r="AM142" s="392"/>
      <c r="AN142" s="392"/>
      <c r="AO142" s="392"/>
      <c r="AP142" s="392"/>
      <c r="AQ142" s="392"/>
      <c r="AR142" s="392"/>
      <c r="AS142" s="392"/>
      <c r="AT142" s="392"/>
      <c r="AU142" s="392"/>
      <c r="AV142" s="392"/>
      <c r="AW142" s="392"/>
      <c r="AX142" s="392"/>
      <c r="AY142" s="392"/>
      <c r="AZ142" s="392"/>
      <c r="BA142" s="392"/>
      <c r="BB142" s="392"/>
      <c r="BC142" s="392"/>
      <c r="BD142" s="392"/>
      <c r="BE142" s="392"/>
      <c r="BF142" s="392"/>
      <c r="BG142" s="392"/>
      <c r="BH142" s="392"/>
      <c r="BI142" s="392"/>
      <c r="BJ142" s="392"/>
      <c r="BK142" s="392"/>
      <c r="BL142" s="392"/>
      <c r="BM142" s="392"/>
      <c r="BN142" s="392"/>
      <c r="BO142" s="392"/>
      <c r="BP142" s="392"/>
      <c r="BQ142" s="392"/>
      <c r="BR142" s="392"/>
      <c r="BS142" s="392"/>
      <c r="BT142" s="392"/>
      <c r="BU142" s="392"/>
      <c r="BV142" s="392"/>
      <c r="BW142" s="392"/>
      <c r="BX142" s="392"/>
      <c r="BY142" s="392"/>
      <c r="BZ142" s="392"/>
      <c r="CA142" s="392"/>
      <c r="CB142" s="392"/>
      <c r="CC142" s="392"/>
      <c r="CD142" s="392"/>
      <c r="CE142" s="392"/>
      <c r="CF142" s="392"/>
      <c r="CG142" s="392"/>
      <c r="CH142" s="392"/>
      <c r="CI142" s="392"/>
      <c r="CJ142" s="392"/>
      <c r="CK142" s="392"/>
      <c r="CL142" s="392"/>
      <c r="CM142" s="392"/>
      <c r="CN142" s="392"/>
      <c r="CO142" s="392"/>
      <c r="CP142" s="392"/>
      <c r="CQ142" s="392"/>
      <c r="CR142" s="392"/>
      <c r="CS142" s="392"/>
      <c r="CT142" s="387"/>
      <c r="CU142" s="387"/>
      <c r="CV142" s="387"/>
      <c r="CW142" s="387"/>
      <c r="CX142" s="392"/>
      <c r="CY142" s="387"/>
      <c r="CZ142" s="387"/>
      <c r="DA142" s="387"/>
      <c r="DB142" s="387"/>
      <c r="DC142" s="387"/>
      <c r="DD142" s="387"/>
      <c r="DE142" s="387"/>
      <c r="DF142" s="387"/>
      <c r="DG142" s="387"/>
      <c r="DH142" s="387"/>
      <c r="DI142" s="387"/>
      <c r="DJ142" s="442"/>
      <c r="DK142" s="33">
        <f t="shared" ref="DK142:EW142" si="310">DK141/DJ141-1</f>
        <v>0.33278688524590172</v>
      </c>
      <c r="DL142" s="33">
        <f t="shared" si="310"/>
        <v>0.36285362853628533</v>
      </c>
      <c r="DM142" s="33">
        <f t="shared" si="310"/>
        <v>4.963898916967513E-2</v>
      </c>
      <c r="DN142" s="33">
        <f t="shared" si="310"/>
        <v>0.11177987962166802</v>
      </c>
      <c r="DO142" s="33">
        <f t="shared" si="310"/>
        <v>0.14926527455529781</v>
      </c>
      <c r="DP142" s="33">
        <f t="shared" si="310"/>
        <v>8.2772543741588267E-2</v>
      </c>
      <c r="DQ142" s="33">
        <f t="shared" si="310"/>
        <v>2.8589185829707819E-2</v>
      </c>
      <c r="DR142" s="33">
        <f t="shared" si="310"/>
        <v>-0.21752265861027187</v>
      </c>
      <c r="DS142" s="33">
        <f t="shared" si="310"/>
        <v>2.0077220077220126E-2</v>
      </c>
      <c r="DT142" s="33">
        <f t="shared" si="310"/>
        <v>0.20968962906888722</v>
      </c>
      <c r="DU142" s="33">
        <f t="shared" si="310"/>
        <v>0.42803504380475599</v>
      </c>
      <c r="DV142" s="66">
        <f t="shared" si="310"/>
        <v>2.4101665205959577E-2</v>
      </c>
      <c r="DW142" s="66">
        <f t="shared" si="310"/>
        <v>0.21266581086863501</v>
      </c>
      <c r="DX142" s="66">
        <f t="shared" si="310"/>
        <v>0.25229357798165131</v>
      </c>
      <c r="DY142" s="66">
        <f t="shared" si="310"/>
        <v>8.7348548887010491E-2</v>
      </c>
      <c r="DZ142" s="66">
        <f t="shared" si="310"/>
        <v>-4.7939880798134271E-2</v>
      </c>
      <c r="EA142" s="66">
        <f t="shared" si="310"/>
        <v>-0.11812738160043545</v>
      </c>
      <c r="EB142" s="66">
        <f t="shared" si="310"/>
        <v>0.33981481481481479</v>
      </c>
      <c r="EC142" s="66">
        <f t="shared" si="310"/>
        <v>0.23934577286339542</v>
      </c>
      <c r="ED142" s="66">
        <f t="shared" si="310"/>
        <v>7.3420074349442421E-2</v>
      </c>
      <c r="EE142" s="149">
        <f t="shared" si="310"/>
        <v>0.14046718774723344</v>
      </c>
      <c r="EF142" s="149">
        <f t="shared" si="310"/>
        <v>0.128273347568713</v>
      </c>
      <c r="EG142" s="149">
        <f t="shared" si="310"/>
        <v>0.5697012855234973</v>
      </c>
      <c r="EH142" s="149">
        <f t="shared" si="310"/>
        <v>0.12562889447928605</v>
      </c>
      <c r="EI142" s="149">
        <f t="shared" si="310"/>
        <v>0.11653753862835181</v>
      </c>
      <c r="EJ142" s="149">
        <f t="shared" si="310"/>
        <v>0.16352744160019994</v>
      </c>
      <c r="EK142" s="149">
        <f t="shared" si="310"/>
        <v>0.11981072963545158</v>
      </c>
      <c r="EL142" s="149">
        <f t="shared" si="310"/>
        <v>6.1691414644182707E-4</v>
      </c>
      <c r="EM142" s="149">
        <f t="shared" si="310"/>
        <v>4.992645967321252E-2</v>
      </c>
      <c r="EN142" s="149">
        <f t="shared" si="310"/>
        <v>7.7547270421354453E-2</v>
      </c>
      <c r="EO142" s="149">
        <f t="shared" si="310"/>
        <v>7.4283025314040074E-2</v>
      </c>
      <c r="EP142" s="149">
        <f t="shared" si="310"/>
        <v>-1.9834532276132855E-3</v>
      </c>
      <c r="EQ142" s="149">
        <f t="shared" si="310"/>
        <v>4.4389707435821935E-2</v>
      </c>
      <c r="ER142" s="149">
        <f t="shared" si="310"/>
        <v>8.2770001816244942E-2</v>
      </c>
      <c r="ES142" s="149">
        <f t="shared" si="310"/>
        <v>4.3094006273974195E-2</v>
      </c>
      <c r="ET142" s="149">
        <f t="shared" si="310"/>
        <v>-3.0891272156303273E-2</v>
      </c>
      <c r="EU142" s="149">
        <f t="shared" si="310"/>
        <v>4.4854718027872442E-2</v>
      </c>
      <c r="EV142" s="149">
        <f t="shared" si="310"/>
        <v>0.10628419746905959</v>
      </c>
      <c r="EW142" s="149">
        <f t="shared" si="310"/>
        <v>4.5504729138993838E-2</v>
      </c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  <c r="GB142" s="386" t="s">
        <v>199</v>
      </c>
      <c r="GC142" s="386" t="s">
        <v>199</v>
      </c>
      <c r="GD142" s="386" t="s">
        <v>199</v>
      </c>
      <c r="GE142" s="386" t="s">
        <v>199</v>
      </c>
      <c r="GF142" s="386" t="s">
        <v>199</v>
      </c>
      <c r="GG142" s="386" t="s">
        <v>199</v>
      </c>
      <c r="GH142" s="386" t="s">
        <v>199</v>
      </c>
      <c r="GI142" s="386" t="s">
        <v>199</v>
      </c>
      <c r="GJ142" s="386" t="s">
        <v>199</v>
      </c>
      <c r="GK142" s="386" t="s">
        <v>199</v>
      </c>
      <c r="GN142" s="443"/>
    </row>
    <row r="143" spans="1:196" s="382" customFormat="1">
      <c r="A143" s="381" t="s">
        <v>200</v>
      </c>
      <c r="B143" s="392"/>
      <c r="C143" s="392"/>
      <c r="D143" s="392"/>
      <c r="E143" s="392"/>
      <c r="F143" s="392"/>
      <c r="G143" s="392"/>
      <c r="H143" s="392"/>
      <c r="I143" s="392"/>
      <c r="J143" s="392"/>
      <c r="K143" s="392"/>
      <c r="L143" s="392"/>
      <c r="M143" s="392"/>
      <c r="N143" s="392"/>
      <c r="O143" s="392"/>
      <c r="P143" s="392"/>
      <c r="Q143" s="392"/>
      <c r="R143" s="392"/>
      <c r="S143" s="392"/>
      <c r="T143" s="392"/>
      <c r="U143" s="392"/>
      <c r="V143" s="392"/>
      <c r="W143" s="392"/>
      <c r="X143" s="392"/>
      <c r="Y143" s="392"/>
      <c r="Z143" s="392"/>
      <c r="AA143" s="392"/>
      <c r="AB143" s="392"/>
      <c r="AC143" s="392"/>
      <c r="AD143" s="392"/>
      <c r="AE143" s="392"/>
      <c r="AF143" s="392"/>
      <c r="AG143" s="392"/>
      <c r="AH143" s="392"/>
      <c r="AI143" s="392"/>
      <c r="AJ143" s="392"/>
      <c r="AK143" s="392"/>
      <c r="AL143" s="392"/>
      <c r="AM143" s="392"/>
      <c r="AN143" s="392"/>
      <c r="AO143" s="392"/>
      <c r="AP143" s="392"/>
      <c r="AQ143" s="392"/>
      <c r="AR143" s="392"/>
      <c r="AS143" s="392"/>
      <c r="AT143" s="392"/>
      <c r="AU143" s="392"/>
      <c r="AV143" s="392"/>
      <c r="AW143" s="392"/>
      <c r="AX143" s="392"/>
      <c r="AY143" s="392"/>
      <c r="AZ143" s="392"/>
      <c r="BA143" s="392"/>
      <c r="BB143" s="392"/>
      <c r="BC143" s="392"/>
      <c r="BD143" s="392"/>
      <c r="BE143" s="392"/>
      <c r="BF143" s="392"/>
      <c r="BG143" s="392"/>
      <c r="BH143" s="392"/>
      <c r="BI143" s="392"/>
      <c r="BJ143" s="392"/>
      <c r="BK143" s="392"/>
      <c r="BL143" s="392"/>
      <c r="BM143" s="392"/>
      <c r="BN143" s="392"/>
      <c r="BO143" s="392"/>
      <c r="BP143" s="392"/>
      <c r="BQ143" s="392"/>
      <c r="BR143" s="392"/>
      <c r="BS143" s="392"/>
      <c r="BT143" s="392"/>
      <c r="BU143" s="392"/>
      <c r="BV143" s="392"/>
      <c r="BW143" s="392"/>
      <c r="BX143" s="392"/>
      <c r="BY143" s="392"/>
      <c r="BZ143" s="392"/>
      <c r="CA143" s="392"/>
      <c r="CB143" s="392"/>
      <c r="CC143" s="392"/>
      <c r="CD143" s="392"/>
      <c r="CE143" s="392"/>
      <c r="CF143" s="392"/>
      <c r="CG143" s="392"/>
      <c r="CH143" s="392"/>
      <c r="CI143" s="392"/>
      <c r="CJ143" s="392"/>
      <c r="CK143" s="392"/>
      <c r="CL143" s="392"/>
      <c r="CM143" s="392"/>
      <c r="CN143" s="392"/>
      <c r="CO143" s="392"/>
      <c r="CP143" s="392"/>
      <c r="CQ143" s="392"/>
      <c r="CR143" s="392"/>
      <c r="CS143" s="392"/>
      <c r="CT143" s="387"/>
      <c r="CU143" s="387"/>
      <c r="CV143" s="387"/>
      <c r="CW143" s="387"/>
      <c r="CX143" s="392"/>
      <c r="CY143" s="387"/>
      <c r="CZ143" s="387"/>
      <c r="DA143" s="387"/>
      <c r="DB143" s="387"/>
      <c r="DC143" s="387"/>
      <c r="DD143" s="387"/>
      <c r="DE143" s="387"/>
      <c r="DF143" s="387"/>
      <c r="DG143" s="387"/>
      <c r="DH143" s="387"/>
      <c r="DI143" s="387"/>
      <c r="DJ143" s="442"/>
      <c r="DK143" s="33"/>
      <c r="DL143" s="33"/>
      <c r="DM143" s="33"/>
      <c r="DN143" s="33">
        <f t="shared" ref="DN143:EW143" si="311">DN141/DJ141-1</f>
        <v>1.1196721311475408</v>
      </c>
      <c r="DO143" s="33">
        <f t="shared" si="311"/>
        <v>0.82779827798277972</v>
      </c>
      <c r="DP143" s="33">
        <f t="shared" si="311"/>
        <v>0.45216606498194944</v>
      </c>
      <c r="DQ143" s="33">
        <f t="shared" si="311"/>
        <v>0.42304385210662088</v>
      </c>
      <c r="DR143" s="33">
        <f t="shared" si="311"/>
        <v>1.5467904098993568E-3</v>
      </c>
      <c r="DS143" s="33">
        <f t="shared" si="311"/>
        <v>-0.11103633916554512</v>
      </c>
      <c r="DT143" s="33">
        <f t="shared" si="311"/>
        <v>-6.836544437538894E-3</v>
      </c>
      <c r="DU143" s="33">
        <f t="shared" si="311"/>
        <v>0.37885196374622354</v>
      </c>
      <c r="DV143" s="66">
        <f t="shared" si="311"/>
        <v>0.80463320463320454</v>
      </c>
      <c r="DW143" s="66">
        <f t="shared" si="311"/>
        <v>1.1453444360333083</v>
      </c>
      <c r="DX143" s="66">
        <f t="shared" si="311"/>
        <v>1.2209011264080099</v>
      </c>
      <c r="DY143" s="66">
        <f t="shared" si="311"/>
        <v>0.69106047326906217</v>
      </c>
      <c r="DZ143" s="66">
        <f t="shared" si="311"/>
        <v>0.57210098416773647</v>
      </c>
      <c r="EA143" s="66">
        <f t="shared" si="311"/>
        <v>0.14326040931545525</v>
      </c>
      <c r="EB143" s="66">
        <f t="shared" si="311"/>
        <v>0.22316145393068476</v>
      </c>
      <c r="EC143" s="66">
        <f t="shared" si="311"/>
        <v>0.39414356050790356</v>
      </c>
      <c r="ED143" s="66">
        <f t="shared" si="311"/>
        <v>0.5718562874251496</v>
      </c>
      <c r="EE143" s="149">
        <f t="shared" si="311"/>
        <v>1.0327771633457634</v>
      </c>
      <c r="EF143" s="149">
        <f t="shared" si="311"/>
        <v>0.71182485041140686</v>
      </c>
      <c r="EG143" s="149">
        <f t="shared" si="311"/>
        <v>1.1681226717493547</v>
      </c>
      <c r="EH143" s="149">
        <f t="shared" si="311"/>
        <v>1.2735754476883563</v>
      </c>
      <c r="EI143" s="149">
        <f t="shared" si="311"/>
        <v>1.2258705568392343</v>
      </c>
      <c r="EJ143" s="149">
        <f t="shared" si="311"/>
        <v>1.2954202365173231</v>
      </c>
      <c r="EK143" s="149">
        <f t="shared" si="311"/>
        <v>0.63753207924347244</v>
      </c>
      <c r="EL143" s="149">
        <f t="shared" si="311"/>
        <v>0.45566829706019307</v>
      </c>
      <c r="EM143" s="149">
        <f t="shared" si="311"/>
        <v>0.36882514802725685</v>
      </c>
      <c r="EN143" s="149">
        <f t="shared" si="311"/>
        <v>0.26767427153445111</v>
      </c>
      <c r="EO143" s="149">
        <f t="shared" si="311"/>
        <v>0.21613493735690681</v>
      </c>
      <c r="EP143" s="149">
        <f t="shared" si="311"/>
        <v>0.21297448946836695</v>
      </c>
      <c r="EQ143" s="149">
        <f t="shared" si="311"/>
        <v>0.20657790887304395</v>
      </c>
      <c r="ER143" s="149">
        <f t="shared" si="311"/>
        <v>0.21242603498131984</v>
      </c>
      <c r="ES143" s="149">
        <f t="shared" si="311"/>
        <v>0.1772263922441093</v>
      </c>
      <c r="ET143" s="149">
        <f t="shared" si="311"/>
        <v>0.14312771172110073</v>
      </c>
      <c r="EU143" s="149">
        <f t="shared" si="311"/>
        <v>0.14363668503846694</v>
      </c>
      <c r="EV143" s="149">
        <f t="shared" si="311"/>
        <v>0.16847270443558959</v>
      </c>
      <c r="EW143" s="149">
        <f t="shared" si="311"/>
        <v>0.17117319341241366</v>
      </c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  <c r="GB143" s="386" t="s">
        <v>199</v>
      </c>
      <c r="GC143" s="383">
        <f t="shared" ref="GC143:GK143" si="312">GC141/GB141-1</f>
        <v>0.63589604764482943</v>
      </c>
      <c r="GD143" s="383">
        <f t="shared" si="312"/>
        <v>7.4962766837663342E-2</v>
      </c>
      <c r="GE143" s="383">
        <f t="shared" si="312"/>
        <v>0.93642241379310343</v>
      </c>
      <c r="GF143" s="383">
        <f t="shared" si="312"/>
        <v>0.32244216551395177</v>
      </c>
      <c r="GG143" s="444">
        <f t="shared" si="312"/>
        <v>0.89099667321236664</v>
      </c>
      <c r="GH143" s="444">
        <f t="shared" si="312"/>
        <v>1.0328958704977138</v>
      </c>
      <c r="GI143" s="444">
        <f t="shared" si="312"/>
        <v>0.31406747218486686</v>
      </c>
      <c r="GJ143" s="444">
        <f t="shared" si="312"/>
        <v>0.20142386426520198</v>
      </c>
      <c r="GK143" s="444">
        <f t="shared" si="312"/>
        <v>0.15742783760644175</v>
      </c>
      <c r="GN143" s="443"/>
    </row>
    <row r="144" spans="1:196" s="382" customFormat="1">
      <c r="A144" s="381" t="s">
        <v>261</v>
      </c>
      <c r="B144" s="392"/>
      <c r="C144" s="392"/>
      <c r="D144" s="392"/>
      <c r="E144" s="392"/>
      <c r="F144" s="392"/>
      <c r="G144" s="392"/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2"/>
      <c r="V144" s="392"/>
      <c r="W144" s="392"/>
      <c r="X144" s="392"/>
      <c r="Y144" s="392"/>
      <c r="Z144" s="392"/>
      <c r="AA144" s="392"/>
      <c r="AB144" s="392"/>
      <c r="AC144" s="392"/>
      <c r="AD144" s="392"/>
      <c r="AE144" s="392"/>
      <c r="AF144" s="392"/>
      <c r="AG144" s="392"/>
      <c r="AH144" s="392"/>
      <c r="AI144" s="392"/>
      <c r="AJ144" s="392"/>
      <c r="AK144" s="392"/>
      <c r="AL144" s="392"/>
      <c r="AM144" s="392"/>
      <c r="AN144" s="392"/>
      <c r="AO144" s="392"/>
      <c r="AP144" s="392"/>
      <c r="AQ144" s="392"/>
      <c r="AR144" s="392"/>
      <c r="AS144" s="392"/>
      <c r="AT144" s="392"/>
      <c r="AU144" s="392"/>
      <c r="AV144" s="392"/>
      <c r="AW144" s="392"/>
      <c r="AX144" s="392"/>
      <c r="AY144" s="392"/>
      <c r="AZ144" s="392"/>
      <c r="BA144" s="392"/>
      <c r="BB144" s="392"/>
      <c r="BC144" s="392"/>
      <c r="BD144" s="392"/>
      <c r="BE144" s="392"/>
      <c r="BF144" s="392"/>
      <c r="BG144" s="392"/>
      <c r="BH144" s="392"/>
      <c r="BI144" s="392"/>
      <c r="BJ144" s="392"/>
      <c r="BK144" s="392"/>
      <c r="BL144" s="392"/>
      <c r="BM144" s="392"/>
      <c r="BN144" s="392"/>
      <c r="BO144" s="392"/>
      <c r="BP144" s="392"/>
      <c r="BQ144" s="392"/>
      <c r="BR144" s="392"/>
      <c r="BS144" s="392"/>
      <c r="BT144" s="392"/>
      <c r="BU144" s="392"/>
      <c r="BV144" s="392"/>
      <c r="BW144" s="392"/>
      <c r="BX144" s="392"/>
      <c r="BY144" s="392"/>
      <c r="BZ144" s="392"/>
      <c r="CA144" s="392"/>
      <c r="CB144" s="392"/>
      <c r="CC144" s="392"/>
      <c r="CD144" s="392"/>
      <c r="CE144" s="392"/>
      <c r="CF144" s="392"/>
      <c r="CG144" s="392"/>
      <c r="CH144" s="392"/>
      <c r="CI144" s="392"/>
      <c r="CJ144" s="392"/>
      <c r="CK144" s="392"/>
      <c r="CL144" s="392"/>
      <c r="CM144" s="392"/>
      <c r="CN144" s="392"/>
      <c r="CO144" s="392"/>
      <c r="CP144" s="392"/>
      <c r="CQ144" s="392"/>
      <c r="CR144" s="392"/>
      <c r="CS144" s="392"/>
      <c r="CT144" s="387"/>
      <c r="CU144" s="387"/>
      <c r="CV144" s="387"/>
      <c r="CW144" s="387"/>
      <c r="CX144" s="392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3">
        <f t="shared" ref="DJ144:EW144" si="313">DJ141/DJ$161</f>
        <v>0.17706821480406387</v>
      </c>
      <c r="DK144" s="33">
        <f t="shared" si="313"/>
        <v>0.21116883116883117</v>
      </c>
      <c r="DL144" s="33">
        <f t="shared" si="313"/>
        <v>0.25689775098539303</v>
      </c>
      <c r="DM144" s="33">
        <f t="shared" si="313"/>
        <v>0.24098632407791132</v>
      </c>
      <c r="DN144" s="33">
        <f t="shared" si="313"/>
        <v>0.21963648717513165</v>
      </c>
      <c r="DO144" s="33">
        <f t="shared" si="313"/>
        <v>0.22687022900763359</v>
      </c>
      <c r="DP144" s="33">
        <f t="shared" si="313"/>
        <v>0.28912848158131177</v>
      </c>
      <c r="DQ144" s="33">
        <f t="shared" si="313"/>
        <v>0.29558849794606179</v>
      </c>
      <c r="DR144" s="33">
        <f t="shared" si="313"/>
        <v>0.24192041845694004</v>
      </c>
      <c r="DS144" s="33">
        <f t="shared" si="313"/>
        <v>0.24650121291285687</v>
      </c>
      <c r="DT144" s="33">
        <f t="shared" si="313"/>
        <v>0.27551724137931033</v>
      </c>
      <c r="DU144" s="33">
        <f t="shared" si="313"/>
        <v>0.36997405966277563</v>
      </c>
      <c r="DV144" s="66">
        <f t="shared" si="313"/>
        <v>0.42700529873926546</v>
      </c>
      <c r="DW144" s="66">
        <f t="shared" si="313"/>
        <v>0.48568980291345332</v>
      </c>
      <c r="DX144" s="66">
        <f>DX141/DX$161</f>
        <v>0.52045754509458864</v>
      </c>
      <c r="DY144" s="66">
        <f>DY141/DY$161</f>
        <v>0.50391747192478453</v>
      </c>
      <c r="DZ144" s="66">
        <f t="shared" si="313"/>
        <v>0.49394998655552569</v>
      </c>
      <c r="EA144" s="66">
        <f t="shared" si="313"/>
        <v>0.42160052049446972</v>
      </c>
      <c r="EB144" s="66">
        <f t="shared" si="313"/>
        <v>0.46950032446463336</v>
      </c>
      <c r="EC144" s="66">
        <f t="shared" si="313"/>
        <v>0.52385589094449858</v>
      </c>
      <c r="ED144" s="66">
        <f t="shared" si="313"/>
        <v>0.56324978055203356</v>
      </c>
      <c r="EE144" s="149">
        <f t="shared" si="313"/>
        <v>0.58687365662284208</v>
      </c>
      <c r="EF144" s="149">
        <f t="shared" si="313"/>
        <v>0.61958204900336966</v>
      </c>
      <c r="EG144" s="149">
        <f t="shared" si="313"/>
        <v>0.72040548877389865</v>
      </c>
      <c r="EH144" s="149">
        <f t="shared" si="313"/>
        <v>0.75308416119175714</v>
      </c>
      <c r="EI144" s="149">
        <f t="shared" si="313"/>
        <v>0.76308510012613684</v>
      </c>
      <c r="EJ144" s="149">
        <f t="shared" si="313"/>
        <v>0.77057601067978987</v>
      </c>
      <c r="EK144" s="149">
        <f t="shared" si="313"/>
        <v>0.77904385566949552</v>
      </c>
      <c r="EL144" s="149">
        <f t="shared" si="313"/>
        <v>0.79831263784233375</v>
      </c>
      <c r="EM144" s="149">
        <f t="shared" si="313"/>
        <v>0.80161944614771719</v>
      </c>
      <c r="EN144" s="149">
        <f t="shared" si="313"/>
        <v>0.80467432870320288</v>
      </c>
      <c r="EO144" s="149">
        <f t="shared" si="313"/>
        <v>0.80792000825769028</v>
      </c>
      <c r="EP144" s="149">
        <f t="shared" si="313"/>
        <v>0.82278697258412403</v>
      </c>
      <c r="EQ144" s="149">
        <f t="shared" si="313"/>
        <v>0.82416023171010855</v>
      </c>
      <c r="ER144" s="149">
        <f t="shared" si="313"/>
        <v>0.82659748317830206</v>
      </c>
      <c r="ES144" s="149">
        <f t="shared" si="313"/>
        <v>0.82581559292408002</v>
      </c>
      <c r="ET144" s="149">
        <f t="shared" si="313"/>
        <v>0.83565042759961716</v>
      </c>
      <c r="EU144" s="149">
        <f t="shared" si="313"/>
        <v>0.8377024034016346</v>
      </c>
      <c r="EV144" s="149">
        <f t="shared" si="313"/>
        <v>0.84338976503898988</v>
      </c>
      <c r="EW144" s="149">
        <f t="shared" si="313"/>
        <v>0.84288267566397346</v>
      </c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  <c r="FK144" s="56"/>
      <c r="FL144" s="56"/>
      <c r="FM144" s="56"/>
      <c r="FN144" s="56"/>
      <c r="FO144" s="56"/>
      <c r="FP144" s="56"/>
      <c r="FQ144" s="56"/>
      <c r="FR144" s="56"/>
      <c r="FS144" s="56"/>
      <c r="FT144" s="56"/>
      <c r="FU144" s="56"/>
      <c r="FV144" s="56"/>
      <c r="FW144" s="56"/>
      <c r="FX144" s="56"/>
      <c r="FY144" s="56"/>
      <c r="FZ144" s="56"/>
      <c r="GA144" s="56"/>
      <c r="GB144" s="383">
        <f t="shared" ref="GB144:GG144" si="314">GB141/GB$161</f>
        <v>0.22477789947669466</v>
      </c>
      <c r="GC144" s="383">
        <f t="shared" si="314"/>
        <v>0.25604847252235075</v>
      </c>
      <c r="GD144" s="383">
        <f t="shared" si="314"/>
        <v>0.28641975308641976</v>
      </c>
      <c r="GE144" s="383">
        <f t="shared" si="314"/>
        <v>0.48784176847004074</v>
      </c>
      <c r="GF144" s="383">
        <f t="shared" si="314"/>
        <v>0.48023903692369874</v>
      </c>
      <c r="GG144" s="391">
        <f t="shared" si="314"/>
        <v>0.63343294245488113</v>
      </c>
      <c r="GH144" s="391">
        <f>GH141/GH$161</f>
        <v>0.76767975193714955</v>
      </c>
      <c r="GI144" s="391">
        <f t="shared" ref="GI144:GK144" si="315">GI141/GI$161</f>
        <v>0.80337926982373298</v>
      </c>
      <c r="GJ144" s="391">
        <f t="shared" si="315"/>
        <v>0.82492357942046846</v>
      </c>
      <c r="GK144" s="391">
        <f t="shared" si="315"/>
        <v>0.84013493441246734</v>
      </c>
      <c r="GN144" s="443"/>
    </row>
    <row r="145" spans="1:196" s="382" customFormat="1">
      <c r="A145" s="395" t="s">
        <v>271</v>
      </c>
      <c r="B145" s="392"/>
      <c r="C145" s="392"/>
      <c r="D145" s="392"/>
      <c r="E145" s="392"/>
      <c r="F145" s="392"/>
      <c r="G145" s="392"/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392"/>
      <c r="V145" s="392"/>
      <c r="W145" s="392"/>
      <c r="X145" s="392"/>
      <c r="Y145" s="392"/>
      <c r="Z145" s="392"/>
      <c r="AA145" s="392"/>
      <c r="AB145" s="392"/>
      <c r="AC145" s="392"/>
      <c r="AD145" s="392"/>
      <c r="AE145" s="392"/>
      <c r="AF145" s="392"/>
      <c r="AG145" s="392"/>
      <c r="AH145" s="392"/>
      <c r="AI145" s="392"/>
      <c r="AJ145" s="392"/>
      <c r="AK145" s="392"/>
      <c r="AL145" s="392"/>
      <c r="AM145" s="392"/>
      <c r="AN145" s="392"/>
      <c r="AO145" s="392"/>
      <c r="AP145" s="392"/>
      <c r="AQ145" s="392"/>
      <c r="AR145" s="392"/>
      <c r="AS145" s="392"/>
      <c r="AT145" s="392"/>
      <c r="AU145" s="392"/>
      <c r="AV145" s="392"/>
      <c r="AW145" s="392"/>
      <c r="AX145" s="392"/>
      <c r="AY145" s="392"/>
      <c r="AZ145" s="392"/>
      <c r="BA145" s="392"/>
      <c r="BB145" s="392"/>
      <c r="BC145" s="392"/>
      <c r="BD145" s="392"/>
      <c r="BE145" s="392"/>
      <c r="BF145" s="392"/>
      <c r="BG145" s="392"/>
      <c r="BH145" s="392"/>
      <c r="BI145" s="392"/>
      <c r="BJ145" s="392"/>
      <c r="BK145" s="392"/>
      <c r="BL145" s="392"/>
      <c r="BM145" s="392"/>
      <c r="BN145" s="392"/>
      <c r="BO145" s="392"/>
      <c r="BP145" s="392"/>
      <c r="BQ145" s="392"/>
      <c r="BR145" s="392"/>
      <c r="BS145" s="392"/>
      <c r="BT145" s="392"/>
      <c r="BU145" s="392"/>
      <c r="BV145" s="392"/>
      <c r="BW145" s="392"/>
      <c r="BX145" s="392"/>
      <c r="BY145" s="392"/>
      <c r="BZ145" s="392"/>
      <c r="CA145" s="392"/>
      <c r="CB145" s="392"/>
      <c r="CC145" s="392"/>
      <c r="CD145" s="392"/>
      <c r="CE145" s="392"/>
      <c r="CF145" s="392"/>
      <c r="CG145" s="392"/>
      <c r="CH145" s="392"/>
      <c r="CI145" s="392"/>
      <c r="CJ145" s="392"/>
      <c r="CK145" s="392"/>
      <c r="CL145" s="392"/>
      <c r="CM145" s="392"/>
      <c r="CN145" s="392"/>
      <c r="CO145" s="392"/>
      <c r="CP145" s="392"/>
      <c r="CQ145" s="392"/>
      <c r="CR145" s="392"/>
      <c r="CS145" s="392"/>
      <c r="CT145" s="387"/>
      <c r="CU145" s="387"/>
      <c r="CV145" s="387"/>
      <c r="CW145" s="387"/>
      <c r="CX145" s="392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97">
        <f>DJ339</f>
        <v>582.36</v>
      </c>
      <c r="DK145" s="397">
        <f t="shared" ref="DK145:EW145" si="316">DK339</f>
        <v>745.22500000000002</v>
      </c>
      <c r="DL145" s="397">
        <f t="shared" si="316"/>
        <v>960.4</v>
      </c>
      <c r="DM145" s="397">
        <f t="shared" si="316"/>
        <v>1080.0899999999999</v>
      </c>
      <c r="DN145" s="397">
        <f t="shared" si="316"/>
        <v>1245.8</v>
      </c>
      <c r="DO145" s="397">
        <f t="shared" si="316"/>
        <v>1362.5500000000002</v>
      </c>
      <c r="DP145" s="397">
        <f t="shared" si="316"/>
        <v>1488.9499999999998</v>
      </c>
      <c r="DQ145" s="397">
        <f t="shared" si="316"/>
        <v>1482.665</v>
      </c>
      <c r="DR145" s="397">
        <f t="shared" si="316"/>
        <v>1137</v>
      </c>
      <c r="DS145" s="397">
        <f t="shared" si="316"/>
        <v>1189.7750000000001</v>
      </c>
      <c r="DT145" s="397">
        <f t="shared" si="316"/>
        <v>1491.93</v>
      </c>
      <c r="DU145" s="397">
        <f>DU339</f>
        <v>1733.0250000000001</v>
      </c>
      <c r="DV145" s="376">
        <f t="shared" si="316"/>
        <v>1578.425</v>
      </c>
      <c r="DW145" s="376">
        <f t="shared" si="316"/>
        <v>1685.155</v>
      </c>
      <c r="DX145" s="376">
        <f>DX339</f>
        <v>1801.2</v>
      </c>
      <c r="DY145" s="376">
        <f>DY339</f>
        <v>2057.165</v>
      </c>
      <c r="DZ145" s="376">
        <f t="shared" si="316"/>
        <v>2126.1999999999998</v>
      </c>
      <c r="EA145" s="376">
        <f t="shared" si="316"/>
        <v>2248.5749999999998</v>
      </c>
      <c r="EB145" s="376">
        <f t="shared" si="316"/>
        <v>2342.15</v>
      </c>
      <c r="EC145" s="376">
        <f t="shared" si="316"/>
        <v>2855.85</v>
      </c>
      <c r="ED145" s="376">
        <f t="shared" si="316"/>
        <v>3207.6907200000005</v>
      </c>
      <c r="EE145" s="380">
        <f t="shared" si="316"/>
        <v>3865.5880866720004</v>
      </c>
      <c r="EF145" s="380">
        <f t="shared" si="316"/>
        <v>4099.4561659156561</v>
      </c>
      <c r="EG145" s="380">
        <f t="shared" si="316"/>
        <v>4386.4180975297531</v>
      </c>
      <c r="EH145" s="380">
        <f t="shared" si="316"/>
        <v>4653.1123178595617</v>
      </c>
      <c r="EI145" s="380">
        <f t="shared" si="316"/>
        <v>5080.2680286390696</v>
      </c>
      <c r="EJ145" s="380">
        <f t="shared" si="316"/>
        <v>5494.3098729731555</v>
      </c>
      <c r="EK145" s="380">
        <f t="shared" si="316"/>
        <v>5884.4058739542497</v>
      </c>
      <c r="EL145" s="380">
        <f t="shared" si="316"/>
        <v>6178.6261676519625</v>
      </c>
      <c r="EM145" s="380">
        <f t="shared" si="316"/>
        <v>6614.8371750881906</v>
      </c>
      <c r="EN145" s="380">
        <f t="shared" si="316"/>
        <v>7081.8446796494172</v>
      </c>
      <c r="EO145" s="380">
        <f t="shared" si="316"/>
        <v>7510.2962827682086</v>
      </c>
      <c r="EP145" s="380">
        <f t="shared" si="316"/>
        <v>6834.3696173190701</v>
      </c>
      <c r="EQ145" s="380">
        <f t="shared" si="316"/>
        <v>7040.7675797621059</v>
      </c>
      <c r="ER145" s="380">
        <f t="shared" si="316"/>
        <v>7466.7340183377146</v>
      </c>
      <c r="ES145" s="380">
        <f t="shared" si="316"/>
        <v>7843.0574128619355</v>
      </c>
      <c r="ET145" s="380">
        <f t="shared" si="316"/>
        <v>7215.6128198329816</v>
      </c>
      <c r="EU145" s="380">
        <f t="shared" si="316"/>
        <v>7433.5243269919383</v>
      </c>
      <c r="EV145" s="380">
        <f t="shared" si="316"/>
        <v>7883.2525487749499</v>
      </c>
      <c r="EW145" s="380">
        <f t="shared" si="316"/>
        <v>8362.5543037404677</v>
      </c>
      <c r="EZ145" s="56"/>
      <c r="FA145" s="56"/>
      <c r="FB145" s="56"/>
      <c r="FC145" s="56"/>
      <c r="FD145" s="56"/>
      <c r="FE145" s="56"/>
      <c r="FF145" s="56"/>
      <c r="FG145" s="56"/>
      <c r="FH145" s="56"/>
      <c r="FI145" s="56"/>
      <c r="FJ145" s="56"/>
      <c r="FK145" s="56"/>
      <c r="FL145" s="56"/>
      <c r="FM145" s="56"/>
      <c r="FN145" s="56"/>
      <c r="FO145" s="56"/>
      <c r="FP145" s="56"/>
      <c r="FQ145" s="56"/>
      <c r="FR145" s="56"/>
      <c r="FS145" s="56"/>
      <c r="FT145" s="56"/>
      <c r="FU145" s="56"/>
      <c r="FV145" s="56"/>
      <c r="FW145" s="56"/>
      <c r="FX145" s="56"/>
      <c r="FY145" s="56"/>
      <c r="FZ145" s="56"/>
      <c r="GA145" s="56"/>
      <c r="GB145" s="397">
        <f>SUM(DJ145:DM145)</f>
        <v>3368.0749999999998</v>
      </c>
      <c r="GC145" s="397">
        <f>SUM(DN145:DQ145)</f>
        <v>5579.9650000000001</v>
      </c>
      <c r="GD145" s="397">
        <f>SUM(DR145:DU145)</f>
        <v>5551.73</v>
      </c>
      <c r="GE145" s="397">
        <f>SUM(DV145:DY145)</f>
        <v>7121.9449999999997</v>
      </c>
      <c r="GF145" s="397">
        <f>SUM(DZ145:EC145)</f>
        <v>9572.7749999999996</v>
      </c>
      <c r="GG145" s="410">
        <f>SUM(ED145:EG145)</f>
        <v>15559.153070117409</v>
      </c>
      <c r="GH145" s="410">
        <f>SUM(EH145:EK145)</f>
        <v>21112.096093426037</v>
      </c>
      <c r="GI145" s="410">
        <f>SUM(EL145:EO145)</f>
        <v>27385.60430515778</v>
      </c>
      <c r="GJ145" s="410">
        <f>SUM(EP145:ES145)</f>
        <v>29184.928628280824</v>
      </c>
      <c r="GK145" s="410">
        <f>SUM(ET145:EW145)</f>
        <v>30894.943999340339</v>
      </c>
      <c r="GN145" s="443"/>
    </row>
    <row r="146" spans="1:196" s="382" customFormat="1">
      <c r="A146" s="396" t="s">
        <v>198</v>
      </c>
      <c r="B146" s="392"/>
      <c r="C146" s="392"/>
      <c r="D146" s="392"/>
      <c r="E146" s="392"/>
      <c r="F146" s="392"/>
      <c r="G146" s="392"/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392"/>
      <c r="V146" s="392"/>
      <c r="W146" s="392"/>
      <c r="X146" s="392"/>
      <c r="Y146" s="392"/>
      <c r="Z146" s="392"/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392"/>
      <c r="AK146" s="392"/>
      <c r="AL146" s="392"/>
      <c r="AM146" s="392"/>
      <c r="AN146" s="392"/>
      <c r="AO146" s="392"/>
      <c r="AP146" s="392"/>
      <c r="AQ146" s="392"/>
      <c r="AR146" s="392"/>
      <c r="AS146" s="392"/>
      <c r="AT146" s="392"/>
      <c r="AU146" s="392"/>
      <c r="AV146" s="392"/>
      <c r="AW146" s="392"/>
      <c r="AX146" s="392"/>
      <c r="AY146" s="392"/>
      <c r="AZ146" s="392"/>
      <c r="BA146" s="392"/>
      <c r="BB146" s="392"/>
      <c r="BC146" s="392"/>
      <c r="BD146" s="392"/>
      <c r="BE146" s="392"/>
      <c r="BF146" s="392"/>
      <c r="BG146" s="392"/>
      <c r="BH146" s="392"/>
      <c r="BI146" s="392"/>
      <c r="BJ146" s="392"/>
      <c r="BK146" s="392"/>
      <c r="BL146" s="392"/>
      <c r="BM146" s="392"/>
      <c r="BN146" s="392"/>
      <c r="BO146" s="392"/>
      <c r="BP146" s="392"/>
      <c r="BQ146" s="392"/>
      <c r="BR146" s="392"/>
      <c r="BS146" s="392"/>
      <c r="BT146" s="392"/>
      <c r="BU146" s="392"/>
      <c r="BV146" s="392"/>
      <c r="BW146" s="392"/>
      <c r="BX146" s="392"/>
      <c r="BY146" s="392"/>
      <c r="BZ146" s="392"/>
      <c r="CA146" s="392"/>
      <c r="CB146" s="392"/>
      <c r="CC146" s="392"/>
      <c r="CD146" s="392"/>
      <c r="CE146" s="392"/>
      <c r="CF146" s="392"/>
      <c r="CG146" s="392"/>
      <c r="CH146" s="392"/>
      <c r="CI146" s="392"/>
      <c r="CJ146" s="392"/>
      <c r="CK146" s="392"/>
      <c r="CL146" s="392"/>
      <c r="CM146" s="392"/>
      <c r="CN146" s="392"/>
      <c r="CO146" s="392"/>
      <c r="CP146" s="392"/>
      <c r="CQ146" s="392"/>
      <c r="CR146" s="392"/>
      <c r="CS146" s="392"/>
      <c r="CT146" s="387"/>
      <c r="CU146" s="387"/>
      <c r="CV146" s="387"/>
      <c r="CW146" s="387"/>
      <c r="CX146" s="392"/>
      <c r="CY146" s="387"/>
      <c r="CZ146" s="387"/>
      <c r="DA146" s="387"/>
      <c r="DB146" s="387"/>
      <c r="DC146" s="387"/>
      <c r="DD146" s="387"/>
      <c r="DE146" s="387"/>
      <c r="DF146" s="387"/>
      <c r="DG146" s="387"/>
      <c r="DH146" s="387"/>
      <c r="DI146" s="387"/>
      <c r="DJ146" s="442"/>
      <c r="DK146" s="33">
        <f t="shared" ref="DK146:EW146" si="317">DK145/DJ145-1</f>
        <v>0.27966378185314933</v>
      </c>
      <c r="DL146" s="33">
        <f t="shared" si="317"/>
        <v>0.28873830051326776</v>
      </c>
      <c r="DM146" s="33">
        <f t="shared" si="317"/>
        <v>0.12462515618492298</v>
      </c>
      <c r="DN146" s="33">
        <f t="shared" si="317"/>
        <v>0.15342239998518648</v>
      </c>
      <c r="DO146" s="33">
        <f t="shared" si="317"/>
        <v>9.3714882003532063E-2</v>
      </c>
      <c r="DP146" s="33">
        <f t="shared" si="317"/>
        <v>9.2767237899526345E-2</v>
      </c>
      <c r="DQ146" s="33">
        <f t="shared" si="317"/>
        <v>-4.2210954028005787E-3</v>
      </c>
      <c r="DR146" s="33">
        <f t="shared" si="317"/>
        <v>-0.23313762717808806</v>
      </c>
      <c r="DS146" s="33">
        <f t="shared" si="317"/>
        <v>4.641600703605997E-2</v>
      </c>
      <c r="DT146" s="33">
        <f t="shared" si="317"/>
        <v>0.25395978231178162</v>
      </c>
      <c r="DU146" s="33">
        <f t="shared" si="317"/>
        <v>0.16159940479781221</v>
      </c>
      <c r="DV146" s="66">
        <f t="shared" si="317"/>
        <v>-8.9208176454465549E-2</v>
      </c>
      <c r="DW146" s="66">
        <f t="shared" si="317"/>
        <v>6.76180369672299E-2</v>
      </c>
      <c r="DX146" s="66">
        <f t="shared" si="317"/>
        <v>6.8863101613798161E-2</v>
      </c>
      <c r="DY146" s="66">
        <f t="shared" si="317"/>
        <v>0.14210803908505443</v>
      </c>
      <c r="DZ146" s="66">
        <f t="shared" si="317"/>
        <v>3.3558319337534837E-2</v>
      </c>
      <c r="EA146" s="66">
        <f t="shared" si="317"/>
        <v>5.7555733232997897E-2</v>
      </c>
      <c r="EB146" s="66">
        <f t="shared" si="317"/>
        <v>4.16152452108558E-2</v>
      </c>
      <c r="EC146" s="66">
        <f t="shared" si="317"/>
        <v>0.21932839485088484</v>
      </c>
      <c r="ED146" s="66">
        <f t="shared" si="317"/>
        <v>0.1232000000000002</v>
      </c>
      <c r="EE146" s="149">
        <f t="shared" si="317"/>
        <v>0.20509999999999984</v>
      </c>
      <c r="EF146" s="149">
        <f t="shared" si="317"/>
        <v>6.0499999999999998E-2</v>
      </c>
      <c r="EG146" s="149">
        <f t="shared" si="317"/>
        <v>7.0000000000000284E-2</v>
      </c>
      <c r="EH146" s="149">
        <f t="shared" si="317"/>
        <v>6.0799999999999965E-2</v>
      </c>
      <c r="EI146" s="149">
        <f t="shared" si="317"/>
        <v>9.1800000000000104E-2</v>
      </c>
      <c r="EJ146" s="149">
        <f t="shared" si="317"/>
        <v>8.150000000000035E-2</v>
      </c>
      <c r="EK146" s="149">
        <f t="shared" si="317"/>
        <v>7.0999999999999952E-2</v>
      </c>
      <c r="EL146" s="149">
        <f t="shared" si="317"/>
        <v>5.0000000000000044E-2</v>
      </c>
      <c r="EM146" s="149">
        <f t="shared" si="317"/>
        <v>7.0599999999999996E-2</v>
      </c>
      <c r="EN146" s="149">
        <f t="shared" si="317"/>
        <v>7.0599999999999996E-2</v>
      </c>
      <c r="EO146" s="149">
        <f t="shared" si="317"/>
        <v>6.050000000000022E-2</v>
      </c>
      <c r="EP146" s="149">
        <f t="shared" si="317"/>
        <v>-8.9999999999999969E-2</v>
      </c>
      <c r="EQ146" s="149">
        <f t="shared" si="317"/>
        <v>3.0200000000000005E-2</v>
      </c>
      <c r="ER146" s="149">
        <f t="shared" si="317"/>
        <v>6.050000000000022E-2</v>
      </c>
      <c r="ES146" s="149">
        <f t="shared" si="317"/>
        <v>5.04E-2</v>
      </c>
      <c r="ET146" s="149">
        <f t="shared" si="317"/>
        <v>-7.9999999999999849E-2</v>
      </c>
      <c r="EU146" s="149">
        <f t="shared" si="317"/>
        <v>3.0200000000000005E-2</v>
      </c>
      <c r="EV146" s="149">
        <f t="shared" si="317"/>
        <v>6.0499999999999998E-2</v>
      </c>
      <c r="EW146" s="149">
        <f t="shared" si="317"/>
        <v>6.0800000000000187E-2</v>
      </c>
      <c r="EZ146" s="56"/>
      <c r="FA146" s="56"/>
      <c r="FB146" s="56"/>
      <c r="FC146" s="56"/>
      <c r="FD146" s="56"/>
      <c r="FE146" s="56"/>
      <c r="FF146" s="56"/>
      <c r="FG146" s="56"/>
      <c r="FH146" s="56"/>
      <c r="FI146" s="56"/>
      <c r="FJ146" s="56"/>
      <c r="FK146" s="56"/>
      <c r="FL146" s="56"/>
      <c r="FM146" s="56"/>
      <c r="FN146" s="56"/>
      <c r="FO146" s="56"/>
      <c r="FP146" s="56"/>
      <c r="FQ146" s="56"/>
      <c r="FR146" s="56"/>
      <c r="FS146" s="56"/>
      <c r="FT146" s="56"/>
      <c r="FU146" s="56"/>
      <c r="FV146" s="56"/>
      <c r="FW146" s="56"/>
      <c r="FX146" s="56"/>
      <c r="FY146" s="56"/>
      <c r="FZ146" s="56"/>
      <c r="GA146" s="56"/>
      <c r="GB146" s="386" t="s">
        <v>199</v>
      </c>
      <c r="GC146" s="386" t="s">
        <v>199</v>
      </c>
      <c r="GD146" s="386" t="s">
        <v>199</v>
      </c>
      <c r="GE146" s="386" t="s">
        <v>199</v>
      </c>
      <c r="GF146" s="386" t="s">
        <v>199</v>
      </c>
      <c r="GG146" s="386" t="s">
        <v>199</v>
      </c>
      <c r="GH146" s="386" t="s">
        <v>199</v>
      </c>
      <c r="GI146" s="386" t="s">
        <v>199</v>
      </c>
      <c r="GJ146" s="386" t="s">
        <v>199</v>
      </c>
      <c r="GK146" s="386" t="s">
        <v>199</v>
      </c>
      <c r="GN146" s="443"/>
    </row>
    <row r="147" spans="1:196" s="382" customFormat="1">
      <c r="A147" s="396" t="s">
        <v>200</v>
      </c>
      <c r="B147" s="392"/>
      <c r="C147" s="392"/>
      <c r="D147" s="392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392"/>
      <c r="V147" s="392"/>
      <c r="W147" s="392"/>
      <c r="X147" s="392"/>
      <c r="Y147" s="392"/>
      <c r="Z147" s="392"/>
      <c r="AA147" s="392"/>
      <c r="AB147" s="392"/>
      <c r="AC147" s="392"/>
      <c r="AD147" s="392"/>
      <c r="AE147" s="392"/>
      <c r="AF147" s="392"/>
      <c r="AG147" s="392"/>
      <c r="AH147" s="392"/>
      <c r="AI147" s="392"/>
      <c r="AJ147" s="392"/>
      <c r="AK147" s="392"/>
      <c r="AL147" s="392"/>
      <c r="AM147" s="392"/>
      <c r="AN147" s="392"/>
      <c r="AO147" s="392"/>
      <c r="AP147" s="392"/>
      <c r="AQ147" s="392"/>
      <c r="AR147" s="392"/>
      <c r="AS147" s="392"/>
      <c r="AT147" s="392"/>
      <c r="AU147" s="392"/>
      <c r="AV147" s="392"/>
      <c r="AW147" s="392"/>
      <c r="AX147" s="392"/>
      <c r="AY147" s="392"/>
      <c r="AZ147" s="392"/>
      <c r="BA147" s="392"/>
      <c r="BB147" s="392"/>
      <c r="BC147" s="392"/>
      <c r="BD147" s="392"/>
      <c r="BE147" s="392"/>
      <c r="BF147" s="392"/>
      <c r="BG147" s="392"/>
      <c r="BH147" s="392"/>
      <c r="BI147" s="392"/>
      <c r="BJ147" s="392"/>
      <c r="BK147" s="392"/>
      <c r="BL147" s="392"/>
      <c r="BM147" s="392"/>
      <c r="BN147" s="392"/>
      <c r="BO147" s="392"/>
      <c r="BP147" s="392"/>
      <c r="BQ147" s="392"/>
      <c r="BR147" s="392"/>
      <c r="BS147" s="392"/>
      <c r="BT147" s="392"/>
      <c r="BU147" s="392"/>
      <c r="BV147" s="392"/>
      <c r="BW147" s="392"/>
      <c r="BX147" s="392"/>
      <c r="BY147" s="392"/>
      <c r="BZ147" s="392"/>
      <c r="CA147" s="392"/>
      <c r="CB147" s="392"/>
      <c r="CC147" s="392"/>
      <c r="CD147" s="392"/>
      <c r="CE147" s="392"/>
      <c r="CF147" s="392"/>
      <c r="CG147" s="392"/>
      <c r="CH147" s="392"/>
      <c r="CI147" s="392"/>
      <c r="CJ147" s="392"/>
      <c r="CK147" s="392"/>
      <c r="CL147" s="392"/>
      <c r="CM147" s="392"/>
      <c r="CN147" s="392"/>
      <c r="CO147" s="392"/>
      <c r="CP147" s="392"/>
      <c r="CQ147" s="392"/>
      <c r="CR147" s="392"/>
      <c r="CS147" s="392"/>
      <c r="CT147" s="387"/>
      <c r="CU147" s="387"/>
      <c r="CV147" s="387"/>
      <c r="CW147" s="387"/>
      <c r="CX147" s="392"/>
      <c r="CY147" s="387"/>
      <c r="CZ147" s="387"/>
      <c r="DA147" s="387"/>
      <c r="DB147" s="387"/>
      <c r="DC147" s="387"/>
      <c r="DD147" s="387"/>
      <c r="DE147" s="387"/>
      <c r="DF147" s="387"/>
      <c r="DG147" s="387"/>
      <c r="DH147" s="387"/>
      <c r="DI147" s="387"/>
      <c r="DJ147" s="442"/>
      <c r="DK147" s="33"/>
      <c r="DL147" s="33"/>
      <c r="DM147" s="33"/>
      <c r="DN147" s="33">
        <f t="shared" ref="DN147:EW147" si="318">DN145/DJ145-1</f>
        <v>1.1392265952331888</v>
      </c>
      <c r="DO147" s="33">
        <f t="shared" si="318"/>
        <v>0.82837398101244619</v>
      </c>
      <c r="DP147" s="33">
        <f t="shared" si="318"/>
        <v>0.55034360683048722</v>
      </c>
      <c r="DQ147" s="33">
        <f t="shared" si="318"/>
        <v>0.37272356933218531</v>
      </c>
      <c r="DR147" s="33">
        <f t="shared" si="318"/>
        <v>-8.7333440359608216E-2</v>
      </c>
      <c r="DS147" s="33">
        <f t="shared" si="318"/>
        <v>-0.12680268613995826</v>
      </c>
      <c r="DT147" s="33">
        <f t="shared" si="318"/>
        <v>2.0014103898722269E-3</v>
      </c>
      <c r="DU147" s="33">
        <f t="shared" si="318"/>
        <v>0.16885810348258046</v>
      </c>
      <c r="DV147" s="66">
        <f t="shared" si="318"/>
        <v>0.38823658751099388</v>
      </c>
      <c r="DW147" s="66">
        <f t="shared" si="318"/>
        <v>0.41636443865436723</v>
      </c>
      <c r="DX147" s="66">
        <f t="shared" si="318"/>
        <v>0.20729524843658886</v>
      </c>
      <c r="DY147" s="66">
        <f t="shared" si="318"/>
        <v>0.18703711717949822</v>
      </c>
      <c r="DZ147" s="66">
        <f t="shared" si="318"/>
        <v>0.34703897872879597</v>
      </c>
      <c r="EA147" s="66">
        <f t="shared" si="318"/>
        <v>0.3343431316407095</v>
      </c>
      <c r="EB147" s="66">
        <f t="shared" si="318"/>
        <v>0.30032755940484113</v>
      </c>
      <c r="EC147" s="66">
        <f t="shared" si="318"/>
        <v>0.38824547374663676</v>
      </c>
      <c r="ED147" s="66">
        <f t="shared" si="318"/>
        <v>0.50864957200639682</v>
      </c>
      <c r="EE147" s="149">
        <f t="shared" si="318"/>
        <v>0.71912793065474823</v>
      </c>
      <c r="EF147" s="149">
        <f t="shared" si="318"/>
        <v>0.75029616630687879</v>
      </c>
      <c r="EG147" s="149">
        <f t="shared" si="318"/>
        <v>0.5359413475952004</v>
      </c>
      <c r="EH147" s="149">
        <f t="shared" si="318"/>
        <v>0.45061127272880008</v>
      </c>
      <c r="EI147" s="149">
        <f t="shared" si="318"/>
        <v>0.31422901631840006</v>
      </c>
      <c r="EJ147" s="149">
        <f t="shared" si="318"/>
        <v>0.34025335327520057</v>
      </c>
      <c r="EK147" s="149">
        <f t="shared" si="318"/>
        <v>0.3415059265025604</v>
      </c>
      <c r="EL147" s="149">
        <f t="shared" si="318"/>
        <v>0.3278480607350005</v>
      </c>
      <c r="EM147" s="149">
        <f t="shared" si="318"/>
        <v>0.30206460324500051</v>
      </c>
      <c r="EN147" s="149">
        <f t="shared" si="318"/>
        <v>0.28894162203800011</v>
      </c>
      <c r="EO147" s="149">
        <f t="shared" si="318"/>
        <v>0.27630493946900025</v>
      </c>
      <c r="EP147" s="149">
        <f t="shared" si="318"/>
        <v>0.10613094753980024</v>
      </c>
      <c r="EQ147" s="149">
        <f t="shared" si="318"/>
        <v>6.439015706660034E-2</v>
      </c>
      <c r="ER147" s="149">
        <f t="shared" si="318"/>
        <v>5.4348740490500536E-2</v>
      </c>
      <c r="ES147" s="149">
        <f t="shared" si="318"/>
        <v>4.4307323914400287E-2</v>
      </c>
      <c r="ET147" s="149">
        <f t="shared" si="318"/>
        <v>5.5783228572800381E-2</v>
      </c>
      <c r="EU147" s="149">
        <f t="shared" si="318"/>
        <v>5.5783228572800381E-2</v>
      </c>
      <c r="EV147" s="149">
        <f t="shared" si="318"/>
        <v>5.5783228572800159E-2</v>
      </c>
      <c r="EW147" s="149">
        <f t="shared" si="318"/>
        <v>6.6236527865600303E-2</v>
      </c>
      <c r="EZ147" s="56"/>
      <c r="FA147" s="56"/>
      <c r="FB147" s="56"/>
      <c r="FC147" s="56"/>
      <c r="FD147" s="56"/>
      <c r="FE147" s="56"/>
      <c r="FF147" s="56"/>
      <c r="FG147" s="56"/>
      <c r="FH147" s="56"/>
      <c r="FI147" s="56"/>
      <c r="FJ147" s="56"/>
      <c r="FK147" s="56"/>
      <c r="FL147" s="56"/>
      <c r="FM147" s="56"/>
      <c r="FN147" s="56"/>
      <c r="FO147" s="56"/>
      <c r="FP147" s="56"/>
      <c r="FQ147" s="56"/>
      <c r="FR147" s="56"/>
      <c r="FS147" s="56"/>
      <c r="FT147" s="56"/>
      <c r="FU147" s="56"/>
      <c r="FV147" s="56"/>
      <c r="FW147" s="56"/>
      <c r="FX147" s="56"/>
      <c r="FY147" s="56"/>
      <c r="FZ147" s="56"/>
      <c r="GA147" s="56"/>
      <c r="GB147" s="386" t="s">
        <v>199</v>
      </c>
      <c r="GC147" s="383">
        <f t="shared" ref="GC147:GK147" si="319">GC145/GB145-1</f>
        <v>0.65672231170624173</v>
      </c>
      <c r="GD147" s="383">
        <f t="shared" si="319"/>
        <v>-5.0600675810691387E-3</v>
      </c>
      <c r="GE147" s="383">
        <f t="shared" si="319"/>
        <v>0.28283345911994995</v>
      </c>
      <c r="GF147" s="383">
        <f t="shared" si="319"/>
        <v>0.34412369092993567</v>
      </c>
      <c r="GG147" s="444">
        <f t="shared" si="319"/>
        <v>0.62535451529127228</v>
      </c>
      <c r="GH147" s="444">
        <f t="shared" si="319"/>
        <v>0.35689237057340195</v>
      </c>
      <c r="GI147" s="444">
        <f t="shared" si="319"/>
        <v>0.29715231419798305</v>
      </c>
      <c r="GJ147" s="444">
        <f t="shared" si="319"/>
        <v>6.570329079005055E-2</v>
      </c>
      <c r="GK147" s="444">
        <f t="shared" si="319"/>
        <v>5.8592412297437502E-2</v>
      </c>
      <c r="GN147" s="443"/>
    </row>
    <row r="148" spans="1:196" s="382" customFormat="1">
      <c r="A148" s="396" t="s">
        <v>261</v>
      </c>
      <c r="B148" s="392"/>
      <c r="C148" s="392"/>
      <c r="D148" s="392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392"/>
      <c r="V148" s="392"/>
      <c r="W148" s="392"/>
      <c r="X148" s="392"/>
      <c r="Y148" s="392"/>
      <c r="Z148" s="392"/>
      <c r="AA148" s="392"/>
      <c r="AB148" s="392"/>
      <c r="AC148" s="392"/>
      <c r="AD148" s="392"/>
      <c r="AE148" s="392"/>
      <c r="AF148" s="392"/>
      <c r="AG148" s="392"/>
      <c r="AH148" s="392"/>
      <c r="AI148" s="392"/>
      <c r="AJ148" s="392"/>
      <c r="AK148" s="392"/>
      <c r="AL148" s="392"/>
      <c r="AM148" s="392"/>
      <c r="AN148" s="392"/>
      <c r="AO148" s="392"/>
      <c r="AP148" s="392"/>
      <c r="AQ148" s="392"/>
      <c r="AR148" s="392"/>
      <c r="AS148" s="392"/>
      <c r="AT148" s="392"/>
      <c r="AU148" s="392"/>
      <c r="AV148" s="392"/>
      <c r="AW148" s="392"/>
      <c r="AX148" s="392"/>
      <c r="AY148" s="392"/>
      <c r="AZ148" s="392"/>
      <c r="BA148" s="392"/>
      <c r="BB148" s="392"/>
      <c r="BC148" s="392"/>
      <c r="BD148" s="392"/>
      <c r="BE148" s="392"/>
      <c r="BF148" s="392"/>
      <c r="BG148" s="392"/>
      <c r="BH148" s="392"/>
      <c r="BI148" s="392"/>
      <c r="BJ148" s="392"/>
      <c r="BK148" s="392"/>
      <c r="BL148" s="392"/>
      <c r="BM148" s="392"/>
      <c r="BN148" s="392"/>
      <c r="BO148" s="392"/>
      <c r="BP148" s="392"/>
      <c r="BQ148" s="392"/>
      <c r="BR148" s="392"/>
      <c r="BS148" s="392"/>
      <c r="BT148" s="392"/>
      <c r="BU148" s="392"/>
      <c r="BV148" s="392"/>
      <c r="BW148" s="392"/>
      <c r="BX148" s="392"/>
      <c r="BY148" s="392"/>
      <c r="BZ148" s="392"/>
      <c r="CA148" s="392"/>
      <c r="CB148" s="392"/>
      <c r="CC148" s="392"/>
      <c r="CD148" s="392"/>
      <c r="CE148" s="392"/>
      <c r="CF148" s="392"/>
      <c r="CG148" s="392"/>
      <c r="CH148" s="392"/>
      <c r="CI148" s="392"/>
      <c r="CJ148" s="392"/>
      <c r="CK148" s="392"/>
      <c r="CL148" s="392"/>
      <c r="CM148" s="392"/>
      <c r="CN148" s="392"/>
      <c r="CO148" s="392"/>
      <c r="CP148" s="392"/>
      <c r="CQ148" s="392"/>
      <c r="CR148" s="392"/>
      <c r="CS148" s="392"/>
      <c r="CT148" s="387"/>
      <c r="CU148" s="387"/>
      <c r="CV148" s="387"/>
      <c r="CW148" s="387"/>
      <c r="CX148" s="392"/>
      <c r="CY148" s="387"/>
      <c r="CZ148" s="387"/>
      <c r="DA148" s="387"/>
      <c r="DB148" s="387"/>
      <c r="DC148" s="387"/>
      <c r="DD148" s="387"/>
      <c r="DE148" s="387"/>
      <c r="DF148" s="387"/>
      <c r="DG148" s="387"/>
      <c r="DH148" s="387"/>
      <c r="DI148" s="387"/>
      <c r="DJ148" s="33">
        <f t="shared" ref="DJ148:EW148" si="320">DJ145/DJ$161</f>
        <v>0.16904499274310594</v>
      </c>
      <c r="DK148" s="33">
        <f t="shared" si="320"/>
        <v>0.19356493506493508</v>
      </c>
      <c r="DL148" s="33">
        <f t="shared" si="320"/>
        <v>0.22267563181080455</v>
      </c>
      <c r="DM148" s="33">
        <f t="shared" si="320"/>
        <v>0.22380646498135101</v>
      </c>
      <c r="DN148" s="33">
        <f t="shared" si="320"/>
        <v>0.21161882113130626</v>
      </c>
      <c r="DO148" s="33">
        <f t="shared" si="320"/>
        <v>0.2080229007633588</v>
      </c>
      <c r="DP148" s="33">
        <f t="shared" si="320"/>
        <v>0.26755615453728659</v>
      </c>
      <c r="DQ148" s="33">
        <f t="shared" si="320"/>
        <v>0.2648088944454367</v>
      </c>
      <c r="DR148" s="33">
        <f t="shared" si="320"/>
        <v>0.21240425929385393</v>
      </c>
      <c r="DS148" s="33">
        <f t="shared" si="320"/>
        <v>0.22201436835230456</v>
      </c>
      <c r="DT148" s="33">
        <f t="shared" si="320"/>
        <v>0.2572293103448276</v>
      </c>
      <c r="DU148" s="33">
        <f t="shared" si="320"/>
        <v>0.28097033073929961</v>
      </c>
      <c r="DV148" s="66">
        <f t="shared" si="320"/>
        <v>0.28840215603873559</v>
      </c>
      <c r="DW148" s="66">
        <f t="shared" si="320"/>
        <v>0.28880119965724077</v>
      </c>
      <c r="DX148" s="66">
        <f>DX145/DX$161</f>
        <v>0.26414430268367795</v>
      </c>
      <c r="DY148" s="66">
        <f>DY145/DY$161</f>
        <v>0.26862953773831288</v>
      </c>
      <c r="DZ148" s="66">
        <f t="shared" si="320"/>
        <v>0.28585641301425113</v>
      </c>
      <c r="EA148" s="66">
        <f t="shared" si="320"/>
        <v>0.29259271307742352</v>
      </c>
      <c r="EB148" s="66">
        <f t="shared" si="320"/>
        <v>0.25331494700410989</v>
      </c>
      <c r="EC148" s="66">
        <f t="shared" si="320"/>
        <v>0.27807692307692305</v>
      </c>
      <c r="ED148" s="66">
        <f t="shared" si="320"/>
        <v>0.31285386911147961</v>
      </c>
      <c r="EE148" s="149">
        <f t="shared" si="320"/>
        <v>0.34444937917749913</v>
      </c>
      <c r="EF148" s="149">
        <f t="shared" si="320"/>
        <v>0.34180307149076466</v>
      </c>
      <c r="EG148" s="149">
        <f t="shared" si="320"/>
        <v>0.27090742685567892</v>
      </c>
      <c r="EH148" s="149">
        <f t="shared" si="320"/>
        <v>0.26688593701744151</v>
      </c>
      <c r="EI148" s="149">
        <f t="shared" si="320"/>
        <v>0.26443863778165944</v>
      </c>
      <c r="EJ148" s="149">
        <f t="shared" si="320"/>
        <v>0.24820888031847632</v>
      </c>
      <c r="EK148" s="149">
        <f t="shared" si="320"/>
        <v>0.23999853124822079</v>
      </c>
      <c r="EL148" s="149">
        <f t="shared" si="320"/>
        <v>0.25807215066111161</v>
      </c>
      <c r="EM148" s="149">
        <f t="shared" si="320"/>
        <v>0.26424375907010761</v>
      </c>
      <c r="EN148" s="149">
        <f t="shared" si="320"/>
        <v>0.26354061142892699</v>
      </c>
      <c r="EO148" s="149">
        <f t="shared" si="320"/>
        <v>0.26120875293757578</v>
      </c>
      <c r="EP148" s="149">
        <f t="shared" si="320"/>
        <v>0.24255510493582119</v>
      </c>
      <c r="EQ148" s="149">
        <f t="shared" si="320"/>
        <v>0.23965893755458348</v>
      </c>
      <c r="ER148" s="149">
        <f t="shared" si="320"/>
        <v>0.23542387913285454</v>
      </c>
      <c r="ES148" s="149">
        <f t="shared" si="320"/>
        <v>0.23684857430092734</v>
      </c>
      <c r="ET148" s="149">
        <f t="shared" si="320"/>
        <v>0.22752423256733512</v>
      </c>
      <c r="EU148" s="149">
        <f t="shared" si="320"/>
        <v>0.22488392744653327</v>
      </c>
      <c r="EV148" s="149">
        <f t="shared" si="320"/>
        <v>0.21704058244898808</v>
      </c>
      <c r="EW148" s="149">
        <f t="shared" si="320"/>
        <v>0.22008338490879406</v>
      </c>
      <c r="EZ148" s="56"/>
      <c r="FA148" s="56"/>
      <c r="FB148" s="56"/>
      <c r="FC148" s="56"/>
      <c r="FD148" s="56"/>
      <c r="FE148" s="56"/>
      <c r="FF148" s="56"/>
      <c r="FG148" s="56"/>
      <c r="FH148" s="56"/>
      <c r="FI148" s="56"/>
      <c r="FJ148" s="56"/>
      <c r="FK148" s="56"/>
      <c r="FL148" s="56"/>
      <c r="FM148" s="56"/>
      <c r="FN148" s="56"/>
      <c r="FO148" s="56"/>
      <c r="FP148" s="56"/>
      <c r="FQ148" s="56"/>
      <c r="FR148" s="56"/>
      <c r="FS148" s="56"/>
      <c r="FT148" s="56"/>
      <c r="FU148" s="56"/>
      <c r="FV148" s="56"/>
      <c r="FW148" s="56"/>
      <c r="FX148" s="56"/>
      <c r="FY148" s="56"/>
      <c r="FZ148" s="56"/>
      <c r="GA148" s="56"/>
      <c r="GB148" s="383">
        <f t="shared" ref="GB148:GG148" si="321">GB145/GB$161</f>
        <v>0.20494553973469634</v>
      </c>
      <c r="GC148" s="383">
        <f t="shared" si="321"/>
        <v>0.2364291767297996</v>
      </c>
      <c r="GD148" s="383">
        <f t="shared" si="321"/>
        <v>0.24478527336860667</v>
      </c>
      <c r="GE148" s="383">
        <f t="shared" si="321"/>
        <v>0.27620496412643009</v>
      </c>
      <c r="GF148" s="383">
        <f t="shared" si="321"/>
        <v>0.27635829556280495</v>
      </c>
      <c r="GG148" s="391">
        <f t="shared" si="321"/>
        <v>0.31330911439885695</v>
      </c>
      <c r="GH148" s="391">
        <f>GH145/GH$161</f>
        <v>0.25344442132644818</v>
      </c>
      <c r="GI148" s="391">
        <f t="shared" ref="GI148:GK148" si="322">GI145/GI$161</f>
        <v>0.26181623970833834</v>
      </c>
      <c r="GJ148" s="391">
        <f t="shared" si="322"/>
        <v>0.23846779177282115</v>
      </c>
      <c r="GK148" s="391">
        <f t="shared" si="322"/>
        <v>0.22212626275866695</v>
      </c>
      <c r="GN148" s="443"/>
    </row>
    <row r="149" spans="1:196" s="382" customFormat="1">
      <c r="A149" s="395" t="s">
        <v>272</v>
      </c>
      <c r="B149" s="392"/>
      <c r="C149" s="392"/>
      <c r="D149" s="392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392"/>
      <c r="V149" s="392"/>
      <c r="W149" s="392"/>
      <c r="X149" s="392"/>
      <c r="Y149" s="392"/>
      <c r="Z149" s="392"/>
      <c r="AA149" s="392"/>
      <c r="AB149" s="392"/>
      <c r="AC149" s="392"/>
      <c r="AD149" s="392"/>
      <c r="AE149" s="392"/>
      <c r="AF149" s="392"/>
      <c r="AG149" s="392"/>
      <c r="AH149" s="392"/>
      <c r="AI149" s="392"/>
      <c r="AJ149" s="392"/>
      <c r="AK149" s="392"/>
      <c r="AL149" s="392"/>
      <c r="AM149" s="392"/>
      <c r="AN149" s="392"/>
      <c r="AO149" s="392"/>
      <c r="AP149" s="392"/>
      <c r="AQ149" s="392"/>
      <c r="AR149" s="392"/>
      <c r="AS149" s="392"/>
      <c r="AT149" s="392"/>
      <c r="AU149" s="392"/>
      <c r="AV149" s="392"/>
      <c r="AW149" s="392"/>
      <c r="AX149" s="392"/>
      <c r="AY149" s="392"/>
      <c r="AZ149" s="392"/>
      <c r="BA149" s="392"/>
      <c r="BB149" s="392"/>
      <c r="BC149" s="392"/>
      <c r="BD149" s="392"/>
      <c r="BE149" s="392"/>
      <c r="BF149" s="392"/>
      <c r="BG149" s="392"/>
      <c r="BH149" s="392"/>
      <c r="BI149" s="392"/>
      <c r="BJ149" s="392"/>
      <c r="BK149" s="392"/>
      <c r="BL149" s="392"/>
      <c r="BM149" s="392"/>
      <c r="BN149" s="392"/>
      <c r="BO149" s="392"/>
      <c r="BP149" s="392"/>
      <c r="BQ149" s="392"/>
      <c r="BR149" s="392"/>
      <c r="BS149" s="392"/>
      <c r="BT149" s="392"/>
      <c r="BU149" s="392"/>
      <c r="BV149" s="392"/>
      <c r="BW149" s="392"/>
      <c r="BX149" s="392"/>
      <c r="BY149" s="392"/>
      <c r="BZ149" s="392"/>
      <c r="CA149" s="392"/>
      <c r="CB149" s="392"/>
      <c r="CC149" s="392"/>
      <c r="CD149" s="392"/>
      <c r="CE149" s="392"/>
      <c r="CF149" s="392"/>
      <c r="CG149" s="392"/>
      <c r="CH149" s="392"/>
      <c r="CI149" s="392"/>
      <c r="CJ149" s="392"/>
      <c r="CK149" s="392"/>
      <c r="CL149" s="392"/>
      <c r="CM149" s="392"/>
      <c r="CN149" s="392"/>
      <c r="CO149" s="392"/>
      <c r="CP149" s="392"/>
      <c r="CQ149" s="392"/>
      <c r="CR149" s="392"/>
      <c r="CS149" s="392"/>
      <c r="CT149" s="387"/>
      <c r="CU149" s="387"/>
      <c r="CV149" s="387"/>
      <c r="CW149" s="387"/>
      <c r="CX149" s="392"/>
      <c r="CY149" s="387"/>
      <c r="CZ149" s="387"/>
      <c r="DA149" s="387"/>
      <c r="DB149" s="387"/>
      <c r="DC149" s="387"/>
      <c r="DD149" s="387"/>
      <c r="DE149" s="387"/>
      <c r="DF149" s="387"/>
      <c r="DG149" s="387"/>
      <c r="DH149" s="387"/>
      <c r="DI149" s="387"/>
      <c r="DJ149" s="397">
        <f t="shared" ref="DJ149:EW149" si="323">DJ266</f>
        <v>47</v>
      </c>
      <c r="DK149" s="397">
        <f t="shared" si="323"/>
        <v>85.909090909090907</v>
      </c>
      <c r="DL149" s="397">
        <f t="shared" si="323"/>
        <v>186.66666666666666</v>
      </c>
      <c r="DM149" s="397">
        <f t="shared" si="323"/>
        <v>146.66666666666666</v>
      </c>
      <c r="DN149" s="397">
        <f t="shared" si="323"/>
        <v>43.083333333333329</v>
      </c>
      <c r="DO149" s="397">
        <f t="shared" si="323"/>
        <v>48</v>
      </c>
      <c r="DP149" s="397">
        <f t="shared" si="323"/>
        <v>60</v>
      </c>
      <c r="DQ149" s="397">
        <f t="shared" si="323"/>
        <v>60</v>
      </c>
      <c r="DR149" s="397">
        <f t="shared" si="323"/>
        <v>60</v>
      </c>
      <c r="DS149" s="397">
        <f t="shared" si="323"/>
        <v>53.333333333333336</v>
      </c>
      <c r="DT149" s="397">
        <f t="shared" si="323"/>
        <v>58.666666666666671</v>
      </c>
      <c r="DU149" s="397">
        <f t="shared" si="323"/>
        <v>441.22222222222223</v>
      </c>
      <c r="DV149" s="376">
        <f t="shared" si="323"/>
        <v>673.01834862385317</v>
      </c>
      <c r="DW149" s="376">
        <f t="shared" si="323"/>
        <v>1116.1814260563381</v>
      </c>
      <c r="DX149" s="376">
        <f>DX266</f>
        <v>1712.0723433530909</v>
      </c>
      <c r="DY149" s="376">
        <f>DY266</f>
        <v>1833.7313511201635</v>
      </c>
      <c r="DZ149" s="376">
        <f t="shared" si="323"/>
        <v>1746.6811128712877</v>
      </c>
      <c r="EA149" s="376">
        <f t="shared" si="323"/>
        <v>1058.5902237548939</v>
      </c>
      <c r="EB149" s="376">
        <f t="shared" si="323"/>
        <v>1882.5666488103057</v>
      </c>
      <c r="EC149" s="376">
        <f t="shared" si="323"/>
        <v>2429.8382679157853</v>
      </c>
      <c r="ED149" s="376">
        <f t="shared" si="323"/>
        <v>2405.053917583044</v>
      </c>
      <c r="EE149" s="410">
        <f t="shared" si="323"/>
        <v>2650.6099225682733</v>
      </c>
      <c r="EF149" s="410">
        <f t="shared" si="323"/>
        <v>3261.5755097202609</v>
      </c>
      <c r="EG149" s="410">
        <f t="shared" si="323"/>
        <v>7208.081876481775</v>
      </c>
      <c r="EH149" s="410">
        <f t="shared" si="323"/>
        <v>8406.7858925406945</v>
      </c>
      <c r="EI149" s="410">
        <f t="shared" si="323"/>
        <v>9509.7562016420361</v>
      </c>
      <c r="EJ149" s="410">
        <f t="shared" si="323"/>
        <v>11483.030613482761</v>
      </c>
      <c r="EK149" s="410">
        <f t="shared" si="323"/>
        <v>13136.587021824278</v>
      </c>
      <c r="EL149" s="410">
        <f t="shared" si="323"/>
        <v>12854.150400855056</v>
      </c>
      <c r="EM149" s="410">
        <f t="shared" si="323"/>
        <v>13372.172662009516</v>
      </c>
      <c r="EN149" s="410">
        <f t="shared" si="323"/>
        <v>14451.306995833686</v>
      </c>
      <c r="EO149" s="410">
        <f t="shared" si="323"/>
        <v>15629.088515994134</v>
      </c>
      <c r="EP149" s="410">
        <f t="shared" si="323"/>
        <v>16258.940783188697</v>
      </c>
      <c r="EQ149" s="410">
        <f t="shared" si="323"/>
        <v>17081.643186818048</v>
      </c>
      <c r="ER149" s="410">
        <f t="shared" si="323"/>
        <v>18649.738031367946</v>
      </c>
      <c r="ES149" s="410">
        <f t="shared" si="323"/>
        <v>19403.187447835211</v>
      </c>
      <c r="ET149" s="410">
        <f t="shared" si="323"/>
        <v>19185.871748419457</v>
      </c>
      <c r="EU149" s="410">
        <f t="shared" si="323"/>
        <v>20156.676858889477</v>
      </c>
      <c r="EV149" s="410">
        <f t="shared" si="323"/>
        <v>22639.979447904669</v>
      </c>
      <c r="EW149" s="410">
        <f t="shared" si="323"/>
        <v>23554.634617600015</v>
      </c>
      <c r="EZ149" s="56"/>
      <c r="FA149" s="56"/>
      <c r="FB149" s="56"/>
      <c r="FC149" s="56"/>
      <c r="FD149" s="56"/>
      <c r="FE149" s="56"/>
      <c r="FF149" s="56"/>
      <c r="FG149" s="56"/>
      <c r="FH149" s="56"/>
      <c r="FI149" s="56"/>
      <c r="FJ149" s="56"/>
      <c r="FK149" s="56"/>
      <c r="FL149" s="56"/>
      <c r="FM149" s="56"/>
      <c r="FN149" s="56"/>
      <c r="FO149" s="56"/>
      <c r="FP149" s="56"/>
      <c r="FQ149" s="56"/>
      <c r="FR149" s="56"/>
      <c r="FS149" s="56"/>
      <c r="FT149" s="56"/>
      <c r="FU149" s="56"/>
      <c r="FV149" s="56"/>
      <c r="FW149" s="56"/>
      <c r="FX149" s="56"/>
      <c r="FY149" s="56"/>
      <c r="FZ149" s="56"/>
      <c r="GA149" s="56"/>
      <c r="GB149" s="397">
        <f>SUM(DJ149:DM149)</f>
        <v>466.24242424242425</v>
      </c>
      <c r="GC149" s="397">
        <f>SUM(DN149:DQ149)</f>
        <v>211.08333333333331</v>
      </c>
      <c r="GD149" s="397">
        <f>SUM(DR149:DU149)</f>
        <v>613.22222222222217</v>
      </c>
      <c r="GE149" s="397">
        <f>SUM(DV149:DY149)</f>
        <v>5335.0034691534456</v>
      </c>
      <c r="GF149" s="397">
        <f>SUM(DZ149:EC149)</f>
        <v>7117.6762533522724</v>
      </c>
      <c r="GG149" s="410">
        <f>SUM(ED149:EG149)</f>
        <v>15525.321226353353</v>
      </c>
      <c r="GH149" s="410">
        <f>SUM(EH149:EK149)</f>
        <v>42536.159729489773</v>
      </c>
      <c r="GI149" s="410">
        <f>SUM(EL149:EO149)</f>
        <v>56306.718574692386</v>
      </c>
      <c r="GJ149" s="410">
        <f>SUM(EP149:ES149)</f>
        <v>71393.509449209902</v>
      </c>
      <c r="GK149" s="410">
        <f>SUM(ET149:EW149)</f>
        <v>85537.162672813618</v>
      </c>
      <c r="GN149" s="443"/>
    </row>
    <row r="150" spans="1:196" s="382" customFormat="1">
      <c r="A150" s="396" t="s">
        <v>198</v>
      </c>
      <c r="B150" s="392"/>
      <c r="C150" s="392"/>
      <c r="D150" s="39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2"/>
      <c r="AN150" s="392"/>
      <c r="AO150" s="392"/>
      <c r="AP150" s="392"/>
      <c r="AQ150" s="392"/>
      <c r="AR150" s="392"/>
      <c r="AS150" s="392"/>
      <c r="AT150" s="392"/>
      <c r="AU150" s="392"/>
      <c r="AV150" s="392"/>
      <c r="AW150" s="392"/>
      <c r="AX150" s="392"/>
      <c r="AY150" s="392"/>
      <c r="AZ150" s="392"/>
      <c r="BA150" s="392"/>
      <c r="BB150" s="392"/>
      <c r="BC150" s="392"/>
      <c r="BD150" s="392"/>
      <c r="BE150" s="392"/>
      <c r="BF150" s="392"/>
      <c r="BG150" s="392"/>
      <c r="BH150" s="392"/>
      <c r="BI150" s="392"/>
      <c r="BJ150" s="392"/>
      <c r="BK150" s="392"/>
      <c r="BL150" s="392"/>
      <c r="BM150" s="392"/>
      <c r="BN150" s="392"/>
      <c r="BO150" s="392"/>
      <c r="BP150" s="392"/>
      <c r="BQ150" s="392"/>
      <c r="BR150" s="392"/>
      <c r="BS150" s="392"/>
      <c r="BT150" s="392"/>
      <c r="BU150" s="392"/>
      <c r="BV150" s="392"/>
      <c r="BW150" s="392"/>
      <c r="BX150" s="392"/>
      <c r="BY150" s="392"/>
      <c r="BZ150" s="392"/>
      <c r="CA150" s="392"/>
      <c r="CB150" s="392"/>
      <c r="CC150" s="392"/>
      <c r="CD150" s="392"/>
      <c r="CE150" s="392"/>
      <c r="CF150" s="392"/>
      <c r="CG150" s="392"/>
      <c r="CH150" s="392"/>
      <c r="CI150" s="392"/>
      <c r="CJ150" s="392"/>
      <c r="CK150" s="392"/>
      <c r="CL150" s="392"/>
      <c r="CM150" s="392"/>
      <c r="CN150" s="392"/>
      <c r="CO150" s="392"/>
      <c r="CP150" s="392"/>
      <c r="CQ150" s="392"/>
      <c r="CR150" s="392"/>
      <c r="CS150" s="392"/>
      <c r="CT150" s="387"/>
      <c r="CU150" s="387"/>
      <c r="CV150" s="387"/>
      <c r="CW150" s="387"/>
      <c r="CX150" s="392"/>
      <c r="CY150" s="387"/>
      <c r="CZ150" s="387"/>
      <c r="DA150" s="387"/>
      <c r="DB150" s="387"/>
      <c r="DC150" s="387"/>
      <c r="DD150" s="387"/>
      <c r="DE150" s="387"/>
      <c r="DF150" s="387"/>
      <c r="DG150" s="387"/>
      <c r="DH150" s="387"/>
      <c r="DI150" s="387"/>
      <c r="DJ150" s="442"/>
      <c r="DK150" s="33">
        <f t="shared" ref="DK150:EW150" si="324">DK149/DJ149-1</f>
        <v>0.82785299806576407</v>
      </c>
      <c r="DL150" s="33">
        <f t="shared" si="324"/>
        <v>1.1728395061728394</v>
      </c>
      <c r="DM150" s="33">
        <f t="shared" si="324"/>
        <v>-0.2142857142857143</v>
      </c>
      <c r="DN150" s="33">
        <f t="shared" si="324"/>
        <v>-0.70625000000000004</v>
      </c>
      <c r="DO150" s="33">
        <f t="shared" si="324"/>
        <v>0.11411992263056114</v>
      </c>
      <c r="DP150" s="33">
        <f t="shared" si="324"/>
        <v>0.25</v>
      </c>
      <c r="DQ150" s="33">
        <f t="shared" si="324"/>
        <v>0</v>
      </c>
      <c r="DR150" s="33">
        <f t="shared" si="324"/>
        <v>0</v>
      </c>
      <c r="DS150" s="33">
        <f t="shared" si="324"/>
        <v>-0.11111111111111105</v>
      </c>
      <c r="DT150" s="33">
        <f t="shared" si="324"/>
        <v>0.10000000000000009</v>
      </c>
      <c r="DU150" s="33">
        <f t="shared" si="324"/>
        <v>6.520833333333333</v>
      </c>
      <c r="DV150" s="66">
        <f t="shared" si="324"/>
        <v>0.52535007242877829</v>
      </c>
      <c r="DW150" s="66">
        <f t="shared" si="324"/>
        <v>0.65847101841820166</v>
      </c>
      <c r="DX150" s="66">
        <f t="shared" si="324"/>
        <v>0.53386564530296687</v>
      </c>
      <c r="DY150" s="66">
        <f t="shared" si="324"/>
        <v>7.1059501801660874E-2</v>
      </c>
      <c r="DZ150" s="66">
        <f t="shared" si="324"/>
        <v>-4.7471642013264259E-2</v>
      </c>
      <c r="EA150" s="66">
        <f t="shared" si="324"/>
        <v>-0.39394190733835399</v>
      </c>
      <c r="EB150" s="66">
        <f t="shared" si="324"/>
        <v>0.7783714666594117</v>
      </c>
      <c r="EC150" s="66">
        <f t="shared" si="324"/>
        <v>0.29070504327234836</v>
      </c>
      <c r="ED150" s="66">
        <f t="shared" si="324"/>
        <v>-1.0200000000000098E-2</v>
      </c>
      <c r="EE150" s="149">
        <f t="shared" si="324"/>
        <v>0.1021000000000003</v>
      </c>
      <c r="EF150" s="149">
        <f t="shared" si="324"/>
        <v>0.23050000000000015</v>
      </c>
      <c r="EG150" s="149">
        <f t="shared" si="324"/>
        <v>1.2099999999999995</v>
      </c>
      <c r="EH150" s="149">
        <f t="shared" si="324"/>
        <v>0.16630000000000011</v>
      </c>
      <c r="EI150" s="149">
        <f t="shared" si="324"/>
        <v>0.13120000000000021</v>
      </c>
      <c r="EJ150" s="149">
        <f t="shared" si="324"/>
        <v>0.20750000000000024</v>
      </c>
      <c r="EK150" s="149">
        <f t="shared" si="324"/>
        <v>0.14399999999999991</v>
      </c>
      <c r="EL150" s="149">
        <f t="shared" si="324"/>
        <v>-2.1499999999999964E-2</v>
      </c>
      <c r="EM150" s="149">
        <f t="shared" si="324"/>
        <v>4.0300000000000002E-2</v>
      </c>
      <c r="EN150" s="149">
        <f t="shared" si="324"/>
        <v>8.0700000000000216E-2</v>
      </c>
      <c r="EO150" s="149">
        <f t="shared" si="324"/>
        <v>8.1500000000000128E-2</v>
      </c>
      <c r="EP150" s="149">
        <f t="shared" si="324"/>
        <v>4.0300000000000002E-2</v>
      </c>
      <c r="EQ150" s="149">
        <f t="shared" si="324"/>
        <v>5.06000000000002E-2</v>
      </c>
      <c r="ER150" s="149">
        <f t="shared" si="324"/>
        <v>9.1800000000000104E-2</v>
      </c>
      <c r="ES150" s="149">
        <f t="shared" si="324"/>
        <v>4.0399999999999991E-2</v>
      </c>
      <c r="ET150" s="149">
        <f t="shared" si="324"/>
        <v>-1.1199999999999988E-2</v>
      </c>
      <c r="EU150" s="149">
        <f t="shared" si="324"/>
        <v>5.0599999999999756E-2</v>
      </c>
      <c r="EV150" s="149">
        <f t="shared" si="324"/>
        <v>0.12320000000000042</v>
      </c>
      <c r="EW150" s="149">
        <f t="shared" si="324"/>
        <v>4.0399999999999991E-2</v>
      </c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  <c r="FK150" s="56"/>
      <c r="FL150" s="56"/>
      <c r="FM150" s="56"/>
      <c r="FN150" s="56"/>
      <c r="FO150" s="56"/>
      <c r="FP150" s="56"/>
      <c r="FQ150" s="56"/>
      <c r="FR150" s="56"/>
      <c r="FS150" s="56"/>
      <c r="FT150" s="56"/>
      <c r="FU150" s="56"/>
      <c r="FV150" s="56"/>
      <c r="FW150" s="56"/>
      <c r="FX150" s="56"/>
      <c r="FY150" s="56"/>
      <c r="FZ150" s="56"/>
      <c r="GA150" s="56"/>
      <c r="GB150" s="386" t="s">
        <v>199</v>
      </c>
      <c r="GC150" s="386" t="s">
        <v>199</v>
      </c>
      <c r="GD150" s="386" t="s">
        <v>199</v>
      </c>
      <c r="GE150" s="386" t="s">
        <v>199</v>
      </c>
      <c r="GF150" s="386" t="s">
        <v>199</v>
      </c>
      <c r="GG150" s="386" t="s">
        <v>199</v>
      </c>
      <c r="GH150" s="386" t="s">
        <v>199</v>
      </c>
      <c r="GI150" s="386" t="s">
        <v>199</v>
      </c>
      <c r="GJ150" s="386" t="s">
        <v>199</v>
      </c>
      <c r="GK150" s="386" t="s">
        <v>199</v>
      </c>
      <c r="GN150" s="443"/>
    </row>
    <row r="151" spans="1:196" s="382" customFormat="1">
      <c r="A151" s="396" t="s">
        <v>200</v>
      </c>
      <c r="B151" s="392"/>
      <c r="C151" s="392"/>
      <c r="D151" s="392"/>
      <c r="E151" s="392"/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/>
      <c r="V151" s="392"/>
      <c r="W151" s="392"/>
      <c r="X151" s="392"/>
      <c r="Y151" s="392"/>
      <c r="Z151" s="392"/>
      <c r="AA151" s="392"/>
      <c r="AB151" s="392"/>
      <c r="AC151" s="392"/>
      <c r="AD151" s="392"/>
      <c r="AE151" s="392"/>
      <c r="AF151" s="392"/>
      <c r="AG151" s="392"/>
      <c r="AH151" s="392"/>
      <c r="AI151" s="392"/>
      <c r="AJ151" s="392"/>
      <c r="AK151" s="392"/>
      <c r="AL151" s="392"/>
      <c r="AM151" s="392"/>
      <c r="AN151" s="392"/>
      <c r="AO151" s="392"/>
      <c r="AP151" s="392"/>
      <c r="AQ151" s="392"/>
      <c r="AR151" s="392"/>
      <c r="AS151" s="392"/>
      <c r="AT151" s="392"/>
      <c r="AU151" s="392"/>
      <c r="AV151" s="392"/>
      <c r="AW151" s="392"/>
      <c r="AX151" s="392"/>
      <c r="AY151" s="392"/>
      <c r="AZ151" s="392"/>
      <c r="BA151" s="392"/>
      <c r="BB151" s="392"/>
      <c r="BC151" s="392"/>
      <c r="BD151" s="392"/>
      <c r="BE151" s="392"/>
      <c r="BF151" s="392"/>
      <c r="BG151" s="392"/>
      <c r="BH151" s="392"/>
      <c r="BI151" s="392"/>
      <c r="BJ151" s="392"/>
      <c r="BK151" s="392"/>
      <c r="BL151" s="392"/>
      <c r="BM151" s="392"/>
      <c r="BN151" s="392"/>
      <c r="BO151" s="392"/>
      <c r="BP151" s="392"/>
      <c r="BQ151" s="392"/>
      <c r="BR151" s="392"/>
      <c r="BS151" s="392"/>
      <c r="BT151" s="392"/>
      <c r="BU151" s="392"/>
      <c r="BV151" s="392"/>
      <c r="BW151" s="392"/>
      <c r="BX151" s="392"/>
      <c r="BY151" s="392"/>
      <c r="BZ151" s="392"/>
      <c r="CA151" s="392"/>
      <c r="CB151" s="392"/>
      <c r="CC151" s="392"/>
      <c r="CD151" s="392"/>
      <c r="CE151" s="392"/>
      <c r="CF151" s="392"/>
      <c r="CG151" s="392"/>
      <c r="CH151" s="392"/>
      <c r="CI151" s="392"/>
      <c r="CJ151" s="392"/>
      <c r="CK151" s="392"/>
      <c r="CL151" s="392"/>
      <c r="CM151" s="392"/>
      <c r="CN151" s="392"/>
      <c r="CO151" s="392"/>
      <c r="CP151" s="392"/>
      <c r="CQ151" s="392"/>
      <c r="CR151" s="392"/>
      <c r="CS151" s="392"/>
      <c r="CT151" s="387"/>
      <c r="CU151" s="387"/>
      <c r="CV151" s="387"/>
      <c r="CW151" s="387"/>
      <c r="CX151" s="392"/>
      <c r="CY151" s="387"/>
      <c r="CZ151" s="387"/>
      <c r="DA151" s="387"/>
      <c r="DB151" s="387"/>
      <c r="DC151" s="387"/>
      <c r="DD151" s="387"/>
      <c r="DE151" s="387"/>
      <c r="DF151" s="387"/>
      <c r="DG151" s="387"/>
      <c r="DH151" s="387"/>
      <c r="DI151" s="387"/>
      <c r="DJ151" s="442"/>
      <c r="DK151" s="33"/>
      <c r="DL151" s="33"/>
      <c r="DM151" s="33"/>
      <c r="DN151" s="33">
        <f t="shared" ref="DN151:EW151" si="325">DN149/DJ149-1</f>
        <v>-8.3333333333333481E-2</v>
      </c>
      <c r="DO151" s="33">
        <f t="shared" si="325"/>
        <v>-0.44126984126984126</v>
      </c>
      <c r="DP151" s="33">
        <f t="shared" si="325"/>
        <v>-0.6785714285714286</v>
      </c>
      <c r="DQ151" s="33">
        <f t="shared" si="325"/>
        <v>-0.59090909090909083</v>
      </c>
      <c r="DR151" s="33">
        <f t="shared" si="325"/>
        <v>0.39264990328820137</v>
      </c>
      <c r="DS151" s="33">
        <f t="shared" si="325"/>
        <v>0.11111111111111116</v>
      </c>
      <c r="DT151" s="33">
        <f t="shared" si="325"/>
        <v>-2.2222222222222143E-2</v>
      </c>
      <c r="DU151" s="33">
        <f t="shared" si="325"/>
        <v>6.3537037037037036</v>
      </c>
      <c r="DV151" s="66">
        <f t="shared" si="325"/>
        <v>10.216972477064219</v>
      </c>
      <c r="DW151" s="66">
        <f t="shared" si="325"/>
        <v>19.928401738556339</v>
      </c>
      <c r="DX151" s="66">
        <f t="shared" si="325"/>
        <v>28.183051307154955</v>
      </c>
      <c r="DY151" s="66">
        <f t="shared" si="325"/>
        <v>3.1560267338407133</v>
      </c>
      <c r="DZ151" s="66">
        <f t="shared" si="325"/>
        <v>1.5952949372670071</v>
      </c>
      <c r="EA151" s="66">
        <f t="shared" si="325"/>
        <v>-5.1596632014316746E-2</v>
      </c>
      <c r="EB151" s="66">
        <f t="shared" si="325"/>
        <v>9.9583587176755639E-2</v>
      </c>
      <c r="EC151" s="66">
        <f t="shared" si="325"/>
        <v>0.32507865256897128</v>
      </c>
      <c r="ED151" s="66">
        <f t="shared" si="325"/>
        <v>0.37692787759609314</v>
      </c>
      <c r="EE151" s="149">
        <f t="shared" si="325"/>
        <v>1.5039055369001741</v>
      </c>
      <c r="EF151" s="149">
        <f t="shared" si="325"/>
        <v>0.73251529329993414</v>
      </c>
      <c r="EG151" s="149">
        <f t="shared" si="325"/>
        <v>1.9664862767449001</v>
      </c>
      <c r="EH151" s="149">
        <f t="shared" si="325"/>
        <v>2.4954667049581505</v>
      </c>
      <c r="EI151" s="149">
        <f t="shared" si="325"/>
        <v>2.5877614886568008</v>
      </c>
      <c r="EJ151" s="149">
        <f t="shared" si="325"/>
        <v>2.5207005262520008</v>
      </c>
      <c r="EK151" s="149">
        <f t="shared" si="325"/>
        <v>0.82248027241280086</v>
      </c>
      <c r="EL151" s="149">
        <f t="shared" si="325"/>
        <v>0.5290207892960006</v>
      </c>
      <c r="EM151" s="149">
        <f t="shared" si="325"/>
        <v>0.40615304729900026</v>
      </c>
      <c r="EN151" s="149">
        <f t="shared" si="325"/>
        <v>0.2584924208828403</v>
      </c>
      <c r="EO151" s="149">
        <f t="shared" si="325"/>
        <v>0.18973737166502791</v>
      </c>
      <c r="EP151" s="149">
        <f t="shared" si="325"/>
        <v>0.26487867934913489</v>
      </c>
      <c r="EQ151" s="149">
        <f t="shared" si="325"/>
        <v>0.27740223062981961</v>
      </c>
      <c r="ER151" s="149">
        <f t="shared" si="325"/>
        <v>0.29052258295700661</v>
      </c>
      <c r="ES151" s="149">
        <f t="shared" si="325"/>
        <v>0.2414791449916498</v>
      </c>
      <c r="ET151" s="149">
        <f t="shared" si="325"/>
        <v>0.18001978137820185</v>
      </c>
      <c r="EU151" s="149">
        <f t="shared" si="325"/>
        <v>0.1800197813782014</v>
      </c>
      <c r="EV151" s="149">
        <f t="shared" si="325"/>
        <v>0.21395696871587866</v>
      </c>
      <c r="EW151" s="149">
        <f t="shared" si="325"/>
        <v>0.21395696871587844</v>
      </c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  <c r="FK151" s="56"/>
      <c r="FL151" s="56"/>
      <c r="FM151" s="56"/>
      <c r="FN151" s="56"/>
      <c r="FO151" s="56"/>
      <c r="FP151" s="56"/>
      <c r="FQ151" s="56"/>
      <c r="FR151" s="56"/>
      <c r="FS151" s="56"/>
      <c r="FT151" s="56"/>
      <c r="FU151" s="56"/>
      <c r="FV151" s="56"/>
      <c r="FW151" s="56"/>
      <c r="FX151" s="56"/>
      <c r="FY151" s="56"/>
      <c r="FZ151" s="56"/>
      <c r="GA151" s="56"/>
      <c r="GB151" s="386" t="s">
        <v>199</v>
      </c>
      <c r="GC151" s="383">
        <f t="shared" ref="GC151:GK151" si="326">GC149/GB149-1</f>
        <v>-0.54726699597036266</v>
      </c>
      <c r="GD151" s="383">
        <f t="shared" si="326"/>
        <v>1.9051190946177128</v>
      </c>
      <c r="GE151" s="383">
        <f t="shared" si="326"/>
        <v>7.6999512995798174</v>
      </c>
      <c r="GF151" s="383">
        <f t="shared" si="326"/>
        <v>0.33414650890221442</v>
      </c>
      <c r="GG151" s="444">
        <f t="shared" si="326"/>
        <v>1.1812345312897956</v>
      </c>
      <c r="GH151" s="444">
        <f t="shared" si="326"/>
        <v>1.7397925691409881</v>
      </c>
      <c r="GI151" s="444">
        <f t="shared" si="326"/>
        <v>0.3237377077003889</v>
      </c>
      <c r="GJ151" s="444">
        <f t="shared" si="326"/>
        <v>0.26793944410922266</v>
      </c>
      <c r="GK151" s="444">
        <f t="shared" si="326"/>
        <v>0.1981083901424634</v>
      </c>
      <c r="GN151" s="443"/>
    </row>
    <row r="152" spans="1:196" s="382" customFormat="1">
      <c r="A152" s="396" t="s">
        <v>261</v>
      </c>
      <c r="B152" s="392"/>
      <c r="C152" s="392"/>
      <c r="D152" s="392"/>
      <c r="E152" s="392"/>
      <c r="F152" s="392"/>
      <c r="G152" s="392"/>
      <c r="H152" s="392"/>
      <c r="I152" s="392"/>
      <c r="J152" s="392"/>
      <c r="K152" s="392"/>
      <c r="L152" s="392"/>
      <c r="M152" s="392"/>
      <c r="N152" s="392"/>
      <c r="O152" s="392"/>
      <c r="P152" s="392"/>
      <c r="Q152" s="392"/>
      <c r="R152" s="392"/>
      <c r="S152" s="392"/>
      <c r="T152" s="392"/>
      <c r="U152" s="392"/>
      <c r="V152" s="392"/>
      <c r="W152" s="392"/>
      <c r="X152" s="392"/>
      <c r="Y152" s="392"/>
      <c r="Z152" s="392"/>
      <c r="AA152" s="392"/>
      <c r="AB152" s="392"/>
      <c r="AC152" s="392"/>
      <c r="AD152" s="392"/>
      <c r="AE152" s="392"/>
      <c r="AF152" s="392"/>
      <c r="AG152" s="392"/>
      <c r="AH152" s="392"/>
      <c r="AI152" s="392"/>
      <c r="AJ152" s="392"/>
      <c r="AK152" s="392"/>
      <c r="AL152" s="392"/>
      <c r="AM152" s="392"/>
      <c r="AN152" s="392"/>
      <c r="AO152" s="392"/>
      <c r="AP152" s="392"/>
      <c r="AQ152" s="392"/>
      <c r="AR152" s="392"/>
      <c r="AS152" s="392"/>
      <c r="AT152" s="392"/>
      <c r="AU152" s="392"/>
      <c r="AV152" s="392"/>
      <c r="AW152" s="392"/>
      <c r="AX152" s="392"/>
      <c r="AY152" s="392"/>
      <c r="AZ152" s="392"/>
      <c r="BA152" s="392"/>
      <c r="BB152" s="392"/>
      <c r="BC152" s="392"/>
      <c r="BD152" s="392"/>
      <c r="BE152" s="392"/>
      <c r="BF152" s="392"/>
      <c r="BG152" s="392"/>
      <c r="BH152" s="392"/>
      <c r="BI152" s="392"/>
      <c r="BJ152" s="392"/>
      <c r="BK152" s="392"/>
      <c r="BL152" s="392"/>
      <c r="BM152" s="392"/>
      <c r="BN152" s="392"/>
      <c r="BO152" s="392"/>
      <c r="BP152" s="392"/>
      <c r="BQ152" s="392"/>
      <c r="BR152" s="392"/>
      <c r="BS152" s="392"/>
      <c r="BT152" s="392"/>
      <c r="BU152" s="392"/>
      <c r="BV152" s="392"/>
      <c r="BW152" s="392"/>
      <c r="BX152" s="392"/>
      <c r="BY152" s="392"/>
      <c r="BZ152" s="392"/>
      <c r="CA152" s="392"/>
      <c r="CB152" s="392"/>
      <c r="CC152" s="392"/>
      <c r="CD152" s="392"/>
      <c r="CE152" s="392"/>
      <c r="CF152" s="392"/>
      <c r="CG152" s="392"/>
      <c r="CH152" s="392"/>
      <c r="CI152" s="392"/>
      <c r="CJ152" s="392"/>
      <c r="CK152" s="392"/>
      <c r="CL152" s="392"/>
      <c r="CM152" s="392"/>
      <c r="CN152" s="392"/>
      <c r="CO152" s="392"/>
      <c r="CP152" s="392"/>
      <c r="CQ152" s="392"/>
      <c r="CR152" s="392"/>
      <c r="CS152" s="392"/>
      <c r="CT152" s="387"/>
      <c r="CU152" s="387"/>
      <c r="CV152" s="387"/>
      <c r="CW152" s="387"/>
      <c r="CX152" s="392"/>
      <c r="CY152" s="387"/>
      <c r="CZ152" s="387"/>
      <c r="DA152" s="387"/>
      <c r="DB152" s="387"/>
      <c r="DC152" s="387"/>
      <c r="DD152" s="387"/>
      <c r="DE152" s="387"/>
      <c r="DF152" s="387"/>
      <c r="DG152" s="387"/>
      <c r="DH152" s="387"/>
      <c r="DI152" s="387"/>
      <c r="DJ152" s="33">
        <f t="shared" ref="DJ152:EW152" si="327">DJ149/DJ$161</f>
        <v>1.3642960812772133E-2</v>
      </c>
      <c r="DK152" s="33">
        <f t="shared" si="327"/>
        <v>2.2314049586776859E-2</v>
      </c>
      <c r="DL152" s="33">
        <f t="shared" si="327"/>
        <v>4.3280006182858023E-2</v>
      </c>
      <c r="DM152" s="33">
        <f t="shared" si="327"/>
        <v>3.0390937974858406E-2</v>
      </c>
      <c r="DN152" s="33">
        <f t="shared" si="327"/>
        <v>7.3183851424041668E-3</v>
      </c>
      <c r="DO152" s="33">
        <f t="shared" si="327"/>
        <v>7.3282442748091601E-3</v>
      </c>
      <c r="DP152" s="33">
        <f t="shared" si="327"/>
        <v>1.078167115902965E-2</v>
      </c>
      <c r="DQ152" s="33">
        <f t="shared" si="327"/>
        <v>1.0716199321307376E-2</v>
      </c>
      <c r="DR152" s="33">
        <f t="shared" si="327"/>
        <v>1.1208668036614982E-2</v>
      </c>
      <c r="DS152" s="33">
        <f t="shared" si="327"/>
        <v>9.9521054923182185E-3</v>
      </c>
      <c r="DT152" s="33">
        <f t="shared" si="327"/>
        <v>1.0114942528735633E-2</v>
      </c>
      <c r="DU152" s="33">
        <f t="shared" si="327"/>
        <v>7.1534082720853154E-2</v>
      </c>
      <c r="DV152" s="66">
        <f t="shared" si="327"/>
        <v>0.12297064656017781</v>
      </c>
      <c r="DW152" s="66">
        <f t="shared" si="327"/>
        <v>0.1912907328288497</v>
      </c>
      <c r="DX152" s="66">
        <f>DX149/DX$161</f>
        <v>0.25107381483400659</v>
      </c>
      <c r="DY152" s="66">
        <f>DY149/DY$161</f>
        <v>0.23945303618701533</v>
      </c>
      <c r="DZ152" s="66">
        <f t="shared" si="327"/>
        <v>0.23483209369068134</v>
      </c>
      <c r="EA152" s="66">
        <f t="shared" si="327"/>
        <v>0.13774758929796929</v>
      </c>
      <c r="EB152" s="66">
        <f t="shared" si="327"/>
        <v>0.20360876582417323</v>
      </c>
      <c r="EC152" s="66">
        <f t="shared" si="327"/>
        <v>0.23659574176395184</v>
      </c>
      <c r="ED152" s="66">
        <f t="shared" si="327"/>
        <v>0.23457075173930012</v>
      </c>
      <c r="EE152" s="149">
        <f t="shared" si="327"/>
        <v>0.23618681602891381</v>
      </c>
      <c r="EF152" s="149">
        <f t="shared" si="327"/>
        <v>0.27194254115714778</v>
      </c>
      <c r="EG152" s="149">
        <f t="shared" si="327"/>
        <v>0.4451748260892921</v>
      </c>
      <c r="EH152" s="149">
        <f t="shared" si="327"/>
        <v>0.48218327368203634</v>
      </c>
      <c r="EI152" s="149">
        <f t="shared" si="327"/>
        <v>0.49500281509193766</v>
      </c>
      <c r="EJ152" s="149">
        <f t="shared" si="327"/>
        <v>0.51875308039242585</v>
      </c>
      <c r="EK152" s="149">
        <f t="shared" si="327"/>
        <v>0.53578248312325338</v>
      </c>
      <c r="EL152" s="149">
        <f t="shared" si="327"/>
        <v>0.53689900454532813</v>
      </c>
      <c r="EM152" s="149">
        <f t="shared" si="327"/>
        <v>0.53417991669565357</v>
      </c>
      <c r="EN152" s="149">
        <f t="shared" si="327"/>
        <v>0.53778449738856415</v>
      </c>
      <c r="EO152" s="149">
        <f t="shared" si="327"/>
        <v>0.5435810475521039</v>
      </c>
      <c r="EP152" s="149">
        <f t="shared" si="327"/>
        <v>0.57703772383306284</v>
      </c>
      <c r="EQ152" s="149">
        <f t="shared" si="327"/>
        <v>0.58143780652643318</v>
      </c>
      <c r="ER152" s="149">
        <f t="shared" si="327"/>
        <v>0.58802063410497996</v>
      </c>
      <c r="ES152" s="149">
        <f t="shared" si="327"/>
        <v>0.58594716855916473</v>
      </c>
      <c r="ET152" s="149">
        <f t="shared" si="327"/>
        <v>0.60497297384028625</v>
      </c>
      <c r="EU152" s="149">
        <f t="shared" si="327"/>
        <v>0.6097932093715247</v>
      </c>
      <c r="EV152" s="149">
        <f t="shared" si="327"/>
        <v>0.62332067831189142</v>
      </c>
      <c r="EW152" s="149">
        <f t="shared" si="327"/>
        <v>0.61990434126239835</v>
      </c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  <c r="FK152" s="56"/>
      <c r="FL152" s="56"/>
      <c r="FM152" s="56"/>
      <c r="FN152" s="56"/>
      <c r="FO152" s="56"/>
      <c r="FP152" s="56"/>
      <c r="FQ152" s="56"/>
      <c r="FR152" s="56"/>
      <c r="FS152" s="56"/>
      <c r="FT152" s="56"/>
      <c r="FU152" s="56"/>
      <c r="FV152" s="56"/>
      <c r="FW152" s="56"/>
      <c r="FX152" s="56"/>
      <c r="FY152" s="56"/>
      <c r="FZ152" s="56"/>
      <c r="GA152" s="56"/>
      <c r="GB152" s="383">
        <f t="shared" ref="GB152:GG152" si="328">GB149/GB$161</f>
        <v>2.8370599016820267E-2</v>
      </c>
      <c r="GC152" s="383">
        <f t="shared" si="328"/>
        <v>8.9438300636978645E-3</v>
      </c>
      <c r="GD152" s="383">
        <f t="shared" si="328"/>
        <v>2.7038016852831664E-2</v>
      </c>
      <c r="GE152" s="383">
        <f t="shared" si="328"/>
        <v>0.20690337285838456</v>
      </c>
      <c r="GF152" s="383">
        <f t="shared" si="328"/>
        <v>0.20548157433390896</v>
      </c>
      <c r="GG152" s="391">
        <f t="shared" si="328"/>
        <v>0.31262785463102583</v>
      </c>
      <c r="GH152" s="391">
        <f>GH149/GH$161</f>
        <v>0.51063392002307106</v>
      </c>
      <c r="GI152" s="391">
        <f t="shared" ref="GI152:GK152" si="329">GI149/GI$161</f>
        <v>0.53831250766904248</v>
      </c>
      <c r="GJ152" s="391">
        <f t="shared" si="329"/>
        <v>0.58335083707443036</v>
      </c>
      <c r="GK152" s="391">
        <f t="shared" si="329"/>
        <v>0.61498898563784155</v>
      </c>
      <c r="GN152" s="443"/>
    </row>
    <row r="153" spans="1:196" s="382" customFormat="1">
      <c r="A153" s="395" t="s">
        <v>273</v>
      </c>
      <c r="B153" s="392"/>
      <c r="C153" s="392"/>
      <c r="D153" s="392"/>
      <c r="E153" s="392"/>
      <c r="F153" s="392"/>
      <c r="G153" s="392"/>
      <c r="H153" s="392"/>
      <c r="I153" s="392"/>
      <c r="J153" s="392"/>
      <c r="K153" s="392"/>
      <c r="L153" s="392"/>
      <c r="M153" s="392"/>
      <c r="N153" s="392"/>
      <c r="O153" s="392"/>
      <c r="P153" s="392"/>
      <c r="Q153" s="392"/>
      <c r="R153" s="392"/>
      <c r="S153" s="392"/>
      <c r="T153" s="392"/>
      <c r="U153" s="392"/>
      <c r="V153" s="392"/>
      <c r="W153" s="392"/>
      <c r="X153" s="392"/>
      <c r="Y153" s="392"/>
      <c r="Z153" s="392"/>
      <c r="AA153" s="392"/>
      <c r="AB153" s="392"/>
      <c r="AC153" s="392"/>
      <c r="AD153" s="392"/>
      <c r="AE153" s="392"/>
      <c r="AF153" s="392"/>
      <c r="AG153" s="392"/>
      <c r="AH153" s="392"/>
      <c r="AI153" s="392"/>
      <c r="AJ153" s="392"/>
      <c r="AK153" s="392"/>
      <c r="AL153" s="392"/>
      <c r="AM153" s="392"/>
      <c r="AN153" s="392"/>
      <c r="AO153" s="392"/>
      <c r="AP153" s="392"/>
      <c r="AQ153" s="392"/>
      <c r="AR153" s="392"/>
      <c r="AS153" s="392"/>
      <c r="AT153" s="392"/>
      <c r="AU153" s="392"/>
      <c r="AV153" s="392"/>
      <c r="AW153" s="392"/>
      <c r="AX153" s="392"/>
      <c r="AY153" s="392"/>
      <c r="AZ153" s="392"/>
      <c r="BA153" s="392"/>
      <c r="BB153" s="392"/>
      <c r="BC153" s="392"/>
      <c r="BD153" s="392"/>
      <c r="BE153" s="392"/>
      <c r="BF153" s="392"/>
      <c r="BG153" s="392"/>
      <c r="BH153" s="392"/>
      <c r="BI153" s="392"/>
      <c r="BJ153" s="392"/>
      <c r="BK153" s="392"/>
      <c r="BL153" s="392"/>
      <c r="BM153" s="392"/>
      <c r="BN153" s="392"/>
      <c r="BO153" s="392"/>
      <c r="BP153" s="392"/>
      <c r="BQ153" s="392"/>
      <c r="BR153" s="392"/>
      <c r="BS153" s="392"/>
      <c r="BT153" s="392"/>
      <c r="BU153" s="392"/>
      <c r="BV153" s="392"/>
      <c r="BW153" s="392"/>
      <c r="BX153" s="392"/>
      <c r="BY153" s="392"/>
      <c r="BZ153" s="392"/>
      <c r="CA153" s="392"/>
      <c r="CB153" s="392"/>
      <c r="CC153" s="392"/>
      <c r="CD153" s="392"/>
      <c r="CE153" s="392"/>
      <c r="CF153" s="392"/>
      <c r="CG153" s="392"/>
      <c r="CH153" s="392"/>
      <c r="CI153" s="392"/>
      <c r="CJ153" s="392"/>
      <c r="CK153" s="392"/>
      <c r="CL153" s="392"/>
      <c r="CM153" s="392"/>
      <c r="CN153" s="392"/>
      <c r="CO153" s="392"/>
      <c r="CP153" s="392"/>
      <c r="CQ153" s="392"/>
      <c r="CR153" s="392"/>
      <c r="CS153" s="392"/>
      <c r="CT153" s="387"/>
      <c r="CU153" s="387"/>
      <c r="CV153" s="387"/>
      <c r="CW153" s="387"/>
      <c r="CX153" s="392"/>
      <c r="CY153" s="387"/>
      <c r="CZ153" s="387"/>
      <c r="DA153" s="387"/>
      <c r="DB153" s="387"/>
      <c r="DC153" s="387"/>
      <c r="DD153" s="387"/>
      <c r="DE153" s="387"/>
      <c r="DF153" s="387"/>
      <c r="DG153" s="387"/>
      <c r="DH153" s="387"/>
      <c r="DI153" s="387"/>
      <c r="DJ153" s="397">
        <f>DJ141-DJ145-DJ149</f>
        <v>-19.360000000000014</v>
      </c>
      <c r="DK153" s="397">
        <f t="shared" ref="DK153:ED153" si="330">DK141-DK145-DK149</f>
        <v>-18.134090909090929</v>
      </c>
      <c r="DL153" s="397">
        <f t="shared" si="330"/>
        <v>-39.066666666666634</v>
      </c>
      <c r="DM153" s="397">
        <f t="shared" si="330"/>
        <v>-63.756666666666575</v>
      </c>
      <c r="DN153" s="397">
        <f t="shared" si="330"/>
        <v>4.1166666666667169</v>
      </c>
      <c r="DO153" s="397">
        <f t="shared" si="330"/>
        <v>75.449999999999818</v>
      </c>
      <c r="DP153" s="397">
        <f t="shared" si="330"/>
        <v>60.050000000000182</v>
      </c>
      <c r="DQ153" s="397">
        <f t="shared" si="330"/>
        <v>112.33500000000004</v>
      </c>
      <c r="DR153" s="397">
        <f t="shared" si="330"/>
        <v>98</v>
      </c>
      <c r="DS153" s="397">
        <f t="shared" si="330"/>
        <v>77.891666666666566</v>
      </c>
      <c r="DT153" s="397">
        <f t="shared" si="330"/>
        <v>47.403333333333265</v>
      </c>
      <c r="DU153" s="397">
        <f t="shared" si="330"/>
        <v>107.75277777777768</v>
      </c>
      <c r="DV153" s="376">
        <f t="shared" si="330"/>
        <v>85.556651376146874</v>
      </c>
      <c r="DW153" s="376">
        <f t="shared" si="330"/>
        <v>32.663573943661959</v>
      </c>
      <c r="DX153" s="376">
        <f t="shared" si="330"/>
        <v>35.727656646909054</v>
      </c>
      <c r="DY153" s="376">
        <f t="shared" si="330"/>
        <v>-31.896351120163445</v>
      </c>
      <c r="DZ153" s="376">
        <f t="shared" si="330"/>
        <v>-198.88111287128754</v>
      </c>
      <c r="EA153" s="376">
        <f t="shared" si="330"/>
        <v>-67.165223754893759</v>
      </c>
      <c r="EB153" s="376">
        <f t="shared" si="330"/>
        <v>116.28335118969426</v>
      </c>
      <c r="EC153" s="376">
        <f t="shared" si="330"/>
        <v>94.311732084214782</v>
      </c>
      <c r="ED153" s="376">
        <f t="shared" si="330"/>
        <v>162.25536241695545</v>
      </c>
      <c r="EE153" s="410">
        <v>70</v>
      </c>
      <c r="EF153" s="410">
        <v>70</v>
      </c>
      <c r="EG153" s="410">
        <f t="shared" ref="EG153:EM153" si="331">EF153*(1+EG154)</f>
        <v>70</v>
      </c>
      <c r="EH153" s="410">
        <f t="shared" si="331"/>
        <v>70</v>
      </c>
      <c r="EI153" s="410">
        <f t="shared" si="331"/>
        <v>70</v>
      </c>
      <c r="EJ153" s="410">
        <v>80</v>
      </c>
      <c r="EK153" s="410">
        <f t="shared" si="331"/>
        <v>80</v>
      </c>
      <c r="EL153" s="410">
        <f t="shared" si="331"/>
        <v>80</v>
      </c>
      <c r="EM153" s="410">
        <f t="shared" si="331"/>
        <v>80</v>
      </c>
      <c r="EN153" s="410">
        <v>90</v>
      </c>
      <c r="EO153" s="410">
        <f t="shared" ref="EO153:EQ153" si="332">EN153*(1+EO154)</f>
        <v>90</v>
      </c>
      <c r="EP153" s="410">
        <f t="shared" si="332"/>
        <v>90</v>
      </c>
      <c r="EQ153" s="410">
        <f t="shared" si="332"/>
        <v>90</v>
      </c>
      <c r="ER153" s="410">
        <v>100</v>
      </c>
      <c r="ES153" s="410">
        <f t="shared" ref="ES153:EU153" si="333">ER153*(1+ES154)</f>
        <v>100</v>
      </c>
      <c r="ET153" s="410">
        <f t="shared" si="333"/>
        <v>100</v>
      </c>
      <c r="EU153" s="410">
        <f t="shared" si="333"/>
        <v>100</v>
      </c>
      <c r="EV153" s="410">
        <v>110</v>
      </c>
      <c r="EW153" s="410">
        <f t="shared" ref="EW153" si="334">EV153*(1+EW154)</f>
        <v>110</v>
      </c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397">
        <f>SUM(DJ153:DM153)</f>
        <v>-140.31742424242415</v>
      </c>
      <c r="GC153" s="397">
        <f>SUM(DN153:DQ153)</f>
        <v>251.95166666666677</v>
      </c>
      <c r="GD153" s="397">
        <f>SUM(DR153:DU153)</f>
        <v>331.04777777777753</v>
      </c>
      <c r="GE153" s="397">
        <f>SUM(DV153:DY153)</f>
        <v>122.05153084655444</v>
      </c>
      <c r="GF153" s="397">
        <f>SUM(DZ153:EC153)</f>
        <v>-55.451253352272261</v>
      </c>
      <c r="GG153" s="410">
        <f>SUM(ED153:EG153)</f>
        <v>372.25536241695545</v>
      </c>
      <c r="GH153" s="410">
        <f>SUM(EH153:EK153)</f>
        <v>300</v>
      </c>
      <c r="GI153" s="410">
        <f>SUM(EL153:EO153)</f>
        <v>340</v>
      </c>
      <c r="GJ153" s="410">
        <f>SUM(EP153:ES153)</f>
        <v>380</v>
      </c>
      <c r="GK153" s="410">
        <f>SUM(ET153:EW153)</f>
        <v>420</v>
      </c>
      <c r="GN153" s="443"/>
    </row>
    <row r="154" spans="1:196" s="382" customFormat="1">
      <c r="A154" s="396" t="s">
        <v>198</v>
      </c>
      <c r="B154" s="392"/>
      <c r="C154" s="392"/>
      <c r="D154" s="392"/>
      <c r="E154" s="392"/>
      <c r="F154" s="392"/>
      <c r="G154" s="392"/>
      <c r="H154" s="392"/>
      <c r="I154" s="392"/>
      <c r="J154" s="392"/>
      <c r="K154" s="392"/>
      <c r="L154" s="392"/>
      <c r="M154" s="392"/>
      <c r="N154" s="392"/>
      <c r="O154" s="392"/>
      <c r="P154" s="392"/>
      <c r="Q154" s="392"/>
      <c r="R154" s="392"/>
      <c r="S154" s="392"/>
      <c r="T154" s="392"/>
      <c r="U154" s="392"/>
      <c r="V154" s="392"/>
      <c r="W154" s="392"/>
      <c r="X154" s="392"/>
      <c r="Y154" s="392"/>
      <c r="Z154" s="392"/>
      <c r="AA154" s="392"/>
      <c r="AB154" s="392"/>
      <c r="AC154" s="392"/>
      <c r="AD154" s="392"/>
      <c r="AE154" s="392"/>
      <c r="AF154" s="392"/>
      <c r="AG154" s="392"/>
      <c r="AH154" s="392"/>
      <c r="AI154" s="392"/>
      <c r="AJ154" s="392"/>
      <c r="AK154" s="392"/>
      <c r="AL154" s="392"/>
      <c r="AM154" s="392"/>
      <c r="AN154" s="392"/>
      <c r="AO154" s="392"/>
      <c r="AP154" s="392"/>
      <c r="AQ154" s="392"/>
      <c r="AR154" s="392"/>
      <c r="AS154" s="392"/>
      <c r="AT154" s="392"/>
      <c r="AU154" s="392"/>
      <c r="AV154" s="392"/>
      <c r="AW154" s="392"/>
      <c r="AX154" s="392"/>
      <c r="AY154" s="392"/>
      <c r="AZ154" s="392"/>
      <c r="BA154" s="392"/>
      <c r="BB154" s="392"/>
      <c r="BC154" s="392"/>
      <c r="BD154" s="392"/>
      <c r="BE154" s="392"/>
      <c r="BF154" s="392"/>
      <c r="BG154" s="392"/>
      <c r="BH154" s="392"/>
      <c r="BI154" s="392"/>
      <c r="BJ154" s="392"/>
      <c r="BK154" s="392"/>
      <c r="BL154" s="392"/>
      <c r="BM154" s="392"/>
      <c r="BN154" s="392"/>
      <c r="BO154" s="392"/>
      <c r="BP154" s="392"/>
      <c r="BQ154" s="392"/>
      <c r="BR154" s="392"/>
      <c r="BS154" s="392"/>
      <c r="BT154" s="392"/>
      <c r="BU154" s="392"/>
      <c r="BV154" s="392"/>
      <c r="BW154" s="392"/>
      <c r="BX154" s="392"/>
      <c r="BY154" s="392"/>
      <c r="BZ154" s="392"/>
      <c r="CA154" s="392"/>
      <c r="CB154" s="392"/>
      <c r="CC154" s="392"/>
      <c r="CD154" s="392"/>
      <c r="CE154" s="392"/>
      <c r="CF154" s="392"/>
      <c r="CG154" s="392"/>
      <c r="CH154" s="392"/>
      <c r="CI154" s="392"/>
      <c r="CJ154" s="392"/>
      <c r="CK154" s="392"/>
      <c r="CL154" s="392"/>
      <c r="CM154" s="392"/>
      <c r="CN154" s="392"/>
      <c r="CO154" s="392"/>
      <c r="CP154" s="392"/>
      <c r="CQ154" s="392"/>
      <c r="CR154" s="392"/>
      <c r="CS154" s="392"/>
      <c r="CT154" s="387"/>
      <c r="CU154" s="387"/>
      <c r="CV154" s="387"/>
      <c r="CW154" s="387"/>
      <c r="CX154" s="392"/>
      <c r="CY154" s="387"/>
      <c r="CZ154" s="387"/>
      <c r="DA154" s="387"/>
      <c r="DB154" s="387"/>
      <c r="DC154" s="387"/>
      <c r="DD154" s="387"/>
      <c r="DE154" s="387"/>
      <c r="DF154" s="387"/>
      <c r="DG154" s="387"/>
      <c r="DH154" s="387"/>
      <c r="DI154" s="387"/>
      <c r="DJ154" s="442"/>
      <c r="DK154" s="33">
        <f t="shared" ref="DK154:DU154" si="335">DK153/DJ153-1</f>
        <v>-6.3321750563485768E-2</v>
      </c>
      <c r="DL154" s="33">
        <f t="shared" si="335"/>
        <v>1.1543217612900487</v>
      </c>
      <c r="DM154" s="33">
        <f t="shared" si="335"/>
        <v>0.63199658703071582</v>
      </c>
      <c r="DN154" s="33">
        <f t="shared" si="335"/>
        <v>-1.0645684111465477</v>
      </c>
      <c r="DO154" s="33">
        <f t="shared" si="335"/>
        <v>17.327935222671798</v>
      </c>
      <c r="DP154" s="33">
        <f t="shared" si="335"/>
        <v>-0.20410868124585391</v>
      </c>
      <c r="DQ154" s="33">
        <f t="shared" si="335"/>
        <v>0.8706910907576968</v>
      </c>
      <c r="DR154" s="33">
        <f t="shared" si="335"/>
        <v>-0.12760938265010935</v>
      </c>
      <c r="DS154" s="33">
        <f t="shared" si="335"/>
        <v>-0.20518707482993304</v>
      </c>
      <c r="DT154" s="33">
        <f t="shared" si="335"/>
        <v>-0.39141970685781546</v>
      </c>
      <c r="DU154" s="33">
        <f t="shared" si="335"/>
        <v>1.2731055012540153</v>
      </c>
      <c r="DV154" s="66">
        <v>0.05</v>
      </c>
      <c r="DW154" s="66">
        <f>DW153/DV153-1</f>
        <v>-0.61822285680563072</v>
      </c>
      <c r="DX154" s="66">
        <f>DX153/DW153-1</f>
        <v>9.3807331326694943E-2</v>
      </c>
      <c r="DY154" s="66">
        <f>DY153/DX153-1</f>
        <v>-1.8927635930727331</v>
      </c>
      <c r="DZ154" s="66">
        <f>DZ153/DY153-1</f>
        <v>5.2352308614248919</v>
      </c>
      <c r="EA154" s="66">
        <v>-1</v>
      </c>
      <c r="EB154" s="66">
        <v>-1</v>
      </c>
      <c r="EC154" s="66">
        <v>0</v>
      </c>
      <c r="ED154" s="66">
        <v>0</v>
      </c>
      <c r="EE154" s="154">
        <v>0</v>
      </c>
      <c r="EF154" s="154">
        <v>0</v>
      </c>
      <c r="EG154" s="154">
        <v>0</v>
      </c>
      <c r="EH154" s="154">
        <v>0</v>
      </c>
      <c r="EI154" s="154">
        <v>0</v>
      </c>
      <c r="EJ154" s="154">
        <v>0</v>
      </c>
      <c r="EK154" s="154">
        <v>0</v>
      </c>
      <c r="EL154" s="154">
        <v>0</v>
      </c>
      <c r="EM154" s="154">
        <v>0</v>
      </c>
      <c r="EN154" s="154">
        <v>0</v>
      </c>
      <c r="EO154" s="154">
        <v>0</v>
      </c>
      <c r="EP154" s="154">
        <v>0</v>
      </c>
      <c r="EQ154" s="154">
        <v>0</v>
      </c>
      <c r="ER154" s="154">
        <v>0</v>
      </c>
      <c r="ES154" s="154">
        <v>0</v>
      </c>
      <c r="ET154" s="154">
        <v>0</v>
      </c>
      <c r="EU154" s="154">
        <v>0</v>
      </c>
      <c r="EV154" s="154">
        <v>0</v>
      </c>
      <c r="EW154" s="154">
        <v>0</v>
      </c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386" t="s">
        <v>199</v>
      </c>
      <c r="GC154" s="386" t="s">
        <v>199</v>
      </c>
      <c r="GD154" s="386" t="s">
        <v>199</v>
      </c>
      <c r="GE154" s="386" t="s">
        <v>199</v>
      </c>
      <c r="GF154" s="386" t="s">
        <v>199</v>
      </c>
      <c r="GG154" s="386" t="s">
        <v>199</v>
      </c>
      <c r="GH154" s="386" t="s">
        <v>199</v>
      </c>
      <c r="GI154" s="386" t="s">
        <v>199</v>
      </c>
      <c r="GJ154" s="386" t="s">
        <v>199</v>
      </c>
      <c r="GK154" s="386" t="s">
        <v>199</v>
      </c>
      <c r="GN154" s="443"/>
    </row>
    <row r="155" spans="1:196" s="382" customFormat="1">
      <c r="A155" s="396" t="s">
        <v>200</v>
      </c>
      <c r="B155" s="392"/>
      <c r="C155" s="392"/>
      <c r="D155" s="392"/>
      <c r="E155" s="392"/>
      <c r="F155" s="392"/>
      <c r="G155" s="392"/>
      <c r="H155" s="392"/>
      <c r="I155" s="392"/>
      <c r="J155" s="392"/>
      <c r="K155" s="392"/>
      <c r="L155" s="392"/>
      <c r="M155" s="392"/>
      <c r="N155" s="392"/>
      <c r="O155" s="392"/>
      <c r="P155" s="392"/>
      <c r="Q155" s="392"/>
      <c r="R155" s="392"/>
      <c r="S155" s="392"/>
      <c r="T155" s="392"/>
      <c r="U155" s="392"/>
      <c r="V155" s="392"/>
      <c r="W155" s="392"/>
      <c r="X155" s="392"/>
      <c r="Y155" s="392"/>
      <c r="Z155" s="392"/>
      <c r="AA155" s="392"/>
      <c r="AB155" s="392"/>
      <c r="AC155" s="392"/>
      <c r="AD155" s="392"/>
      <c r="AE155" s="392"/>
      <c r="AF155" s="392"/>
      <c r="AG155" s="392"/>
      <c r="AH155" s="392"/>
      <c r="AI155" s="392"/>
      <c r="AJ155" s="392"/>
      <c r="AK155" s="392"/>
      <c r="AL155" s="392"/>
      <c r="AM155" s="392"/>
      <c r="AN155" s="392"/>
      <c r="AO155" s="392"/>
      <c r="AP155" s="392"/>
      <c r="AQ155" s="392"/>
      <c r="AR155" s="392"/>
      <c r="AS155" s="392"/>
      <c r="AT155" s="392"/>
      <c r="AU155" s="392"/>
      <c r="AV155" s="392"/>
      <c r="AW155" s="392"/>
      <c r="AX155" s="392"/>
      <c r="AY155" s="392"/>
      <c r="AZ155" s="392"/>
      <c r="BA155" s="392"/>
      <c r="BB155" s="392"/>
      <c r="BC155" s="392"/>
      <c r="BD155" s="392"/>
      <c r="BE155" s="392"/>
      <c r="BF155" s="392"/>
      <c r="BG155" s="392"/>
      <c r="BH155" s="392"/>
      <c r="BI155" s="392"/>
      <c r="BJ155" s="392"/>
      <c r="BK155" s="392"/>
      <c r="BL155" s="392"/>
      <c r="BM155" s="392"/>
      <c r="BN155" s="392"/>
      <c r="BO155" s="392"/>
      <c r="BP155" s="392"/>
      <c r="BQ155" s="392"/>
      <c r="BR155" s="392"/>
      <c r="BS155" s="392"/>
      <c r="BT155" s="392"/>
      <c r="BU155" s="392"/>
      <c r="BV155" s="392"/>
      <c r="BW155" s="392"/>
      <c r="BX155" s="392"/>
      <c r="BY155" s="392"/>
      <c r="BZ155" s="392"/>
      <c r="CA155" s="392"/>
      <c r="CB155" s="392"/>
      <c r="CC155" s="392"/>
      <c r="CD155" s="392"/>
      <c r="CE155" s="392"/>
      <c r="CF155" s="392"/>
      <c r="CG155" s="392"/>
      <c r="CH155" s="392"/>
      <c r="CI155" s="392"/>
      <c r="CJ155" s="392"/>
      <c r="CK155" s="392"/>
      <c r="CL155" s="392"/>
      <c r="CM155" s="392"/>
      <c r="CN155" s="392"/>
      <c r="CO155" s="392"/>
      <c r="CP155" s="392"/>
      <c r="CQ155" s="392"/>
      <c r="CR155" s="392"/>
      <c r="CS155" s="392"/>
      <c r="CT155" s="387"/>
      <c r="CU155" s="387"/>
      <c r="CV155" s="387"/>
      <c r="CW155" s="387"/>
      <c r="CX155" s="392"/>
      <c r="CY155" s="387"/>
      <c r="CZ155" s="387"/>
      <c r="DA155" s="387"/>
      <c r="DB155" s="387"/>
      <c r="DC155" s="387"/>
      <c r="DD155" s="387"/>
      <c r="DE155" s="387"/>
      <c r="DF155" s="387"/>
      <c r="DG155" s="387"/>
      <c r="DH155" s="387"/>
      <c r="DI155" s="387"/>
      <c r="DJ155" s="442"/>
      <c r="DK155" s="33"/>
      <c r="DL155" s="33"/>
      <c r="DM155" s="33"/>
      <c r="DN155" s="33">
        <f t="shared" ref="DN155:EW155" si="336">DN153/DJ153-1</f>
        <v>-1.2126377410468343</v>
      </c>
      <c r="DO155" s="33">
        <f t="shared" si="336"/>
        <v>-5.160671763378855</v>
      </c>
      <c r="DP155" s="33">
        <f t="shared" si="336"/>
        <v>-2.5371160409556373</v>
      </c>
      <c r="DQ155" s="33">
        <f t="shared" si="336"/>
        <v>-2.7619333925863994</v>
      </c>
      <c r="DR155" s="33">
        <f t="shared" si="336"/>
        <v>22.805668016194041</v>
      </c>
      <c r="DS155" s="33">
        <f t="shared" si="336"/>
        <v>3.2361387232163752E-2</v>
      </c>
      <c r="DT155" s="33">
        <f t="shared" si="336"/>
        <v>-0.21060227588121361</v>
      </c>
      <c r="DU155" s="33">
        <f t="shared" si="336"/>
        <v>-4.07906905436628E-2</v>
      </c>
      <c r="DV155" s="66">
        <f t="shared" si="336"/>
        <v>-0.12697294514135837</v>
      </c>
      <c r="DW155" s="66">
        <f t="shared" si="336"/>
        <v>-0.58065380622237717</v>
      </c>
      <c r="DX155" s="66">
        <f t="shared" si="336"/>
        <v>-0.246304971937787</v>
      </c>
      <c r="DY155" s="66">
        <f t="shared" si="336"/>
        <v>-1.2960141889422507</v>
      </c>
      <c r="DZ155" s="66">
        <f t="shared" si="336"/>
        <v>-3.3245546625815634</v>
      </c>
      <c r="EA155" s="66">
        <f t="shared" si="336"/>
        <v>-3.056272956252128</v>
      </c>
      <c r="EB155" s="66">
        <f t="shared" si="336"/>
        <v>2.2547153130949722</v>
      </c>
      <c r="EC155" s="66">
        <f t="shared" si="336"/>
        <v>-3.956818845168629</v>
      </c>
      <c r="ED155" s="66">
        <f t="shared" si="336"/>
        <v>-1.815840981953698</v>
      </c>
      <c r="EE155" s="149">
        <f t="shared" si="336"/>
        <v>-2.0422060120792747</v>
      </c>
      <c r="EF155" s="149">
        <f t="shared" si="336"/>
        <v>-0.398022164963166</v>
      </c>
      <c r="EG155" s="149">
        <f t="shared" si="336"/>
        <v>-0.25778057031659485</v>
      </c>
      <c r="EH155" s="149">
        <f t="shared" si="336"/>
        <v>-0.56858128472748026</v>
      </c>
      <c r="EI155" s="149">
        <f t="shared" si="336"/>
        <v>0</v>
      </c>
      <c r="EJ155" s="149">
        <f t="shared" si="336"/>
        <v>0.14285714285714279</v>
      </c>
      <c r="EK155" s="149">
        <f t="shared" si="336"/>
        <v>0.14285714285714279</v>
      </c>
      <c r="EL155" s="149">
        <f t="shared" si="336"/>
        <v>0.14285714285714279</v>
      </c>
      <c r="EM155" s="149">
        <f t="shared" si="336"/>
        <v>0.14285714285714279</v>
      </c>
      <c r="EN155" s="149">
        <f t="shared" si="336"/>
        <v>0.125</v>
      </c>
      <c r="EO155" s="149">
        <f t="shared" si="336"/>
        <v>0.125</v>
      </c>
      <c r="EP155" s="149">
        <f t="shared" si="336"/>
        <v>0.125</v>
      </c>
      <c r="EQ155" s="149">
        <f t="shared" si="336"/>
        <v>0.125</v>
      </c>
      <c r="ER155" s="149">
        <f t="shared" si="336"/>
        <v>0.11111111111111116</v>
      </c>
      <c r="ES155" s="149">
        <f t="shared" si="336"/>
        <v>0.11111111111111116</v>
      </c>
      <c r="ET155" s="149">
        <f t="shared" si="336"/>
        <v>0.11111111111111116</v>
      </c>
      <c r="EU155" s="149">
        <f t="shared" si="336"/>
        <v>0.11111111111111116</v>
      </c>
      <c r="EV155" s="149">
        <f t="shared" si="336"/>
        <v>0.10000000000000009</v>
      </c>
      <c r="EW155" s="149">
        <f t="shared" si="336"/>
        <v>0.10000000000000009</v>
      </c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  <c r="GB155" s="386" t="s">
        <v>199</v>
      </c>
      <c r="GC155" s="382">
        <f t="shared" ref="GC155:GK155" si="337">GC153/GB153-1</f>
        <v>-2.7955836064334671</v>
      </c>
      <c r="GD155" s="382">
        <f t="shared" si="337"/>
        <v>0.31393366893561891</v>
      </c>
      <c r="GE155" s="382">
        <f t="shared" si="337"/>
        <v>-0.63131747427561957</v>
      </c>
      <c r="GF155" s="382">
        <f t="shared" si="337"/>
        <v>-1.4543265698321035</v>
      </c>
      <c r="GG155" s="387">
        <f t="shared" si="337"/>
        <v>-7.713200151709489</v>
      </c>
      <c r="GH155" s="387">
        <f t="shared" si="337"/>
        <v>-0.19410160258759079</v>
      </c>
      <c r="GI155" s="387">
        <f t="shared" si="337"/>
        <v>0.1333333333333333</v>
      </c>
      <c r="GJ155" s="387">
        <f t="shared" si="337"/>
        <v>0.11764705882352944</v>
      </c>
      <c r="GK155" s="387">
        <f t="shared" si="337"/>
        <v>0.10526315789473695</v>
      </c>
      <c r="GN155" s="443"/>
    </row>
    <row r="156" spans="1:196" s="382" customFormat="1">
      <c r="A156" s="396" t="s">
        <v>261</v>
      </c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2"/>
      <c r="O156" s="392"/>
      <c r="P156" s="392"/>
      <c r="Q156" s="392"/>
      <c r="R156" s="392"/>
      <c r="S156" s="392"/>
      <c r="T156" s="392"/>
      <c r="U156" s="392"/>
      <c r="V156" s="392"/>
      <c r="W156" s="392"/>
      <c r="X156" s="392"/>
      <c r="Y156" s="392"/>
      <c r="Z156" s="392"/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/>
      <c r="AM156" s="392"/>
      <c r="AN156" s="392"/>
      <c r="AO156" s="392"/>
      <c r="AP156" s="392"/>
      <c r="AQ156" s="392"/>
      <c r="AR156" s="392"/>
      <c r="AS156" s="392"/>
      <c r="AT156" s="392"/>
      <c r="AU156" s="392"/>
      <c r="AV156" s="392"/>
      <c r="AW156" s="392"/>
      <c r="AX156" s="392"/>
      <c r="AY156" s="392"/>
      <c r="AZ156" s="392"/>
      <c r="BA156" s="392"/>
      <c r="BB156" s="392"/>
      <c r="BC156" s="392"/>
      <c r="BD156" s="392"/>
      <c r="BE156" s="392"/>
      <c r="BF156" s="392"/>
      <c r="BG156" s="392"/>
      <c r="BH156" s="392"/>
      <c r="BI156" s="392"/>
      <c r="BJ156" s="392"/>
      <c r="BK156" s="392"/>
      <c r="BL156" s="392"/>
      <c r="BM156" s="392"/>
      <c r="BN156" s="392"/>
      <c r="BO156" s="392"/>
      <c r="BP156" s="392"/>
      <c r="BQ156" s="392"/>
      <c r="BR156" s="392"/>
      <c r="BS156" s="392"/>
      <c r="BT156" s="392"/>
      <c r="BU156" s="392"/>
      <c r="BV156" s="392"/>
      <c r="BW156" s="392"/>
      <c r="BX156" s="392"/>
      <c r="BY156" s="392"/>
      <c r="BZ156" s="392"/>
      <c r="CA156" s="392"/>
      <c r="CB156" s="392"/>
      <c r="CC156" s="392"/>
      <c r="CD156" s="392"/>
      <c r="CE156" s="392"/>
      <c r="CF156" s="392"/>
      <c r="CG156" s="392"/>
      <c r="CH156" s="392"/>
      <c r="CI156" s="392"/>
      <c r="CJ156" s="392"/>
      <c r="CK156" s="392"/>
      <c r="CL156" s="392"/>
      <c r="CM156" s="392"/>
      <c r="CN156" s="392"/>
      <c r="CO156" s="392"/>
      <c r="CP156" s="392"/>
      <c r="CQ156" s="392"/>
      <c r="CR156" s="392"/>
      <c r="CS156" s="392"/>
      <c r="CT156" s="387"/>
      <c r="CU156" s="387"/>
      <c r="CV156" s="387"/>
      <c r="CW156" s="387"/>
      <c r="CX156" s="392"/>
      <c r="CY156" s="387"/>
      <c r="CZ156" s="387"/>
      <c r="DA156" s="387"/>
      <c r="DB156" s="387"/>
      <c r="DC156" s="387"/>
      <c r="DD156" s="387"/>
      <c r="DE156" s="387"/>
      <c r="DF156" s="387"/>
      <c r="DG156" s="387"/>
      <c r="DH156" s="387"/>
      <c r="DI156" s="387"/>
      <c r="DJ156" s="33">
        <f t="shared" ref="DJ156:EW156" si="338">DJ153/DJ$161</f>
        <v>-5.6197387518142272E-3</v>
      </c>
      <c r="DK156" s="33">
        <f t="shared" si="338"/>
        <v>-4.7101534828807605E-3</v>
      </c>
      <c r="DL156" s="33">
        <f t="shared" si="338"/>
        <v>-9.0578870082695644E-3</v>
      </c>
      <c r="DM156" s="33">
        <f t="shared" si="338"/>
        <v>-1.3211078878298088E-2</v>
      </c>
      <c r="DN156" s="33">
        <f t="shared" si="338"/>
        <v>6.9928090142121907E-4</v>
      </c>
      <c r="DO156" s="33">
        <f t="shared" si="338"/>
        <v>1.1519083969465622E-2</v>
      </c>
      <c r="DP156" s="33">
        <f t="shared" si="338"/>
        <v>1.079065588499554E-2</v>
      </c>
      <c r="DQ156" s="33">
        <f t="shared" si="338"/>
        <v>2.0063404179317741E-2</v>
      </c>
      <c r="DR156" s="33">
        <f t="shared" si="338"/>
        <v>1.8307491126471138E-2</v>
      </c>
      <c r="DS156" s="33">
        <f t="shared" si="338"/>
        <v>1.4534739068234104E-2</v>
      </c>
      <c r="DT156" s="33">
        <f t="shared" si="338"/>
        <v>8.1729885057471151E-3</v>
      </c>
      <c r="DU156" s="33">
        <f t="shared" si="338"/>
        <v>1.7469646202622841E-2</v>
      </c>
      <c r="DV156" s="66">
        <f t="shared" si="338"/>
        <v>1.5632496140352069E-2</v>
      </c>
      <c r="DW156" s="66">
        <f t="shared" si="338"/>
        <v>5.5978704273628036E-3</v>
      </c>
      <c r="DX156" s="66">
        <f>DX153/DX$161</f>
        <v>5.2394275769040996E-3</v>
      </c>
      <c r="DY156" s="66">
        <f>DY153/DY$161</f>
        <v>-4.1651020005436723E-3</v>
      </c>
      <c r="DZ156" s="66">
        <f t="shared" si="338"/>
        <v>-2.6738520149406766E-2</v>
      </c>
      <c r="EA156" s="66">
        <f t="shared" si="338"/>
        <v>-8.7397818809230657E-3</v>
      </c>
      <c r="EB156" s="66">
        <f t="shared" si="338"/>
        <v>1.2576611636350233E-2</v>
      </c>
      <c r="EC156" s="66">
        <f t="shared" si="338"/>
        <v>9.1832261036236401E-3</v>
      </c>
      <c r="ED156" s="66">
        <f t="shared" si="338"/>
        <v>1.5825159701253824E-2</v>
      </c>
      <c r="EE156" s="149">
        <f t="shared" si="338"/>
        <v>6.2374614164291894E-3</v>
      </c>
      <c r="EF156" s="149">
        <f t="shared" si="338"/>
        <v>5.8364363554572508E-3</v>
      </c>
      <c r="EG156" s="149">
        <f t="shared" si="338"/>
        <v>4.3232358289277042E-3</v>
      </c>
      <c r="EH156" s="149">
        <f t="shared" si="338"/>
        <v>4.0149504922792536E-3</v>
      </c>
      <c r="EI156" s="149">
        <f t="shared" si="338"/>
        <v>3.6436472525397268E-3</v>
      </c>
      <c r="EJ156" s="149">
        <f t="shared" si="338"/>
        <v>3.6140499688877164E-3</v>
      </c>
      <c r="EK156" s="149">
        <f t="shared" si="338"/>
        <v>3.2628412980214047E-3</v>
      </c>
      <c r="EL156" s="149">
        <f t="shared" si="338"/>
        <v>3.3414826358939363E-3</v>
      </c>
      <c r="EM156" s="149">
        <f t="shared" si="338"/>
        <v>3.1957703819560411E-3</v>
      </c>
      <c r="EN156" s="149">
        <f t="shared" si="338"/>
        <v>3.3492198857116994E-3</v>
      </c>
      <c r="EO156" s="149">
        <f t="shared" si="338"/>
        <v>3.1302077680105522E-3</v>
      </c>
      <c r="EP156" s="149">
        <f t="shared" si="338"/>
        <v>3.1941438152400048E-3</v>
      </c>
      <c r="EQ156" s="149">
        <f t="shared" si="338"/>
        <v>3.0634876290918977E-3</v>
      </c>
      <c r="ER156" s="149">
        <f t="shared" si="338"/>
        <v>3.1529699404675713E-3</v>
      </c>
      <c r="ES156" s="149">
        <f t="shared" si="338"/>
        <v>3.0198500639880077E-3</v>
      </c>
      <c r="ET156" s="149">
        <f t="shared" si="338"/>
        <v>3.1532211919957421E-3</v>
      </c>
      <c r="EU156" s="149">
        <f t="shared" si="338"/>
        <v>3.0252665835767186E-3</v>
      </c>
      <c r="EV156" s="149">
        <f t="shared" si="338"/>
        <v>3.0285042781102779E-3</v>
      </c>
      <c r="EW156" s="149">
        <f t="shared" si="338"/>
        <v>2.8949494927810373E-3</v>
      </c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382">
        <f t="shared" ref="GB156:GG156" si="339">GB153/GB$161</f>
        <v>-8.5382392748219633E-3</v>
      </c>
      <c r="GC156" s="382">
        <f t="shared" si="339"/>
        <v>1.0675465728853301E-2</v>
      </c>
      <c r="GD156" s="382">
        <f t="shared" si="339"/>
        <v>1.4596462864981372E-2</v>
      </c>
      <c r="GE156" s="382">
        <f t="shared" si="339"/>
        <v>4.7334314852260787E-3</v>
      </c>
      <c r="GF156" s="382">
        <f t="shared" si="339"/>
        <v>-1.6008329730151638E-3</v>
      </c>
      <c r="GG156" s="384">
        <f t="shared" si="339"/>
        <v>7.4959734249983668E-3</v>
      </c>
      <c r="GH156" s="384">
        <f>GH153/GH$161</f>
        <v>3.6014105876303769E-3</v>
      </c>
      <c r="GI156" s="384">
        <f t="shared" ref="GI156:GK156" si="340">GI153/GI$161</f>
        <v>3.2505224463522087E-3</v>
      </c>
      <c r="GJ156" s="384">
        <f t="shared" si="340"/>
        <v>3.1049505732168034E-3</v>
      </c>
      <c r="GK156" s="384">
        <f t="shared" si="340"/>
        <v>3.0196860159588598E-3</v>
      </c>
      <c r="GN156" s="443"/>
    </row>
    <row r="157" spans="1:196" s="418" customFormat="1">
      <c r="A157" s="376" t="s">
        <v>274</v>
      </c>
      <c r="B157" s="429"/>
      <c r="C157" s="429"/>
      <c r="D157" s="429"/>
      <c r="E157" s="429"/>
      <c r="F157" s="429"/>
      <c r="G157" s="429"/>
      <c r="H157" s="429"/>
      <c r="I157" s="429"/>
      <c r="J157" s="429"/>
      <c r="K157" s="429"/>
      <c r="L157" s="429"/>
      <c r="M157" s="429"/>
      <c r="N157" s="429"/>
      <c r="O157" s="429"/>
      <c r="P157" s="429"/>
      <c r="Q157" s="429"/>
      <c r="R157" s="429"/>
      <c r="S157" s="429"/>
      <c r="T157" s="429"/>
      <c r="U157" s="429"/>
      <c r="V157" s="429"/>
      <c r="W157" s="429"/>
      <c r="X157" s="429"/>
      <c r="Y157" s="429"/>
      <c r="Z157" s="429"/>
      <c r="AA157" s="429"/>
      <c r="AB157" s="429"/>
      <c r="AC157" s="429"/>
      <c r="AD157" s="429"/>
      <c r="AE157" s="429"/>
      <c r="AF157" s="429"/>
      <c r="AG157" s="429"/>
      <c r="AH157" s="429"/>
      <c r="AI157" s="429"/>
      <c r="AJ157" s="429"/>
      <c r="AK157" s="429"/>
      <c r="AL157" s="429"/>
      <c r="AM157" s="429"/>
      <c r="AN157" s="429"/>
      <c r="AO157" s="429"/>
      <c r="AP157" s="429"/>
      <c r="AQ157" s="429"/>
      <c r="AR157" s="429"/>
      <c r="AS157" s="429"/>
      <c r="AT157" s="429"/>
      <c r="AU157" s="429"/>
      <c r="AV157" s="429"/>
      <c r="AW157" s="429"/>
      <c r="AX157" s="429"/>
      <c r="AY157" s="429"/>
      <c r="AZ157" s="429"/>
      <c r="BA157" s="429"/>
      <c r="BB157" s="429"/>
      <c r="BC157" s="429"/>
      <c r="BD157" s="429"/>
      <c r="BE157" s="429"/>
      <c r="BF157" s="429"/>
      <c r="BG157" s="429"/>
      <c r="BH157" s="429"/>
      <c r="BI157" s="429"/>
      <c r="BJ157" s="429"/>
      <c r="BK157" s="429"/>
      <c r="BL157" s="429"/>
      <c r="BM157" s="429"/>
      <c r="BN157" s="429"/>
      <c r="BO157" s="429"/>
      <c r="BP157" s="429"/>
      <c r="BQ157" s="429"/>
      <c r="BR157" s="429"/>
      <c r="BS157" s="429"/>
      <c r="BT157" s="429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9"/>
      <c r="CE157" s="429"/>
      <c r="CF157" s="429"/>
      <c r="CG157" s="429"/>
      <c r="CH157" s="429"/>
      <c r="CI157" s="429"/>
      <c r="CJ157" s="429"/>
      <c r="CK157" s="429"/>
      <c r="CL157" s="429"/>
      <c r="CM157" s="429"/>
      <c r="CN157" s="429"/>
      <c r="CO157" s="429"/>
      <c r="CP157" s="429"/>
      <c r="CQ157" s="429"/>
      <c r="CR157" s="429"/>
      <c r="CS157" s="429"/>
      <c r="CT157" s="431"/>
      <c r="CU157" s="431"/>
      <c r="CV157" s="431"/>
      <c r="CW157" s="431"/>
      <c r="CX157" s="429"/>
      <c r="CY157" s="431"/>
      <c r="CZ157" s="431"/>
      <c r="DA157" s="431"/>
      <c r="DB157" s="431"/>
      <c r="DC157" s="431"/>
      <c r="DD157" s="431"/>
      <c r="DE157" s="431"/>
      <c r="DF157" s="431"/>
      <c r="DG157" s="431"/>
      <c r="DH157" s="431"/>
      <c r="DI157" s="431"/>
      <c r="DJ157" s="397">
        <v>42</v>
      </c>
      <c r="DK157" s="397">
        <v>54</v>
      </c>
      <c r="DL157" s="397">
        <v>79</v>
      </c>
      <c r="DM157" s="397">
        <v>71</v>
      </c>
      <c r="DN157" s="397">
        <v>595</v>
      </c>
      <c r="DO157" s="397">
        <v>1257</v>
      </c>
      <c r="DP157" s="397">
        <v>1303</v>
      </c>
      <c r="DQ157" s="397">
        <v>1397</v>
      </c>
      <c r="DR157" s="397">
        <v>1562</v>
      </c>
      <c r="DS157" s="397">
        <v>1459</v>
      </c>
      <c r="DT157" s="397">
        <v>1243</v>
      </c>
      <c r="DU157" s="397">
        <v>1057</v>
      </c>
      <c r="DV157" s="376">
        <v>846</v>
      </c>
      <c r="DW157" s="376">
        <v>861</v>
      </c>
      <c r="DX157" s="376">
        <v>927</v>
      </c>
      <c r="DY157" s="376">
        <v>923</v>
      </c>
      <c r="DZ157" s="376">
        <v>823</v>
      </c>
      <c r="EA157" s="376">
        <v>824</v>
      </c>
      <c r="EB157" s="376">
        <v>857</v>
      </c>
      <c r="EC157" s="376">
        <v>950</v>
      </c>
      <c r="ED157" s="376">
        <v>873</v>
      </c>
      <c r="EE157" s="410">
        <f t="shared" ref="EE157:EH157" si="341">ED157*(1+EE158)</f>
        <v>960.30000000000007</v>
      </c>
      <c r="EF157" s="410">
        <f t="shared" si="341"/>
        <v>1037.1240000000003</v>
      </c>
      <c r="EG157" s="410">
        <f t="shared" si="341"/>
        <v>1078.6089600000003</v>
      </c>
      <c r="EH157" s="410">
        <f t="shared" si="341"/>
        <v>992.32024320000028</v>
      </c>
      <c r="EI157" s="410">
        <f>EH157*(1+EI158)</f>
        <v>1032.0130529280004</v>
      </c>
      <c r="EJ157" s="410">
        <f>EI157*(1+EJ158)</f>
        <v>1093.9338361036805</v>
      </c>
      <c r="EK157" s="410">
        <f>EJ157*(1+EK158)</f>
        <v>1170.5092046309383</v>
      </c>
      <c r="EL157" s="410">
        <f t="shared" ref="EL157" si="342">EK157*(1+EL158)</f>
        <v>1076.8684682604633</v>
      </c>
      <c r="EM157" s="410">
        <f>EL157*(1+EM158)</f>
        <v>1119.9432069908819</v>
      </c>
      <c r="EN157" s="410">
        <f>EM157*(1+EN158)</f>
        <v>1175.9403673404261</v>
      </c>
      <c r="EO157" s="410">
        <f>EN157*(1+EO158)</f>
        <v>1222.9779820340432</v>
      </c>
      <c r="EP157" s="410">
        <f t="shared" ref="EP157" si="343">EO157*(1+EP158)</f>
        <v>1149.5993031120006</v>
      </c>
      <c r="EQ157" s="410">
        <f>EP157*(1+EQ158)</f>
        <v>1195.5832752364806</v>
      </c>
      <c r="ER157" s="410">
        <f>EQ157*(1+ER158)</f>
        <v>1267.3182717506695</v>
      </c>
      <c r="ES157" s="410">
        <f>ER157*(1+ES158)</f>
        <v>1318.0110026206964</v>
      </c>
      <c r="ET157" s="410">
        <f t="shared" ref="ET157" si="344">ES157*(1+ET158)</f>
        <v>1238.9303424634545</v>
      </c>
      <c r="EU157" s="410">
        <f>ET157*(1+EU158)</f>
        <v>1276.0982527373583</v>
      </c>
      <c r="EV157" s="410">
        <f>EU157*(1+EV158)</f>
        <v>1339.9031653742263</v>
      </c>
      <c r="EW157" s="410">
        <f>EV157*(1+EW158)</f>
        <v>1380.1002603354532</v>
      </c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376">
        <f>SUM(DJ157:DM157)</f>
        <v>246</v>
      </c>
      <c r="GC157" s="376">
        <f>SUM(DN157:DQ157)</f>
        <v>4552</v>
      </c>
      <c r="GD157" s="376">
        <f>SUM(DR157:DU157)</f>
        <v>5321</v>
      </c>
      <c r="GE157" s="376">
        <f>SUM(DV157:DY157)</f>
        <v>3557</v>
      </c>
      <c r="GF157" s="376">
        <f>SUM(DZ157:EC157)</f>
        <v>3454</v>
      </c>
      <c r="GG157" s="380">
        <f>SUM(ED157:EG157)</f>
        <v>3949.0329600000005</v>
      </c>
      <c r="GH157" s="410">
        <f>SUM(EH157:EK157)</f>
        <v>4288.7763368626192</v>
      </c>
      <c r="GI157" s="410">
        <f>SUM(EL157:EO157)</f>
        <v>4595.7300246258146</v>
      </c>
      <c r="GJ157" s="410">
        <f>SUM(EP157:ES157)</f>
        <v>4930.5118527198474</v>
      </c>
      <c r="GK157" s="410">
        <f>SUM(ET157:EW157)</f>
        <v>5235.0320209104921</v>
      </c>
      <c r="GM157" s="432"/>
      <c r="GN157" s="70"/>
    </row>
    <row r="158" spans="1:196" s="382" customFormat="1">
      <c r="A158" s="381" t="s">
        <v>198</v>
      </c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92"/>
      <c r="U158" s="392"/>
      <c r="V158" s="392"/>
      <c r="W158" s="392"/>
      <c r="X158" s="392"/>
      <c r="Y158" s="392"/>
      <c r="Z158" s="392"/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/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392"/>
      <c r="AY158" s="392"/>
      <c r="AZ158" s="392"/>
      <c r="BA158" s="392"/>
      <c r="BB158" s="392"/>
      <c r="BC158" s="392"/>
      <c r="BD158" s="392"/>
      <c r="BE158" s="392"/>
      <c r="BF158" s="392"/>
      <c r="BG158" s="392"/>
      <c r="BH158" s="392"/>
      <c r="BI158" s="392"/>
      <c r="BJ158" s="392"/>
      <c r="BK158" s="392"/>
      <c r="BL158" s="392"/>
      <c r="BM158" s="392"/>
      <c r="BN158" s="392"/>
      <c r="BO158" s="392"/>
      <c r="BP158" s="392"/>
      <c r="BQ158" s="392"/>
      <c r="BR158" s="392"/>
      <c r="BS158" s="392"/>
      <c r="BT158" s="392"/>
      <c r="BU158" s="392"/>
      <c r="BV158" s="392"/>
      <c r="BW158" s="392"/>
      <c r="BX158" s="392"/>
      <c r="BY158" s="392"/>
      <c r="BZ158" s="392"/>
      <c r="CA158" s="392"/>
      <c r="CB158" s="392"/>
      <c r="CC158" s="392"/>
      <c r="CD158" s="392"/>
      <c r="CE158" s="392"/>
      <c r="CF158" s="392"/>
      <c r="CG158" s="392"/>
      <c r="CH158" s="392"/>
      <c r="CI158" s="392"/>
      <c r="CJ158" s="392"/>
      <c r="CK158" s="392"/>
      <c r="CL158" s="392"/>
      <c r="CM158" s="392"/>
      <c r="CN158" s="392"/>
      <c r="CO158" s="392"/>
      <c r="CP158" s="392"/>
      <c r="CQ158" s="392"/>
      <c r="CR158" s="392"/>
      <c r="CS158" s="392"/>
      <c r="CT158" s="387"/>
      <c r="CU158" s="387"/>
      <c r="CV158" s="387"/>
      <c r="CW158" s="387"/>
      <c r="CX158" s="392"/>
      <c r="CY158" s="387"/>
      <c r="CZ158" s="387"/>
      <c r="DA158" s="387"/>
      <c r="DB158" s="387"/>
      <c r="DC158" s="387"/>
      <c r="DD158" s="387"/>
      <c r="DE158" s="387"/>
      <c r="DF158" s="387"/>
      <c r="DG158" s="387"/>
      <c r="DH158" s="387"/>
      <c r="DI158" s="387"/>
      <c r="DJ158" s="442"/>
      <c r="DK158" s="33">
        <f t="shared" ref="DK158:ED158" si="345">DK157/DJ157-1</f>
        <v>0.28571428571428581</v>
      </c>
      <c r="DL158" s="33">
        <f t="shared" si="345"/>
        <v>0.46296296296296302</v>
      </c>
      <c r="DM158" s="33">
        <f t="shared" si="345"/>
        <v>-0.10126582278481011</v>
      </c>
      <c r="DN158" s="33">
        <f t="shared" si="345"/>
        <v>7.3802816901408459</v>
      </c>
      <c r="DO158" s="33">
        <f t="shared" si="345"/>
        <v>1.1126050420168068</v>
      </c>
      <c r="DP158" s="33">
        <f t="shared" si="345"/>
        <v>3.6595067621320698E-2</v>
      </c>
      <c r="DQ158" s="33">
        <f t="shared" si="345"/>
        <v>7.214121258633921E-2</v>
      </c>
      <c r="DR158" s="33">
        <f t="shared" si="345"/>
        <v>0.11811023622047245</v>
      </c>
      <c r="DS158" s="33">
        <f t="shared" si="345"/>
        <v>-6.5941101152368731E-2</v>
      </c>
      <c r="DT158" s="33">
        <f t="shared" si="345"/>
        <v>-0.14804660726525021</v>
      </c>
      <c r="DU158" s="33">
        <f t="shared" si="345"/>
        <v>-0.14963797264682221</v>
      </c>
      <c r="DV158" s="66">
        <f t="shared" si="345"/>
        <v>-0.19962157048249762</v>
      </c>
      <c r="DW158" s="66">
        <f t="shared" si="345"/>
        <v>1.7730496453900679E-2</v>
      </c>
      <c r="DX158" s="66">
        <f t="shared" si="345"/>
        <v>7.6655052264808399E-2</v>
      </c>
      <c r="DY158" s="66">
        <f t="shared" si="345"/>
        <v>-4.3149946062567279E-3</v>
      </c>
      <c r="DZ158" s="66">
        <f t="shared" si="345"/>
        <v>-0.10834236186348867</v>
      </c>
      <c r="EA158" s="66">
        <f t="shared" si="345"/>
        <v>1.2150668286756705E-3</v>
      </c>
      <c r="EB158" s="66">
        <f t="shared" si="345"/>
        <v>4.0048543689320315E-2</v>
      </c>
      <c r="EC158" s="66">
        <f t="shared" si="345"/>
        <v>0.10851808634772464</v>
      </c>
      <c r="ED158" s="66">
        <f t="shared" si="345"/>
        <v>-8.1052631578947376E-2</v>
      </c>
      <c r="EE158" s="149">
        <v>0.1</v>
      </c>
      <c r="EF158" s="149">
        <v>0.08</v>
      </c>
      <c r="EG158" s="149">
        <v>0.04</v>
      </c>
      <c r="EH158" s="149">
        <v>-0.08</v>
      </c>
      <c r="EI158" s="149">
        <v>0.04</v>
      </c>
      <c r="EJ158" s="149">
        <v>0.06</v>
      </c>
      <c r="EK158" s="149">
        <v>7.0000000000000007E-2</v>
      </c>
      <c r="EL158" s="149">
        <v>-0.08</v>
      </c>
      <c r="EM158" s="149">
        <v>0.04</v>
      </c>
      <c r="EN158" s="149">
        <v>0.05</v>
      </c>
      <c r="EO158" s="149">
        <v>0.04</v>
      </c>
      <c r="EP158" s="149">
        <v>-0.06</v>
      </c>
      <c r="EQ158" s="149">
        <v>0.04</v>
      </c>
      <c r="ER158" s="149">
        <v>0.06</v>
      </c>
      <c r="ES158" s="149">
        <v>0.04</v>
      </c>
      <c r="ET158" s="149">
        <v>-0.06</v>
      </c>
      <c r="EU158" s="149">
        <v>0.03</v>
      </c>
      <c r="EV158" s="149">
        <v>0.05</v>
      </c>
      <c r="EW158" s="149">
        <v>0.03</v>
      </c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386" t="s">
        <v>199</v>
      </c>
      <c r="GC158" s="386" t="s">
        <v>199</v>
      </c>
      <c r="GD158" s="386" t="s">
        <v>199</v>
      </c>
      <c r="GE158" s="386" t="s">
        <v>199</v>
      </c>
      <c r="GF158" s="386" t="s">
        <v>199</v>
      </c>
      <c r="GG158" s="386" t="s">
        <v>199</v>
      </c>
      <c r="GH158" s="386" t="s">
        <v>199</v>
      </c>
      <c r="GI158" s="386" t="s">
        <v>199</v>
      </c>
      <c r="GJ158" s="386" t="s">
        <v>199</v>
      </c>
      <c r="GK158" s="386" t="s">
        <v>199</v>
      </c>
      <c r="GN158" s="443"/>
    </row>
    <row r="159" spans="1:196" s="382" customFormat="1">
      <c r="A159" s="381" t="s">
        <v>200</v>
      </c>
      <c r="B159" s="392"/>
      <c r="C159" s="392"/>
      <c r="D159" s="392"/>
      <c r="E159" s="392"/>
      <c r="F159" s="392"/>
      <c r="G159" s="392"/>
      <c r="H159" s="392"/>
      <c r="I159" s="392"/>
      <c r="J159" s="392"/>
      <c r="K159" s="392"/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2"/>
      <c r="Y159" s="392"/>
      <c r="Z159" s="392"/>
      <c r="AA159" s="392"/>
      <c r="AB159" s="392"/>
      <c r="AC159" s="392"/>
      <c r="AD159" s="392"/>
      <c r="AE159" s="392"/>
      <c r="AF159" s="392"/>
      <c r="AG159" s="392"/>
      <c r="AH159" s="392"/>
      <c r="AI159" s="392"/>
      <c r="AJ159" s="392"/>
      <c r="AK159" s="392"/>
      <c r="AL159" s="392"/>
      <c r="AM159" s="392"/>
      <c r="AN159" s="392"/>
      <c r="AO159" s="392"/>
      <c r="AP159" s="392"/>
      <c r="AQ159" s="392"/>
      <c r="AR159" s="392"/>
      <c r="AS159" s="392"/>
      <c r="AT159" s="392"/>
      <c r="AU159" s="392"/>
      <c r="AV159" s="392"/>
      <c r="AW159" s="392"/>
      <c r="AX159" s="392"/>
      <c r="AY159" s="392"/>
      <c r="AZ159" s="392"/>
      <c r="BA159" s="392"/>
      <c r="BB159" s="392"/>
      <c r="BC159" s="392"/>
      <c r="BD159" s="392"/>
      <c r="BE159" s="392"/>
      <c r="BF159" s="392"/>
      <c r="BG159" s="392"/>
      <c r="BH159" s="392"/>
      <c r="BI159" s="392"/>
      <c r="BJ159" s="392"/>
      <c r="BK159" s="392"/>
      <c r="BL159" s="392"/>
      <c r="BM159" s="392"/>
      <c r="BN159" s="392"/>
      <c r="BO159" s="392"/>
      <c r="BP159" s="392"/>
      <c r="BQ159" s="392"/>
      <c r="BR159" s="392"/>
      <c r="BS159" s="392"/>
      <c r="BT159" s="392"/>
      <c r="BU159" s="392"/>
      <c r="BV159" s="392"/>
      <c r="BW159" s="392"/>
      <c r="BX159" s="392"/>
      <c r="BY159" s="392"/>
      <c r="BZ159" s="392"/>
      <c r="CA159" s="392"/>
      <c r="CB159" s="392"/>
      <c r="CC159" s="392"/>
      <c r="CD159" s="392"/>
      <c r="CE159" s="392"/>
      <c r="CF159" s="392"/>
      <c r="CG159" s="392"/>
      <c r="CH159" s="392"/>
      <c r="CI159" s="392"/>
      <c r="CJ159" s="392"/>
      <c r="CK159" s="392"/>
      <c r="CL159" s="392"/>
      <c r="CM159" s="392"/>
      <c r="CN159" s="392"/>
      <c r="CO159" s="392"/>
      <c r="CP159" s="392"/>
      <c r="CQ159" s="392"/>
      <c r="CR159" s="392"/>
      <c r="CS159" s="392"/>
      <c r="CT159" s="387"/>
      <c r="CU159" s="387"/>
      <c r="CV159" s="387"/>
      <c r="CW159" s="387"/>
      <c r="CX159" s="392"/>
      <c r="CY159" s="387"/>
      <c r="CZ159" s="387"/>
      <c r="DA159" s="387"/>
      <c r="DB159" s="387"/>
      <c r="DC159" s="387"/>
      <c r="DD159" s="387"/>
      <c r="DE159" s="387"/>
      <c r="DF159" s="387"/>
      <c r="DG159" s="387"/>
      <c r="DH159" s="387"/>
      <c r="DI159" s="387"/>
      <c r="DJ159" s="442"/>
      <c r="DK159" s="33"/>
      <c r="DL159" s="33"/>
      <c r="DM159" s="33"/>
      <c r="DN159" s="67" t="s">
        <v>199</v>
      </c>
      <c r="DO159" s="67" t="s">
        <v>199</v>
      </c>
      <c r="DP159" s="67" t="s">
        <v>199</v>
      </c>
      <c r="DQ159" s="67" t="s">
        <v>199</v>
      </c>
      <c r="DR159" s="33">
        <f t="shared" ref="DR159:EW159" si="346">DR157/DN157-1</f>
        <v>1.6252100840336134</v>
      </c>
      <c r="DS159" s="33">
        <f t="shared" si="346"/>
        <v>0.16070007955449483</v>
      </c>
      <c r="DT159" s="33">
        <f t="shared" si="346"/>
        <v>-4.6047582501918649E-2</v>
      </c>
      <c r="DU159" s="33">
        <f t="shared" si="346"/>
        <v>-0.24337866857551893</v>
      </c>
      <c r="DV159" s="66">
        <f t="shared" si="346"/>
        <v>-0.45838668373879643</v>
      </c>
      <c r="DW159" s="66">
        <f t="shared" si="346"/>
        <v>-0.4098697738176833</v>
      </c>
      <c r="DX159" s="66">
        <f t="shared" si="346"/>
        <v>-0.2542236524537409</v>
      </c>
      <c r="DY159" s="66">
        <f t="shared" si="346"/>
        <v>-0.12677388836329229</v>
      </c>
      <c r="DZ159" s="66">
        <f t="shared" si="346"/>
        <v>-2.7186761229314405E-2</v>
      </c>
      <c r="EA159" s="66">
        <f t="shared" si="346"/>
        <v>-4.297328687572588E-2</v>
      </c>
      <c r="EB159" s="66">
        <f t="shared" si="346"/>
        <v>-7.5512405609493016E-2</v>
      </c>
      <c r="EC159" s="66">
        <f t="shared" si="346"/>
        <v>2.9252437703142009E-2</v>
      </c>
      <c r="ED159" s="66">
        <f t="shared" si="346"/>
        <v>6.0753341433778862E-2</v>
      </c>
      <c r="EE159" s="149">
        <f t="shared" si="346"/>
        <v>0.1654126213592233</v>
      </c>
      <c r="EF159" s="149">
        <f t="shared" si="346"/>
        <v>0.21017969661610292</v>
      </c>
      <c r="EG159" s="149">
        <f t="shared" si="346"/>
        <v>0.1353778526315792</v>
      </c>
      <c r="EH159" s="149">
        <f t="shared" si="346"/>
        <v>0.13667840000000031</v>
      </c>
      <c r="EI159" s="149">
        <f t="shared" si="346"/>
        <v>7.4677760000000371E-2</v>
      </c>
      <c r="EJ159" s="149">
        <f t="shared" si="346"/>
        <v>5.4776320000000212E-2</v>
      </c>
      <c r="EK159" s="149">
        <f t="shared" si="346"/>
        <v>8.5202560000000371E-2</v>
      </c>
      <c r="EL159" s="149">
        <f t="shared" si="346"/>
        <v>8.5202560000000371E-2</v>
      </c>
      <c r="EM159" s="149">
        <f t="shared" si="346"/>
        <v>8.5202560000000371E-2</v>
      </c>
      <c r="EN159" s="149">
        <f t="shared" si="346"/>
        <v>7.4964800000000276E-2</v>
      </c>
      <c r="EO159" s="149">
        <f t="shared" si="346"/>
        <v>4.4825600000000243E-2</v>
      </c>
      <c r="EP159" s="149">
        <f t="shared" si="346"/>
        <v>6.7539200000000132E-2</v>
      </c>
      <c r="EQ159" s="149">
        <f t="shared" si="346"/>
        <v>6.7539200000000132E-2</v>
      </c>
      <c r="ER159" s="149">
        <f t="shared" si="346"/>
        <v>7.7706240000000149E-2</v>
      </c>
      <c r="ES159" s="149">
        <f t="shared" si="346"/>
        <v>7.7706240000000149E-2</v>
      </c>
      <c r="ET159" s="149">
        <f t="shared" si="346"/>
        <v>7.7706240000000149E-2</v>
      </c>
      <c r="EU159" s="149">
        <f t="shared" si="346"/>
        <v>6.7343680000000239E-2</v>
      </c>
      <c r="EV159" s="149">
        <f t="shared" si="346"/>
        <v>5.7274400000000281E-2</v>
      </c>
      <c r="EW159" s="149">
        <f t="shared" si="346"/>
        <v>4.7108300000000103E-2</v>
      </c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386" t="s">
        <v>199</v>
      </c>
      <c r="GC159" s="382">
        <f t="shared" ref="GC159:GK159" si="347">GC157/GB157-1</f>
        <v>17.504065040650406</v>
      </c>
      <c r="GD159" s="382">
        <f t="shared" si="347"/>
        <v>0.16893673110720564</v>
      </c>
      <c r="GE159" s="382">
        <f t="shared" si="347"/>
        <v>-0.33151663221199024</v>
      </c>
      <c r="GF159" s="382">
        <f t="shared" si="347"/>
        <v>-2.8956986224346393E-2</v>
      </c>
      <c r="GG159" s="387">
        <f t="shared" si="347"/>
        <v>0.1433216444701797</v>
      </c>
      <c r="GH159" s="387">
        <f t="shared" si="347"/>
        <v>8.6032043870968078E-2</v>
      </c>
      <c r="GI159" s="387">
        <f t="shared" si="347"/>
        <v>7.1571390917471334E-2</v>
      </c>
      <c r="GJ159" s="387">
        <f t="shared" si="347"/>
        <v>7.284627824091805E-2</v>
      </c>
      <c r="GK159" s="387">
        <f t="shared" si="347"/>
        <v>6.1762384370430023E-2</v>
      </c>
      <c r="GN159" s="443"/>
    </row>
    <row r="160" spans="1:196" s="382" customFormat="1">
      <c r="A160" s="381" t="s">
        <v>261</v>
      </c>
      <c r="B160" s="392"/>
      <c r="C160" s="392"/>
      <c r="D160" s="392"/>
      <c r="E160" s="392"/>
      <c r="F160" s="392"/>
      <c r="G160" s="392"/>
      <c r="H160" s="392"/>
      <c r="I160" s="392"/>
      <c r="J160" s="392"/>
      <c r="K160" s="392"/>
      <c r="L160" s="392"/>
      <c r="M160" s="392"/>
      <c r="N160" s="392"/>
      <c r="O160" s="392"/>
      <c r="P160" s="392"/>
      <c r="Q160" s="392"/>
      <c r="R160" s="392"/>
      <c r="S160" s="392"/>
      <c r="T160" s="392"/>
      <c r="U160" s="392"/>
      <c r="V160" s="392"/>
      <c r="W160" s="392"/>
      <c r="X160" s="392"/>
      <c r="Y160" s="392"/>
      <c r="Z160" s="392"/>
      <c r="AA160" s="392"/>
      <c r="AB160" s="392"/>
      <c r="AC160" s="392"/>
      <c r="AD160" s="392"/>
      <c r="AE160" s="392"/>
      <c r="AF160" s="392"/>
      <c r="AG160" s="392"/>
      <c r="AH160" s="392"/>
      <c r="AI160" s="392"/>
      <c r="AJ160" s="392"/>
      <c r="AK160" s="392"/>
      <c r="AL160" s="392"/>
      <c r="AM160" s="392"/>
      <c r="AN160" s="392"/>
      <c r="AO160" s="392"/>
      <c r="AP160" s="392"/>
      <c r="AQ160" s="392"/>
      <c r="AR160" s="392"/>
      <c r="AS160" s="392"/>
      <c r="AT160" s="392"/>
      <c r="AU160" s="392"/>
      <c r="AV160" s="392"/>
      <c r="AW160" s="392"/>
      <c r="AX160" s="392"/>
      <c r="AY160" s="392"/>
      <c r="AZ160" s="392"/>
      <c r="BA160" s="392"/>
      <c r="BB160" s="392"/>
      <c r="BC160" s="392"/>
      <c r="BD160" s="392"/>
      <c r="BE160" s="392"/>
      <c r="BF160" s="392"/>
      <c r="BG160" s="392"/>
      <c r="BH160" s="392"/>
      <c r="BI160" s="392"/>
      <c r="BJ160" s="392"/>
      <c r="BK160" s="392"/>
      <c r="BL160" s="392"/>
      <c r="BM160" s="392"/>
      <c r="BN160" s="392"/>
      <c r="BO160" s="392"/>
      <c r="BP160" s="392"/>
      <c r="BQ160" s="392"/>
      <c r="BR160" s="392"/>
      <c r="BS160" s="392"/>
      <c r="BT160" s="392"/>
      <c r="BU160" s="392"/>
      <c r="BV160" s="392"/>
      <c r="BW160" s="392"/>
      <c r="BX160" s="392"/>
      <c r="BY160" s="392"/>
      <c r="BZ160" s="392"/>
      <c r="CA160" s="392"/>
      <c r="CB160" s="392"/>
      <c r="CC160" s="392"/>
      <c r="CD160" s="392"/>
      <c r="CE160" s="392"/>
      <c r="CF160" s="392"/>
      <c r="CG160" s="392"/>
      <c r="CH160" s="392"/>
      <c r="CI160" s="392"/>
      <c r="CJ160" s="392"/>
      <c r="CK160" s="392"/>
      <c r="CL160" s="392"/>
      <c r="CM160" s="392"/>
      <c r="CN160" s="392"/>
      <c r="CO160" s="392"/>
      <c r="CP160" s="392"/>
      <c r="CQ160" s="392"/>
      <c r="CR160" s="392"/>
      <c r="CS160" s="392"/>
      <c r="CT160" s="387"/>
      <c r="CU160" s="387"/>
      <c r="CV160" s="387"/>
      <c r="CW160" s="387"/>
      <c r="CX160" s="392"/>
      <c r="CY160" s="387"/>
      <c r="CZ160" s="387"/>
      <c r="DA160" s="387"/>
      <c r="DB160" s="387"/>
      <c r="DC160" s="387"/>
      <c r="DD160" s="387"/>
      <c r="DE160" s="387"/>
      <c r="DF160" s="387"/>
      <c r="DG160" s="387"/>
      <c r="DH160" s="387"/>
      <c r="DI160" s="387"/>
      <c r="DJ160" s="33">
        <f t="shared" ref="DJ160:EW160" si="348">DJ157/DJ$161</f>
        <v>1.2191582002902757E-2</v>
      </c>
      <c r="DK160" s="33">
        <f t="shared" si="348"/>
        <v>1.4025974025974027E-2</v>
      </c>
      <c r="DL160" s="33">
        <f t="shared" si="348"/>
        <v>1.831671690238813E-2</v>
      </c>
      <c r="DM160" s="33">
        <f t="shared" si="348"/>
        <v>1.4711976792374638E-2</v>
      </c>
      <c r="DN160" s="33">
        <f t="shared" si="348"/>
        <v>0.10107015457788347</v>
      </c>
      <c r="DO160" s="33">
        <f t="shared" si="348"/>
        <v>0.19190839694656489</v>
      </c>
      <c r="DP160" s="33">
        <f t="shared" si="348"/>
        <v>0.23414195867026055</v>
      </c>
      <c r="DQ160" s="33">
        <f t="shared" si="348"/>
        <v>0.24950884086444008</v>
      </c>
      <c r="DR160" s="33">
        <f t="shared" si="348"/>
        <v>0.29179899121987668</v>
      </c>
      <c r="DS160" s="33">
        <f t="shared" si="348"/>
        <v>0.27225228587423028</v>
      </c>
      <c r="DT160" s="33">
        <f t="shared" si="348"/>
        <v>0.21431034482758621</v>
      </c>
      <c r="DU160" s="33">
        <f t="shared" si="348"/>
        <v>0.17136835278858625</v>
      </c>
      <c r="DV160" s="66">
        <f t="shared" si="348"/>
        <v>0.15457701443449662</v>
      </c>
      <c r="DW160" s="66">
        <f t="shared" si="348"/>
        <v>0.14755784061696658</v>
      </c>
      <c r="DX160" s="66">
        <f>DX157/DX$161</f>
        <v>0.13594368675758908</v>
      </c>
      <c r="DY160" s="66">
        <f>DY157/DY$161</f>
        <v>0.12052755288587098</v>
      </c>
      <c r="DZ160" s="66">
        <f t="shared" si="348"/>
        <v>0.1106480236622748</v>
      </c>
      <c r="EA160" s="66">
        <f t="shared" si="348"/>
        <v>0.10722186076772934</v>
      </c>
      <c r="EB160" s="66">
        <f t="shared" si="348"/>
        <v>9.2688730261734797E-2</v>
      </c>
      <c r="EC160" s="66">
        <f t="shared" si="348"/>
        <v>9.2502434274586168E-2</v>
      </c>
      <c r="ED160" s="66">
        <f t="shared" si="348"/>
        <v>8.5145810982151571E-2</v>
      </c>
      <c r="EE160" s="149">
        <f t="shared" si="348"/>
        <v>8.5569059974242162E-2</v>
      </c>
      <c r="EF160" s="149">
        <f t="shared" si="348"/>
        <v>8.6472974553103529E-2</v>
      </c>
      <c r="EG160" s="149">
        <f t="shared" si="348"/>
        <v>6.6615441446777862E-2</v>
      </c>
      <c r="EH160" s="149">
        <f t="shared" si="348"/>
        <v>5.6915952127635852E-2</v>
      </c>
      <c r="EI160" s="149">
        <f t="shared" si="348"/>
        <v>5.3718450355517783E-2</v>
      </c>
      <c r="EJ160" s="149">
        <f t="shared" si="348"/>
        <v>4.9419144329196585E-2</v>
      </c>
      <c r="EK160" s="149">
        <f t="shared" si="348"/>
        <v>4.773982215730016E-2</v>
      </c>
      <c r="EL160" s="149">
        <f t="shared" si="348"/>
        <v>4.4979216097925483E-2</v>
      </c>
      <c r="EM160" s="149">
        <f t="shared" si="348"/>
        <v>4.4738516629679051E-2</v>
      </c>
      <c r="EN160" s="149">
        <f t="shared" si="348"/>
        <v>4.376092069675195E-2</v>
      </c>
      <c r="EO160" s="149">
        <f t="shared" si="348"/>
        <v>4.2535279771875906E-2</v>
      </c>
      <c r="EP160" s="149">
        <f t="shared" si="348"/>
        <v>4.0799838933771294E-2</v>
      </c>
      <c r="EQ160" s="149">
        <f t="shared" si="348"/>
        <v>4.069616192484591E-2</v>
      </c>
      <c r="ER160" s="149">
        <f t="shared" si="348"/>
        <v>3.9958164158351739E-2</v>
      </c>
      <c r="ES160" s="149">
        <f t="shared" si="348"/>
        <v>3.9801956106010082E-2</v>
      </c>
      <c r="ET160" s="149">
        <f t="shared" si="348"/>
        <v>3.9066214112623066E-2</v>
      </c>
      <c r="EU160" s="149">
        <f t="shared" si="348"/>
        <v>3.8605374013669674E-2</v>
      </c>
      <c r="EV160" s="149">
        <f t="shared" si="348"/>
        <v>3.6890022441721342E-2</v>
      </c>
      <c r="EW160" s="149">
        <f t="shared" si="348"/>
        <v>3.6321095896773611E-2</v>
      </c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382">
        <f t="shared" ref="GB160:GG160" si="349">GB157/GB$161</f>
        <v>1.4968966776195691E-2</v>
      </c>
      <c r="GC160" s="382">
        <f t="shared" si="349"/>
        <v>0.192873183339689</v>
      </c>
      <c r="GD160" s="382">
        <f t="shared" si="349"/>
        <v>0.23461199294532628</v>
      </c>
      <c r="GE160" s="382">
        <f t="shared" si="349"/>
        <v>0.1379484196238123</v>
      </c>
      <c r="GF160" s="382">
        <f t="shared" si="349"/>
        <v>9.9714194982534143E-2</v>
      </c>
      <c r="GG160" s="384">
        <f t="shared" si="349"/>
        <v>7.9520267835514025E-2</v>
      </c>
      <c r="GH160" s="384">
        <f>GH157/GH$161</f>
        <v>5.14854816918522E-2</v>
      </c>
      <c r="GI160" s="384">
        <f t="shared" ref="GI160:GK160" si="350">GI157/GI$161</f>
        <v>4.3936834124767642E-2</v>
      </c>
      <c r="GJ160" s="384">
        <f t="shared" si="350"/>
        <v>4.0286830535144036E-2</v>
      </c>
      <c r="GK160" s="384">
        <f t="shared" si="350"/>
        <v>3.7638459492000627E-2</v>
      </c>
      <c r="GN160" s="443"/>
    </row>
    <row r="161" spans="1:196" s="418" customFormat="1">
      <c r="A161" s="376" t="s">
        <v>275</v>
      </c>
      <c r="B161" s="429"/>
      <c r="C161" s="429"/>
      <c r="D161" s="429"/>
      <c r="E161" s="429"/>
      <c r="F161" s="429"/>
      <c r="G161" s="429"/>
      <c r="H161" s="429"/>
      <c r="I161" s="429"/>
      <c r="J161" s="429"/>
      <c r="K161" s="429"/>
      <c r="L161" s="429"/>
      <c r="M161" s="429"/>
      <c r="N161" s="429"/>
      <c r="O161" s="429"/>
      <c r="P161" s="429"/>
      <c r="Q161" s="429"/>
      <c r="R161" s="429"/>
      <c r="S161" s="429"/>
      <c r="T161" s="429"/>
      <c r="U161" s="429"/>
      <c r="V161" s="429"/>
      <c r="W161" s="429"/>
      <c r="X161" s="429"/>
      <c r="Y161" s="429"/>
      <c r="Z161" s="429"/>
      <c r="AA161" s="429"/>
      <c r="AB161" s="429"/>
      <c r="AC161" s="429"/>
      <c r="AD161" s="429"/>
      <c r="AE161" s="429"/>
      <c r="AF161" s="429"/>
      <c r="AG161" s="429"/>
      <c r="AH161" s="429"/>
      <c r="AI161" s="429"/>
      <c r="AJ161" s="429"/>
      <c r="AK161" s="429"/>
      <c r="AL161" s="429"/>
      <c r="AM161" s="429"/>
      <c r="AN161" s="429"/>
      <c r="AO161" s="429"/>
      <c r="AP161" s="429"/>
      <c r="AQ161" s="429"/>
      <c r="AR161" s="429"/>
      <c r="AS161" s="429"/>
      <c r="AT161" s="429"/>
      <c r="AU161" s="429"/>
      <c r="AV161" s="429"/>
      <c r="AW161" s="429"/>
      <c r="AX161" s="429"/>
      <c r="AY161" s="429"/>
      <c r="AZ161" s="429"/>
      <c r="BA161" s="429"/>
      <c r="BB161" s="429"/>
      <c r="BC161" s="429"/>
      <c r="BD161" s="429"/>
      <c r="BE161" s="429"/>
      <c r="BF161" s="429"/>
      <c r="BG161" s="429"/>
      <c r="BH161" s="429"/>
      <c r="BI161" s="429"/>
      <c r="BJ161" s="429"/>
      <c r="BK161" s="429"/>
      <c r="BL161" s="429"/>
      <c r="BM161" s="429"/>
      <c r="BN161" s="429"/>
      <c r="BO161" s="429"/>
      <c r="BP161" s="429"/>
      <c r="BQ161" s="429"/>
      <c r="BR161" s="429"/>
      <c r="BS161" s="429"/>
      <c r="BT161" s="429"/>
      <c r="BU161" s="429"/>
      <c r="BV161" s="429"/>
      <c r="BW161" s="429"/>
      <c r="BX161" s="429"/>
      <c r="BY161" s="429"/>
      <c r="BZ161" s="429"/>
      <c r="CA161" s="429"/>
      <c r="CB161" s="429"/>
      <c r="CC161" s="429"/>
      <c r="CD161" s="429"/>
      <c r="CE161" s="429"/>
      <c r="CF161" s="429"/>
      <c r="CG161" s="429"/>
      <c r="CH161" s="429"/>
      <c r="CI161" s="429"/>
      <c r="CJ161" s="429"/>
      <c r="CK161" s="429"/>
      <c r="CL161" s="429"/>
      <c r="CM161" s="429"/>
      <c r="CN161" s="429"/>
      <c r="CO161" s="429"/>
      <c r="CP161" s="429"/>
      <c r="CQ161" s="429"/>
      <c r="CR161" s="429"/>
      <c r="CS161" s="429"/>
      <c r="CT161" s="431"/>
      <c r="CU161" s="431"/>
      <c r="CV161" s="431"/>
      <c r="CW161" s="431"/>
      <c r="CX161" s="429"/>
      <c r="CY161" s="431"/>
      <c r="CZ161" s="431"/>
      <c r="DA161" s="431"/>
      <c r="DB161" s="431"/>
      <c r="DC161" s="431"/>
      <c r="DD161" s="431"/>
      <c r="DE161" s="431"/>
      <c r="DF161" s="431"/>
      <c r="DG161" s="431"/>
      <c r="DH161" s="431"/>
      <c r="DI161" s="431"/>
      <c r="DJ161" s="397">
        <f t="shared" ref="DJ161:EW161" si="351">DJ105+DJ121+DJ141+DJ157</f>
        <v>3445</v>
      </c>
      <c r="DK161" s="397">
        <f t="shared" si="351"/>
        <v>3850</v>
      </c>
      <c r="DL161" s="397">
        <f t="shared" si="351"/>
        <v>4313</v>
      </c>
      <c r="DM161" s="397">
        <f t="shared" si="351"/>
        <v>4826</v>
      </c>
      <c r="DN161" s="397">
        <f t="shared" si="351"/>
        <v>5887</v>
      </c>
      <c r="DO161" s="397">
        <f t="shared" si="351"/>
        <v>6550</v>
      </c>
      <c r="DP161" s="397">
        <f t="shared" si="351"/>
        <v>5565</v>
      </c>
      <c r="DQ161" s="397">
        <f t="shared" si="351"/>
        <v>5599</v>
      </c>
      <c r="DR161" s="397">
        <f t="shared" si="351"/>
        <v>5353</v>
      </c>
      <c r="DS161" s="397">
        <f t="shared" si="351"/>
        <v>5359</v>
      </c>
      <c r="DT161" s="397">
        <f t="shared" si="351"/>
        <v>5800</v>
      </c>
      <c r="DU161" s="397">
        <f t="shared" si="351"/>
        <v>6168</v>
      </c>
      <c r="DV161" s="376">
        <f>DV105+DV121+DV141+DV157</f>
        <v>5473</v>
      </c>
      <c r="DW161" s="376">
        <f t="shared" si="351"/>
        <v>5835</v>
      </c>
      <c r="DX161" s="376">
        <f>DX105+DX121+DX141+DX157</f>
        <v>6819</v>
      </c>
      <c r="DY161" s="376">
        <f>DY105+DY121+DY141+DY157</f>
        <v>7658</v>
      </c>
      <c r="DZ161" s="376">
        <f t="shared" si="351"/>
        <v>7438</v>
      </c>
      <c r="EA161" s="376">
        <f t="shared" si="351"/>
        <v>7685</v>
      </c>
      <c r="EB161" s="376">
        <f t="shared" si="351"/>
        <v>9246</v>
      </c>
      <c r="EC161" s="376">
        <f t="shared" si="351"/>
        <v>10270</v>
      </c>
      <c r="ED161" s="376">
        <f t="shared" si="351"/>
        <v>10253</v>
      </c>
      <c r="EE161" s="380">
        <f t="shared" si="351"/>
        <v>11222.514309366818</v>
      </c>
      <c r="EF161" s="380">
        <f t="shared" si="351"/>
        <v>11993.620034003765</v>
      </c>
      <c r="EG161" s="380">
        <f t="shared" si="351"/>
        <v>16191.575655349377</v>
      </c>
      <c r="EH161" s="380">
        <f t="shared" si="351"/>
        <v>17434.835157895457</v>
      </c>
      <c r="EI161" s="380">
        <f t="shared" si="351"/>
        <v>19211.519433229434</v>
      </c>
      <c r="EJ161" s="380">
        <f t="shared" si="351"/>
        <v>22135.831183491169</v>
      </c>
      <c r="EK161" s="380">
        <f t="shared" si="351"/>
        <v>24518.507856484532</v>
      </c>
      <c r="EL161" s="380">
        <f t="shared" si="351"/>
        <v>23941.468119764104</v>
      </c>
      <c r="EM161" s="380">
        <f t="shared" si="351"/>
        <v>25033.087624722979</v>
      </c>
      <c r="EN161" s="380">
        <f t="shared" si="351"/>
        <v>26871.929306270456</v>
      </c>
      <c r="EO161" s="380">
        <f t="shared" si="351"/>
        <v>28752.085059580812</v>
      </c>
      <c r="EP161" s="380">
        <f t="shared" si="351"/>
        <v>28176.564740319147</v>
      </c>
      <c r="EQ161" s="380">
        <f t="shared" si="351"/>
        <v>29378.280866986392</v>
      </c>
      <c r="ER161" s="380">
        <f t="shared" si="351"/>
        <v>31716.128567077441</v>
      </c>
      <c r="ES161" s="380">
        <f t="shared" si="351"/>
        <v>33114.22682619554</v>
      </c>
      <c r="ET161" s="380">
        <f t="shared" si="351"/>
        <v>31713.601397150269</v>
      </c>
      <c r="EU161" s="380">
        <f t="shared" si="351"/>
        <v>33054.938213667039</v>
      </c>
      <c r="EV161" s="380">
        <f t="shared" si="351"/>
        <v>36321.560050308944</v>
      </c>
      <c r="EW161" s="380">
        <f t="shared" si="351"/>
        <v>37997.208681636912</v>
      </c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376">
        <f>SUM(DJ161:DM161)</f>
        <v>16434</v>
      </c>
      <c r="GC161" s="376">
        <f>SUM(DN161:DQ161)</f>
        <v>23601</v>
      </c>
      <c r="GD161" s="376">
        <f>SUM(DR161:DU161)</f>
        <v>22680</v>
      </c>
      <c r="GE161" s="376">
        <f>SUM(DV161:DY161)</f>
        <v>25785</v>
      </c>
      <c r="GF161" s="376">
        <f>SUM(DZ161:EC161)</f>
        <v>34639</v>
      </c>
      <c r="GG161" s="380">
        <f>SUM(ED161:EG161)</f>
        <v>49660.709998719954</v>
      </c>
      <c r="GH161" s="410">
        <f>SUM(EH161:EK161)</f>
        <v>83300.693631100599</v>
      </c>
      <c r="GI161" s="410">
        <f>SUM(EL161:EO161)</f>
        <v>104598.57011033835</v>
      </c>
      <c r="GJ161" s="410">
        <f>SUM(EP161:ES161)</f>
        <v>122385.20100057853</v>
      </c>
      <c r="GK161" s="410">
        <f>SUM(ET161:EW161)</f>
        <v>139087.30834276316</v>
      </c>
      <c r="GM161" s="432"/>
      <c r="GN161" s="70"/>
    </row>
    <row r="162" spans="1:196" s="382" customFormat="1">
      <c r="A162" s="381" t="s">
        <v>198</v>
      </c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/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/>
      <c r="AA162" s="392"/>
      <c r="AB162" s="392"/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/>
      <c r="AM162" s="392"/>
      <c r="AN162" s="392"/>
      <c r="AO162" s="392"/>
      <c r="AP162" s="392"/>
      <c r="AQ162" s="392"/>
      <c r="AR162" s="392"/>
      <c r="AS162" s="392"/>
      <c r="AT162" s="392"/>
      <c r="AU162" s="392"/>
      <c r="AV162" s="392"/>
      <c r="AW162" s="392"/>
      <c r="AX162" s="392"/>
      <c r="AY162" s="392"/>
      <c r="AZ162" s="392"/>
      <c r="BA162" s="392"/>
      <c r="BB162" s="392"/>
      <c r="BC162" s="392"/>
      <c r="BD162" s="392"/>
      <c r="BE162" s="392"/>
      <c r="BF162" s="392"/>
      <c r="BG162" s="392"/>
      <c r="BH162" s="392"/>
      <c r="BI162" s="392"/>
      <c r="BJ162" s="392"/>
      <c r="BK162" s="392"/>
      <c r="BL162" s="392"/>
      <c r="BM162" s="392"/>
      <c r="BN162" s="392"/>
      <c r="BO162" s="392"/>
      <c r="BP162" s="392"/>
      <c r="BQ162" s="392"/>
      <c r="BR162" s="392"/>
      <c r="BS162" s="392"/>
      <c r="BT162" s="392"/>
      <c r="BU162" s="392"/>
      <c r="BV162" s="392"/>
      <c r="BW162" s="392"/>
      <c r="BX162" s="392"/>
      <c r="BY162" s="392"/>
      <c r="BZ162" s="392"/>
      <c r="CA162" s="392"/>
      <c r="CB162" s="392"/>
      <c r="CC162" s="392"/>
      <c r="CD162" s="392"/>
      <c r="CE162" s="392"/>
      <c r="CF162" s="392"/>
      <c r="CG162" s="392"/>
      <c r="CH162" s="392"/>
      <c r="CI162" s="392"/>
      <c r="CJ162" s="392"/>
      <c r="CK162" s="392"/>
      <c r="CL162" s="392"/>
      <c r="CM162" s="392"/>
      <c r="CN162" s="392"/>
      <c r="CO162" s="392"/>
      <c r="CP162" s="392"/>
      <c r="CQ162" s="392"/>
      <c r="CR162" s="392"/>
      <c r="CS162" s="392"/>
      <c r="CT162" s="387"/>
      <c r="CU162" s="387"/>
      <c r="CV162" s="387"/>
      <c r="CW162" s="387"/>
      <c r="CX162" s="392"/>
      <c r="CY162" s="387"/>
      <c r="CZ162" s="387"/>
      <c r="DA162" s="387"/>
      <c r="DB162" s="387"/>
      <c r="DC162" s="387"/>
      <c r="DD162" s="387"/>
      <c r="DE162" s="387"/>
      <c r="DF162" s="387"/>
      <c r="DG162" s="387"/>
      <c r="DH162" s="387"/>
      <c r="DI162" s="387"/>
      <c r="DJ162" s="442"/>
      <c r="DK162" s="33">
        <f t="shared" ref="DK162:EW162" si="352">DK161/DJ161-1</f>
        <v>0.11756168359941954</v>
      </c>
      <c r="DL162" s="33">
        <f t="shared" si="352"/>
        <v>0.12025974025974029</v>
      </c>
      <c r="DM162" s="33">
        <f t="shared" si="352"/>
        <v>0.11894273127753308</v>
      </c>
      <c r="DN162" s="33">
        <f t="shared" si="352"/>
        <v>0.21985080812266888</v>
      </c>
      <c r="DO162" s="33">
        <f t="shared" si="352"/>
        <v>0.11262102938678442</v>
      </c>
      <c r="DP162" s="33">
        <f t="shared" si="352"/>
        <v>-0.15038167938931302</v>
      </c>
      <c r="DQ162" s="33">
        <f t="shared" si="352"/>
        <v>6.1096136567835302E-3</v>
      </c>
      <c r="DR162" s="33">
        <f t="shared" si="352"/>
        <v>-4.3936417217360191E-2</v>
      </c>
      <c r="DS162" s="33">
        <f t="shared" si="352"/>
        <v>1.1208668036615244E-3</v>
      </c>
      <c r="DT162" s="33">
        <f t="shared" si="352"/>
        <v>8.2291472289606205E-2</v>
      </c>
      <c r="DU162" s="33">
        <f t="shared" si="352"/>
        <v>6.3448275862068915E-2</v>
      </c>
      <c r="DV162" s="66">
        <f t="shared" si="352"/>
        <v>-0.11267833981841768</v>
      </c>
      <c r="DW162" s="66">
        <f t="shared" si="352"/>
        <v>6.6142883245021045E-2</v>
      </c>
      <c r="DX162" s="66">
        <f t="shared" si="352"/>
        <v>0.16863753213367616</v>
      </c>
      <c r="DY162" s="66">
        <f t="shared" si="352"/>
        <v>0.12303856870508878</v>
      </c>
      <c r="DZ162" s="66">
        <f t="shared" si="352"/>
        <v>-2.8728127448419905E-2</v>
      </c>
      <c r="EA162" s="66">
        <f t="shared" si="352"/>
        <v>3.3207851573003433E-2</v>
      </c>
      <c r="EB162" s="66">
        <f t="shared" si="352"/>
        <v>0.20312296681847752</v>
      </c>
      <c r="EC162" s="66">
        <f t="shared" si="352"/>
        <v>0.11075059485182792</v>
      </c>
      <c r="ED162" s="66">
        <f t="shared" si="352"/>
        <v>-1.6553067185978154E-3</v>
      </c>
      <c r="EE162" s="149">
        <f t="shared" si="352"/>
        <v>9.455908605937946E-2</v>
      </c>
      <c r="EF162" s="149">
        <f t="shared" si="352"/>
        <v>6.8710602934437537E-2</v>
      </c>
      <c r="EG162" s="149">
        <f t="shared" si="352"/>
        <v>0.35001572581453799</v>
      </c>
      <c r="EH162" s="149">
        <f t="shared" si="352"/>
        <v>7.6784343229457708E-2</v>
      </c>
      <c r="EI162" s="149">
        <f t="shared" si="352"/>
        <v>0.10190427722681372</v>
      </c>
      <c r="EJ162" s="149">
        <f t="shared" si="352"/>
        <v>0.15221657820586865</v>
      </c>
      <c r="EK162" s="149">
        <f t="shared" si="352"/>
        <v>0.10763890694876443</v>
      </c>
      <c r="EL162" s="149">
        <f t="shared" si="352"/>
        <v>-2.3534863544635076E-2</v>
      </c>
      <c r="EM162" s="149">
        <f t="shared" si="352"/>
        <v>4.5595345260290188E-2</v>
      </c>
      <c r="EN162" s="149">
        <f t="shared" si="352"/>
        <v>7.3456447287445936E-2</v>
      </c>
      <c r="EO162" s="149">
        <f t="shared" si="352"/>
        <v>6.996727819135895E-2</v>
      </c>
      <c r="EP162" s="149">
        <f t="shared" si="352"/>
        <v>-2.001664637778644E-2</v>
      </c>
      <c r="EQ162" s="149">
        <f t="shared" si="352"/>
        <v>4.2649490374092824E-2</v>
      </c>
      <c r="ER162" s="149">
        <f t="shared" si="352"/>
        <v>7.9577416754776475E-2</v>
      </c>
      <c r="ES162" s="149">
        <f t="shared" si="352"/>
        <v>4.4081617848193977E-2</v>
      </c>
      <c r="ET162" s="149">
        <f t="shared" si="352"/>
        <v>-4.2296787915255929E-2</v>
      </c>
      <c r="EU162" s="149">
        <f t="shared" si="352"/>
        <v>4.2295316754447754E-2</v>
      </c>
      <c r="EV162" s="149">
        <f t="shared" si="352"/>
        <v>9.8824018835747651E-2</v>
      </c>
      <c r="EW162" s="149">
        <f t="shared" si="352"/>
        <v>4.6133718623512454E-2</v>
      </c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386" t="s">
        <v>199</v>
      </c>
      <c r="GC162" s="386" t="s">
        <v>199</v>
      </c>
      <c r="GD162" s="386" t="s">
        <v>199</v>
      </c>
      <c r="GE162" s="386" t="s">
        <v>199</v>
      </c>
      <c r="GF162" s="386" t="s">
        <v>199</v>
      </c>
      <c r="GG162" s="386" t="s">
        <v>199</v>
      </c>
      <c r="GH162" s="386" t="s">
        <v>199</v>
      </c>
      <c r="GI162" s="386" t="s">
        <v>199</v>
      </c>
      <c r="GJ162" s="386" t="s">
        <v>199</v>
      </c>
      <c r="GK162" s="386" t="s">
        <v>199</v>
      </c>
      <c r="GN162" s="443"/>
    </row>
    <row r="163" spans="1:196" s="382" customFormat="1">
      <c r="A163" s="381" t="s">
        <v>200</v>
      </c>
      <c r="B163" s="392"/>
      <c r="C163" s="392"/>
      <c r="D163" s="392"/>
      <c r="E163" s="392"/>
      <c r="F163" s="392"/>
      <c r="G163" s="392"/>
      <c r="H163" s="392"/>
      <c r="I163" s="392"/>
      <c r="J163" s="392"/>
      <c r="K163" s="392"/>
      <c r="L163" s="392"/>
      <c r="M163" s="392"/>
      <c r="N163" s="392"/>
      <c r="O163" s="392"/>
      <c r="P163" s="392"/>
      <c r="Q163" s="392"/>
      <c r="R163" s="392"/>
      <c r="S163" s="392"/>
      <c r="T163" s="392"/>
      <c r="U163" s="392"/>
      <c r="V163" s="392"/>
      <c r="W163" s="392"/>
      <c r="X163" s="392"/>
      <c r="Y163" s="392"/>
      <c r="Z163" s="392"/>
      <c r="AA163" s="392"/>
      <c r="AB163" s="392"/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/>
      <c r="AM163" s="392"/>
      <c r="AN163" s="392"/>
      <c r="AO163" s="392"/>
      <c r="AP163" s="392"/>
      <c r="AQ163" s="392"/>
      <c r="AR163" s="392"/>
      <c r="AS163" s="392"/>
      <c r="AT163" s="392"/>
      <c r="AU163" s="392"/>
      <c r="AV163" s="392"/>
      <c r="AW163" s="392"/>
      <c r="AX163" s="392"/>
      <c r="AY163" s="392"/>
      <c r="AZ163" s="392"/>
      <c r="BA163" s="392"/>
      <c r="BB163" s="392"/>
      <c r="BC163" s="392"/>
      <c r="BD163" s="392"/>
      <c r="BE163" s="392"/>
      <c r="BF163" s="392"/>
      <c r="BG163" s="392"/>
      <c r="BH163" s="392"/>
      <c r="BI163" s="392"/>
      <c r="BJ163" s="392"/>
      <c r="BK163" s="392"/>
      <c r="BL163" s="392"/>
      <c r="BM163" s="392"/>
      <c r="BN163" s="392"/>
      <c r="BO163" s="392"/>
      <c r="BP163" s="392"/>
      <c r="BQ163" s="392"/>
      <c r="BR163" s="392"/>
      <c r="BS163" s="392"/>
      <c r="BT163" s="392"/>
      <c r="BU163" s="392"/>
      <c r="BV163" s="392"/>
      <c r="BW163" s="392"/>
      <c r="BX163" s="392"/>
      <c r="BY163" s="392"/>
      <c r="BZ163" s="392"/>
      <c r="CA163" s="392"/>
      <c r="CB163" s="392"/>
      <c r="CC163" s="392"/>
      <c r="CD163" s="392"/>
      <c r="CE163" s="392"/>
      <c r="CF163" s="392"/>
      <c r="CG163" s="392"/>
      <c r="CH163" s="392"/>
      <c r="CI163" s="392"/>
      <c r="CJ163" s="392"/>
      <c r="CK163" s="392"/>
      <c r="CL163" s="392"/>
      <c r="CM163" s="392"/>
      <c r="CN163" s="392"/>
      <c r="CO163" s="392"/>
      <c r="CP163" s="392"/>
      <c r="CQ163" s="392"/>
      <c r="CR163" s="392"/>
      <c r="CS163" s="392"/>
      <c r="CT163" s="387"/>
      <c r="CU163" s="387"/>
      <c r="CV163" s="387"/>
      <c r="CW163" s="387"/>
      <c r="CX163" s="392"/>
      <c r="CY163" s="387"/>
      <c r="CZ163" s="387"/>
      <c r="DA163" s="387"/>
      <c r="DB163" s="387"/>
      <c r="DC163" s="387"/>
      <c r="DD163" s="387"/>
      <c r="DE163" s="387"/>
      <c r="DF163" s="387"/>
      <c r="DG163" s="387"/>
      <c r="DH163" s="387"/>
      <c r="DI163" s="387"/>
      <c r="DJ163" s="442"/>
      <c r="DK163" s="33"/>
      <c r="DL163" s="33"/>
      <c r="DM163" s="33"/>
      <c r="DN163" s="33">
        <f t="shared" ref="DN163:EW163" si="353">DN161/DJ161-1</f>
        <v>0.70885341074020314</v>
      </c>
      <c r="DO163" s="33">
        <f t="shared" si="353"/>
        <v>0.70129870129870131</v>
      </c>
      <c r="DP163" s="33">
        <f t="shared" si="353"/>
        <v>0.29028518432645489</v>
      </c>
      <c r="DQ163" s="33">
        <f t="shared" si="353"/>
        <v>0.16017405719021971</v>
      </c>
      <c r="DR163" s="33">
        <f t="shared" si="353"/>
        <v>-9.0708340411075228E-2</v>
      </c>
      <c r="DS163" s="33">
        <f t="shared" si="353"/>
        <v>-0.18183206106870231</v>
      </c>
      <c r="DT163" s="33">
        <f t="shared" si="353"/>
        <v>4.2228212039532753E-2</v>
      </c>
      <c r="DU163" s="33">
        <f t="shared" si="353"/>
        <v>0.10162529023039824</v>
      </c>
      <c r="DV163" s="66">
        <f t="shared" si="353"/>
        <v>2.2417336073230043E-2</v>
      </c>
      <c r="DW163" s="66">
        <f t="shared" si="353"/>
        <v>8.882254151894009E-2</v>
      </c>
      <c r="DX163" s="66">
        <f t="shared" si="353"/>
        <v>0.17568965517241386</v>
      </c>
      <c r="DY163" s="66">
        <f t="shared" si="353"/>
        <v>0.24156939040207526</v>
      </c>
      <c r="DZ163" s="66">
        <f>DZ161/DV161-1</f>
        <v>0.35903526402338759</v>
      </c>
      <c r="EA163" s="66">
        <f>EA161/DW161-1</f>
        <v>0.31705227077977716</v>
      </c>
      <c r="EB163" s="66">
        <f>EB161/DX161-1</f>
        <v>0.35591728992520899</v>
      </c>
      <c r="EC163" s="66">
        <f t="shared" si="353"/>
        <v>0.34108122225124049</v>
      </c>
      <c r="ED163" s="66">
        <f t="shared" si="353"/>
        <v>0.37846195213767131</v>
      </c>
      <c r="EE163" s="149">
        <f t="shared" si="353"/>
        <v>0.46031415866842118</v>
      </c>
      <c r="EF163" s="149">
        <f t="shared" si="353"/>
        <v>0.29716850897726199</v>
      </c>
      <c r="EG163" s="149">
        <f t="shared" si="353"/>
        <v>0.57658964511678445</v>
      </c>
      <c r="EH163" s="149">
        <f t="shared" si="353"/>
        <v>0.70046183145376539</v>
      </c>
      <c r="EI163" s="149">
        <f t="shared" si="353"/>
        <v>0.71187301736783093</v>
      </c>
      <c r="EJ163" s="149">
        <f t="shared" si="353"/>
        <v>0.84563385539417379</v>
      </c>
      <c r="EK163" s="149">
        <f t="shared" si="353"/>
        <v>0.51427559481427609</v>
      </c>
      <c r="EL163" s="149">
        <f t="shared" si="353"/>
        <v>0.37319727447621354</v>
      </c>
      <c r="EM163" s="149">
        <f t="shared" si="353"/>
        <v>0.30302487066297323</v>
      </c>
      <c r="EN163" s="149">
        <f t="shared" si="353"/>
        <v>0.21395619091599571</v>
      </c>
      <c r="EO163" s="149">
        <f t="shared" si="353"/>
        <v>0.17266863170780611</v>
      </c>
      <c r="EP163" s="149">
        <f t="shared" si="353"/>
        <v>0.17689377273647211</v>
      </c>
      <c r="EQ163" s="149">
        <f t="shared" si="353"/>
        <v>0.17357799834376197</v>
      </c>
      <c r="ER163" s="149">
        <f t="shared" si="353"/>
        <v>0.1802698721627185</v>
      </c>
      <c r="ES163" s="149">
        <f t="shared" si="353"/>
        <v>0.15171566714467444</v>
      </c>
      <c r="ET163" s="149">
        <f t="shared" si="353"/>
        <v>0.12553115290771455</v>
      </c>
      <c r="EU163" s="149">
        <f t="shared" si="353"/>
        <v>0.12514882553295559</v>
      </c>
      <c r="EV163" s="149">
        <f t="shared" si="353"/>
        <v>0.14520787029511917</v>
      </c>
      <c r="EW163" s="149">
        <f t="shared" si="353"/>
        <v>0.14745873068606907</v>
      </c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386" t="s">
        <v>199</v>
      </c>
      <c r="GC163" s="382">
        <f t="shared" ref="GC163:GK163" si="354">GC161/GB161-1</f>
        <v>0.43610806863818907</v>
      </c>
      <c r="GD163" s="382">
        <f t="shared" si="354"/>
        <v>-3.9023770179229644E-2</v>
      </c>
      <c r="GE163" s="382">
        <f t="shared" si="354"/>
        <v>0.13690476190476186</v>
      </c>
      <c r="GF163" s="382">
        <f t="shared" si="354"/>
        <v>0.3433779329067288</v>
      </c>
      <c r="GG163" s="387">
        <f t="shared" si="354"/>
        <v>0.43366465540921961</v>
      </c>
      <c r="GH163" s="387">
        <f t="shared" si="354"/>
        <v>0.67739634880870092</v>
      </c>
      <c r="GI163" s="387">
        <f t="shared" si="354"/>
        <v>0.25567465948790269</v>
      </c>
      <c r="GJ163" s="387">
        <f t="shared" si="354"/>
        <v>0.17004659692266855</v>
      </c>
      <c r="GK163" s="387">
        <f t="shared" si="354"/>
        <v>0.13647162570011773</v>
      </c>
      <c r="GN163" s="443"/>
    </row>
    <row r="164" spans="1:196">
      <c r="A164" s="61" t="s">
        <v>276</v>
      </c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2"/>
      <c r="DW164" s="72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Z164" s="63"/>
      <c r="FA164" s="63"/>
      <c r="FB164" s="63"/>
      <c r="FC164" s="63"/>
      <c r="FD164" s="63"/>
      <c r="FE164" s="63"/>
      <c r="FF164" s="63"/>
      <c r="FG164" s="63"/>
      <c r="FH164" s="63"/>
      <c r="FI164" s="63"/>
      <c r="FJ164" s="63"/>
      <c r="FK164" s="63"/>
      <c r="FL164" s="63"/>
      <c r="FM164" s="63"/>
      <c r="FN164" s="63"/>
      <c r="FO164" s="63"/>
      <c r="FP164" s="63"/>
      <c r="FQ164" s="63"/>
      <c r="FR164" s="63"/>
      <c r="FS164" s="63"/>
      <c r="FT164" s="63"/>
      <c r="FU164" s="63"/>
      <c r="FV164" s="63"/>
      <c r="FW164" s="63"/>
      <c r="FX164" s="63"/>
      <c r="FY164" s="63"/>
      <c r="FZ164" s="63"/>
      <c r="GA164" s="63"/>
      <c r="GB164" s="63"/>
      <c r="GC164" s="63"/>
      <c r="GD164" s="63"/>
      <c r="GE164" s="63"/>
      <c r="GF164" s="63"/>
      <c r="GG164" s="63"/>
      <c r="GH164" s="63"/>
      <c r="GI164" s="63"/>
      <c r="GJ164" s="63"/>
      <c r="GK164" s="63"/>
      <c r="GM164" s="59"/>
      <c r="GN164" s="48"/>
    </row>
    <row r="165" spans="1:196" s="418" customFormat="1">
      <c r="A165" s="376" t="s">
        <v>260</v>
      </c>
      <c r="B165" s="429"/>
      <c r="C165" s="429"/>
      <c r="D165" s="429"/>
      <c r="E165" s="429"/>
      <c r="F165" s="429"/>
      <c r="G165" s="429"/>
      <c r="H165" s="429"/>
      <c r="I165" s="429"/>
      <c r="J165" s="429"/>
      <c r="K165" s="429"/>
      <c r="L165" s="429"/>
      <c r="M165" s="429"/>
      <c r="N165" s="429"/>
      <c r="O165" s="429"/>
      <c r="P165" s="429"/>
      <c r="Q165" s="429"/>
      <c r="R165" s="429"/>
      <c r="S165" s="429"/>
      <c r="T165" s="429"/>
      <c r="U165" s="429"/>
      <c r="V165" s="429"/>
      <c r="W165" s="429"/>
      <c r="X165" s="429"/>
      <c r="Y165" s="429"/>
      <c r="Z165" s="429"/>
      <c r="AA165" s="429"/>
      <c r="AB165" s="429"/>
      <c r="AC165" s="429"/>
      <c r="AD165" s="429"/>
      <c r="AE165" s="429"/>
      <c r="AF165" s="429"/>
      <c r="AG165" s="429"/>
      <c r="AH165" s="429"/>
      <c r="AI165" s="429"/>
      <c r="AJ165" s="429"/>
      <c r="AK165" s="429"/>
      <c r="AL165" s="429"/>
      <c r="AM165" s="429"/>
      <c r="AN165" s="429"/>
      <c r="AO165" s="429"/>
      <c r="AP165" s="429"/>
      <c r="AQ165" s="429"/>
      <c r="AR165" s="429"/>
      <c r="AS165" s="429"/>
      <c r="AT165" s="429"/>
      <c r="AU165" s="429"/>
      <c r="AV165" s="429"/>
      <c r="AW165" s="429"/>
      <c r="AX165" s="429"/>
      <c r="AY165" s="429"/>
      <c r="AZ165" s="429"/>
      <c r="BA165" s="429"/>
      <c r="BB165" s="429"/>
      <c r="BC165" s="429"/>
      <c r="BD165" s="429"/>
      <c r="BE165" s="429"/>
      <c r="BF165" s="429"/>
      <c r="BG165" s="429"/>
      <c r="BH165" s="429"/>
      <c r="BI165" s="429"/>
      <c r="BJ165" s="429"/>
      <c r="BK165" s="429"/>
      <c r="BL165" s="429"/>
      <c r="BM165" s="429"/>
      <c r="BN165" s="429"/>
      <c r="BO165" s="429"/>
      <c r="BP165" s="429"/>
      <c r="BQ165" s="429"/>
      <c r="BR165" s="429"/>
      <c r="BS165" s="429"/>
      <c r="BT165" s="429"/>
      <c r="BU165" s="429"/>
      <c r="BV165" s="429"/>
      <c r="BW165" s="429"/>
      <c r="BX165" s="429"/>
      <c r="BY165" s="429"/>
      <c r="BZ165" s="429"/>
      <c r="CA165" s="429"/>
      <c r="CB165" s="429"/>
      <c r="CC165" s="429"/>
      <c r="CD165" s="429"/>
      <c r="CE165" s="429"/>
      <c r="CF165" s="429"/>
      <c r="CG165" s="429"/>
      <c r="CH165" s="429"/>
      <c r="CI165" s="429"/>
      <c r="CJ165" s="429"/>
      <c r="CK165" s="429"/>
      <c r="CL165" s="429"/>
      <c r="CM165" s="429"/>
      <c r="CN165" s="429"/>
      <c r="CO165" s="429"/>
      <c r="CP165" s="429"/>
      <c r="CQ165" s="429"/>
      <c r="CR165" s="429"/>
      <c r="CS165" s="429"/>
      <c r="CT165" s="431"/>
      <c r="CU165" s="431"/>
      <c r="CV165" s="431"/>
      <c r="CW165" s="431"/>
      <c r="CX165" s="429"/>
      <c r="CY165" s="431"/>
      <c r="CZ165" s="431"/>
      <c r="DA165" s="431"/>
      <c r="DB165" s="431"/>
      <c r="DC165" s="431"/>
      <c r="DD165" s="431"/>
      <c r="DE165" s="431"/>
      <c r="DF165" s="431"/>
      <c r="DG165" s="431"/>
      <c r="DH165" s="431"/>
      <c r="DI165" s="431"/>
      <c r="DJ165" s="397">
        <v>530</v>
      </c>
      <c r="DK165" s="397">
        <v>538</v>
      </c>
      <c r="DL165" s="397">
        <v>490</v>
      </c>
      <c r="DM165" s="397">
        <v>530</v>
      </c>
      <c r="DN165" s="397">
        <v>692</v>
      </c>
      <c r="DO165" s="397">
        <v>676</v>
      </c>
      <c r="DP165" s="397">
        <v>-26</v>
      </c>
      <c r="DQ165" s="397">
        <v>-152</v>
      </c>
      <c r="DR165" s="397">
        <v>-172</v>
      </c>
      <c r="DS165" s="397">
        <v>-69</v>
      </c>
      <c r="DT165" s="397">
        <v>140</v>
      </c>
      <c r="DU165" s="397">
        <v>55</v>
      </c>
      <c r="DV165" s="376">
        <v>86</v>
      </c>
      <c r="DW165" s="376">
        <v>89</v>
      </c>
      <c r="DX165" s="376">
        <v>276</v>
      </c>
      <c r="DY165" s="376">
        <v>446</v>
      </c>
      <c r="DZ165" s="376">
        <v>456</v>
      </c>
      <c r="EA165" s="376">
        <v>727</v>
      </c>
      <c r="EB165" s="376">
        <v>817</v>
      </c>
      <c r="EC165" s="376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FA165" s="66"/>
      <c r="FB165" s="66"/>
      <c r="FC165" s="66"/>
      <c r="FD165" s="66"/>
      <c r="FE165" s="66"/>
      <c r="FF165" s="66"/>
      <c r="FG165" s="66"/>
      <c r="FH165" s="66"/>
      <c r="FI165" s="66"/>
      <c r="FJ165" s="66"/>
      <c r="FK165" s="66"/>
      <c r="FL165" s="66"/>
      <c r="FM165" s="66"/>
      <c r="FN165" s="66"/>
      <c r="FO165" s="66"/>
      <c r="FP165" s="66"/>
      <c r="FQ165" s="66"/>
      <c r="FR165" s="66"/>
      <c r="FS165" s="66"/>
      <c r="FT165" s="66"/>
      <c r="FU165" s="66"/>
      <c r="FV165" s="66"/>
      <c r="FW165" s="66"/>
      <c r="FX165" s="56"/>
      <c r="FY165" s="56"/>
      <c r="FZ165" s="56"/>
      <c r="GA165" s="56"/>
      <c r="GB165" s="376">
        <f>SUM(DJ165:DM165)</f>
        <v>2088</v>
      </c>
      <c r="GC165" s="376">
        <f>SUM(DN165:DQ165)</f>
        <v>1190</v>
      </c>
      <c r="GD165" s="376">
        <f>SUM(DR165:DU165)</f>
        <v>-46</v>
      </c>
      <c r="GE165" s="376"/>
      <c r="GF165" s="376"/>
      <c r="GG165" s="69"/>
      <c r="GH165" s="69"/>
      <c r="GI165" s="69"/>
      <c r="GJ165" s="69"/>
      <c r="GK165" s="69"/>
      <c r="GM165" s="432"/>
      <c r="GN165" s="70"/>
    </row>
    <row r="166" spans="1:196" s="382" customFormat="1">
      <c r="A166" s="381" t="s">
        <v>198</v>
      </c>
      <c r="B166" s="392"/>
      <c r="C166" s="392"/>
      <c r="D166" s="392"/>
      <c r="E166" s="392"/>
      <c r="F166" s="392"/>
      <c r="G166" s="392"/>
      <c r="H166" s="392"/>
      <c r="I166" s="392"/>
      <c r="J166" s="392"/>
      <c r="K166" s="392"/>
      <c r="L166" s="392"/>
      <c r="M166" s="392"/>
      <c r="N166" s="392"/>
      <c r="O166" s="392"/>
      <c r="P166" s="392"/>
      <c r="Q166" s="392"/>
      <c r="R166" s="392"/>
      <c r="S166" s="392"/>
      <c r="T166" s="392"/>
      <c r="U166" s="392"/>
      <c r="V166" s="392"/>
      <c r="W166" s="392"/>
      <c r="X166" s="392"/>
      <c r="Y166" s="392"/>
      <c r="Z166" s="392"/>
      <c r="AA166" s="392"/>
      <c r="AB166" s="392"/>
      <c r="AC166" s="392"/>
      <c r="AD166" s="392"/>
      <c r="AE166" s="392"/>
      <c r="AF166" s="392"/>
      <c r="AG166" s="392"/>
      <c r="AH166" s="392"/>
      <c r="AI166" s="392"/>
      <c r="AJ166" s="392"/>
      <c r="AK166" s="392"/>
      <c r="AL166" s="392"/>
      <c r="AM166" s="392"/>
      <c r="AN166" s="392"/>
      <c r="AO166" s="392"/>
      <c r="AP166" s="392"/>
      <c r="AQ166" s="392"/>
      <c r="AR166" s="392"/>
      <c r="AS166" s="392"/>
      <c r="AT166" s="392"/>
      <c r="AU166" s="392"/>
      <c r="AV166" s="392"/>
      <c r="AW166" s="392"/>
      <c r="AX166" s="392"/>
      <c r="AY166" s="392"/>
      <c r="AZ166" s="392"/>
      <c r="BA166" s="392"/>
      <c r="BB166" s="392"/>
      <c r="BC166" s="392"/>
      <c r="BD166" s="392"/>
      <c r="BE166" s="392"/>
      <c r="BF166" s="392"/>
      <c r="BG166" s="392"/>
      <c r="BH166" s="392"/>
      <c r="BI166" s="392"/>
      <c r="BJ166" s="392"/>
      <c r="BK166" s="392"/>
      <c r="BL166" s="392"/>
      <c r="BM166" s="392"/>
      <c r="BN166" s="392"/>
      <c r="BO166" s="392"/>
      <c r="BP166" s="392"/>
      <c r="BQ166" s="392"/>
      <c r="BR166" s="392"/>
      <c r="BS166" s="392"/>
      <c r="BT166" s="392"/>
      <c r="BU166" s="392"/>
      <c r="BV166" s="392"/>
      <c r="BW166" s="392"/>
      <c r="BX166" s="392"/>
      <c r="BY166" s="392"/>
      <c r="BZ166" s="392"/>
      <c r="CA166" s="392"/>
      <c r="CB166" s="392"/>
      <c r="CC166" s="392"/>
      <c r="CD166" s="392"/>
      <c r="CE166" s="392"/>
      <c r="CF166" s="392"/>
      <c r="CG166" s="392"/>
      <c r="CH166" s="392"/>
      <c r="CI166" s="392"/>
      <c r="CJ166" s="392"/>
      <c r="CK166" s="392"/>
      <c r="CL166" s="392"/>
      <c r="CM166" s="392"/>
      <c r="CN166" s="392"/>
      <c r="CO166" s="392"/>
      <c r="CP166" s="392"/>
      <c r="CQ166" s="392"/>
      <c r="CR166" s="392"/>
      <c r="CS166" s="392"/>
      <c r="CT166" s="387"/>
      <c r="CU166" s="387"/>
      <c r="CV166" s="387"/>
      <c r="CW166" s="387"/>
      <c r="CX166" s="392"/>
      <c r="CY166" s="387"/>
      <c r="CZ166" s="387"/>
      <c r="DA166" s="387"/>
      <c r="DB166" s="387"/>
      <c r="DC166" s="387"/>
      <c r="DD166" s="387"/>
      <c r="DE166" s="387"/>
      <c r="DF166" s="387"/>
      <c r="DG166" s="387"/>
      <c r="DH166" s="387"/>
      <c r="DI166" s="387"/>
      <c r="DJ166" s="442"/>
      <c r="DK166" s="33">
        <f>DK165/DJ165-1</f>
        <v>1.5094339622641506E-2</v>
      </c>
      <c r="DL166" s="33">
        <f>DL165/DK165-1</f>
        <v>-8.9219330855018542E-2</v>
      </c>
      <c r="DM166" s="33">
        <f>DM165/DL165-1</f>
        <v>8.163265306122458E-2</v>
      </c>
      <c r="DN166" s="33">
        <f>DN165/DM165-1</f>
        <v>0.3056603773584905</v>
      </c>
      <c r="DO166" s="33">
        <f>DO165/DN165-1</f>
        <v>-2.3121387283236983E-2</v>
      </c>
      <c r="DP166" s="67" t="s">
        <v>199</v>
      </c>
      <c r="DQ166" s="67" t="s">
        <v>199</v>
      </c>
      <c r="DR166" s="67" t="s">
        <v>199</v>
      </c>
      <c r="DS166" s="67" t="s">
        <v>199</v>
      </c>
      <c r="DT166" s="67" t="s">
        <v>199</v>
      </c>
      <c r="DU166" s="33">
        <f t="shared" ref="DU166:EB166" si="355">DU165/DT165-1</f>
        <v>-0.60714285714285721</v>
      </c>
      <c r="DV166" s="66">
        <f t="shared" si="355"/>
        <v>0.56363636363636371</v>
      </c>
      <c r="DW166" s="66">
        <f t="shared" si="355"/>
        <v>3.488372093023262E-2</v>
      </c>
      <c r="DX166" s="66">
        <f t="shared" si="355"/>
        <v>2.101123595505618</v>
      </c>
      <c r="DY166" s="66">
        <f t="shared" si="355"/>
        <v>0.61594202898550732</v>
      </c>
      <c r="DZ166" s="66">
        <f t="shared" si="355"/>
        <v>2.2421524663677195E-2</v>
      </c>
      <c r="EA166" s="66">
        <f t="shared" si="355"/>
        <v>0.5942982456140351</v>
      </c>
      <c r="EB166" s="66">
        <f t="shared" si="355"/>
        <v>0.123796423658872</v>
      </c>
      <c r="EC166" s="66"/>
      <c r="ED166" s="446"/>
      <c r="EE166" s="446"/>
      <c r="EF166" s="446"/>
      <c r="EG166" s="446"/>
      <c r="EH166" s="446"/>
      <c r="EI166" s="446"/>
      <c r="EJ166" s="446"/>
      <c r="EK166" s="446"/>
      <c r="EL166" s="446"/>
      <c r="EM166" s="446"/>
      <c r="EN166" s="446"/>
      <c r="EO166" s="446"/>
      <c r="EP166" s="446"/>
      <c r="EQ166" s="446"/>
      <c r="ER166" s="446"/>
      <c r="ES166" s="446"/>
      <c r="ET166" s="446"/>
      <c r="EU166" s="446"/>
      <c r="EV166" s="446"/>
      <c r="EW166" s="446"/>
      <c r="FA166" s="66"/>
      <c r="FB166" s="66"/>
      <c r="FC166" s="66"/>
      <c r="FD166" s="66"/>
      <c r="FE166" s="66"/>
      <c r="FF166" s="66"/>
      <c r="FG166" s="66"/>
      <c r="FH166" s="66"/>
      <c r="FI166" s="66"/>
      <c r="FJ166" s="66"/>
      <c r="FK166" s="66"/>
      <c r="FL166" s="66"/>
      <c r="FM166" s="66"/>
      <c r="FN166" s="66"/>
      <c r="FO166" s="66"/>
      <c r="FP166" s="66"/>
      <c r="FQ166" s="66"/>
      <c r="FR166" s="66"/>
      <c r="FS166" s="66"/>
      <c r="FT166" s="66"/>
      <c r="FU166" s="66"/>
      <c r="FV166" s="66"/>
      <c r="FW166" s="66"/>
      <c r="FX166" s="56"/>
      <c r="FY166" s="56"/>
      <c r="FZ166" s="56"/>
      <c r="GA166" s="56"/>
      <c r="GB166" s="386" t="s">
        <v>199</v>
      </c>
      <c r="GC166" s="386" t="s">
        <v>199</v>
      </c>
      <c r="GD166" s="386" t="s">
        <v>199</v>
      </c>
      <c r="GE166" s="386"/>
      <c r="GF166" s="386"/>
      <c r="GG166" s="446"/>
      <c r="GH166" s="446"/>
      <c r="GI166" s="446"/>
      <c r="GJ166" s="446"/>
      <c r="GK166" s="446"/>
      <c r="GN166" s="443"/>
    </row>
    <row r="167" spans="1:196" s="382" customFormat="1">
      <c r="A167" s="381" t="s">
        <v>200</v>
      </c>
      <c r="B167" s="392"/>
      <c r="C167" s="392"/>
      <c r="D167" s="392"/>
      <c r="E167" s="392"/>
      <c r="F167" s="392"/>
      <c r="G167" s="392"/>
      <c r="H167" s="392"/>
      <c r="I167" s="392"/>
      <c r="J167" s="392"/>
      <c r="K167" s="392"/>
      <c r="L167" s="392"/>
      <c r="M167" s="392"/>
      <c r="N167" s="392"/>
      <c r="O167" s="392"/>
      <c r="P167" s="392"/>
      <c r="Q167" s="392"/>
      <c r="R167" s="392"/>
      <c r="S167" s="392"/>
      <c r="T167" s="392"/>
      <c r="U167" s="392"/>
      <c r="V167" s="392"/>
      <c r="W167" s="392"/>
      <c r="X167" s="392"/>
      <c r="Y167" s="392"/>
      <c r="Z167" s="392"/>
      <c r="AA167" s="392"/>
      <c r="AB167" s="392"/>
      <c r="AC167" s="392"/>
      <c r="AD167" s="392"/>
      <c r="AE167" s="392"/>
      <c r="AF167" s="392"/>
      <c r="AG167" s="392"/>
      <c r="AH167" s="392"/>
      <c r="AI167" s="392"/>
      <c r="AJ167" s="392"/>
      <c r="AK167" s="392"/>
      <c r="AL167" s="392"/>
      <c r="AM167" s="392"/>
      <c r="AN167" s="392"/>
      <c r="AO167" s="392"/>
      <c r="AP167" s="392"/>
      <c r="AQ167" s="392"/>
      <c r="AR167" s="392"/>
      <c r="AS167" s="392"/>
      <c r="AT167" s="392"/>
      <c r="AU167" s="392"/>
      <c r="AV167" s="392"/>
      <c r="AW167" s="392"/>
      <c r="AX167" s="392"/>
      <c r="AY167" s="392"/>
      <c r="AZ167" s="392"/>
      <c r="BA167" s="392"/>
      <c r="BB167" s="392"/>
      <c r="BC167" s="392"/>
      <c r="BD167" s="392"/>
      <c r="BE167" s="392"/>
      <c r="BF167" s="392"/>
      <c r="BG167" s="392"/>
      <c r="BH167" s="392"/>
      <c r="BI167" s="392"/>
      <c r="BJ167" s="392"/>
      <c r="BK167" s="392"/>
      <c r="BL167" s="392"/>
      <c r="BM167" s="392"/>
      <c r="BN167" s="392"/>
      <c r="BO167" s="392"/>
      <c r="BP167" s="392"/>
      <c r="BQ167" s="392"/>
      <c r="BR167" s="392"/>
      <c r="BS167" s="392"/>
      <c r="BT167" s="392"/>
      <c r="BU167" s="392"/>
      <c r="BV167" s="392"/>
      <c r="BW167" s="392"/>
      <c r="BX167" s="392"/>
      <c r="BY167" s="392"/>
      <c r="BZ167" s="392"/>
      <c r="CA167" s="392"/>
      <c r="CB167" s="392"/>
      <c r="CC167" s="392"/>
      <c r="CD167" s="392"/>
      <c r="CE167" s="392"/>
      <c r="CF167" s="392"/>
      <c r="CG167" s="392"/>
      <c r="CH167" s="392"/>
      <c r="CI167" s="392"/>
      <c r="CJ167" s="392"/>
      <c r="CK167" s="392"/>
      <c r="CL167" s="392"/>
      <c r="CM167" s="392"/>
      <c r="CN167" s="392"/>
      <c r="CO167" s="392"/>
      <c r="CP167" s="392"/>
      <c r="CQ167" s="392"/>
      <c r="CR167" s="392"/>
      <c r="CS167" s="392"/>
      <c r="CT167" s="387"/>
      <c r="CU167" s="387"/>
      <c r="CV167" s="387"/>
      <c r="CW167" s="387"/>
      <c r="CX167" s="392"/>
      <c r="CY167" s="387"/>
      <c r="CZ167" s="387"/>
      <c r="DA167" s="387"/>
      <c r="DB167" s="387"/>
      <c r="DC167" s="387"/>
      <c r="DD167" s="387"/>
      <c r="DE167" s="387"/>
      <c r="DF167" s="387"/>
      <c r="DG167" s="387"/>
      <c r="DH167" s="387"/>
      <c r="DI167" s="387"/>
      <c r="DJ167" s="442"/>
      <c r="DK167" s="33"/>
      <c r="DL167" s="33"/>
      <c r="DM167" s="33"/>
      <c r="DN167" s="33">
        <f>DN165/DJ165-1</f>
        <v>0.3056603773584905</v>
      </c>
      <c r="DO167" s="33">
        <f>DO165/DK165-1</f>
        <v>0.25650557620817849</v>
      </c>
      <c r="DP167" s="67" t="s">
        <v>199</v>
      </c>
      <c r="DQ167" s="67" t="s">
        <v>199</v>
      </c>
      <c r="DR167" s="67" t="s">
        <v>199</v>
      </c>
      <c r="DS167" s="67" t="s">
        <v>199</v>
      </c>
      <c r="DT167" s="67" t="s">
        <v>199</v>
      </c>
      <c r="DU167" s="67" t="s">
        <v>199</v>
      </c>
      <c r="DV167" s="67" t="s">
        <v>199</v>
      </c>
      <c r="DW167" s="67" t="s">
        <v>199</v>
      </c>
      <c r="DX167" s="67">
        <f>DX165/DT165-1</f>
        <v>0.97142857142857153</v>
      </c>
      <c r="DY167" s="67">
        <f>DY165/DU165-1</f>
        <v>7.1090909090909093</v>
      </c>
      <c r="DZ167" s="67">
        <f>DZ165/DV165-1</f>
        <v>4.3023255813953485</v>
      </c>
      <c r="EA167" s="67">
        <f>EA165/DW165-1</f>
        <v>7.1685393258426959</v>
      </c>
      <c r="EB167" s="67">
        <f>EB165/DX165-1</f>
        <v>1.9601449275362319</v>
      </c>
      <c r="EC167" s="67"/>
      <c r="ED167" s="446"/>
      <c r="EE167" s="446"/>
      <c r="EF167" s="446"/>
      <c r="EG167" s="446"/>
      <c r="EH167" s="446"/>
      <c r="EI167" s="446"/>
      <c r="EJ167" s="446"/>
      <c r="EK167" s="446"/>
      <c r="EL167" s="446"/>
      <c r="EM167" s="446"/>
      <c r="EN167" s="446"/>
      <c r="EO167" s="446"/>
      <c r="EP167" s="446"/>
      <c r="EQ167" s="446"/>
      <c r="ER167" s="446"/>
      <c r="ES167" s="446"/>
      <c r="ET167" s="446"/>
      <c r="EU167" s="446"/>
      <c r="EV167" s="446"/>
      <c r="EW167" s="446"/>
      <c r="FA167" s="66"/>
      <c r="FB167" s="66"/>
      <c r="FC167" s="66"/>
      <c r="FD167" s="66"/>
      <c r="FE167" s="66"/>
      <c r="FF167" s="66"/>
      <c r="FG167" s="66"/>
      <c r="FH167" s="66"/>
      <c r="FI167" s="66"/>
      <c r="FJ167" s="66"/>
      <c r="FK167" s="66"/>
      <c r="FL167" s="66"/>
      <c r="FM167" s="66"/>
      <c r="FN167" s="66"/>
      <c r="FO167" s="66"/>
      <c r="FP167" s="66"/>
      <c r="FQ167" s="66"/>
      <c r="FR167" s="66"/>
      <c r="FS167" s="66"/>
      <c r="FT167" s="66"/>
      <c r="FU167" s="66"/>
      <c r="FV167" s="66"/>
      <c r="FW167" s="66"/>
      <c r="FX167" s="56"/>
      <c r="FY167" s="56"/>
      <c r="FZ167" s="56"/>
      <c r="GA167" s="56"/>
      <c r="GB167" s="386" t="s">
        <v>199</v>
      </c>
      <c r="GC167" s="386">
        <f>GC165/GB165-1</f>
        <v>-0.43007662835249039</v>
      </c>
      <c r="GD167" s="386">
        <f>GD165/GC165-1</f>
        <v>-1.038655462184874</v>
      </c>
      <c r="GE167" s="386"/>
      <c r="GF167" s="386"/>
      <c r="GG167" s="446"/>
      <c r="GH167" s="446"/>
      <c r="GI167" s="446"/>
      <c r="GJ167" s="446"/>
      <c r="GK167" s="446"/>
      <c r="GN167" s="443"/>
    </row>
    <row r="168" spans="1:196" s="382" customFormat="1">
      <c r="A168" s="381" t="s">
        <v>277</v>
      </c>
      <c r="B168" s="392"/>
      <c r="C168" s="392"/>
      <c r="D168" s="392"/>
      <c r="E168" s="392"/>
      <c r="F168" s="392"/>
      <c r="G168" s="392"/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392"/>
      <c r="V168" s="392"/>
      <c r="W168" s="392"/>
      <c r="X168" s="392"/>
      <c r="Y168" s="392"/>
      <c r="Z168" s="392"/>
      <c r="AA168" s="392"/>
      <c r="AB168" s="392"/>
      <c r="AC168" s="392"/>
      <c r="AD168" s="392"/>
      <c r="AE168" s="392"/>
      <c r="AF168" s="392"/>
      <c r="AG168" s="392"/>
      <c r="AH168" s="392"/>
      <c r="AI168" s="392"/>
      <c r="AJ168" s="392"/>
      <c r="AK168" s="392"/>
      <c r="AL168" s="392"/>
      <c r="AM168" s="392"/>
      <c r="AN168" s="392"/>
      <c r="AO168" s="392"/>
      <c r="AP168" s="392"/>
      <c r="AQ168" s="392"/>
      <c r="AR168" s="392"/>
      <c r="AS168" s="392"/>
      <c r="AT168" s="392"/>
      <c r="AU168" s="392"/>
      <c r="AV168" s="392"/>
      <c r="AW168" s="392"/>
      <c r="AX168" s="392"/>
      <c r="AY168" s="392"/>
      <c r="AZ168" s="392"/>
      <c r="BA168" s="392"/>
      <c r="BB168" s="392"/>
      <c r="BC168" s="392"/>
      <c r="BD168" s="392"/>
      <c r="BE168" s="392"/>
      <c r="BF168" s="392"/>
      <c r="BG168" s="392"/>
      <c r="BH168" s="392"/>
      <c r="BI168" s="392"/>
      <c r="BJ168" s="392"/>
      <c r="BK168" s="392"/>
      <c r="BL168" s="392"/>
      <c r="BM168" s="392"/>
      <c r="BN168" s="392"/>
      <c r="BO168" s="392"/>
      <c r="BP168" s="392"/>
      <c r="BQ168" s="392"/>
      <c r="BR168" s="392"/>
      <c r="BS168" s="392"/>
      <c r="BT168" s="392"/>
      <c r="BU168" s="392"/>
      <c r="BV168" s="392"/>
      <c r="BW168" s="392"/>
      <c r="BX168" s="392"/>
      <c r="BY168" s="392"/>
      <c r="BZ168" s="392"/>
      <c r="CA168" s="392"/>
      <c r="CB168" s="392"/>
      <c r="CC168" s="392"/>
      <c r="CD168" s="392"/>
      <c r="CE168" s="392"/>
      <c r="CF168" s="392"/>
      <c r="CG168" s="392"/>
      <c r="CH168" s="392"/>
      <c r="CI168" s="392"/>
      <c r="CJ168" s="392"/>
      <c r="CK168" s="392"/>
      <c r="CL168" s="392"/>
      <c r="CM168" s="392"/>
      <c r="CN168" s="392"/>
      <c r="CO168" s="392"/>
      <c r="CP168" s="392"/>
      <c r="CQ168" s="392"/>
      <c r="CR168" s="392"/>
      <c r="CS168" s="392"/>
      <c r="CT168" s="387"/>
      <c r="CU168" s="387"/>
      <c r="CV168" s="387"/>
      <c r="CW168" s="387"/>
      <c r="CX168" s="392"/>
      <c r="CY168" s="387"/>
      <c r="CZ168" s="387"/>
      <c r="DA168" s="387"/>
      <c r="DB168" s="387"/>
      <c r="DC168" s="387"/>
      <c r="DD168" s="387"/>
      <c r="DE168" s="387"/>
      <c r="DF168" s="387"/>
      <c r="DG168" s="387"/>
      <c r="DH168" s="387"/>
      <c r="DI168" s="387"/>
      <c r="DJ168" s="33">
        <f>DJ165/DJ$105</f>
        <v>0.32356532356532358</v>
      </c>
      <c r="DK168" s="33">
        <f t="shared" ref="DK168:EB168" si="356">DK165/DK$105</f>
        <v>0.31134259259259262</v>
      </c>
      <c r="DL168" s="33">
        <f t="shared" si="356"/>
        <v>0.28959810874704489</v>
      </c>
      <c r="DM168" s="33">
        <f t="shared" si="356"/>
        <v>0.28977583378895572</v>
      </c>
      <c r="DN168" s="33">
        <f t="shared" si="356"/>
        <v>0.32580037664783429</v>
      </c>
      <c r="DO168" s="33">
        <f t="shared" si="356"/>
        <v>0.31412639405204462</v>
      </c>
      <c r="DP168" s="33">
        <f t="shared" si="356"/>
        <v>-2.5440313111545987E-2</v>
      </c>
      <c r="DQ168" s="33">
        <f t="shared" si="356"/>
        <v>-0.16832779623477298</v>
      </c>
      <c r="DR168" s="33">
        <f t="shared" si="356"/>
        <v>-0.2327469553450609</v>
      </c>
      <c r="DS168" s="33">
        <f t="shared" si="356"/>
        <v>-6.9138276553106212E-2</v>
      </c>
      <c r="DT168" s="33">
        <f t="shared" si="356"/>
        <v>9.635237439779766E-2</v>
      </c>
      <c r="DU168" s="33">
        <f t="shared" si="356"/>
        <v>3.7645448323066391E-2</v>
      </c>
      <c r="DV168" s="66">
        <f t="shared" si="356"/>
        <v>6.2865497076023388E-2</v>
      </c>
      <c r="DW168" s="66">
        <f t="shared" si="356"/>
        <v>5.9651474530831097E-2</v>
      </c>
      <c r="DX168" s="66">
        <f t="shared" si="356"/>
        <v>0.14673046251993621</v>
      </c>
      <c r="DY168" s="66">
        <f t="shared" si="356"/>
        <v>0.19282317336792046</v>
      </c>
      <c r="DZ168" s="66">
        <f t="shared" si="356"/>
        <v>0.19877942458587619</v>
      </c>
      <c r="EA168" s="66">
        <f t="shared" si="356"/>
        <v>0.29091636654661862</v>
      </c>
      <c r="EB168" s="66">
        <f t="shared" si="356"/>
        <v>0.29709090909090907</v>
      </c>
      <c r="EC168" s="66"/>
      <c r="ED168" s="446"/>
      <c r="EE168" s="446"/>
      <c r="EF168" s="446"/>
      <c r="EG168" s="446"/>
      <c r="EH168" s="446"/>
      <c r="EI168" s="446"/>
      <c r="EJ168" s="446"/>
      <c r="EK168" s="446"/>
      <c r="EL168" s="446"/>
      <c r="EM168" s="446"/>
      <c r="EN168" s="446"/>
      <c r="EO168" s="446"/>
      <c r="EP168" s="446"/>
      <c r="EQ168" s="446"/>
      <c r="ER168" s="446"/>
      <c r="ES168" s="446"/>
      <c r="ET168" s="446"/>
      <c r="EU168" s="446"/>
      <c r="EV168" s="446"/>
      <c r="EW168" s="446"/>
      <c r="FA168" s="66"/>
      <c r="FB168" s="66"/>
      <c r="FC168" s="66"/>
      <c r="FD168" s="66"/>
      <c r="FE168" s="66"/>
      <c r="FF168" s="66"/>
      <c r="FG168" s="66"/>
      <c r="FH168" s="66"/>
      <c r="FI168" s="66"/>
      <c r="FJ168" s="66"/>
      <c r="FK168" s="66"/>
      <c r="FL168" s="66"/>
      <c r="FM168" s="66"/>
      <c r="FN168" s="66"/>
      <c r="FO168" s="66"/>
      <c r="FP168" s="66"/>
      <c r="FQ168" s="66"/>
      <c r="FR168" s="66"/>
      <c r="FS168" s="66"/>
      <c r="FT168" s="66"/>
      <c r="FU168" s="66"/>
      <c r="FV168" s="66"/>
      <c r="FW168" s="66"/>
      <c r="FX168" s="56"/>
      <c r="FY168" s="56"/>
      <c r="FZ168" s="56"/>
      <c r="GA168" s="56"/>
      <c r="GB168" s="66">
        <f>GB165/GB$105</f>
        <v>0.3031799041672717</v>
      </c>
      <c r="GC168" s="66">
        <f>GC165/GC$105</f>
        <v>0.19190453152717304</v>
      </c>
      <c r="GD168" s="66">
        <f>GD165/GD$105</f>
        <v>-9.8903461621156746E-3</v>
      </c>
      <c r="GE168" s="66"/>
      <c r="GF168" s="66"/>
      <c r="GG168" s="446"/>
      <c r="GH168" s="446"/>
      <c r="GI168" s="446"/>
      <c r="GJ168" s="446"/>
      <c r="GK168" s="446"/>
      <c r="GN168" s="443"/>
    </row>
    <row r="169" spans="1:196" s="418" customFormat="1">
      <c r="A169" s="376" t="s">
        <v>265</v>
      </c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429"/>
      <c r="M169" s="429"/>
      <c r="N169" s="429"/>
      <c r="O169" s="429"/>
      <c r="P169" s="429"/>
      <c r="Q169" s="429"/>
      <c r="R169" s="429"/>
      <c r="S169" s="429"/>
      <c r="T169" s="429"/>
      <c r="U169" s="429"/>
      <c r="V169" s="429"/>
      <c r="W169" s="429"/>
      <c r="X169" s="429"/>
      <c r="Y169" s="429"/>
      <c r="Z169" s="429"/>
      <c r="AA169" s="429"/>
      <c r="AB169" s="429"/>
      <c r="AC169" s="429"/>
      <c r="AD169" s="429"/>
      <c r="AE169" s="429"/>
      <c r="AF169" s="429"/>
      <c r="AG169" s="429"/>
      <c r="AH169" s="429"/>
      <c r="AI169" s="429"/>
      <c r="AJ169" s="429"/>
      <c r="AK169" s="429"/>
      <c r="AL169" s="429"/>
      <c r="AM169" s="429"/>
      <c r="AN169" s="429"/>
      <c r="AO169" s="429"/>
      <c r="AP169" s="429"/>
      <c r="AQ169" s="429"/>
      <c r="AR169" s="429"/>
      <c r="AS169" s="429"/>
      <c r="AT169" s="429"/>
      <c r="AU169" s="429"/>
      <c r="AV169" s="429"/>
      <c r="AW169" s="429"/>
      <c r="AX169" s="429"/>
      <c r="AY169" s="429"/>
      <c r="AZ169" s="429"/>
      <c r="BA169" s="429"/>
      <c r="BB169" s="429"/>
      <c r="BC169" s="429"/>
      <c r="BD169" s="429"/>
      <c r="BE169" s="429"/>
      <c r="BF169" s="429"/>
      <c r="BG169" s="429"/>
      <c r="BH169" s="429"/>
      <c r="BI169" s="429"/>
      <c r="BJ169" s="429"/>
      <c r="BK169" s="429"/>
      <c r="BL169" s="429"/>
      <c r="BM169" s="429"/>
      <c r="BN169" s="429"/>
      <c r="BO169" s="429"/>
      <c r="BP169" s="429"/>
      <c r="BQ169" s="429"/>
      <c r="BR169" s="429"/>
      <c r="BS169" s="429"/>
      <c r="BT169" s="429"/>
      <c r="BU169" s="429"/>
      <c r="BV169" s="429"/>
      <c r="BW169" s="429"/>
      <c r="BX169" s="429"/>
      <c r="BY169" s="429"/>
      <c r="BZ169" s="429"/>
      <c r="CA169" s="429"/>
      <c r="CB169" s="429"/>
      <c r="CC169" s="429"/>
      <c r="CD169" s="429"/>
      <c r="CE169" s="429"/>
      <c r="CF169" s="429"/>
      <c r="CG169" s="429"/>
      <c r="CH169" s="429"/>
      <c r="CI169" s="429"/>
      <c r="CJ169" s="429"/>
      <c r="CK169" s="429"/>
      <c r="CL169" s="429"/>
      <c r="CM169" s="429"/>
      <c r="CN169" s="429"/>
      <c r="CO169" s="429"/>
      <c r="CP169" s="429"/>
      <c r="CQ169" s="429"/>
      <c r="CR169" s="429"/>
      <c r="CS169" s="429"/>
      <c r="CT169" s="431"/>
      <c r="CU169" s="431"/>
      <c r="CV169" s="431"/>
      <c r="CW169" s="431"/>
      <c r="CX169" s="429"/>
      <c r="CY169" s="431"/>
      <c r="CZ169" s="431"/>
      <c r="DA169" s="431"/>
      <c r="DB169" s="431"/>
      <c r="DC169" s="431"/>
      <c r="DD169" s="431"/>
      <c r="DE169" s="431"/>
      <c r="DF169" s="431"/>
      <c r="DG169" s="431"/>
      <c r="DH169" s="431"/>
      <c r="DI169" s="431"/>
      <c r="DJ169" s="397">
        <v>121</v>
      </c>
      <c r="DK169" s="397">
        <v>175</v>
      </c>
      <c r="DL169" s="397">
        <v>231</v>
      </c>
      <c r="DM169" s="397">
        <v>407</v>
      </c>
      <c r="DN169" s="397">
        <v>358</v>
      </c>
      <c r="DO169" s="397">
        <v>187</v>
      </c>
      <c r="DP169" s="397">
        <v>142</v>
      </c>
      <c r="DQ169" s="397">
        <v>266</v>
      </c>
      <c r="DR169" s="397">
        <v>314</v>
      </c>
      <c r="DS169" s="397">
        <v>225</v>
      </c>
      <c r="DT169" s="397">
        <v>208</v>
      </c>
      <c r="DU169" s="397">
        <v>224</v>
      </c>
      <c r="DV169" s="376">
        <v>151</v>
      </c>
      <c r="DW169" s="376">
        <v>77</v>
      </c>
      <c r="DX169" s="376">
        <v>12</v>
      </c>
      <c r="DY169" s="376">
        <v>50</v>
      </c>
      <c r="DZ169" s="376">
        <v>40</v>
      </c>
      <c r="EA169" s="376">
        <v>40</v>
      </c>
      <c r="EB169" s="376">
        <v>50</v>
      </c>
      <c r="EC169" s="376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FA169" s="66"/>
      <c r="FB169" s="66"/>
      <c r="FC169" s="66"/>
      <c r="FD169" s="66"/>
      <c r="FE169" s="66"/>
      <c r="FF169" s="66"/>
      <c r="FG169" s="66"/>
      <c r="FH169" s="66"/>
      <c r="FI169" s="66"/>
      <c r="FJ169" s="66"/>
      <c r="FK169" s="66"/>
      <c r="FL169" s="66"/>
      <c r="FM169" s="66"/>
      <c r="FN169" s="66"/>
      <c r="FO169" s="66"/>
      <c r="FP169" s="66"/>
      <c r="FQ169" s="66"/>
      <c r="FR169" s="66"/>
      <c r="FS169" s="66"/>
      <c r="FT169" s="66"/>
      <c r="FU169" s="66"/>
      <c r="FV169" s="66"/>
      <c r="FW169" s="66"/>
      <c r="FX169" s="56"/>
      <c r="FY169" s="56"/>
      <c r="FZ169" s="56"/>
      <c r="GA169" s="56"/>
      <c r="GB169" s="376">
        <f>SUM(DJ169:DM169)</f>
        <v>934</v>
      </c>
      <c r="GC169" s="376">
        <f>SUM(DN169:DQ169)</f>
        <v>953</v>
      </c>
      <c r="GD169" s="376">
        <f>SUM(DR169:DU169)</f>
        <v>971</v>
      </c>
      <c r="GE169" s="376"/>
      <c r="GF169" s="376"/>
      <c r="GG169" s="69"/>
      <c r="GH169" s="69"/>
      <c r="GI169" s="69"/>
      <c r="GJ169" s="69"/>
      <c r="GK169" s="69"/>
      <c r="GM169" s="432"/>
      <c r="GN169" s="70"/>
    </row>
    <row r="170" spans="1:196" s="382" customFormat="1">
      <c r="A170" s="381" t="s">
        <v>198</v>
      </c>
      <c r="B170" s="392"/>
      <c r="C170" s="392"/>
      <c r="D170" s="392"/>
      <c r="E170" s="392"/>
      <c r="F170" s="392"/>
      <c r="G170" s="392"/>
      <c r="H170" s="392"/>
      <c r="I170" s="392"/>
      <c r="J170" s="392"/>
      <c r="K170" s="392"/>
      <c r="L170" s="392"/>
      <c r="M170" s="392"/>
      <c r="N170" s="392"/>
      <c r="O170" s="392"/>
      <c r="P170" s="392"/>
      <c r="Q170" s="392"/>
      <c r="R170" s="392"/>
      <c r="S170" s="392"/>
      <c r="T170" s="392"/>
      <c r="U170" s="392"/>
      <c r="V170" s="392"/>
      <c r="W170" s="392"/>
      <c r="X170" s="392"/>
      <c r="Y170" s="392"/>
      <c r="Z170" s="392"/>
      <c r="AA170" s="392"/>
      <c r="AB170" s="392"/>
      <c r="AC170" s="392"/>
      <c r="AD170" s="392"/>
      <c r="AE170" s="392"/>
      <c r="AF170" s="392"/>
      <c r="AG170" s="392"/>
      <c r="AH170" s="392"/>
      <c r="AI170" s="392"/>
      <c r="AJ170" s="392"/>
      <c r="AK170" s="392"/>
      <c r="AL170" s="392"/>
      <c r="AM170" s="392"/>
      <c r="AN170" s="392"/>
      <c r="AO170" s="392"/>
      <c r="AP170" s="392"/>
      <c r="AQ170" s="392"/>
      <c r="AR170" s="392"/>
      <c r="AS170" s="392"/>
      <c r="AT170" s="392"/>
      <c r="AU170" s="392"/>
      <c r="AV170" s="392"/>
      <c r="AW170" s="392"/>
      <c r="AX170" s="392"/>
      <c r="AY170" s="392"/>
      <c r="AZ170" s="392"/>
      <c r="BA170" s="392"/>
      <c r="BB170" s="392"/>
      <c r="BC170" s="392"/>
      <c r="BD170" s="392"/>
      <c r="BE170" s="392"/>
      <c r="BF170" s="392"/>
      <c r="BG170" s="392"/>
      <c r="BH170" s="392"/>
      <c r="BI170" s="392"/>
      <c r="BJ170" s="392"/>
      <c r="BK170" s="392"/>
      <c r="BL170" s="392"/>
      <c r="BM170" s="392"/>
      <c r="BN170" s="392"/>
      <c r="BO170" s="392"/>
      <c r="BP170" s="392"/>
      <c r="BQ170" s="392"/>
      <c r="BR170" s="392"/>
      <c r="BS170" s="392"/>
      <c r="BT170" s="392"/>
      <c r="BU170" s="392"/>
      <c r="BV170" s="392"/>
      <c r="BW170" s="392"/>
      <c r="BX170" s="392"/>
      <c r="BY170" s="392"/>
      <c r="BZ170" s="392"/>
      <c r="CA170" s="392"/>
      <c r="CB170" s="392"/>
      <c r="CC170" s="392"/>
      <c r="CD170" s="392"/>
      <c r="CE170" s="392"/>
      <c r="CF170" s="392"/>
      <c r="CG170" s="392"/>
      <c r="CH170" s="392"/>
      <c r="CI170" s="392"/>
      <c r="CJ170" s="392"/>
      <c r="CK170" s="392"/>
      <c r="CL170" s="392"/>
      <c r="CM170" s="392"/>
      <c r="CN170" s="392"/>
      <c r="CO170" s="392"/>
      <c r="CP170" s="392"/>
      <c r="CQ170" s="392"/>
      <c r="CR170" s="392"/>
      <c r="CS170" s="392"/>
      <c r="CT170" s="387"/>
      <c r="CU170" s="387"/>
      <c r="CV170" s="387"/>
      <c r="CW170" s="387"/>
      <c r="CX170" s="392"/>
      <c r="CY170" s="387"/>
      <c r="CZ170" s="387"/>
      <c r="DA170" s="387"/>
      <c r="DB170" s="387"/>
      <c r="DC170" s="387"/>
      <c r="DD170" s="387"/>
      <c r="DE170" s="387"/>
      <c r="DF170" s="387"/>
      <c r="DG170" s="387"/>
      <c r="DH170" s="387"/>
      <c r="DI170" s="387"/>
      <c r="DJ170" s="442"/>
      <c r="DK170" s="33">
        <f t="shared" ref="DK170:EB170" si="357">DK169/DJ169-1</f>
        <v>0.44628099173553726</v>
      </c>
      <c r="DL170" s="33">
        <f t="shared" si="357"/>
        <v>0.32000000000000006</v>
      </c>
      <c r="DM170" s="33">
        <f t="shared" si="357"/>
        <v>0.76190476190476186</v>
      </c>
      <c r="DN170" s="33">
        <f t="shared" si="357"/>
        <v>-0.12039312039312045</v>
      </c>
      <c r="DO170" s="33">
        <f t="shared" si="357"/>
        <v>-0.47765363128491622</v>
      </c>
      <c r="DP170" s="33">
        <f t="shared" si="357"/>
        <v>-0.24064171122994649</v>
      </c>
      <c r="DQ170" s="33">
        <f t="shared" si="357"/>
        <v>0.87323943661971826</v>
      </c>
      <c r="DR170" s="33">
        <f t="shared" si="357"/>
        <v>0.18045112781954886</v>
      </c>
      <c r="DS170" s="33">
        <f t="shared" si="357"/>
        <v>-0.28343949044585992</v>
      </c>
      <c r="DT170" s="33">
        <f t="shared" si="357"/>
        <v>-7.5555555555555598E-2</v>
      </c>
      <c r="DU170" s="33">
        <f t="shared" si="357"/>
        <v>7.6923076923076872E-2</v>
      </c>
      <c r="DV170" s="66">
        <f t="shared" si="357"/>
        <v>-0.3258928571428571</v>
      </c>
      <c r="DW170" s="66">
        <f t="shared" si="357"/>
        <v>-0.49006622516556286</v>
      </c>
      <c r="DX170" s="66">
        <f t="shared" si="357"/>
        <v>-0.8441558441558441</v>
      </c>
      <c r="DY170" s="66">
        <f t="shared" si="357"/>
        <v>3.166666666666667</v>
      </c>
      <c r="DZ170" s="66">
        <f t="shared" si="357"/>
        <v>-0.19999999999999996</v>
      </c>
      <c r="EA170" s="66">
        <f t="shared" si="357"/>
        <v>0</v>
      </c>
      <c r="EB170" s="66">
        <f t="shared" si="357"/>
        <v>0.25</v>
      </c>
      <c r="EC170" s="66"/>
      <c r="ED170" s="446"/>
      <c r="EE170" s="446"/>
      <c r="EF170" s="446"/>
      <c r="EG170" s="446"/>
      <c r="EH170" s="446"/>
      <c r="EI170" s="446"/>
      <c r="EJ170" s="446"/>
      <c r="EK170" s="446"/>
      <c r="EL170" s="446"/>
      <c r="EM170" s="446"/>
      <c r="EN170" s="446"/>
      <c r="EO170" s="446"/>
      <c r="EP170" s="446"/>
      <c r="EQ170" s="446"/>
      <c r="ER170" s="446"/>
      <c r="ES170" s="446"/>
      <c r="ET170" s="446"/>
      <c r="EU170" s="446"/>
      <c r="EV170" s="446"/>
      <c r="EW170" s="446"/>
      <c r="FA170" s="66"/>
      <c r="FB170" s="66"/>
      <c r="FC170" s="66"/>
      <c r="FD170" s="66"/>
      <c r="FE170" s="66"/>
      <c r="FF170" s="66"/>
      <c r="FG170" s="66"/>
      <c r="FH170" s="66"/>
      <c r="FI170" s="66"/>
      <c r="FJ170" s="66"/>
      <c r="FK170" s="66"/>
      <c r="FL170" s="66"/>
      <c r="FM170" s="66"/>
      <c r="FN170" s="66"/>
      <c r="FO170" s="66"/>
      <c r="FP170" s="66"/>
      <c r="FQ170" s="66"/>
      <c r="FR170" s="66"/>
      <c r="FS170" s="66"/>
      <c r="FT170" s="66"/>
      <c r="FU170" s="66"/>
      <c r="FV170" s="66"/>
      <c r="FW170" s="66"/>
      <c r="FX170" s="56"/>
      <c r="FY170" s="56"/>
      <c r="FZ170" s="56"/>
      <c r="GA170" s="56"/>
      <c r="GB170" s="386" t="s">
        <v>199</v>
      </c>
      <c r="GC170" s="386" t="s">
        <v>199</v>
      </c>
      <c r="GD170" s="386" t="s">
        <v>199</v>
      </c>
      <c r="GE170" s="386"/>
      <c r="GF170" s="386"/>
      <c r="GG170" s="446"/>
      <c r="GH170" s="446"/>
      <c r="GI170" s="446"/>
      <c r="GJ170" s="446"/>
      <c r="GK170" s="446"/>
      <c r="GN170" s="443"/>
    </row>
    <row r="171" spans="1:196" s="382" customFormat="1">
      <c r="A171" s="381" t="s">
        <v>200</v>
      </c>
      <c r="B171" s="392"/>
      <c r="C171" s="392"/>
      <c r="D171" s="392"/>
      <c r="E171" s="392"/>
      <c r="F171" s="392"/>
      <c r="G171" s="392"/>
      <c r="H171" s="392"/>
      <c r="I171" s="392"/>
      <c r="J171" s="392"/>
      <c r="K171" s="392"/>
      <c r="L171" s="392"/>
      <c r="M171" s="392"/>
      <c r="N171" s="392"/>
      <c r="O171" s="392"/>
      <c r="P171" s="392"/>
      <c r="Q171" s="392"/>
      <c r="R171" s="392"/>
      <c r="S171" s="392"/>
      <c r="T171" s="392"/>
      <c r="U171" s="392"/>
      <c r="V171" s="392"/>
      <c r="W171" s="392"/>
      <c r="X171" s="392"/>
      <c r="Y171" s="392"/>
      <c r="Z171" s="392"/>
      <c r="AA171" s="392"/>
      <c r="AB171" s="392"/>
      <c r="AC171" s="392"/>
      <c r="AD171" s="392"/>
      <c r="AE171" s="392"/>
      <c r="AF171" s="392"/>
      <c r="AG171" s="392"/>
      <c r="AH171" s="392"/>
      <c r="AI171" s="392"/>
      <c r="AJ171" s="392"/>
      <c r="AK171" s="392"/>
      <c r="AL171" s="392"/>
      <c r="AM171" s="392"/>
      <c r="AN171" s="392"/>
      <c r="AO171" s="392"/>
      <c r="AP171" s="392"/>
      <c r="AQ171" s="392"/>
      <c r="AR171" s="392"/>
      <c r="AS171" s="392"/>
      <c r="AT171" s="392"/>
      <c r="AU171" s="392"/>
      <c r="AV171" s="392"/>
      <c r="AW171" s="392"/>
      <c r="AX171" s="392"/>
      <c r="AY171" s="392"/>
      <c r="AZ171" s="392"/>
      <c r="BA171" s="392"/>
      <c r="BB171" s="392"/>
      <c r="BC171" s="392"/>
      <c r="BD171" s="392"/>
      <c r="BE171" s="392"/>
      <c r="BF171" s="392"/>
      <c r="BG171" s="392"/>
      <c r="BH171" s="392"/>
      <c r="BI171" s="392"/>
      <c r="BJ171" s="392"/>
      <c r="BK171" s="392"/>
      <c r="BL171" s="392"/>
      <c r="BM171" s="392"/>
      <c r="BN171" s="392"/>
      <c r="BO171" s="392"/>
      <c r="BP171" s="392"/>
      <c r="BQ171" s="392"/>
      <c r="BR171" s="392"/>
      <c r="BS171" s="392"/>
      <c r="BT171" s="392"/>
      <c r="BU171" s="392"/>
      <c r="BV171" s="392"/>
      <c r="BW171" s="392"/>
      <c r="BX171" s="392"/>
      <c r="BY171" s="392"/>
      <c r="BZ171" s="392"/>
      <c r="CA171" s="392"/>
      <c r="CB171" s="392"/>
      <c r="CC171" s="392"/>
      <c r="CD171" s="392"/>
      <c r="CE171" s="392"/>
      <c r="CF171" s="392"/>
      <c r="CG171" s="392"/>
      <c r="CH171" s="392"/>
      <c r="CI171" s="392"/>
      <c r="CJ171" s="392"/>
      <c r="CK171" s="392"/>
      <c r="CL171" s="392"/>
      <c r="CM171" s="392"/>
      <c r="CN171" s="392"/>
      <c r="CO171" s="392"/>
      <c r="CP171" s="392"/>
      <c r="CQ171" s="392"/>
      <c r="CR171" s="392"/>
      <c r="CS171" s="392"/>
      <c r="CT171" s="387"/>
      <c r="CU171" s="387"/>
      <c r="CV171" s="387"/>
      <c r="CW171" s="387"/>
      <c r="CX171" s="392"/>
      <c r="CY171" s="387"/>
      <c r="CZ171" s="387"/>
      <c r="DA171" s="387"/>
      <c r="DB171" s="387"/>
      <c r="DC171" s="387"/>
      <c r="DD171" s="387"/>
      <c r="DE171" s="387"/>
      <c r="DF171" s="387"/>
      <c r="DG171" s="387"/>
      <c r="DH171" s="387"/>
      <c r="DI171" s="387"/>
      <c r="DJ171" s="442"/>
      <c r="DK171" s="33"/>
      <c r="DL171" s="33"/>
      <c r="DM171" s="33"/>
      <c r="DN171" s="33">
        <f t="shared" ref="DN171:EB171" si="358">DN169/DJ169-1</f>
        <v>1.9586776859504131</v>
      </c>
      <c r="DO171" s="33">
        <f t="shared" si="358"/>
        <v>6.8571428571428505E-2</v>
      </c>
      <c r="DP171" s="33">
        <f t="shared" si="358"/>
        <v>-0.38528138528138534</v>
      </c>
      <c r="DQ171" s="33">
        <f t="shared" si="358"/>
        <v>-0.34643734643734647</v>
      </c>
      <c r="DR171" s="33">
        <f t="shared" si="358"/>
        <v>-0.12290502793296088</v>
      </c>
      <c r="DS171" s="33">
        <f t="shared" si="358"/>
        <v>0.20320855614973254</v>
      </c>
      <c r="DT171" s="33">
        <f t="shared" si="358"/>
        <v>0.46478873239436624</v>
      </c>
      <c r="DU171" s="33">
        <f t="shared" si="358"/>
        <v>-0.15789473684210531</v>
      </c>
      <c r="DV171" s="66">
        <f t="shared" si="358"/>
        <v>-0.51910828025477707</v>
      </c>
      <c r="DW171" s="66">
        <f t="shared" si="358"/>
        <v>-0.65777777777777779</v>
      </c>
      <c r="DX171" s="66">
        <f t="shared" si="358"/>
        <v>-0.94230769230769229</v>
      </c>
      <c r="DY171" s="66">
        <f t="shared" si="358"/>
        <v>-0.7767857142857143</v>
      </c>
      <c r="DZ171" s="66">
        <f t="shared" si="358"/>
        <v>-0.73509933774834435</v>
      </c>
      <c r="EA171" s="66">
        <f t="shared" si="358"/>
        <v>-0.48051948051948057</v>
      </c>
      <c r="EB171" s="66">
        <f t="shared" si="358"/>
        <v>3.166666666666667</v>
      </c>
      <c r="EC171" s="66"/>
      <c r="ED171" s="446"/>
      <c r="EE171" s="446"/>
      <c r="EF171" s="446"/>
      <c r="EG171" s="446"/>
      <c r="EH171" s="446"/>
      <c r="EI171" s="446"/>
      <c r="EJ171" s="446"/>
      <c r="EK171" s="446"/>
      <c r="EL171" s="446"/>
      <c r="EM171" s="446"/>
      <c r="EN171" s="446"/>
      <c r="EO171" s="446"/>
      <c r="EP171" s="446"/>
      <c r="EQ171" s="446"/>
      <c r="ER171" s="446"/>
      <c r="ES171" s="446"/>
      <c r="ET171" s="446"/>
      <c r="EU171" s="446"/>
      <c r="EV171" s="446"/>
      <c r="EW171" s="446"/>
      <c r="FA171" s="66"/>
      <c r="FB171" s="66"/>
      <c r="FC171" s="66"/>
      <c r="FD171" s="66"/>
      <c r="FE171" s="66"/>
      <c r="FF171" s="66"/>
      <c r="FG171" s="66"/>
      <c r="FH171" s="66"/>
      <c r="FI171" s="66"/>
      <c r="FJ171" s="66"/>
      <c r="FK171" s="66"/>
      <c r="FL171" s="66"/>
      <c r="FM171" s="66"/>
      <c r="FN171" s="66"/>
      <c r="FO171" s="66"/>
      <c r="FP171" s="66"/>
      <c r="FQ171" s="66"/>
      <c r="FR171" s="66"/>
      <c r="FS171" s="66"/>
      <c r="FT171" s="66"/>
      <c r="FU171" s="66"/>
      <c r="FV171" s="66"/>
      <c r="FW171" s="66"/>
      <c r="FX171" s="56"/>
      <c r="FY171" s="56"/>
      <c r="FZ171" s="56"/>
      <c r="GA171" s="56"/>
      <c r="GB171" s="386" t="s">
        <v>199</v>
      </c>
      <c r="GC171" s="386">
        <f>GC169/GB169-1</f>
        <v>2.0342612419700146E-2</v>
      </c>
      <c r="GD171" s="386">
        <f>GD169/GC169-1</f>
        <v>1.8887722980063026E-2</v>
      </c>
      <c r="GE171" s="386"/>
      <c r="GF171" s="386"/>
      <c r="GG171" s="446"/>
      <c r="GH171" s="446"/>
      <c r="GI171" s="446"/>
      <c r="GJ171" s="446"/>
      <c r="GK171" s="446"/>
      <c r="GN171" s="443"/>
    </row>
    <row r="172" spans="1:196" s="382" customFormat="1">
      <c r="A172" s="381" t="s">
        <v>277</v>
      </c>
      <c r="B172" s="392"/>
      <c r="C172" s="392"/>
      <c r="D172" s="392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/>
      <c r="O172" s="392"/>
      <c r="P172" s="392"/>
      <c r="Q172" s="392"/>
      <c r="R172" s="392"/>
      <c r="S172" s="392"/>
      <c r="T172" s="392"/>
      <c r="U172" s="392"/>
      <c r="V172" s="392"/>
      <c r="W172" s="392"/>
      <c r="X172" s="392"/>
      <c r="Y172" s="392"/>
      <c r="Z172" s="392"/>
      <c r="AA172" s="392"/>
      <c r="AB172" s="392"/>
      <c r="AC172" s="392"/>
      <c r="AD172" s="392"/>
      <c r="AE172" s="392"/>
      <c r="AF172" s="392"/>
      <c r="AG172" s="392"/>
      <c r="AH172" s="392"/>
      <c r="AI172" s="392"/>
      <c r="AJ172" s="392"/>
      <c r="AK172" s="392"/>
      <c r="AL172" s="392"/>
      <c r="AM172" s="392"/>
      <c r="AN172" s="392"/>
      <c r="AO172" s="392"/>
      <c r="AP172" s="392"/>
      <c r="AQ172" s="392"/>
      <c r="AR172" s="392"/>
      <c r="AS172" s="392"/>
      <c r="AT172" s="392"/>
      <c r="AU172" s="392"/>
      <c r="AV172" s="392"/>
      <c r="AW172" s="392"/>
      <c r="AX172" s="392"/>
      <c r="AY172" s="392"/>
      <c r="AZ172" s="392"/>
      <c r="BA172" s="392"/>
      <c r="BB172" s="392"/>
      <c r="BC172" s="392"/>
      <c r="BD172" s="392"/>
      <c r="BE172" s="392"/>
      <c r="BF172" s="392"/>
      <c r="BG172" s="392"/>
      <c r="BH172" s="392"/>
      <c r="BI172" s="392"/>
      <c r="BJ172" s="392"/>
      <c r="BK172" s="392"/>
      <c r="BL172" s="392"/>
      <c r="BM172" s="392"/>
      <c r="BN172" s="392"/>
      <c r="BO172" s="392"/>
      <c r="BP172" s="392"/>
      <c r="BQ172" s="392"/>
      <c r="BR172" s="392"/>
      <c r="BS172" s="392"/>
      <c r="BT172" s="392"/>
      <c r="BU172" s="392"/>
      <c r="BV172" s="392"/>
      <c r="BW172" s="392"/>
      <c r="BX172" s="392"/>
      <c r="BY172" s="392"/>
      <c r="BZ172" s="392"/>
      <c r="CA172" s="392"/>
      <c r="CB172" s="392"/>
      <c r="CC172" s="392"/>
      <c r="CD172" s="392"/>
      <c r="CE172" s="392"/>
      <c r="CF172" s="392"/>
      <c r="CG172" s="392"/>
      <c r="CH172" s="392"/>
      <c r="CI172" s="392"/>
      <c r="CJ172" s="392"/>
      <c r="CK172" s="392"/>
      <c r="CL172" s="392"/>
      <c r="CM172" s="392"/>
      <c r="CN172" s="392"/>
      <c r="CO172" s="392"/>
      <c r="CP172" s="392"/>
      <c r="CQ172" s="392"/>
      <c r="CR172" s="392"/>
      <c r="CS172" s="392"/>
      <c r="CT172" s="387"/>
      <c r="CU172" s="387"/>
      <c r="CV172" s="387"/>
      <c r="CW172" s="387"/>
      <c r="CX172" s="392"/>
      <c r="CY172" s="387"/>
      <c r="CZ172" s="387"/>
      <c r="DA172" s="387"/>
      <c r="DB172" s="387"/>
      <c r="DC172" s="387"/>
      <c r="DD172" s="387"/>
      <c r="DE172" s="387"/>
      <c r="DF172" s="387"/>
      <c r="DG172" s="387"/>
      <c r="DH172" s="387"/>
      <c r="DI172" s="387"/>
      <c r="DJ172" s="33">
        <f>DJ169/DJ$121</f>
        <v>0.10476190476190476</v>
      </c>
      <c r="DK172" s="33">
        <f t="shared" ref="DK172:EB172" si="359">DK169/DK$121</f>
        <v>0.1394422310756972</v>
      </c>
      <c r="DL172" s="33">
        <f t="shared" si="359"/>
        <v>0.16108786610878661</v>
      </c>
      <c r="DM172" s="33">
        <f t="shared" si="359"/>
        <v>0.23085649461145774</v>
      </c>
      <c r="DN172" s="33">
        <f t="shared" si="359"/>
        <v>0.19093333333333334</v>
      </c>
      <c r="DO172" s="33">
        <f t="shared" si="359"/>
        <v>0.11299093655589124</v>
      </c>
      <c r="DP172" s="33">
        <f t="shared" si="359"/>
        <v>8.7063151440833847E-2</v>
      </c>
      <c r="DQ172" s="33">
        <f t="shared" si="359"/>
        <v>0.16180048661800486</v>
      </c>
      <c r="DR172" s="33">
        <f t="shared" si="359"/>
        <v>0.17871371656232213</v>
      </c>
      <c r="DS172" s="33">
        <f t="shared" si="359"/>
        <v>0.14231499051233396</v>
      </c>
      <c r="DT172" s="33">
        <f t="shared" si="359"/>
        <v>0.13811420982735723</v>
      </c>
      <c r="DU172" s="33">
        <f t="shared" si="359"/>
        <v>0.16374269005847952</v>
      </c>
      <c r="DV172" s="66">
        <f t="shared" si="359"/>
        <v>0.16377440347071584</v>
      </c>
      <c r="DW172" s="66">
        <f t="shared" si="359"/>
        <v>0.11882716049382716</v>
      </c>
      <c r="DX172" s="66">
        <f t="shared" si="359"/>
        <v>2.5974025974025976E-2</v>
      </c>
      <c r="DY172" s="66">
        <f t="shared" si="359"/>
        <v>8.8809946714031973E-2</v>
      </c>
      <c r="DZ172" s="66">
        <f t="shared" si="359"/>
        <v>6.1823802163833076E-2</v>
      </c>
      <c r="EA172" s="66">
        <f t="shared" si="359"/>
        <v>3.5650623885918005E-2</v>
      </c>
      <c r="EB172" s="66">
        <f t="shared" si="359"/>
        <v>3.8520801232665637E-2</v>
      </c>
      <c r="EC172" s="66"/>
      <c r="ED172" s="446"/>
      <c r="EE172" s="446"/>
      <c r="EF172" s="446"/>
      <c r="EG172" s="446"/>
      <c r="EH172" s="446"/>
      <c r="EI172" s="446"/>
      <c r="EJ172" s="446"/>
      <c r="EK172" s="446"/>
      <c r="EL172" s="446"/>
      <c r="EM172" s="446"/>
      <c r="EN172" s="446"/>
      <c r="EO172" s="446"/>
      <c r="EP172" s="446"/>
      <c r="EQ172" s="446"/>
      <c r="ER172" s="446"/>
      <c r="ES172" s="446"/>
      <c r="ET172" s="446"/>
      <c r="EU172" s="446"/>
      <c r="EV172" s="446"/>
      <c r="EW172" s="446"/>
      <c r="FA172" s="66"/>
      <c r="FB172" s="66"/>
      <c r="FC172" s="66"/>
      <c r="FD172" s="66"/>
      <c r="FE172" s="66"/>
      <c r="FF172" s="66"/>
      <c r="FG172" s="66"/>
      <c r="FH172" s="66"/>
      <c r="FI172" s="66"/>
      <c r="FJ172" s="66"/>
      <c r="FK172" s="66"/>
      <c r="FL172" s="66"/>
      <c r="FM172" s="66"/>
      <c r="FN172" s="66"/>
      <c r="FO172" s="66"/>
      <c r="FP172" s="66"/>
      <c r="FQ172" s="66"/>
      <c r="FR172" s="66"/>
      <c r="FS172" s="66"/>
      <c r="FT172" s="66"/>
      <c r="FU172" s="66"/>
      <c r="FV172" s="66"/>
      <c r="FW172" s="66"/>
      <c r="FX172" s="56"/>
      <c r="FY172" s="56"/>
      <c r="FZ172" s="56"/>
      <c r="GA172" s="56"/>
      <c r="GB172" s="66">
        <f>GB169/GB$105</f>
        <v>0.13561783069551328</v>
      </c>
      <c r="GC172" s="66">
        <f>GC169/GC$105</f>
        <v>0.15368488953394613</v>
      </c>
      <c r="GD172" s="66">
        <f>GD169/GD$105</f>
        <v>0.20877230703074606</v>
      </c>
      <c r="GE172" s="66"/>
      <c r="GF172" s="66"/>
      <c r="GG172" s="446"/>
      <c r="GH172" s="446"/>
      <c r="GI172" s="446"/>
      <c r="GJ172" s="446"/>
      <c r="GK172" s="446"/>
      <c r="GN172" s="443"/>
    </row>
    <row r="173" spans="1:196" s="418" customFormat="1">
      <c r="A173" s="376" t="s">
        <v>270</v>
      </c>
      <c r="B173" s="429"/>
      <c r="C173" s="429"/>
      <c r="D173" s="429"/>
      <c r="E173" s="429"/>
      <c r="F173" s="429"/>
      <c r="G173" s="429"/>
      <c r="H173" s="429"/>
      <c r="I173" s="429"/>
      <c r="J173" s="429"/>
      <c r="K173" s="429"/>
      <c r="L173" s="429"/>
      <c r="M173" s="429"/>
      <c r="N173" s="429"/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  <c r="Y173" s="429"/>
      <c r="Z173" s="429"/>
      <c r="AA173" s="429"/>
      <c r="AB173" s="429"/>
      <c r="AC173" s="429"/>
      <c r="AD173" s="429"/>
      <c r="AE173" s="429"/>
      <c r="AF173" s="429"/>
      <c r="AG173" s="429"/>
      <c r="AH173" s="429"/>
      <c r="AI173" s="429"/>
      <c r="AJ173" s="429"/>
      <c r="AK173" s="429"/>
      <c r="AL173" s="429"/>
      <c r="AM173" s="429"/>
      <c r="AN173" s="429"/>
      <c r="AO173" s="429"/>
      <c r="AP173" s="429"/>
      <c r="AQ173" s="429"/>
      <c r="AR173" s="429"/>
      <c r="AS173" s="429"/>
      <c r="AT173" s="429"/>
      <c r="AU173" s="429"/>
      <c r="AV173" s="429"/>
      <c r="AW173" s="429"/>
      <c r="AX173" s="429"/>
      <c r="AY173" s="429"/>
      <c r="AZ173" s="429"/>
      <c r="BA173" s="429"/>
      <c r="BB173" s="429"/>
      <c r="BC173" s="429"/>
      <c r="BD173" s="429"/>
      <c r="BE173" s="429"/>
      <c r="BF173" s="429"/>
      <c r="BG173" s="429"/>
      <c r="BH173" s="429"/>
      <c r="BI173" s="429"/>
      <c r="BJ173" s="429"/>
      <c r="BK173" s="429"/>
      <c r="BL173" s="429"/>
      <c r="BM173" s="429"/>
      <c r="BN173" s="429"/>
      <c r="BO173" s="429"/>
      <c r="BP173" s="429"/>
      <c r="BQ173" s="429"/>
      <c r="BR173" s="429"/>
      <c r="BS173" s="429"/>
      <c r="BT173" s="429"/>
      <c r="BU173" s="429"/>
      <c r="BV173" s="429"/>
      <c r="BW173" s="429"/>
      <c r="BX173" s="429"/>
      <c r="BY173" s="429"/>
      <c r="BZ173" s="429"/>
      <c r="CA173" s="429"/>
      <c r="CB173" s="429"/>
      <c r="CC173" s="429"/>
      <c r="CD173" s="429"/>
      <c r="CE173" s="429"/>
      <c r="CF173" s="429"/>
      <c r="CG173" s="429"/>
      <c r="CH173" s="429"/>
      <c r="CI173" s="429"/>
      <c r="CJ173" s="429"/>
      <c r="CK173" s="429"/>
      <c r="CL173" s="429"/>
      <c r="CM173" s="429"/>
      <c r="CN173" s="429"/>
      <c r="CO173" s="429"/>
      <c r="CP173" s="429"/>
      <c r="CQ173" s="429"/>
      <c r="CR173" s="429"/>
      <c r="CS173" s="429"/>
      <c r="CT173" s="431"/>
      <c r="CU173" s="431"/>
      <c r="CV173" s="431"/>
      <c r="CW173" s="431"/>
      <c r="CX173" s="429"/>
      <c r="CY173" s="431"/>
      <c r="CZ173" s="431"/>
      <c r="DA173" s="431"/>
      <c r="DB173" s="431"/>
      <c r="DC173" s="431"/>
      <c r="DD173" s="431"/>
      <c r="DE173" s="431"/>
      <c r="DF173" s="431"/>
      <c r="DG173" s="431"/>
      <c r="DH173" s="431"/>
      <c r="DI173" s="431"/>
      <c r="DJ173" s="397">
        <v>110</v>
      </c>
      <c r="DK173" s="397">
        <v>204</v>
      </c>
      <c r="DL173" s="397">
        <v>308</v>
      </c>
      <c r="DM173" s="397">
        <v>369</v>
      </c>
      <c r="DN173" s="397">
        <v>427</v>
      </c>
      <c r="DO173" s="397">
        <v>472</v>
      </c>
      <c r="DP173" s="397">
        <v>505</v>
      </c>
      <c r="DQ173" s="397">
        <v>444</v>
      </c>
      <c r="DR173" s="397">
        <v>148</v>
      </c>
      <c r="DS173" s="397">
        <v>147</v>
      </c>
      <c r="DT173" s="397">
        <v>306</v>
      </c>
      <c r="DU173" s="397">
        <v>666</v>
      </c>
      <c r="DV173" s="376">
        <v>541</v>
      </c>
      <c r="DW173" s="376">
        <v>743</v>
      </c>
      <c r="DX173" s="376">
        <v>1041</v>
      </c>
      <c r="DY173" s="376">
        <v>1157</v>
      </c>
      <c r="DZ173" s="376">
        <v>932</v>
      </c>
      <c r="EA173" s="376">
        <v>-155</v>
      </c>
      <c r="EB173" s="376">
        <v>1074</v>
      </c>
      <c r="EC173" s="376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FA173" s="66"/>
      <c r="FB173" s="66"/>
      <c r="FC173" s="66"/>
      <c r="FD173" s="66"/>
      <c r="FE173" s="66"/>
      <c r="FF173" s="66"/>
      <c r="FG173" s="66"/>
      <c r="FH173" s="66"/>
      <c r="FI173" s="66"/>
      <c r="FJ173" s="66"/>
      <c r="FK173" s="66"/>
      <c r="FL173" s="66"/>
      <c r="FM173" s="66"/>
      <c r="FN173" s="66"/>
      <c r="FO173" s="66"/>
      <c r="FP173" s="66"/>
      <c r="FQ173" s="66"/>
      <c r="FR173" s="66"/>
      <c r="FS173" s="66"/>
      <c r="FT173" s="66"/>
      <c r="FU173" s="66"/>
      <c r="FV173" s="66"/>
      <c r="FW173" s="66"/>
      <c r="FX173" s="56"/>
      <c r="FY173" s="56"/>
      <c r="FZ173" s="56"/>
      <c r="GA173" s="56"/>
      <c r="GB173" s="376">
        <f>SUM(DJ173:DM173)</f>
        <v>991</v>
      </c>
      <c r="GC173" s="376">
        <f>SUM(DN173:DQ173)</f>
        <v>1848</v>
      </c>
      <c r="GD173" s="376">
        <f>SUM(DR173:DU173)</f>
        <v>1267</v>
      </c>
      <c r="GE173" s="376"/>
      <c r="GF173" s="376"/>
      <c r="GG173" s="69"/>
      <c r="GH173" s="69"/>
      <c r="GI173" s="69"/>
      <c r="GJ173" s="69"/>
      <c r="GK173" s="69"/>
      <c r="GM173" s="432"/>
      <c r="GN173" s="70"/>
    </row>
    <row r="174" spans="1:196" s="382" customFormat="1">
      <c r="A174" s="381" t="s">
        <v>198</v>
      </c>
      <c r="B174" s="392"/>
      <c r="C174" s="392"/>
      <c r="D174" s="392"/>
      <c r="E174" s="392"/>
      <c r="F174" s="392"/>
      <c r="G174" s="392"/>
      <c r="H174" s="392"/>
      <c r="I174" s="392"/>
      <c r="J174" s="392"/>
      <c r="K174" s="392"/>
      <c r="L174" s="392"/>
      <c r="M174" s="392"/>
      <c r="N174" s="392"/>
      <c r="O174" s="392"/>
      <c r="P174" s="392"/>
      <c r="Q174" s="392"/>
      <c r="R174" s="392"/>
      <c r="S174" s="392"/>
      <c r="T174" s="392"/>
      <c r="U174" s="392"/>
      <c r="V174" s="392"/>
      <c r="W174" s="392"/>
      <c r="X174" s="392"/>
      <c r="Y174" s="392"/>
      <c r="Z174" s="392"/>
      <c r="AA174" s="392"/>
      <c r="AB174" s="392"/>
      <c r="AC174" s="392"/>
      <c r="AD174" s="392"/>
      <c r="AE174" s="392"/>
      <c r="AF174" s="392"/>
      <c r="AG174" s="392"/>
      <c r="AH174" s="392"/>
      <c r="AI174" s="392"/>
      <c r="AJ174" s="392"/>
      <c r="AK174" s="392"/>
      <c r="AL174" s="392"/>
      <c r="AM174" s="392"/>
      <c r="AN174" s="392"/>
      <c r="AO174" s="392"/>
      <c r="AP174" s="392"/>
      <c r="AQ174" s="392"/>
      <c r="AR174" s="392"/>
      <c r="AS174" s="392"/>
      <c r="AT174" s="392"/>
      <c r="AU174" s="392"/>
      <c r="AV174" s="392"/>
      <c r="AW174" s="392"/>
      <c r="AX174" s="392"/>
      <c r="AY174" s="392"/>
      <c r="AZ174" s="392"/>
      <c r="BA174" s="392"/>
      <c r="BB174" s="392"/>
      <c r="BC174" s="392"/>
      <c r="BD174" s="392"/>
      <c r="BE174" s="392"/>
      <c r="BF174" s="392"/>
      <c r="BG174" s="392"/>
      <c r="BH174" s="392"/>
      <c r="BI174" s="392"/>
      <c r="BJ174" s="392"/>
      <c r="BK174" s="392"/>
      <c r="BL174" s="392"/>
      <c r="BM174" s="392"/>
      <c r="BN174" s="392"/>
      <c r="BO174" s="392"/>
      <c r="BP174" s="392"/>
      <c r="BQ174" s="392"/>
      <c r="BR174" s="392"/>
      <c r="BS174" s="392"/>
      <c r="BT174" s="392"/>
      <c r="BU174" s="392"/>
      <c r="BV174" s="392"/>
      <c r="BW174" s="392"/>
      <c r="BX174" s="392"/>
      <c r="BY174" s="392"/>
      <c r="BZ174" s="392"/>
      <c r="CA174" s="392"/>
      <c r="CB174" s="392"/>
      <c r="CC174" s="392"/>
      <c r="CD174" s="392"/>
      <c r="CE174" s="392"/>
      <c r="CF174" s="392"/>
      <c r="CG174" s="392"/>
      <c r="CH174" s="392"/>
      <c r="CI174" s="392"/>
      <c r="CJ174" s="392"/>
      <c r="CK174" s="392"/>
      <c r="CL174" s="392"/>
      <c r="CM174" s="392"/>
      <c r="CN174" s="392"/>
      <c r="CO174" s="392"/>
      <c r="CP174" s="392"/>
      <c r="CQ174" s="392"/>
      <c r="CR174" s="392"/>
      <c r="CS174" s="392"/>
      <c r="CT174" s="387"/>
      <c r="CU174" s="387"/>
      <c r="CV174" s="387"/>
      <c r="CW174" s="387"/>
      <c r="CX174" s="392"/>
      <c r="CY174" s="387"/>
      <c r="CZ174" s="387"/>
      <c r="DA174" s="387"/>
      <c r="DB174" s="387"/>
      <c r="DC174" s="387"/>
      <c r="DD174" s="387"/>
      <c r="DE174" s="387"/>
      <c r="DF174" s="387"/>
      <c r="DG174" s="387"/>
      <c r="DH174" s="387"/>
      <c r="DI174" s="387"/>
      <c r="DJ174" s="442"/>
      <c r="DK174" s="33">
        <f t="shared" ref="DK174:EB174" si="360">DK173/DJ173-1</f>
        <v>0.8545454545454545</v>
      </c>
      <c r="DL174" s="33">
        <f t="shared" si="360"/>
        <v>0.50980392156862742</v>
      </c>
      <c r="DM174" s="33">
        <f t="shared" si="360"/>
        <v>0.19805194805194803</v>
      </c>
      <c r="DN174" s="33">
        <f t="shared" si="360"/>
        <v>0.15718157181571812</v>
      </c>
      <c r="DO174" s="33">
        <f t="shared" si="360"/>
        <v>0.10538641686182659</v>
      </c>
      <c r="DP174" s="33">
        <f t="shared" si="360"/>
        <v>6.991525423728806E-2</v>
      </c>
      <c r="DQ174" s="33">
        <f t="shared" si="360"/>
        <v>-0.12079207920792079</v>
      </c>
      <c r="DR174" s="33">
        <f t="shared" si="360"/>
        <v>-0.66666666666666674</v>
      </c>
      <c r="DS174" s="33">
        <f t="shared" si="360"/>
        <v>-6.7567567567567988E-3</v>
      </c>
      <c r="DT174" s="33">
        <f t="shared" si="360"/>
        <v>1.0816326530612246</v>
      </c>
      <c r="DU174" s="33">
        <f t="shared" si="360"/>
        <v>1.1764705882352939</v>
      </c>
      <c r="DV174" s="66">
        <f t="shared" si="360"/>
        <v>-0.18768768768768773</v>
      </c>
      <c r="DW174" s="66">
        <f t="shared" si="360"/>
        <v>0.37338262476894646</v>
      </c>
      <c r="DX174" s="66">
        <f t="shared" si="360"/>
        <v>0.4010767160161508</v>
      </c>
      <c r="DY174" s="66">
        <f t="shared" si="360"/>
        <v>0.11143131604226708</v>
      </c>
      <c r="DZ174" s="66">
        <f t="shared" si="360"/>
        <v>-0.19446845289541914</v>
      </c>
      <c r="EA174" s="66">
        <f t="shared" si="360"/>
        <v>-1.1663090128755365</v>
      </c>
      <c r="EB174" s="66">
        <f t="shared" si="360"/>
        <v>-7.9290322580645158</v>
      </c>
      <c r="EC174" s="66"/>
      <c r="ED174" s="446"/>
      <c r="EE174" s="446"/>
      <c r="EF174" s="446"/>
      <c r="EG174" s="446"/>
      <c r="EH174" s="446"/>
      <c r="EI174" s="446"/>
      <c r="EJ174" s="446"/>
      <c r="EK174" s="446"/>
      <c r="EL174" s="446"/>
      <c r="EM174" s="446"/>
      <c r="EN174" s="446"/>
      <c r="EO174" s="446"/>
      <c r="EP174" s="446"/>
      <c r="EQ174" s="446"/>
      <c r="ER174" s="446"/>
      <c r="ES174" s="446"/>
      <c r="ET174" s="446"/>
      <c r="EU174" s="446"/>
      <c r="EV174" s="446"/>
      <c r="EW174" s="446"/>
      <c r="FA174" s="66"/>
      <c r="FB174" s="66"/>
      <c r="FC174" s="66"/>
      <c r="FD174" s="66"/>
      <c r="FE174" s="66"/>
      <c r="FF174" s="66"/>
      <c r="FG174" s="66"/>
      <c r="FH174" s="66"/>
      <c r="FI174" s="66"/>
      <c r="FJ174" s="66"/>
      <c r="FK174" s="66"/>
      <c r="FL174" s="66"/>
      <c r="FM174" s="66"/>
      <c r="FN174" s="66"/>
      <c r="FO174" s="66"/>
      <c r="FP174" s="66"/>
      <c r="FQ174" s="66"/>
      <c r="FR174" s="66"/>
      <c r="FS174" s="66"/>
      <c r="FT174" s="66"/>
      <c r="FU174" s="66"/>
      <c r="FV174" s="66"/>
      <c r="FW174" s="66"/>
      <c r="FX174" s="56"/>
      <c r="FY174" s="56"/>
      <c r="FZ174" s="56"/>
      <c r="GA174" s="56"/>
      <c r="GB174" s="386" t="s">
        <v>199</v>
      </c>
      <c r="GC174" s="386" t="s">
        <v>199</v>
      </c>
      <c r="GD174" s="386" t="s">
        <v>199</v>
      </c>
      <c r="GE174" s="386"/>
      <c r="GF174" s="386"/>
      <c r="GG174" s="446"/>
      <c r="GH174" s="446"/>
      <c r="GI174" s="446"/>
      <c r="GJ174" s="446"/>
      <c r="GK174" s="446"/>
      <c r="GN174" s="443"/>
    </row>
    <row r="175" spans="1:196" s="382" customFormat="1">
      <c r="A175" s="381" t="s">
        <v>200</v>
      </c>
      <c r="B175" s="392"/>
      <c r="C175" s="392"/>
      <c r="D175" s="392"/>
      <c r="E175" s="392"/>
      <c r="F175" s="392"/>
      <c r="G175" s="392"/>
      <c r="H175" s="392"/>
      <c r="I175" s="392"/>
      <c r="J175" s="392"/>
      <c r="K175" s="392"/>
      <c r="L175" s="392"/>
      <c r="M175" s="392"/>
      <c r="N175" s="392"/>
      <c r="O175" s="392"/>
      <c r="P175" s="392"/>
      <c r="Q175" s="392"/>
      <c r="R175" s="392"/>
      <c r="S175" s="392"/>
      <c r="T175" s="392"/>
      <c r="U175" s="392"/>
      <c r="V175" s="392"/>
      <c r="W175" s="392"/>
      <c r="X175" s="392"/>
      <c r="Y175" s="392"/>
      <c r="Z175" s="392"/>
      <c r="AA175" s="392"/>
      <c r="AB175" s="392"/>
      <c r="AC175" s="392"/>
      <c r="AD175" s="392"/>
      <c r="AE175" s="392"/>
      <c r="AF175" s="392"/>
      <c r="AG175" s="392"/>
      <c r="AH175" s="392"/>
      <c r="AI175" s="392"/>
      <c r="AJ175" s="392"/>
      <c r="AK175" s="392"/>
      <c r="AL175" s="392"/>
      <c r="AM175" s="392"/>
      <c r="AN175" s="392"/>
      <c r="AO175" s="392"/>
      <c r="AP175" s="392"/>
      <c r="AQ175" s="392"/>
      <c r="AR175" s="392"/>
      <c r="AS175" s="392"/>
      <c r="AT175" s="392"/>
      <c r="AU175" s="392"/>
      <c r="AV175" s="392"/>
      <c r="AW175" s="392"/>
      <c r="AX175" s="392"/>
      <c r="AY175" s="392"/>
      <c r="AZ175" s="392"/>
      <c r="BA175" s="392"/>
      <c r="BB175" s="392"/>
      <c r="BC175" s="392"/>
      <c r="BD175" s="392"/>
      <c r="BE175" s="392"/>
      <c r="BF175" s="392"/>
      <c r="BG175" s="392"/>
      <c r="BH175" s="392"/>
      <c r="BI175" s="392"/>
      <c r="BJ175" s="392"/>
      <c r="BK175" s="392"/>
      <c r="BL175" s="392"/>
      <c r="BM175" s="392"/>
      <c r="BN175" s="392"/>
      <c r="BO175" s="392"/>
      <c r="BP175" s="392"/>
      <c r="BQ175" s="392"/>
      <c r="BR175" s="392"/>
      <c r="BS175" s="392"/>
      <c r="BT175" s="392"/>
      <c r="BU175" s="392"/>
      <c r="BV175" s="392"/>
      <c r="BW175" s="392"/>
      <c r="BX175" s="392"/>
      <c r="BY175" s="392"/>
      <c r="BZ175" s="392"/>
      <c r="CA175" s="392"/>
      <c r="CB175" s="392"/>
      <c r="CC175" s="392"/>
      <c r="CD175" s="392"/>
      <c r="CE175" s="392"/>
      <c r="CF175" s="392"/>
      <c r="CG175" s="392"/>
      <c r="CH175" s="392"/>
      <c r="CI175" s="392"/>
      <c r="CJ175" s="392"/>
      <c r="CK175" s="392"/>
      <c r="CL175" s="392"/>
      <c r="CM175" s="392"/>
      <c r="CN175" s="392"/>
      <c r="CO175" s="392"/>
      <c r="CP175" s="392"/>
      <c r="CQ175" s="392"/>
      <c r="CR175" s="392"/>
      <c r="CS175" s="392"/>
      <c r="CT175" s="387"/>
      <c r="CU175" s="387"/>
      <c r="CV175" s="387"/>
      <c r="CW175" s="387"/>
      <c r="CX175" s="392"/>
      <c r="CY175" s="387"/>
      <c r="CZ175" s="387"/>
      <c r="DA175" s="387"/>
      <c r="DB175" s="387"/>
      <c r="DC175" s="387"/>
      <c r="DD175" s="387"/>
      <c r="DE175" s="387"/>
      <c r="DF175" s="387"/>
      <c r="DG175" s="387"/>
      <c r="DH175" s="387"/>
      <c r="DI175" s="387"/>
      <c r="DJ175" s="442"/>
      <c r="DK175" s="33"/>
      <c r="DL175" s="33"/>
      <c r="DM175" s="33"/>
      <c r="DN175" s="33">
        <f t="shared" ref="DN175:EB175" si="361">DN173/DJ173-1</f>
        <v>2.8818181818181818</v>
      </c>
      <c r="DO175" s="33">
        <f t="shared" si="361"/>
        <v>1.3137254901960786</v>
      </c>
      <c r="DP175" s="33">
        <f t="shared" si="361"/>
        <v>0.63961038961038952</v>
      </c>
      <c r="DQ175" s="33">
        <f t="shared" si="361"/>
        <v>0.20325203252032531</v>
      </c>
      <c r="DR175" s="33">
        <f t="shared" si="361"/>
        <v>-0.65339578454332559</v>
      </c>
      <c r="DS175" s="33">
        <f t="shared" si="361"/>
        <v>-0.68855932203389836</v>
      </c>
      <c r="DT175" s="33">
        <f t="shared" si="361"/>
        <v>-0.39405940594059408</v>
      </c>
      <c r="DU175" s="33">
        <f t="shared" si="361"/>
        <v>0.5</v>
      </c>
      <c r="DV175" s="66">
        <f t="shared" si="361"/>
        <v>2.6554054054054053</v>
      </c>
      <c r="DW175" s="66">
        <f t="shared" si="361"/>
        <v>4.0544217687074831</v>
      </c>
      <c r="DX175" s="66">
        <f t="shared" si="361"/>
        <v>2.4019607843137254</v>
      </c>
      <c r="DY175" s="66">
        <f t="shared" si="361"/>
        <v>0.73723723723723733</v>
      </c>
      <c r="DZ175" s="66">
        <f t="shared" si="361"/>
        <v>0.722735674676525</v>
      </c>
      <c r="EA175" s="66">
        <f t="shared" si="361"/>
        <v>-1.208613728129206</v>
      </c>
      <c r="EB175" s="66">
        <f t="shared" si="361"/>
        <v>3.170028818443793E-2</v>
      </c>
      <c r="EC175" s="66"/>
      <c r="ED175" s="446"/>
      <c r="EE175" s="446"/>
      <c r="EF175" s="446"/>
      <c r="EG175" s="446"/>
      <c r="EH175" s="446"/>
      <c r="EI175" s="446"/>
      <c r="EJ175" s="446"/>
      <c r="EK175" s="446"/>
      <c r="EL175" s="446"/>
      <c r="EM175" s="446"/>
      <c r="EN175" s="446"/>
      <c r="EO175" s="446"/>
      <c r="EP175" s="446"/>
      <c r="EQ175" s="446"/>
      <c r="ER175" s="446"/>
      <c r="ES175" s="446"/>
      <c r="ET175" s="446"/>
      <c r="EU175" s="446"/>
      <c r="EV175" s="446"/>
      <c r="EW175" s="446"/>
      <c r="FA175" s="66"/>
      <c r="FB175" s="66"/>
      <c r="FC175" s="66"/>
      <c r="FD175" s="66"/>
      <c r="FE175" s="66"/>
      <c r="FF175" s="66"/>
      <c r="FG175" s="66"/>
      <c r="FH175" s="66"/>
      <c r="FI175" s="66"/>
      <c r="FJ175" s="66"/>
      <c r="FK175" s="66"/>
      <c r="FL175" s="66"/>
      <c r="FM175" s="66"/>
      <c r="FN175" s="66"/>
      <c r="FO175" s="66"/>
      <c r="FP175" s="66"/>
      <c r="FQ175" s="66"/>
      <c r="FR175" s="66"/>
      <c r="FS175" s="66"/>
      <c r="FT175" s="66"/>
      <c r="FU175" s="66"/>
      <c r="FV175" s="66"/>
      <c r="FW175" s="66"/>
      <c r="FX175" s="56"/>
      <c r="FY175" s="56"/>
      <c r="FZ175" s="56"/>
      <c r="GA175" s="56"/>
      <c r="GB175" s="386" t="s">
        <v>199</v>
      </c>
      <c r="GC175" s="386">
        <f>GC173/GB173-1</f>
        <v>0.86478304742684164</v>
      </c>
      <c r="GD175" s="386">
        <f>GD173/GC173-1</f>
        <v>-0.31439393939393945</v>
      </c>
      <c r="GE175" s="386"/>
      <c r="GF175" s="386"/>
      <c r="GG175" s="446"/>
      <c r="GH175" s="446"/>
      <c r="GI175" s="446"/>
      <c r="GJ175" s="446"/>
      <c r="GK175" s="446"/>
      <c r="GN175" s="443"/>
    </row>
    <row r="176" spans="1:196" s="382" customFormat="1">
      <c r="A176" s="381" t="s">
        <v>277</v>
      </c>
      <c r="B176" s="392"/>
      <c r="C176" s="392"/>
      <c r="D176" s="392"/>
      <c r="E176" s="392"/>
      <c r="F176" s="392"/>
      <c r="G176" s="392"/>
      <c r="H176" s="392"/>
      <c r="I176" s="392"/>
      <c r="J176" s="392"/>
      <c r="K176" s="392"/>
      <c r="L176" s="392"/>
      <c r="M176" s="392"/>
      <c r="N176" s="392"/>
      <c r="O176" s="392"/>
      <c r="P176" s="392"/>
      <c r="Q176" s="392"/>
      <c r="R176" s="392"/>
      <c r="S176" s="392"/>
      <c r="T176" s="392"/>
      <c r="U176" s="392"/>
      <c r="V176" s="392"/>
      <c r="W176" s="392"/>
      <c r="X176" s="392"/>
      <c r="Y176" s="392"/>
      <c r="Z176" s="392"/>
      <c r="AA176" s="392"/>
      <c r="AB176" s="392"/>
      <c r="AC176" s="392"/>
      <c r="AD176" s="392"/>
      <c r="AE176" s="392"/>
      <c r="AF176" s="392"/>
      <c r="AG176" s="392"/>
      <c r="AH176" s="392"/>
      <c r="AI176" s="392"/>
      <c r="AJ176" s="392"/>
      <c r="AK176" s="392"/>
      <c r="AL176" s="392"/>
      <c r="AM176" s="392"/>
      <c r="AN176" s="392"/>
      <c r="AO176" s="392"/>
      <c r="AP176" s="392"/>
      <c r="AQ176" s="392"/>
      <c r="AR176" s="392"/>
      <c r="AS176" s="392"/>
      <c r="AT176" s="392"/>
      <c r="AU176" s="392"/>
      <c r="AV176" s="392"/>
      <c r="AW176" s="392"/>
      <c r="AX176" s="392"/>
      <c r="AY176" s="392"/>
      <c r="AZ176" s="392"/>
      <c r="BA176" s="392"/>
      <c r="BB176" s="392"/>
      <c r="BC176" s="392"/>
      <c r="BD176" s="392"/>
      <c r="BE176" s="392"/>
      <c r="BF176" s="392"/>
      <c r="BG176" s="392"/>
      <c r="BH176" s="392"/>
      <c r="BI176" s="392"/>
      <c r="BJ176" s="392"/>
      <c r="BK176" s="392"/>
      <c r="BL176" s="392"/>
      <c r="BM176" s="392"/>
      <c r="BN176" s="392"/>
      <c r="BO176" s="392"/>
      <c r="BP176" s="392"/>
      <c r="BQ176" s="392"/>
      <c r="BR176" s="392"/>
      <c r="BS176" s="392"/>
      <c r="BT176" s="392"/>
      <c r="BU176" s="392"/>
      <c r="BV176" s="392"/>
      <c r="BW176" s="392"/>
      <c r="BX176" s="392"/>
      <c r="BY176" s="392"/>
      <c r="BZ176" s="392"/>
      <c r="CA176" s="392"/>
      <c r="CB176" s="392"/>
      <c r="CC176" s="392"/>
      <c r="CD176" s="392"/>
      <c r="CE176" s="392"/>
      <c r="CF176" s="392"/>
      <c r="CG176" s="392"/>
      <c r="CH176" s="392"/>
      <c r="CI176" s="392"/>
      <c r="CJ176" s="392"/>
      <c r="CK176" s="392"/>
      <c r="CL176" s="392"/>
      <c r="CM176" s="392"/>
      <c r="CN176" s="392"/>
      <c r="CO176" s="392"/>
      <c r="CP176" s="392"/>
      <c r="CQ176" s="392"/>
      <c r="CR176" s="392"/>
      <c r="CS176" s="392"/>
      <c r="CT176" s="387"/>
      <c r="CU176" s="387"/>
      <c r="CV176" s="387"/>
      <c r="CW176" s="387"/>
      <c r="CX176" s="392"/>
      <c r="CY176" s="387"/>
      <c r="CZ176" s="387"/>
      <c r="DA176" s="387"/>
      <c r="DB176" s="387"/>
      <c r="DC176" s="387"/>
      <c r="DD176" s="387"/>
      <c r="DE176" s="387"/>
      <c r="DF176" s="387"/>
      <c r="DG176" s="387"/>
      <c r="DH176" s="387"/>
      <c r="DI176" s="387"/>
      <c r="DJ176" s="33">
        <f>DJ173/DJ$141</f>
        <v>0.18032786885245902</v>
      </c>
      <c r="DK176" s="33">
        <f t="shared" ref="DK176:EB176" si="362">DK173/DK$141</f>
        <v>0.25092250922509224</v>
      </c>
      <c r="DL176" s="33">
        <f t="shared" si="362"/>
        <v>0.27797833935018051</v>
      </c>
      <c r="DM176" s="33">
        <f t="shared" si="362"/>
        <v>0.3172828890799656</v>
      </c>
      <c r="DN176" s="33">
        <f t="shared" si="362"/>
        <v>0.33023975251353443</v>
      </c>
      <c r="DO176" s="33">
        <f t="shared" si="362"/>
        <v>0.31763122476446837</v>
      </c>
      <c r="DP176" s="33">
        <f t="shared" si="362"/>
        <v>0.31385954008701056</v>
      </c>
      <c r="DQ176" s="33">
        <f t="shared" si="362"/>
        <v>0.26827794561933532</v>
      </c>
      <c r="DR176" s="33">
        <f t="shared" si="362"/>
        <v>0.11428571428571428</v>
      </c>
      <c r="DS176" s="33">
        <f t="shared" si="362"/>
        <v>0.11127933383800151</v>
      </c>
      <c r="DT176" s="33">
        <f t="shared" si="362"/>
        <v>0.19148936170212766</v>
      </c>
      <c r="DU176" s="33">
        <f t="shared" si="362"/>
        <v>0.29184925503943909</v>
      </c>
      <c r="DV176" s="66">
        <f t="shared" si="362"/>
        <v>0.2314933675652546</v>
      </c>
      <c r="DW176" s="66">
        <f t="shared" si="362"/>
        <v>0.26217360621030344</v>
      </c>
      <c r="DX176" s="66">
        <f t="shared" si="362"/>
        <v>0.29332206255283177</v>
      </c>
      <c r="DY176" s="66">
        <f t="shared" si="362"/>
        <v>0.29981860585643949</v>
      </c>
      <c r="DZ176" s="66">
        <f t="shared" si="362"/>
        <v>0.25367446924333154</v>
      </c>
      <c r="EA176" s="66">
        <f t="shared" si="362"/>
        <v>-4.7839506172839504E-2</v>
      </c>
      <c r="EB176" s="66">
        <f t="shared" si="362"/>
        <v>0.24740843123704215</v>
      </c>
      <c r="EC176" s="66"/>
      <c r="ED176" s="446"/>
      <c r="EE176" s="446"/>
      <c r="EF176" s="446"/>
      <c r="EG176" s="446"/>
      <c r="EH176" s="446"/>
      <c r="EI176" s="446"/>
      <c r="EJ176" s="446"/>
      <c r="EK176" s="446"/>
      <c r="EL176" s="446"/>
      <c r="EM176" s="446"/>
      <c r="EN176" s="446"/>
      <c r="EO176" s="446"/>
      <c r="EP176" s="446"/>
      <c r="EQ176" s="446"/>
      <c r="ER176" s="446"/>
      <c r="ES176" s="446"/>
      <c r="ET176" s="446"/>
      <c r="EU176" s="446"/>
      <c r="EV176" s="446"/>
      <c r="EW176" s="446"/>
      <c r="FA176" s="66"/>
      <c r="FB176" s="66"/>
      <c r="FC176" s="66"/>
      <c r="FD176" s="66"/>
      <c r="FE176" s="66"/>
      <c r="FF176" s="66"/>
      <c r="FG176" s="66"/>
      <c r="FH176" s="66"/>
      <c r="FI176" s="66"/>
      <c r="FJ176" s="66"/>
      <c r="FK176" s="66"/>
      <c r="FL176" s="66"/>
      <c r="FM176" s="66"/>
      <c r="FN176" s="66"/>
      <c r="FO176" s="66"/>
      <c r="FP176" s="66"/>
      <c r="FQ176" s="66"/>
      <c r="FR176" s="66"/>
      <c r="FS176" s="66"/>
      <c r="FT176" s="66"/>
      <c r="FU176" s="66"/>
      <c r="FV176" s="66"/>
      <c r="FW176" s="66"/>
      <c r="FX176" s="56"/>
      <c r="FY176" s="56"/>
      <c r="FZ176" s="56"/>
      <c r="GA176" s="56"/>
      <c r="GB176" s="66">
        <f>GB173/GB$105</f>
        <v>0.14389429359663133</v>
      </c>
      <c r="GC176" s="66">
        <f>GC173/GC$105</f>
        <v>0.29801644895984519</v>
      </c>
      <c r="GD176" s="66">
        <f>GD173/GD$105</f>
        <v>0.27241453450870778</v>
      </c>
      <c r="GE176" s="66"/>
      <c r="GF176" s="66"/>
      <c r="GG176" s="446"/>
      <c r="GH176" s="446"/>
      <c r="GI176" s="446"/>
      <c r="GJ176" s="446"/>
      <c r="GK176" s="446"/>
      <c r="GN176" s="443"/>
    </row>
    <row r="177" spans="1:196" s="418" customFormat="1">
      <c r="A177" s="376" t="s">
        <v>274</v>
      </c>
      <c r="B177" s="429"/>
      <c r="C177" s="429"/>
      <c r="D177" s="429"/>
      <c r="E177" s="429"/>
      <c r="F177" s="429"/>
      <c r="G177" s="429"/>
      <c r="H177" s="429"/>
      <c r="I177" s="429"/>
      <c r="J177" s="429"/>
      <c r="K177" s="429"/>
      <c r="L177" s="429"/>
      <c r="M177" s="429"/>
      <c r="N177" s="429"/>
      <c r="O177" s="429"/>
      <c r="P177" s="429"/>
      <c r="Q177" s="429"/>
      <c r="R177" s="429"/>
      <c r="S177" s="429"/>
      <c r="T177" s="429"/>
      <c r="U177" s="429"/>
      <c r="V177" s="429"/>
      <c r="W177" s="429"/>
      <c r="X177" s="429"/>
      <c r="Y177" s="429"/>
      <c r="Z177" s="429"/>
      <c r="AA177" s="429"/>
      <c r="AB177" s="429"/>
      <c r="AC177" s="429"/>
      <c r="AD177" s="429"/>
      <c r="AE177" s="429"/>
      <c r="AF177" s="429"/>
      <c r="AG177" s="429"/>
      <c r="AH177" s="429"/>
      <c r="AI177" s="429"/>
      <c r="AJ177" s="429"/>
      <c r="AK177" s="429"/>
      <c r="AL177" s="429"/>
      <c r="AM177" s="429"/>
      <c r="AN177" s="429"/>
      <c r="AO177" s="429"/>
      <c r="AP177" s="429"/>
      <c r="AQ177" s="429"/>
      <c r="AR177" s="429"/>
      <c r="AS177" s="429"/>
      <c r="AT177" s="429"/>
      <c r="AU177" s="429"/>
      <c r="AV177" s="429"/>
      <c r="AW177" s="429"/>
      <c r="AX177" s="429"/>
      <c r="AY177" s="429"/>
      <c r="AZ177" s="429"/>
      <c r="BA177" s="429"/>
      <c r="BB177" s="429"/>
      <c r="BC177" s="429"/>
      <c r="BD177" s="429"/>
      <c r="BE177" s="429"/>
      <c r="BF177" s="429"/>
      <c r="BG177" s="429"/>
      <c r="BH177" s="429"/>
      <c r="BI177" s="429"/>
      <c r="BJ177" s="429"/>
      <c r="BK177" s="429"/>
      <c r="BL177" s="429"/>
      <c r="BM177" s="429"/>
      <c r="BN177" s="429"/>
      <c r="BO177" s="429"/>
      <c r="BP177" s="429"/>
      <c r="BQ177" s="429"/>
      <c r="BR177" s="429"/>
      <c r="BS177" s="429"/>
      <c r="BT177" s="429"/>
      <c r="BU177" s="429"/>
      <c r="BV177" s="429"/>
      <c r="BW177" s="429"/>
      <c r="BX177" s="429"/>
      <c r="BY177" s="429"/>
      <c r="BZ177" s="429"/>
      <c r="CA177" s="429"/>
      <c r="CB177" s="429"/>
      <c r="CC177" s="429"/>
      <c r="CD177" s="429"/>
      <c r="CE177" s="429"/>
      <c r="CF177" s="429"/>
      <c r="CG177" s="429"/>
      <c r="CH177" s="429"/>
      <c r="CI177" s="429"/>
      <c r="CJ177" s="429"/>
      <c r="CK177" s="429"/>
      <c r="CL177" s="429"/>
      <c r="CM177" s="429"/>
      <c r="CN177" s="429"/>
      <c r="CO177" s="429"/>
      <c r="CP177" s="429"/>
      <c r="CQ177" s="429"/>
      <c r="CR177" s="429"/>
      <c r="CS177" s="429"/>
      <c r="CT177" s="431"/>
      <c r="CU177" s="431"/>
      <c r="CV177" s="431"/>
      <c r="CW177" s="431"/>
      <c r="CX177" s="429"/>
      <c r="CY177" s="431"/>
      <c r="CZ177" s="431"/>
      <c r="DA177" s="431"/>
      <c r="DB177" s="431"/>
      <c r="DC177" s="431"/>
      <c r="DD177" s="431"/>
      <c r="DE177" s="431"/>
      <c r="DF177" s="431"/>
      <c r="DG177" s="431"/>
      <c r="DH177" s="431"/>
      <c r="DI177" s="431"/>
      <c r="DJ177" s="397">
        <v>-3</v>
      </c>
      <c r="DK177" s="397">
        <v>6</v>
      </c>
      <c r="DL177" s="397">
        <v>23</v>
      </c>
      <c r="DM177" s="397">
        <v>18</v>
      </c>
      <c r="DN177" s="397">
        <v>277</v>
      </c>
      <c r="DO177" s="397">
        <v>641</v>
      </c>
      <c r="DP177" s="397">
        <v>635</v>
      </c>
      <c r="DQ177" s="397">
        <v>699</v>
      </c>
      <c r="DR177" s="397">
        <v>798</v>
      </c>
      <c r="DS177" s="397">
        <v>757</v>
      </c>
      <c r="DT177" s="397">
        <v>612</v>
      </c>
      <c r="DU177" s="397">
        <v>461</v>
      </c>
      <c r="DV177" s="376">
        <v>342</v>
      </c>
      <c r="DW177" s="376">
        <v>345</v>
      </c>
      <c r="DX177" s="376">
        <v>372</v>
      </c>
      <c r="DY177" s="376">
        <v>362</v>
      </c>
      <c r="DZ177" s="376">
        <v>328</v>
      </c>
      <c r="EA177" s="376">
        <v>275</v>
      </c>
      <c r="EB177" s="376">
        <v>283</v>
      </c>
      <c r="EC177" s="376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FA177" s="66"/>
      <c r="FB177" s="66"/>
      <c r="FC177" s="66"/>
      <c r="FD177" s="66"/>
      <c r="FE177" s="66"/>
      <c r="FF177" s="66"/>
      <c r="FG177" s="66"/>
      <c r="FH177" s="66"/>
      <c r="FI177" s="66"/>
      <c r="FJ177" s="66"/>
      <c r="FK177" s="66"/>
      <c r="FL177" s="66"/>
      <c r="FM177" s="66"/>
      <c r="FN177" s="66"/>
      <c r="FO177" s="66"/>
      <c r="FP177" s="66"/>
      <c r="FQ177" s="66"/>
      <c r="FR177" s="66"/>
      <c r="FS177" s="66"/>
      <c r="FT177" s="66"/>
      <c r="FU177" s="66"/>
      <c r="FV177" s="66"/>
      <c r="FW177" s="66"/>
      <c r="FX177" s="56"/>
      <c r="FY177" s="56"/>
      <c r="FZ177" s="56"/>
      <c r="GA177" s="56"/>
      <c r="GB177" s="376">
        <f>SUM(DJ177:DM177)</f>
        <v>44</v>
      </c>
      <c r="GC177" s="376">
        <f>SUM(DN177:DQ177)</f>
        <v>2252</v>
      </c>
      <c r="GD177" s="376">
        <f>SUM(DR177:DU177)</f>
        <v>2628</v>
      </c>
      <c r="GE177" s="376"/>
      <c r="GF177" s="376"/>
      <c r="GG177" s="69"/>
      <c r="GH177" s="69"/>
      <c r="GI177" s="69"/>
      <c r="GJ177" s="69"/>
      <c r="GK177" s="69"/>
      <c r="GM177" s="432"/>
      <c r="GN177" s="70"/>
    </row>
    <row r="178" spans="1:196" s="382" customFormat="1">
      <c r="A178" s="381" t="s">
        <v>198</v>
      </c>
      <c r="B178" s="392"/>
      <c r="C178" s="392"/>
      <c r="D178" s="392"/>
      <c r="E178" s="392"/>
      <c r="F178" s="392"/>
      <c r="G178" s="392"/>
      <c r="H178" s="392"/>
      <c r="I178" s="392"/>
      <c r="J178" s="392"/>
      <c r="K178" s="392"/>
      <c r="L178" s="392"/>
      <c r="M178" s="392"/>
      <c r="N178" s="392"/>
      <c r="O178" s="392"/>
      <c r="P178" s="392"/>
      <c r="Q178" s="392"/>
      <c r="R178" s="392"/>
      <c r="S178" s="392"/>
      <c r="T178" s="392"/>
      <c r="U178" s="392"/>
      <c r="V178" s="392"/>
      <c r="W178" s="392"/>
      <c r="X178" s="392"/>
      <c r="Y178" s="392"/>
      <c r="Z178" s="392"/>
      <c r="AA178" s="392"/>
      <c r="AB178" s="392"/>
      <c r="AC178" s="392"/>
      <c r="AD178" s="392"/>
      <c r="AE178" s="392"/>
      <c r="AF178" s="392"/>
      <c r="AG178" s="392"/>
      <c r="AH178" s="392"/>
      <c r="AI178" s="392"/>
      <c r="AJ178" s="392"/>
      <c r="AK178" s="392"/>
      <c r="AL178" s="392"/>
      <c r="AM178" s="392"/>
      <c r="AN178" s="392"/>
      <c r="AO178" s="392"/>
      <c r="AP178" s="392"/>
      <c r="AQ178" s="392"/>
      <c r="AR178" s="392"/>
      <c r="AS178" s="392"/>
      <c r="AT178" s="392"/>
      <c r="AU178" s="392"/>
      <c r="AV178" s="392"/>
      <c r="AW178" s="392"/>
      <c r="AX178" s="392"/>
      <c r="AY178" s="392"/>
      <c r="AZ178" s="392"/>
      <c r="BA178" s="392"/>
      <c r="BB178" s="392"/>
      <c r="BC178" s="392"/>
      <c r="BD178" s="392"/>
      <c r="BE178" s="392"/>
      <c r="BF178" s="392"/>
      <c r="BG178" s="392"/>
      <c r="BH178" s="392"/>
      <c r="BI178" s="392"/>
      <c r="BJ178" s="392"/>
      <c r="BK178" s="392"/>
      <c r="BL178" s="392"/>
      <c r="BM178" s="392"/>
      <c r="BN178" s="392"/>
      <c r="BO178" s="392"/>
      <c r="BP178" s="392"/>
      <c r="BQ178" s="392"/>
      <c r="BR178" s="392"/>
      <c r="BS178" s="392"/>
      <c r="BT178" s="392"/>
      <c r="BU178" s="392"/>
      <c r="BV178" s="392"/>
      <c r="BW178" s="392"/>
      <c r="BX178" s="392"/>
      <c r="BY178" s="392"/>
      <c r="BZ178" s="392"/>
      <c r="CA178" s="392"/>
      <c r="CB178" s="392"/>
      <c r="CC178" s="392"/>
      <c r="CD178" s="392"/>
      <c r="CE178" s="392"/>
      <c r="CF178" s="392"/>
      <c r="CG178" s="392"/>
      <c r="CH178" s="392"/>
      <c r="CI178" s="392"/>
      <c r="CJ178" s="392"/>
      <c r="CK178" s="392"/>
      <c r="CL178" s="392"/>
      <c r="CM178" s="392"/>
      <c r="CN178" s="392"/>
      <c r="CO178" s="392"/>
      <c r="CP178" s="392"/>
      <c r="CQ178" s="392"/>
      <c r="CR178" s="392"/>
      <c r="CS178" s="392"/>
      <c r="CT178" s="387"/>
      <c r="CU178" s="387"/>
      <c r="CV178" s="387"/>
      <c r="CW178" s="387"/>
      <c r="CX178" s="392"/>
      <c r="CY178" s="387"/>
      <c r="CZ178" s="387"/>
      <c r="DA178" s="387"/>
      <c r="DB178" s="387"/>
      <c r="DC178" s="387"/>
      <c r="DD178" s="387"/>
      <c r="DE178" s="387"/>
      <c r="DF178" s="387"/>
      <c r="DG178" s="387"/>
      <c r="DH178" s="387"/>
      <c r="DI178" s="387"/>
      <c r="DJ178" s="442"/>
      <c r="DK178" s="33">
        <f t="shared" ref="DK178:EB178" si="363">DK177/DJ177-1</f>
        <v>-3</v>
      </c>
      <c r="DL178" s="33">
        <f t="shared" si="363"/>
        <v>2.8333333333333335</v>
      </c>
      <c r="DM178" s="33">
        <f t="shared" si="363"/>
        <v>-0.21739130434782605</v>
      </c>
      <c r="DN178" s="33">
        <f t="shared" si="363"/>
        <v>14.388888888888889</v>
      </c>
      <c r="DO178" s="33">
        <f t="shared" si="363"/>
        <v>1.3140794223826715</v>
      </c>
      <c r="DP178" s="33">
        <f t="shared" si="363"/>
        <v>-9.3603744149766133E-3</v>
      </c>
      <c r="DQ178" s="33">
        <f t="shared" si="363"/>
        <v>0.10078740157480315</v>
      </c>
      <c r="DR178" s="33">
        <f t="shared" si="363"/>
        <v>0.14163090128755362</v>
      </c>
      <c r="DS178" s="33">
        <f t="shared" si="363"/>
        <v>-5.137844611528819E-2</v>
      </c>
      <c r="DT178" s="33">
        <f t="shared" si="363"/>
        <v>-0.19154557463672395</v>
      </c>
      <c r="DU178" s="33">
        <f t="shared" si="363"/>
        <v>-0.24673202614379086</v>
      </c>
      <c r="DV178" s="66">
        <f t="shared" si="363"/>
        <v>-0.25813449023861168</v>
      </c>
      <c r="DW178" s="66">
        <f t="shared" si="363"/>
        <v>8.7719298245614308E-3</v>
      </c>
      <c r="DX178" s="66">
        <f t="shared" si="363"/>
        <v>7.8260869565217384E-2</v>
      </c>
      <c r="DY178" s="66">
        <f t="shared" si="363"/>
        <v>-2.6881720430107503E-2</v>
      </c>
      <c r="DZ178" s="66">
        <f t="shared" si="363"/>
        <v>-9.392265193370164E-2</v>
      </c>
      <c r="EA178" s="66">
        <f t="shared" si="363"/>
        <v>-0.16158536585365857</v>
      </c>
      <c r="EB178" s="66">
        <f t="shared" si="363"/>
        <v>2.9090909090909056E-2</v>
      </c>
      <c r="EC178" s="66"/>
      <c r="ED178" s="446"/>
      <c r="EE178" s="446"/>
      <c r="EF178" s="446"/>
      <c r="EG178" s="446"/>
      <c r="EH178" s="446"/>
      <c r="EI178" s="446"/>
      <c r="EJ178" s="446"/>
      <c r="EK178" s="446"/>
      <c r="EL178" s="446"/>
      <c r="EM178" s="446"/>
      <c r="EN178" s="446"/>
      <c r="EO178" s="446"/>
      <c r="EP178" s="446"/>
      <c r="EQ178" s="446"/>
      <c r="ER178" s="446"/>
      <c r="ES178" s="446"/>
      <c r="ET178" s="446"/>
      <c r="EU178" s="446"/>
      <c r="EV178" s="446"/>
      <c r="EW178" s="446"/>
      <c r="FA178" s="66"/>
      <c r="FB178" s="66"/>
      <c r="FC178" s="66"/>
      <c r="FD178" s="66"/>
      <c r="FE178" s="66"/>
      <c r="FF178" s="66"/>
      <c r="FG178" s="66"/>
      <c r="FH178" s="66"/>
      <c r="FI178" s="66"/>
      <c r="FJ178" s="66"/>
      <c r="FK178" s="66"/>
      <c r="FL178" s="66"/>
      <c r="FM178" s="66"/>
      <c r="FN178" s="66"/>
      <c r="FO178" s="66"/>
      <c r="FP178" s="66"/>
      <c r="FQ178" s="66"/>
      <c r="FR178" s="66"/>
      <c r="FS178" s="66"/>
      <c r="FT178" s="66"/>
      <c r="FU178" s="66"/>
      <c r="FV178" s="66"/>
      <c r="FW178" s="66"/>
      <c r="FX178" s="56"/>
      <c r="FY178" s="56"/>
      <c r="FZ178" s="56"/>
      <c r="GA178" s="56"/>
      <c r="GB178" s="386" t="s">
        <v>199</v>
      </c>
      <c r="GC178" s="386" t="s">
        <v>199</v>
      </c>
      <c r="GD178" s="386" t="s">
        <v>199</v>
      </c>
      <c r="GE178" s="386"/>
      <c r="GF178" s="386"/>
      <c r="GG178" s="446"/>
      <c r="GH178" s="446"/>
      <c r="GI178" s="446"/>
      <c r="GJ178" s="446"/>
      <c r="GK178" s="446"/>
      <c r="GN178" s="443"/>
    </row>
    <row r="179" spans="1:196" s="382" customFormat="1">
      <c r="A179" s="381" t="s">
        <v>200</v>
      </c>
      <c r="B179" s="392"/>
      <c r="C179" s="392"/>
      <c r="D179" s="392"/>
      <c r="E179" s="392"/>
      <c r="F179" s="392"/>
      <c r="G179" s="392"/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  <c r="S179" s="392"/>
      <c r="T179" s="392"/>
      <c r="U179" s="392"/>
      <c r="V179" s="392"/>
      <c r="W179" s="392"/>
      <c r="X179" s="392"/>
      <c r="Y179" s="392"/>
      <c r="Z179" s="392"/>
      <c r="AA179" s="392"/>
      <c r="AB179" s="392"/>
      <c r="AC179" s="392"/>
      <c r="AD179" s="392"/>
      <c r="AE179" s="392"/>
      <c r="AF179" s="392"/>
      <c r="AG179" s="392"/>
      <c r="AH179" s="392"/>
      <c r="AI179" s="392"/>
      <c r="AJ179" s="392"/>
      <c r="AK179" s="392"/>
      <c r="AL179" s="392"/>
      <c r="AM179" s="392"/>
      <c r="AN179" s="392"/>
      <c r="AO179" s="392"/>
      <c r="AP179" s="392"/>
      <c r="AQ179" s="392"/>
      <c r="AR179" s="392"/>
      <c r="AS179" s="392"/>
      <c r="AT179" s="392"/>
      <c r="AU179" s="392"/>
      <c r="AV179" s="392"/>
      <c r="AW179" s="392"/>
      <c r="AX179" s="392"/>
      <c r="AY179" s="392"/>
      <c r="AZ179" s="392"/>
      <c r="BA179" s="392"/>
      <c r="BB179" s="392"/>
      <c r="BC179" s="392"/>
      <c r="BD179" s="392"/>
      <c r="BE179" s="392"/>
      <c r="BF179" s="392"/>
      <c r="BG179" s="392"/>
      <c r="BH179" s="392"/>
      <c r="BI179" s="392"/>
      <c r="BJ179" s="392"/>
      <c r="BK179" s="392"/>
      <c r="BL179" s="392"/>
      <c r="BM179" s="392"/>
      <c r="BN179" s="392"/>
      <c r="BO179" s="392"/>
      <c r="BP179" s="392"/>
      <c r="BQ179" s="392"/>
      <c r="BR179" s="392"/>
      <c r="BS179" s="392"/>
      <c r="BT179" s="392"/>
      <c r="BU179" s="392"/>
      <c r="BV179" s="392"/>
      <c r="BW179" s="392"/>
      <c r="BX179" s="392"/>
      <c r="BY179" s="392"/>
      <c r="BZ179" s="392"/>
      <c r="CA179" s="392"/>
      <c r="CB179" s="392"/>
      <c r="CC179" s="392"/>
      <c r="CD179" s="392"/>
      <c r="CE179" s="392"/>
      <c r="CF179" s="392"/>
      <c r="CG179" s="392"/>
      <c r="CH179" s="392"/>
      <c r="CI179" s="392"/>
      <c r="CJ179" s="392"/>
      <c r="CK179" s="392"/>
      <c r="CL179" s="392"/>
      <c r="CM179" s="392"/>
      <c r="CN179" s="392"/>
      <c r="CO179" s="392"/>
      <c r="CP179" s="392"/>
      <c r="CQ179" s="392"/>
      <c r="CR179" s="392"/>
      <c r="CS179" s="392"/>
      <c r="CT179" s="387"/>
      <c r="CU179" s="387"/>
      <c r="CV179" s="387"/>
      <c r="CW179" s="387"/>
      <c r="CX179" s="392"/>
      <c r="CY179" s="387"/>
      <c r="CZ179" s="387"/>
      <c r="DA179" s="387"/>
      <c r="DB179" s="387"/>
      <c r="DC179" s="387"/>
      <c r="DD179" s="387"/>
      <c r="DE179" s="387"/>
      <c r="DF179" s="387"/>
      <c r="DG179" s="387"/>
      <c r="DH179" s="387"/>
      <c r="DI179" s="387"/>
      <c r="DJ179" s="442"/>
      <c r="DK179" s="33"/>
      <c r="DL179" s="33"/>
      <c r="DM179" s="33"/>
      <c r="DN179" s="67" t="s">
        <v>199</v>
      </c>
      <c r="DO179" s="33">
        <f t="shared" ref="DO179:EB179" si="364">DO177/DK177-1</f>
        <v>105.83333333333333</v>
      </c>
      <c r="DP179" s="33">
        <f t="shared" si="364"/>
        <v>26.608695652173914</v>
      </c>
      <c r="DQ179" s="33">
        <f t="shared" si="364"/>
        <v>37.833333333333336</v>
      </c>
      <c r="DR179" s="33">
        <f t="shared" si="364"/>
        <v>1.8808664259927799</v>
      </c>
      <c r="DS179" s="33">
        <f t="shared" si="364"/>
        <v>0.18096723868954756</v>
      </c>
      <c r="DT179" s="33">
        <f t="shared" si="364"/>
        <v>-3.622047244094484E-2</v>
      </c>
      <c r="DU179" s="33">
        <f t="shared" si="364"/>
        <v>-0.34048640915593709</v>
      </c>
      <c r="DV179" s="66">
        <f t="shared" si="364"/>
        <v>-0.5714285714285714</v>
      </c>
      <c r="DW179" s="66">
        <f t="shared" si="364"/>
        <v>-0.54425363276089822</v>
      </c>
      <c r="DX179" s="66">
        <f t="shared" si="364"/>
        <v>-0.39215686274509809</v>
      </c>
      <c r="DY179" s="66">
        <f t="shared" si="364"/>
        <v>-0.2147505422993492</v>
      </c>
      <c r="DZ179" s="66">
        <f t="shared" si="364"/>
        <v>-4.0935672514619936E-2</v>
      </c>
      <c r="EA179" s="66">
        <f t="shared" si="364"/>
        <v>-0.20289855072463769</v>
      </c>
      <c r="EB179" s="66">
        <f t="shared" si="364"/>
        <v>-0.239247311827957</v>
      </c>
      <c r="EC179" s="66"/>
      <c r="ED179" s="446"/>
      <c r="EE179" s="446"/>
      <c r="EF179" s="446"/>
      <c r="EG179" s="446"/>
      <c r="EH179" s="446"/>
      <c r="EI179" s="446"/>
      <c r="EJ179" s="446"/>
      <c r="EK179" s="446"/>
      <c r="EL179" s="446"/>
      <c r="EM179" s="446"/>
      <c r="EN179" s="446"/>
      <c r="EO179" s="446"/>
      <c r="EP179" s="446"/>
      <c r="EQ179" s="446"/>
      <c r="ER179" s="446"/>
      <c r="ES179" s="446"/>
      <c r="ET179" s="446"/>
      <c r="EU179" s="446"/>
      <c r="EV179" s="446"/>
      <c r="EW179" s="44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56"/>
      <c r="FY179" s="56"/>
      <c r="FZ179" s="56"/>
      <c r="GA179" s="56"/>
      <c r="GB179" s="386" t="s">
        <v>199</v>
      </c>
      <c r="GC179" s="386">
        <f>GC177/GB177-1</f>
        <v>50.18181818181818</v>
      </c>
      <c r="GD179" s="386">
        <f>GD177/GC177-1</f>
        <v>0.1669626998223801</v>
      </c>
      <c r="GE179" s="386"/>
      <c r="GF179" s="386"/>
      <c r="GG179" s="446"/>
      <c r="GH179" s="446"/>
      <c r="GI179" s="446"/>
      <c r="GJ179" s="446"/>
      <c r="GK179" s="446"/>
      <c r="GN179" s="443"/>
    </row>
    <row r="180" spans="1:196" s="382" customFormat="1">
      <c r="A180" s="381" t="s">
        <v>277</v>
      </c>
      <c r="B180" s="392"/>
      <c r="C180" s="392"/>
      <c r="D180" s="392"/>
      <c r="E180" s="392"/>
      <c r="F180" s="392"/>
      <c r="G180" s="392"/>
      <c r="H180" s="392"/>
      <c r="I180" s="392"/>
      <c r="J180" s="392"/>
      <c r="K180" s="392"/>
      <c r="L180" s="392"/>
      <c r="M180" s="392"/>
      <c r="N180" s="392"/>
      <c r="O180" s="392"/>
      <c r="P180" s="392"/>
      <c r="Q180" s="392"/>
      <c r="R180" s="392"/>
      <c r="S180" s="392"/>
      <c r="T180" s="392"/>
      <c r="U180" s="392"/>
      <c r="V180" s="392"/>
      <c r="W180" s="392"/>
      <c r="X180" s="392"/>
      <c r="Y180" s="392"/>
      <c r="Z180" s="392"/>
      <c r="AA180" s="392"/>
      <c r="AB180" s="392"/>
      <c r="AC180" s="392"/>
      <c r="AD180" s="392"/>
      <c r="AE180" s="392"/>
      <c r="AF180" s="392"/>
      <c r="AG180" s="392"/>
      <c r="AH180" s="392"/>
      <c r="AI180" s="392"/>
      <c r="AJ180" s="392"/>
      <c r="AK180" s="392"/>
      <c r="AL180" s="392"/>
      <c r="AM180" s="392"/>
      <c r="AN180" s="392"/>
      <c r="AO180" s="392"/>
      <c r="AP180" s="392"/>
      <c r="AQ180" s="392"/>
      <c r="AR180" s="392"/>
      <c r="AS180" s="392"/>
      <c r="AT180" s="392"/>
      <c r="AU180" s="392"/>
      <c r="AV180" s="392"/>
      <c r="AW180" s="392"/>
      <c r="AX180" s="392"/>
      <c r="AY180" s="392"/>
      <c r="AZ180" s="392"/>
      <c r="BA180" s="392"/>
      <c r="BB180" s="392"/>
      <c r="BC180" s="392"/>
      <c r="BD180" s="392"/>
      <c r="BE180" s="392"/>
      <c r="BF180" s="392"/>
      <c r="BG180" s="392"/>
      <c r="BH180" s="392"/>
      <c r="BI180" s="392"/>
      <c r="BJ180" s="392"/>
      <c r="BK180" s="392"/>
      <c r="BL180" s="392"/>
      <c r="BM180" s="392"/>
      <c r="BN180" s="392"/>
      <c r="BO180" s="392"/>
      <c r="BP180" s="392"/>
      <c r="BQ180" s="392"/>
      <c r="BR180" s="392"/>
      <c r="BS180" s="392"/>
      <c r="BT180" s="392"/>
      <c r="BU180" s="392"/>
      <c r="BV180" s="392"/>
      <c r="BW180" s="392"/>
      <c r="BX180" s="392"/>
      <c r="BY180" s="392"/>
      <c r="BZ180" s="392"/>
      <c r="CA180" s="392"/>
      <c r="CB180" s="392"/>
      <c r="CC180" s="392"/>
      <c r="CD180" s="392"/>
      <c r="CE180" s="392"/>
      <c r="CF180" s="392"/>
      <c r="CG180" s="392"/>
      <c r="CH180" s="392"/>
      <c r="CI180" s="392"/>
      <c r="CJ180" s="392"/>
      <c r="CK180" s="392"/>
      <c r="CL180" s="392"/>
      <c r="CM180" s="392"/>
      <c r="CN180" s="392"/>
      <c r="CO180" s="392"/>
      <c r="CP180" s="392"/>
      <c r="CQ180" s="392"/>
      <c r="CR180" s="392"/>
      <c r="CS180" s="392"/>
      <c r="CT180" s="387"/>
      <c r="CU180" s="387"/>
      <c r="CV180" s="387"/>
      <c r="CW180" s="387"/>
      <c r="CX180" s="392"/>
      <c r="CY180" s="387"/>
      <c r="CZ180" s="387"/>
      <c r="DA180" s="387"/>
      <c r="DB180" s="387"/>
      <c r="DC180" s="387"/>
      <c r="DD180" s="387"/>
      <c r="DE180" s="387"/>
      <c r="DF180" s="387"/>
      <c r="DG180" s="387"/>
      <c r="DH180" s="387"/>
      <c r="DI180" s="387"/>
      <c r="DJ180" s="33">
        <f>DJ177/DJ$157</f>
        <v>-7.1428571428571425E-2</v>
      </c>
      <c r="DK180" s="33">
        <f t="shared" ref="DK180:EB180" si="365">DK177/DK$157</f>
        <v>0.1111111111111111</v>
      </c>
      <c r="DL180" s="33">
        <f t="shared" si="365"/>
        <v>0.29113924050632911</v>
      </c>
      <c r="DM180" s="33">
        <f t="shared" si="365"/>
        <v>0.25352112676056338</v>
      </c>
      <c r="DN180" s="33">
        <f t="shared" si="365"/>
        <v>0.46554621848739497</v>
      </c>
      <c r="DO180" s="33">
        <f t="shared" si="365"/>
        <v>0.50994431185361977</v>
      </c>
      <c r="DP180" s="33">
        <f t="shared" si="365"/>
        <v>0.48733691481197239</v>
      </c>
      <c r="DQ180" s="33">
        <f t="shared" si="365"/>
        <v>0.50035790980672867</v>
      </c>
      <c r="DR180" s="33">
        <f t="shared" si="365"/>
        <v>0.5108834827144686</v>
      </c>
      <c r="DS180" s="33">
        <f t="shared" si="365"/>
        <v>0.51884852638793699</v>
      </c>
      <c r="DT180" s="33">
        <f t="shared" si="365"/>
        <v>0.49235720032180208</v>
      </c>
      <c r="DU180" s="33">
        <f t="shared" si="365"/>
        <v>0.43614001892147586</v>
      </c>
      <c r="DV180" s="66">
        <f t="shared" si="365"/>
        <v>0.40425531914893614</v>
      </c>
      <c r="DW180" s="66">
        <f t="shared" si="365"/>
        <v>0.40069686411149824</v>
      </c>
      <c r="DX180" s="66">
        <f t="shared" si="365"/>
        <v>0.40129449838187703</v>
      </c>
      <c r="DY180" s="66">
        <f t="shared" si="365"/>
        <v>0.39219934994582883</v>
      </c>
      <c r="DZ180" s="66">
        <f t="shared" si="365"/>
        <v>0.39854191980558928</v>
      </c>
      <c r="EA180" s="66">
        <f t="shared" si="365"/>
        <v>0.33373786407766992</v>
      </c>
      <c r="EB180" s="66">
        <f t="shared" si="365"/>
        <v>0.33022170361726955</v>
      </c>
      <c r="EC180" s="66"/>
      <c r="ED180" s="447"/>
      <c r="EE180" s="447"/>
      <c r="EF180" s="447"/>
      <c r="EG180" s="447"/>
      <c r="EH180" s="447"/>
      <c r="EI180" s="447"/>
      <c r="EJ180" s="447"/>
      <c r="EK180" s="447"/>
      <c r="EL180" s="447"/>
      <c r="EM180" s="447"/>
      <c r="EN180" s="447"/>
      <c r="EO180" s="447"/>
      <c r="EP180" s="447"/>
      <c r="EQ180" s="447"/>
      <c r="ER180" s="447"/>
      <c r="ES180" s="447"/>
      <c r="ET180" s="447"/>
      <c r="EU180" s="447"/>
      <c r="EV180" s="447"/>
      <c r="EW180" s="447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56"/>
      <c r="FY180" s="56"/>
      <c r="FZ180" s="56"/>
      <c r="GA180" s="56"/>
      <c r="GB180" s="66">
        <f>GB177/GB$105</f>
        <v>6.3888485552490203E-3</v>
      </c>
      <c r="GC180" s="66">
        <f>GC177/GC$105</f>
        <v>0.36316723109175941</v>
      </c>
      <c r="GD180" s="66">
        <f>GD177/GD$105</f>
        <v>0.56503977639217373</v>
      </c>
      <c r="GE180" s="66"/>
      <c r="GF180" s="66"/>
      <c r="GG180" s="56"/>
      <c r="GH180" s="56"/>
      <c r="GI180" s="56"/>
      <c r="GJ180" s="56"/>
      <c r="GK180" s="56"/>
      <c r="GN180" s="443"/>
    </row>
    <row r="181" spans="1:196" s="418" customFormat="1">
      <c r="A181" s="376" t="s">
        <v>273</v>
      </c>
      <c r="B181" s="429"/>
      <c r="C181" s="429"/>
      <c r="D181" s="429"/>
      <c r="E181" s="429"/>
      <c r="F181" s="429"/>
      <c r="G181" s="429"/>
      <c r="H181" s="429"/>
      <c r="I181" s="429"/>
      <c r="J181" s="429"/>
      <c r="K181" s="429"/>
      <c r="L181" s="429"/>
      <c r="M181" s="429"/>
      <c r="N181" s="429"/>
      <c r="O181" s="429"/>
      <c r="P181" s="429"/>
      <c r="Q181" s="429"/>
      <c r="R181" s="429"/>
      <c r="S181" s="429"/>
      <c r="T181" s="429"/>
      <c r="U181" s="429"/>
      <c r="V181" s="429"/>
      <c r="W181" s="429"/>
      <c r="X181" s="429"/>
      <c r="Y181" s="429"/>
      <c r="Z181" s="429"/>
      <c r="AA181" s="429"/>
      <c r="AB181" s="429"/>
      <c r="AC181" s="429"/>
      <c r="AD181" s="429"/>
      <c r="AE181" s="429"/>
      <c r="AF181" s="429"/>
      <c r="AG181" s="429"/>
      <c r="AH181" s="429"/>
      <c r="AI181" s="429"/>
      <c r="AJ181" s="429"/>
      <c r="AK181" s="429"/>
      <c r="AL181" s="429"/>
      <c r="AM181" s="429"/>
      <c r="AN181" s="429"/>
      <c r="AO181" s="429"/>
      <c r="AP181" s="429"/>
      <c r="AQ181" s="429"/>
      <c r="AR181" s="429"/>
      <c r="AS181" s="429"/>
      <c r="AT181" s="429"/>
      <c r="AU181" s="429"/>
      <c r="AV181" s="429"/>
      <c r="AW181" s="429"/>
      <c r="AX181" s="429"/>
      <c r="AY181" s="429"/>
      <c r="AZ181" s="429"/>
      <c r="BA181" s="429"/>
      <c r="BB181" s="429"/>
      <c r="BC181" s="429"/>
      <c r="BD181" s="429"/>
      <c r="BE181" s="429"/>
      <c r="BF181" s="429"/>
      <c r="BG181" s="429"/>
      <c r="BH181" s="429"/>
      <c r="BI181" s="429"/>
      <c r="BJ181" s="429"/>
      <c r="BK181" s="429"/>
      <c r="BL181" s="429"/>
      <c r="BM181" s="429"/>
      <c r="BN181" s="429"/>
      <c r="BO181" s="429"/>
      <c r="BP181" s="429"/>
      <c r="BQ181" s="429"/>
      <c r="BR181" s="429"/>
      <c r="BS181" s="429"/>
      <c r="BT181" s="429"/>
      <c r="BU181" s="429"/>
      <c r="BV181" s="429"/>
      <c r="BW181" s="429"/>
      <c r="BX181" s="429"/>
      <c r="BY181" s="429"/>
      <c r="BZ181" s="429"/>
      <c r="CA181" s="429"/>
      <c r="CB181" s="429"/>
      <c r="CC181" s="429"/>
      <c r="CD181" s="429"/>
      <c r="CE181" s="429"/>
      <c r="CF181" s="429"/>
      <c r="CG181" s="429"/>
      <c r="CH181" s="429"/>
      <c r="CI181" s="429"/>
      <c r="CJ181" s="429"/>
      <c r="CK181" s="429"/>
      <c r="CL181" s="429"/>
      <c r="CM181" s="429"/>
      <c r="CN181" s="429"/>
      <c r="CO181" s="429"/>
      <c r="CP181" s="429"/>
      <c r="CQ181" s="429"/>
      <c r="CR181" s="429"/>
      <c r="CS181" s="429"/>
      <c r="CT181" s="431"/>
      <c r="CU181" s="431"/>
      <c r="CV181" s="431"/>
      <c r="CW181" s="431"/>
      <c r="CX181" s="429"/>
      <c r="CY181" s="431"/>
      <c r="CZ181" s="431"/>
      <c r="DA181" s="431"/>
      <c r="DB181" s="431"/>
      <c r="DC181" s="431"/>
      <c r="DD181" s="431"/>
      <c r="DE181" s="431"/>
      <c r="DF181" s="431"/>
      <c r="DG181" s="431"/>
      <c r="DH181" s="431"/>
      <c r="DI181" s="431"/>
      <c r="DJ181" s="397">
        <v>-96</v>
      </c>
      <c r="DK181" s="397">
        <v>-92</v>
      </c>
      <c r="DL181" s="397">
        <v>-104</v>
      </c>
      <c r="DM181" s="397">
        <v>-117</v>
      </c>
      <c r="DN181" s="397">
        <v>-803</v>
      </c>
      <c r="DO181" s="397">
        <v>-1450</v>
      </c>
      <c r="DP181" s="397">
        <v>-1320</v>
      </c>
      <c r="DQ181" s="397">
        <v>-1406</v>
      </c>
      <c r="DR181" s="397">
        <v>-1233</v>
      </c>
      <c r="DS181" s="397">
        <v>-1080</v>
      </c>
      <c r="DT181" s="397">
        <v>-1042</v>
      </c>
      <c r="DU181" s="397">
        <v>-1064</v>
      </c>
      <c r="DV181" s="376">
        <v>-1084</v>
      </c>
      <c r="DW181" s="376">
        <v>-985</v>
      </c>
      <c r="DX181" s="376">
        <v>-977</v>
      </c>
      <c r="DY181" s="376">
        <v>-1144</v>
      </c>
      <c r="DZ181" s="376">
        <v>-950</v>
      </c>
      <c r="EA181" s="376">
        <v>-1021</v>
      </c>
      <c r="EB181" s="376">
        <v>-954</v>
      </c>
      <c r="EC181" s="376"/>
      <c r="ED181" s="437"/>
      <c r="EE181" s="437"/>
      <c r="EF181" s="437"/>
      <c r="EG181" s="437"/>
      <c r="EH181" s="437"/>
      <c r="EI181" s="437"/>
      <c r="EJ181" s="437"/>
      <c r="EK181" s="437"/>
      <c r="EL181" s="437"/>
      <c r="EM181" s="437"/>
      <c r="EN181" s="437"/>
      <c r="EO181" s="437"/>
      <c r="EP181" s="437"/>
      <c r="EQ181" s="437"/>
      <c r="ER181" s="437"/>
      <c r="ES181" s="437"/>
      <c r="ET181" s="437"/>
      <c r="EU181" s="437"/>
      <c r="EV181" s="437"/>
      <c r="EW181" s="437"/>
      <c r="FA181" s="66"/>
      <c r="FB181" s="66"/>
      <c r="FC181" s="66"/>
      <c r="FD181" s="66"/>
      <c r="FE181" s="66"/>
      <c r="FF181" s="66"/>
      <c r="FG181" s="66"/>
      <c r="FH181" s="66"/>
      <c r="FI181" s="66"/>
      <c r="FJ181" s="66"/>
      <c r="FK181" s="66"/>
      <c r="FL181" s="66"/>
      <c r="FM181" s="66"/>
      <c r="FN181" s="66"/>
      <c r="FO181" s="66"/>
      <c r="FP181" s="66"/>
      <c r="FQ181" s="66"/>
      <c r="FR181" s="66"/>
      <c r="FS181" s="66"/>
      <c r="FT181" s="66"/>
      <c r="FU181" s="66"/>
      <c r="FV181" s="66"/>
      <c r="FW181" s="66"/>
      <c r="FX181" s="56"/>
      <c r="FY181" s="56"/>
      <c r="FZ181" s="56"/>
      <c r="GA181" s="56"/>
      <c r="GB181" s="376">
        <f>SUM(DJ181:DM181)</f>
        <v>-409</v>
      </c>
      <c r="GC181" s="376">
        <f>SUM(DN181:DQ181)</f>
        <v>-4979</v>
      </c>
      <c r="GD181" s="376">
        <f>SUM(DR181:DU181)</f>
        <v>-4419</v>
      </c>
      <c r="GE181" s="376"/>
      <c r="GF181" s="376"/>
      <c r="GG181" s="56"/>
      <c r="GH181" s="56"/>
      <c r="GI181" s="56"/>
      <c r="GJ181" s="56"/>
      <c r="GK181" s="56"/>
      <c r="GM181" s="432"/>
      <c r="GN181" s="70"/>
    </row>
    <row r="182" spans="1:196" s="418" customFormat="1">
      <c r="A182" s="376" t="s">
        <v>275</v>
      </c>
      <c r="B182" s="429"/>
      <c r="C182" s="429"/>
      <c r="D182" s="429"/>
      <c r="E182" s="429"/>
      <c r="F182" s="429"/>
      <c r="G182" s="429"/>
      <c r="H182" s="429"/>
      <c r="I182" s="429"/>
      <c r="J182" s="429"/>
      <c r="K182" s="429"/>
      <c r="L182" s="429"/>
      <c r="M182" s="429"/>
      <c r="N182" s="429"/>
      <c r="O182" s="429"/>
      <c r="P182" s="429"/>
      <c r="Q182" s="429"/>
      <c r="R182" s="429"/>
      <c r="S182" s="429"/>
      <c r="T182" s="429"/>
      <c r="U182" s="429"/>
      <c r="V182" s="429"/>
      <c r="W182" s="429"/>
      <c r="X182" s="429"/>
      <c r="Y182" s="429"/>
      <c r="Z182" s="429"/>
      <c r="AA182" s="429"/>
      <c r="AB182" s="429"/>
      <c r="AC182" s="429"/>
      <c r="AD182" s="429"/>
      <c r="AE182" s="429"/>
      <c r="AF182" s="429"/>
      <c r="AG182" s="429"/>
      <c r="AH182" s="429"/>
      <c r="AI182" s="429"/>
      <c r="AJ182" s="429"/>
      <c r="AK182" s="429"/>
      <c r="AL182" s="429"/>
      <c r="AM182" s="429"/>
      <c r="AN182" s="429"/>
      <c r="AO182" s="429"/>
      <c r="AP182" s="429"/>
      <c r="AQ182" s="429"/>
      <c r="AR182" s="429"/>
      <c r="AS182" s="429"/>
      <c r="AT182" s="429"/>
      <c r="AU182" s="429"/>
      <c r="AV182" s="429"/>
      <c r="AW182" s="429"/>
      <c r="AX182" s="429"/>
      <c r="AY182" s="429"/>
      <c r="AZ182" s="429"/>
      <c r="BA182" s="429"/>
      <c r="BB182" s="429"/>
      <c r="BC182" s="429"/>
      <c r="BD182" s="429"/>
      <c r="BE182" s="429"/>
      <c r="BF182" s="429"/>
      <c r="BG182" s="429"/>
      <c r="BH182" s="429"/>
      <c r="BI182" s="429"/>
      <c r="BJ182" s="429"/>
      <c r="BK182" s="429"/>
      <c r="BL182" s="429"/>
      <c r="BM182" s="429"/>
      <c r="BN182" s="429"/>
      <c r="BO182" s="429"/>
      <c r="BP182" s="429"/>
      <c r="BQ182" s="429"/>
      <c r="BR182" s="429"/>
      <c r="BS182" s="429"/>
      <c r="BT182" s="429"/>
      <c r="BU182" s="429"/>
      <c r="BV182" s="429"/>
      <c r="BW182" s="429"/>
      <c r="BX182" s="429"/>
      <c r="BY182" s="429"/>
      <c r="BZ182" s="429"/>
      <c r="CA182" s="429"/>
      <c r="CB182" s="429"/>
      <c r="CC182" s="429"/>
      <c r="CD182" s="429"/>
      <c r="CE182" s="429"/>
      <c r="CF182" s="429"/>
      <c r="CG182" s="429"/>
      <c r="CH182" s="429"/>
      <c r="CI182" s="429"/>
      <c r="CJ182" s="429"/>
      <c r="CK182" s="429"/>
      <c r="CL182" s="429"/>
      <c r="CM182" s="429"/>
      <c r="CN182" s="429"/>
      <c r="CO182" s="429"/>
      <c r="CP182" s="429"/>
      <c r="CQ182" s="429"/>
      <c r="CR182" s="429"/>
      <c r="CS182" s="429"/>
      <c r="CT182" s="431"/>
      <c r="CU182" s="431"/>
      <c r="CV182" s="431"/>
      <c r="CW182" s="431"/>
      <c r="CX182" s="429"/>
      <c r="CY182" s="431"/>
      <c r="CZ182" s="431"/>
      <c r="DA182" s="431"/>
      <c r="DB182" s="431"/>
      <c r="DC182" s="431"/>
      <c r="DD182" s="431"/>
      <c r="DE182" s="431"/>
      <c r="DF182" s="431"/>
      <c r="DG182" s="431"/>
      <c r="DH182" s="431"/>
      <c r="DI182" s="431"/>
      <c r="DJ182" s="397">
        <f>DJ165+DJ169+DJ173+DJ177+DJ181</f>
        <v>662</v>
      </c>
      <c r="DK182" s="397">
        <f t="shared" ref="DK182:EB182" si="366">DK165+DK169+DK173+DK177+DK181</f>
        <v>831</v>
      </c>
      <c r="DL182" s="397">
        <f t="shared" si="366"/>
        <v>948</v>
      </c>
      <c r="DM182" s="397">
        <f t="shared" si="366"/>
        <v>1207</v>
      </c>
      <c r="DN182" s="397">
        <f t="shared" si="366"/>
        <v>951</v>
      </c>
      <c r="DO182" s="397">
        <f t="shared" si="366"/>
        <v>526</v>
      </c>
      <c r="DP182" s="397">
        <f t="shared" si="366"/>
        <v>-64</v>
      </c>
      <c r="DQ182" s="397">
        <f t="shared" si="366"/>
        <v>-149</v>
      </c>
      <c r="DR182" s="397">
        <f t="shared" si="366"/>
        <v>-145</v>
      </c>
      <c r="DS182" s="397">
        <f t="shared" si="366"/>
        <v>-20</v>
      </c>
      <c r="DT182" s="397">
        <f t="shared" si="366"/>
        <v>224</v>
      </c>
      <c r="DU182" s="397">
        <f t="shared" si="366"/>
        <v>342</v>
      </c>
      <c r="DV182" s="376">
        <f t="shared" si="366"/>
        <v>36</v>
      </c>
      <c r="DW182" s="376">
        <f t="shared" si="366"/>
        <v>269</v>
      </c>
      <c r="DX182" s="376">
        <f t="shared" si="366"/>
        <v>724</v>
      </c>
      <c r="DY182" s="376">
        <f t="shared" si="366"/>
        <v>871</v>
      </c>
      <c r="DZ182" s="376">
        <f t="shared" si="366"/>
        <v>806</v>
      </c>
      <c r="EA182" s="376">
        <f t="shared" si="366"/>
        <v>-134</v>
      </c>
      <c r="EB182" s="376">
        <f t="shared" si="366"/>
        <v>1270</v>
      </c>
      <c r="EC182" s="376"/>
      <c r="ED182" s="437"/>
      <c r="EE182" s="437"/>
      <c r="EF182" s="437"/>
      <c r="EG182" s="437"/>
      <c r="EH182" s="437"/>
      <c r="EI182" s="437"/>
      <c r="EJ182" s="437"/>
      <c r="EK182" s="437"/>
      <c r="EL182" s="437"/>
      <c r="EM182" s="437"/>
      <c r="EN182" s="437"/>
      <c r="EO182" s="437"/>
      <c r="EP182" s="437"/>
      <c r="EQ182" s="437"/>
      <c r="ER182" s="437"/>
      <c r="ES182" s="437"/>
      <c r="ET182" s="437"/>
      <c r="EU182" s="437"/>
      <c r="EV182" s="437"/>
      <c r="EW182" s="437"/>
      <c r="FA182" s="66"/>
      <c r="FB182" s="66"/>
      <c r="FC182" s="66"/>
      <c r="FD182" s="66"/>
      <c r="FE182" s="66"/>
      <c r="FF182" s="66"/>
      <c r="FG182" s="66"/>
      <c r="FH182" s="66"/>
      <c r="FI182" s="66"/>
      <c r="FJ182" s="66"/>
      <c r="FK182" s="66"/>
      <c r="FL182" s="66"/>
      <c r="FM182" s="66"/>
      <c r="FN182" s="66"/>
      <c r="FO182" s="66"/>
      <c r="FP182" s="66"/>
      <c r="FQ182" s="66"/>
      <c r="FR182" s="66"/>
      <c r="FS182" s="66"/>
      <c r="FT182" s="66"/>
      <c r="FU182" s="66"/>
      <c r="FV182" s="66"/>
      <c r="FW182" s="66"/>
      <c r="FX182" s="56"/>
      <c r="FY182" s="56"/>
      <c r="FZ182" s="56"/>
      <c r="GA182" s="56"/>
      <c r="GB182" s="376">
        <f>SUM(DJ182:DM182)</f>
        <v>3648</v>
      </c>
      <c r="GC182" s="376">
        <f>SUM(DN182:DQ182)</f>
        <v>1264</v>
      </c>
      <c r="GD182" s="376">
        <f>SUM(DR182:DU182)</f>
        <v>401</v>
      </c>
      <c r="GE182" s="376"/>
      <c r="GF182" s="376"/>
      <c r="GG182" s="56"/>
      <c r="GH182" s="56"/>
      <c r="GI182" s="56"/>
      <c r="GJ182" s="56"/>
      <c r="GK182" s="56"/>
      <c r="GM182" s="432"/>
      <c r="GN182" s="70"/>
    </row>
    <row r="183" spans="1:196" s="382" customFormat="1">
      <c r="A183" s="381" t="s">
        <v>198</v>
      </c>
      <c r="B183" s="392"/>
      <c r="C183" s="392"/>
      <c r="D183" s="392"/>
      <c r="E183" s="392"/>
      <c r="F183" s="392"/>
      <c r="G183" s="392"/>
      <c r="H183" s="392"/>
      <c r="I183" s="392"/>
      <c r="J183" s="392"/>
      <c r="K183" s="392"/>
      <c r="L183" s="392"/>
      <c r="M183" s="392"/>
      <c r="N183" s="392"/>
      <c r="O183" s="392"/>
      <c r="P183" s="392"/>
      <c r="Q183" s="392"/>
      <c r="R183" s="392"/>
      <c r="S183" s="392"/>
      <c r="T183" s="392"/>
      <c r="U183" s="392"/>
      <c r="V183" s="392"/>
      <c r="W183" s="392"/>
      <c r="X183" s="392"/>
      <c r="Y183" s="392"/>
      <c r="Z183" s="392"/>
      <c r="AA183" s="392"/>
      <c r="AB183" s="392"/>
      <c r="AC183" s="392"/>
      <c r="AD183" s="392"/>
      <c r="AE183" s="392"/>
      <c r="AF183" s="392"/>
      <c r="AG183" s="392"/>
      <c r="AH183" s="392"/>
      <c r="AI183" s="392"/>
      <c r="AJ183" s="392"/>
      <c r="AK183" s="392"/>
      <c r="AL183" s="392"/>
      <c r="AM183" s="392"/>
      <c r="AN183" s="392"/>
      <c r="AO183" s="392"/>
      <c r="AP183" s="392"/>
      <c r="AQ183" s="392"/>
      <c r="AR183" s="392"/>
      <c r="AS183" s="392"/>
      <c r="AT183" s="392"/>
      <c r="AU183" s="392"/>
      <c r="AV183" s="392"/>
      <c r="AW183" s="392"/>
      <c r="AX183" s="392"/>
      <c r="AY183" s="392"/>
      <c r="AZ183" s="392"/>
      <c r="BA183" s="392"/>
      <c r="BB183" s="392"/>
      <c r="BC183" s="392"/>
      <c r="BD183" s="392"/>
      <c r="BE183" s="392"/>
      <c r="BF183" s="392"/>
      <c r="BG183" s="392"/>
      <c r="BH183" s="392"/>
      <c r="BI183" s="392"/>
      <c r="BJ183" s="392"/>
      <c r="BK183" s="392"/>
      <c r="BL183" s="392"/>
      <c r="BM183" s="392"/>
      <c r="BN183" s="392"/>
      <c r="BO183" s="392"/>
      <c r="BP183" s="392"/>
      <c r="BQ183" s="392"/>
      <c r="BR183" s="392"/>
      <c r="BS183" s="392"/>
      <c r="BT183" s="392"/>
      <c r="BU183" s="392"/>
      <c r="BV183" s="392"/>
      <c r="BW183" s="392"/>
      <c r="BX183" s="392"/>
      <c r="BY183" s="392"/>
      <c r="BZ183" s="392"/>
      <c r="CA183" s="392"/>
      <c r="CB183" s="392"/>
      <c r="CC183" s="392"/>
      <c r="CD183" s="392"/>
      <c r="CE183" s="392"/>
      <c r="CF183" s="392"/>
      <c r="CG183" s="392"/>
      <c r="CH183" s="392"/>
      <c r="CI183" s="392"/>
      <c r="CJ183" s="392"/>
      <c r="CK183" s="392"/>
      <c r="CL183" s="392"/>
      <c r="CM183" s="392"/>
      <c r="CN183" s="392"/>
      <c r="CO183" s="392"/>
      <c r="CP183" s="392"/>
      <c r="CQ183" s="392"/>
      <c r="CR183" s="392"/>
      <c r="CS183" s="392"/>
      <c r="CT183" s="387"/>
      <c r="CU183" s="387"/>
      <c r="CV183" s="387"/>
      <c r="CW183" s="387"/>
      <c r="CX183" s="392"/>
      <c r="CY183" s="387"/>
      <c r="CZ183" s="387"/>
      <c r="DA183" s="387"/>
      <c r="DB183" s="387"/>
      <c r="DC183" s="387"/>
      <c r="DD183" s="387"/>
      <c r="DE183" s="387"/>
      <c r="DF183" s="387"/>
      <c r="DG183" s="387"/>
      <c r="DH183" s="387"/>
      <c r="DI183" s="387"/>
      <c r="DJ183" s="442"/>
      <c r="DK183" s="33">
        <f>DK182/DJ182-1</f>
        <v>0.25528700906344404</v>
      </c>
      <c r="DL183" s="33">
        <f>DL182/DK182-1</f>
        <v>0.1407942238267148</v>
      </c>
      <c r="DM183" s="33">
        <f>DM182/DL182-1</f>
        <v>0.27320675105485237</v>
      </c>
      <c r="DN183" s="33">
        <f>DN182/DM182-1</f>
        <v>-0.21209610604805307</v>
      </c>
      <c r="DO183" s="33">
        <f>DO182/DN182-1</f>
        <v>-0.44689800210304942</v>
      </c>
      <c r="DP183" s="67" t="s">
        <v>199</v>
      </c>
      <c r="DQ183" s="67" t="s">
        <v>199</v>
      </c>
      <c r="DR183" s="67" t="s">
        <v>199</v>
      </c>
      <c r="DS183" s="67" t="s">
        <v>199</v>
      </c>
      <c r="DT183" s="67" t="s">
        <v>199</v>
      </c>
      <c r="DU183" s="33">
        <f t="shared" ref="DU183:EB183" si="367">DU182/DT182-1</f>
        <v>0.52678571428571419</v>
      </c>
      <c r="DV183" s="66">
        <f t="shared" si="367"/>
        <v>-0.89473684210526316</v>
      </c>
      <c r="DW183" s="66">
        <f t="shared" si="367"/>
        <v>6.4722222222222223</v>
      </c>
      <c r="DX183" s="66">
        <f t="shared" si="367"/>
        <v>1.6914498141263938</v>
      </c>
      <c r="DY183" s="66">
        <f t="shared" si="367"/>
        <v>0.20303867403314912</v>
      </c>
      <c r="DZ183" s="66">
        <f t="shared" si="367"/>
        <v>-7.4626865671641784E-2</v>
      </c>
      <c r="EA183" s="66">
        <f t="shared" si="367"/>
        <v>-1.1662531017369726</v>
      </c>
      <c r="EB183" s="66">
        <f t="shared" si="367"/>
        <v>-10.477611940298507</v>
      </c>
      <c r="EC183" s="66"/>
      <c r="ED183" s="447"/>
      <c r="EE183" s="447"/>
      <c r="EF183" s="447"/>
      <c r="EG183" s="447"/>
      <c r="EH183" s="447"/>
      <c r="EI183" s="447"/>
      <c r="EJ183" s="447"/>
      <c r="EK183" s="447"/>
      <c r="EL183" s="447"/>
      <c r="EM183" s="447"/>
      <c r="EN183" s="447"/>
      <c r="EO183" s="447"/>
      <c r="EP183" s="447"/>
      <c r="EQ183" s="447"/>
      <c r="ER183" s="447"/>
      <c r="ES183" s="447"/>
      <c r="ET183" s="447"/>
      <c r="EU183" s="447"/>
      <c r="EV183" s="447"/>
      <c r="EW183" s="447"/>
      <c r="FA183" s="66"/>
      <c r="FB183" s="66"/>
      <c r="FC183" s="66"/>
      <c r="FD183" s="66"/>
      <c r="FE183" s="66"/>
      <c r="FF183" s="66"/>
      <c r="FG183" s="66"/>
      <c r="FH183" s="66"/>
      <c r="FI183" s="66"/>
      <c r="FJ183" s="66"/>
      <c r="FK183" s="66"/>
      <c r="FL183" s="66"/>
      <c r="FM183" s="66"/>
      <c r="FN183" s="66"/>
      <c r="FO183" s="66"/>
      <c r="FP183" s="66"/>
      <c r="FQ183" s="66"/>
      <c r="FR183" s="66"/>
      <c r="FS183" s="66"/>
      <c r="FT183" s="66"/>
      <c r="FU183" s="66"/>
      <c r="FV183" s="66"/>
      <c r="FW183" s="66"/>
      <c r="FX183" s="56"/>
      <c r="FY183" s="56"/>
      <c r="FZ183" s="56"/>
      <c r="GA183" s="56"/>
      <c r="GB183" s="386" t="s">
        <v>199</v>
      </c>
      <c r="GC183" s="386" t="s">
        <v>199</v>
      </c>
      <c r="GD183" s="386" t="s">
        <v>199</v>
      </c>
      <c r="GE183" s="386"/>
      <c r="GF183" s="386"/>
      <c r="GG183" s="56"/>
      <c r="GH183" s="56"/>
      <c r="GI183" s="56"/>
      <c r="GJ183" s="56"/>
      <c r="GK183" s="56"/>
      <c r="GN183" s="443"/>
    </row>
    <row r="184" spans="1:196" s="382" customFormat="1">
      <c r="A184" s="381" t="s">
        <v>200</v>
      </c>
      <c r="B184" s="392"/>
      <c r="C184" s="392"/>
      <c r="D184" s="392"/>
      <c r="E184" s="392"/>
      <c r="F184" s="392"/>
      <c r="G184" s="392"/>
      <c r="H184" s="392"/>
      <c r="I184" s="392"/>
      <c r="J184" s="392"/>
      <c r="K184" s="392"/>
      <c r="L184" s="392"/>
      <c r="M184" s="392"/>
      <c r="N184" s="392"/>
      <c r="O184" s="392"/>
      <c r="P184" s="392"/>
      <c r="Q184" s="392"/>
      <c r="R184" s="392"/>
      <c r="S184" s="392"/>
      <c r="T184" s="392"/>
      <c r="U184" s="392"/>
      <c r="V184" s="392"/>
      <c r="W184" s="392"/>
      <c r="X184" s="392"/>
      <c r="Y184" s="392"/>
      <c r="Z184" s="392"/>
      <c r="AA184" s="392"/>
      <c r="AB184" s="392"/>
      <c r="AC184" s="392"/>
      <c r="AD184" s="392"/>
      <c r="AE184" s="392"/>
      <c r="AF184" s="392"/>
      <c r="AG184" s="392"/>
      <c r="AH184" s="392"/>
      <c r="AI184" s="392"/>
      <c r="AJ184" s="392"/>
      <c r="AK184" s="392"/>
      <c r="AL184" s="392"/>
      <c r="AM184" s="392"/>
      <c r="AN184" s="392"/>
      <c r="AO184" s="392"/>
      <c r="AP184" s="392"/>
      <c r="AQ184" s="392"/>
      <c r="AR184" s="392"/>
      <c r="AS184" s="392"/>
      <c r="AT184" s="392"/>
      <c r="AU184" s="392"/>
      <c r="AV184" s="392"/>
      <c r="AW184" s="392"/>
      <c r="AX184" s="392"/>
      <c r="AY184" s="392"/>
      <c r="AZ184" s="392"/>
      <c r="BA184" s="392"/>
      <c r="BB184" s="392"/>
      <c r="BC184" s="392"/>
      <c r="BD184" s="392"/>
      <c r="BE184" s="392"/>
      <c r="BF184" s="392"/>
      <c r="BG184" s="392"/>
      <c r="BH184" s="392"/>
      <c r="BI184" s="392"/>
      <c r="BJ184" s="392"/>
      <c r="BK184" s="392"/>
      <c r="BL184" s="392"/>
      <c r="BM184" s="392"/>
      <c r="BN184" s="392"/>
      <c r="BO184" s="392"/>
      <c r="BP184" s="392"/>
      <c r="BQ184" s="392"/>
      <c r="BR184" s="392"/>
      <c r="BS184" s="392"/>
      <c r="BT184" s="392"/>
      <c r="BU184" s="392"/>
      <c r="BV184" s="392"/>
      <c r="BW184" s="392"/>
      <c r="BX184" s="392"/>
      <c r="BY184" s="392"/>
      <c r="BZ184" s="392"/>
      <c r="CA184" s="392"/>
      <c r="CB184" s="392"/>
      <c r="CC184" s="392"/>
      <c r="CD184" s="392"/>
      <c r="CE184" s="392"/>
      <c r="CF184" s="392"/>
      <c r="CG184" s="392"/>
      <c r="CH184" s="392"/>
      <c r="CI184" s="392"/>
      <c r="CJ184" s="392"/>
      <c r="CK184" s="392"/>
      <c r="CL184" s="392"/>
      <c r="CM184" s="392"/>
      <c r="CN184" s="392"/>
      <c r="CO184" s="392"/>
      <c r="CP184" s="392"/>
      <c r="CQ184" s="392"/>
      <c r="CR184" s="392"/>
      <c r="CS184" s="392"/>
      <c r="CT184" s="387"/>
      <c r="CU184" s="387"/>
      <c r="CV184" s="387"/>
      <c r="CW184" s="387"/>
      <c r="CX184" s="392"/>
      <c r="CY184" s="387"/>
      <c r="CZ184" s="387"/>
      <c r="DA184" s="387"/>
      <c r="DB184" s="387"/>
      <c r="DC184" s="387"/>
      <c r="DD184" s="387"/>
      <c r="DE184" s="387"/>
      <c r="DF184" s="387"/>
      <c r="DG184" s="387"/>
      <c r="DH184" s="387"/>
      <c r="DI184" s="387"/>
      <c r="DJ184" s="442"/>
      <c r="DK184" s="33"/>
      <c r="DL184" s="33"/>
      <c r="DM184" s="33"/>
      <c r="DN184" s="33">
        <f>DN182/DJ182-1</f>
        <v>0.43655589123867067</v>
      </c>
      <c r="DO184" s="33">
        <f>DO182/DK182-1</f>
        <v>-0.36702767749699161</v>
      </c>
      <c r="DP184" s="67" t="s">
        <v>199</v>
      </c>
      <c r="DQ184" s="67" t="s">
        <v>199</v>
      </c>
      <c r="DR184" s="67" t="s">
        <v>199</v>
      </c>
      <c r="DS184" s="67" t="s">
        <v>199</v>
      </c>
      <c r="DT184" s="67" t="s">
        <v>199</v>
      </c>
      <c r="DU184" s="67" t="s">
        <v>199</v>
      </c>
      <c r="DV184" s="67" t="s">
        <v>199</v>
      </c>
      <c r="DW184" s="67" t="s">
        <v>199</v>
      </c>
      <c r="DX184" s="66">
        <f>DX182/DT182-1</f>
        <v>2.2321428571428572</v>
      </c>
      <c r="DY184" s="66">
        <f>DY182/DU182-1</f>
        <v>1.5467836257309941</v>
      </c>
      <c r="DZ184" s="66">
        <f>DZ182/DV182-1</f>
        <v>21.388888888888889</v>
      </c>
      <c r="EA184" s="66">
        <f>EA182/DW182-1</f>
        <v>-1.4981412639405205</v>
      </c>
      <c r="EB184" s="66">
        <f>EB182/DX182-1</f>
        <v>0.7541436464088398</v>
      </c>
      <c r="EC184" s="66"/>
      <c r="ED184" s="447"/>
      <c r="EE184" s="447"/>
      <c r="EF184" s="447"/>
      <c r="EG184" s="447"/>
      <c r="EH184" s="447"/>
      <c r="EI184" s="447"/>
      <c r="EJ184" s="447"/>
      <c r="EK184" s="447"/>
      <c r="EL184" s="447"/>
      <c r="EM184" s="447"/>
      <c r="EN184" s="447"/>
      <c r="EO184" s="447"/>
      <c r="EP184" s="447"/>
      <c r="EQ184" s="447"/>
      <c r="ER184" s="447"/>
      <c r="ES184" s="447"/>
      <c r="ET184" s="447"/>
      <c r="EU184" s="447"/>
      <c r="EV184" s="447"/>
      <c r="EW184" s="447"/>
      <c r="FA184" s="66"/>
      <c r="FB184" s="66"/>
      <c r="FC184" s="66"/>
      <c r="FD184" s="66"/>
      <c r="FE184" s="66"/>
      <c r="FF184" s="66"/>
      <c r="FG184" s="66"/>
      <c r="FH184" s="66"/>
      <c r="FI184" s="66"/>
      <c r="FJ184" s="66"/>
      <c r="FK184" s="66"/>
      <c r="FL184" s="66"/>
      <c r="FM184" s="66"/>
      <c r="FN184" s="66"/>
      <c r="FO184" s="66"/>
      <c r="FP184" s="66"/>
      <c r="FQ184" s="66"/>
      <c r="FR184" s="66"/>
      <c r="FS184" s="66"/>
      <c r="FT184" s="66"/>
      <c r="FU184" s="66"/>
      <c r="FV184" s="66"/>
      <c r="FW184" s="66"/>
      <c r="FX184" s="56"/>
      <c r="FY184" s="56"/>
      <c r="FZ184" s="56"/>
      <c r="GA184" s="56"/>
      <c r="GB184" s="386" t="s">
        <v>199</v>
      </c>
      <c r="GC184" s="386">
        <f>GC182/GB182-1</f>
        <v>-0.65350877192982448</v>
      </c>
      <c r="GD184" s="386">
        <f>GD182/GC182-1</f>
        <v>-0.682753164556962</v>
      </c>
      <c r="GE184" s="386"/>
      <c r="GF184" s="386"/>
      <c r="GG184" s="56"/>
      <c r="GH184" s="56"/>
      <c r="GI184" s="56"/>
      <c r="GJ184" s="56"/>
      <c r="GK184" s="56"/>
      <c r="GN184" s="443"/>
    </row>
    <row r="185" spans="1:196" s="382" customFormat="1">
      <c r="A185" s="381" t="s">
        <v>261</v>
      </c>
      <c r="B185" s="392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/>
      <c r="O185" s="392"/>
      <c r="P185" s="392"/>
      <c r="Q185" s="392"/>
      <c r="R185" s="392"/>
      <c r="S185" s="392"/>
      <c r="T185" s="392"/>
      <c r="U185" s="392"/>
      <c r="V185" s="392"/>
      <c r="W185" s="392"/>
      <c r="X185" s="392"/>
      <c r="Y185" s="392"/>
      <c r="Z185" s="392"/>
      <c r="AA185" s="392"/>
      <c r="AB185" s="392"/>
      <c r="AC185" s="392"/>
      <c r="AD185" s="392"/>
      <c r="AE185" s="392"/>
      <c r="AF185" s="392"/>
      <c r="AG185" s="392"/>
      <c r="AH185" s="392"/>
      <c r="AI185" s="392"/>
      <c r="AJ185" s="392"/>
      <c r="AK185" s="392"/>
      <c r="AL185" s="392"/>
      <c r="AM185" s="392"/>
      <c r="AN185" s="392"/>
      <c r="AO185" s="392"/>
      <c r="AP185" s="392"/>
      <c r="AQ185" s="392"/>
      <c r="AR185" s="392"/>
      <c r="AS185" s="392"/>
      <c r="AT185" s="392"/>
      <c r="AU185" s="392"/>
      <c r="AV185" s="392"/>
      <c r="AW185" s="392"/>
      <c r="AX185" s="392"/>
      <c r="AY185" s="392"/>
      <c r="AZ185" s="392"/>
      <c r="BA185" s="392"/>
      <c r="BB185" s="392"/>
      <c r="BC185" s="392"/>
      <c r="BD185" s="392"/>
      <c r="BE185" s="392"/>
      <c r="BF185" s="392"/>
      <c r="BG185" s="392"/>
      <c r="BH185" s="392"/>
      <c r="BI185" s="392"/>
      <c r="BJ185" s="392"/>
      <c r="BK185" s="392"/>
      <c r="BL185" s="392"/>
      <c r="BM185" s="392"/>
      <c r="BN185" s="392"/>
      <c r="BO185" s="392"/>
      <c r="BP185" s="392"/>
      <c r="BQ185" s="392"/>
      <c r="BR185" s="392"/>
      <c r="BS185" s="392"/>
      <c r="BT185" s="392"/>
      <c r="BU185" s="392"/>
      <c r="BV185" s="392"/>
      <c r="BW185" s="392"/>
      <c r="BX185" s="392"/>
      <c r="BY185" s="392"/>
      <c r="BZ185" s="392"/>
      <c r="CA185" s="392"/>
      <c r="CB185" s="392"/>
      <c r="CC185" s="392"/>
      <c r="CD185" s="392"/>
      <c r="CE185" s="392"/>
      <c r="CF185" s="392"/>
      <c r="CG185" s="392"/>
      <c r="CH185" s="392"/>
      <c r="CI185" s="392"/>
      <c r="CJ185" s="392"/>
      <c r="CK185" s="392"/>
      <c r="CL185" s="392"/>
      <c r="CM185" s="392"/>
      <c r="CN185" s="392"/>
      <c r="CO185" s="392"/>
      <c r="CP185" s="392"/>
      <c r="CQ185" s="392"/>
      <c r="CR185" s="392"/>
      <c r="CS185" s="392"/>
      <c r="CT185" s="387"/>
      <c r="CU185" s="387"/>
      <c r="CV185" s="387"/>
      <c r="CW185" s="387"/>
      <c r="CX185" s="392"/>
      <c r="CY185" s="387"/>
      <c r="CZ185" s="387"/>
      <c r="DA185" s="387"/>
      <c r="DB185" s="387"/>
      <c r="DC185" s="387"/>
      <c r="DD185" s="387"/>
      <c r="DE185" s="387"/>
      <c r="DF185" s="387"/>
      <c r="DG185" s="387"/>
      <c r="DH185" s="387"/>
      <c r="DI185" s="387"/>
      <c r="DJ185" s="33">
        <f>DJ182/DJ$161</f>
        <v>0.19216255442670538</v>
      </c>
      <c r="DK185" s="33">
        <f t="shared" ref="DK185:EB185" si="368">DK182/DK$161</f>
        <v>0.21584415584415584</v>
      </c>
      <c r="DL185" s="33">
        <f t="shared" si="368"/>
        <v>0.21980060282865754</v>
      </c>
      <c r="DM185" s="33">
        <f t="shared" si="368"/>
        <v>0.25010360547036886</v>
      </c>
      <c r="DN185" s="33">
        <f t="shared" si="368"/>
        <v>0.16154238151860031</v>
      </c>
      <c r="DO185" s="33">
        <f t="shared" si="368"/>
        <v>8.0305343511450383E-2</v>
      </c>
      <c r="DP185" s="33">
        <f t="shared" si="368"/>
        <v>-1.1500449236298293E-2</v>
      </c>
      <c r="DQ185" s="33">
        <f t="shared" si="368"/>
        <v>-2.661189498124665E-2</v>
      </c>
      <c r="DR185" s="33">
        <f t="shared" si="368"/>
        <v>-2.7087614421819541E-2</v>
      </c>
      <c r="DS185" s="33">
        <f t="shared" si="368"/>
        <v>-3.7320395596193321E-3</v>
      </c>
      <c r="DT185" s="33">
        <f t="shared" si="368"/>
        <v>3.8620689655172416E-2</v>
      </c>
      <c r="DU185" s="33">
        <f t="shared" si="368"/>
        <v>5.544747081712062E-2</v>
      </c>
      <c r="DV185" s="66">
        <f t="shared" si="368"/>
        <v>6.5777452950849628E-3</v>
      </c>
      <c r="DW185" s="66">
        <f t="shared" si="368"/>
        <v>4.6101113967437872E-2</v>
      </c>
      <c r="DX185" s="66">
        <f t="shared" si="368"/>
        <v>0.10617392579557119</v>
      </c>
      <c r="DY185" s="66">
        <f t="shared" si="368"/>
        <v>0.11373726821624446</v>
      </c>
      <c r="DZ185" s="66">
        <f t="shared" si="368"/>
        <v>0.10836246302769562</v>
      </c>
      <c r="EA185" s="66">
        <f t="shared" si="368"/>
        <v>-1.7436564736499675E-2</v>
      </c>
      <c r="EB185" s="66">
        <f t="shared" si="368"/>
        <v>0.13735669478693488</v>
      </c>
      <c r="EC185" s="66"/>
      <c r="ED185" s="447"/>
      <c r="EE185" s="447"/>
      <c r="EF185" s="447"/>
      <c r="EG185" s="447"/>
      <c r="EH185" s="447"/>
      <c r="EI185" s="447"/>
      <c r="EJ185" s="447"/>
      <c r="EK185" s="447"/>
      <c r="EL185" s="447"/>
      <c r="EM185" s="447"/>
      <c r="EN185" s="447"/>
      <c r="EO185" s="447"/>
      <c r="EP185" s="447"/>
      <c r="EQ185" s="447"/>
      <c r="ER185" s="447"/>
      <c r="ES185" s="447"/>
      <c r="ET185" s="447"/>
      <c r="EU185" s="447"/>
      <c r="EV185" s="447"/>
      <c r="EW185" s="447"/>
      <c r="FA185" s="66"/>
      <c r="FB185" s="66"/>
      <c r="FC185" s="66"/>
      <c r="FD185" s="66"/>
      <c r="FE185" s="66"/>
      <c r="FF185" s="66"/>
      <c r="FG185" s="66"/>
      <c r="FH185" s="66"/>
      <c r="FI185" s="66"/>
      <c r="FJ185" s="66"/>
      <c r="FK185" s="66"/>
      <c r="FL185" s="66"/>
      <c r="FM185" s="66"/>
      <c r="FN185" s="66"/>
      <c r="FO185" s="66"/>
      <c r="FP185" s="66"/>
      <c r="FQ185" s="66"/>
      <c r="FR185" s="66"/>
      <c r="FS185" s="66"/>
      <c r="FT185" s="66"/>
      <c r="FU185" s="66"/>
      <c r="FV185" s="66"/>
      <c r="FW185" s="66"/>
      <c r="FX185" s="56"/>
      <c r="FY185" s="56"/>
      <c r="FZ185" s="56"/>
      <c r="GA185" s="56"/>
      <c r="GB185" s="66">
        <f>GB182/GB$105</f>
        <v>0.52969362567155509</v>
      </c>
      <c r="GC185" s="66">
        <f>GC182/GC$105</f>
        <v>0.20383809063054345</v>
      </c>
      <c r="GD185" s="66">
        <f>GD182/GD$105</f>
        <v>8.6218017630617066E-2</v>
      </c>
      <c r="GE185" s="66"/>
      <c r="GF185" s="66"/>
      <c r="GG185" s="56"/>
      <c r="GH185" s="56"/>
      <c r="GI185" s="56"/>
      <c r="GJ185" s="56"/>
      <c r="GK185" s="56"/>
      <c r="GN185" s="443"/>
    </row>
    <row r="186" spans="1:196" s="418" customFormat="1">
      <c r="A186" s="434"/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429"/>
      <c r="M186" s="429"/>
      <c r="N186" s="429"/>
      <c r="O186" s="429"/>
      <c r="P186" s="429"/>
      <c r="Q186" s="429"/>
      <c r="R186" s="429"/>
      <c r="S186" s="429"/>
      <c r="T186" s="429"/>
      <c r="U186" s="429"/>
      <c r="V186" s="429"/>
      <c r="W186" s="429"/>
      <c r="X186" s="429"/>
      <c r="Y186" s="429"/>
      <c r="Z186" s="429"/>
      <c r="AA186" s="429"/>
      <c r="AB186" s="429"/>
      <c r="AC186" s="429"/>
      <c r="AD186" s="429"/>
      <c r="AE186" s="429"/>
      <c r="AF186" s="429"/>
      <c r="AG186" s="429"/>
      <c r="AH186" s="429"/>
      <c r="AI186" s="429"/>
      <c r="AJ186" s="429"/>
      <c r="AK186" s="429"/>
      <c r="AL186" s="429"/>
      <c r="AM186" s="429"/>
      <c r="AN186" s="429"/>
      <c r="AO186" s="429"/>
      <c r="AP186" s="429"/>
      <c r="AQ186" s="429"/>
      <c r="AR186" s="429"/>
      <c r="AS186" s="429"/>
      <c r="AT186" s="429"/>
      <c r="AU186" s="429"/>
      <c r="AV186" s="429"/>
      <c r="AW186" s="429"/>
      <c r="AX186" s="429"/>
      <c r="AY186" s="429"/>
      <c r="AZ186" s="429"/>
      <c r="BA186" s="429"/>
      <c r="BB186" s="429"/>
      <c r="BC186" s="429"/>
      <c r="BD186" s="429"/>
      <c r="BE186" s="429"/>
      <c r="BF186" s="429"/>
      <c r="BG186" s="429"/>
      <c r="BH186" s="429"/>
      <c r="BI186" s="429"/>
      <c r="BJ186" s="429"/>
      <c r="BK186" s="429"/>
      <c r="BL186" s="429"/>
      <c r="BM186" s="429"/>
      <c r="BN186" s="429"/>
      <c r="BO186" s="429"/>
      <c r="BP186" s="429"/>
      <c r="BQ186" s="429"/>
      <c r="BR186" s="429"/>
      <c r="BS186" s="429"/>
      <c r="BT186" s="429"/>
      <c r="BU186" s="429"/>
      <c r="BV186" s="429"/>
      <c r="BW186" s="429"/>
      <c r="BX186" s="429"/>
      <c r="BY186" s="429"/>
      <c r="BZ186" s="429"/>
      <c r="CA186" s="429"/>
      <c r="CB186" s="429"/>
      <c r="CC186" s="429"/>
      <c r="CD186" s="429"/>
      <c r="CE186" s="429"/>
      <c r="CF186" s="429"/>
      <c r="CG186" s="429"/>
      <c r="CH186" s="429"/>
      <c r="CI186" s="429"/>
      <c r="CJ186" s="429"/>
      <c r="CK186" s="429"/>
      <c r="CL186" s="429"/>
      <c r="CM186" s="429"/>
      <c r="CN186" s="429"/>
      <c r="CO186" s="429"/>
      <c r="CP186" s="429"/>
      <c r="CQ186" s="429"/>
      <c r="CR186" s="429"/>
      <c r="CS186" s="429"/>
      <c r="CT186" s="431"/>
      <c r="CU186" s="431"/>
      <c r="CV186" s="431"/>
      <c r="CW186" s="431"/>
      <c r="CX186" s="429"/>
      <c r="CY186" s="431"/>
      <c r="CZ186" s="431"/>
      <c r="DA186" s="431"/>
      <c r="DB186" s="431"/>
      <c r="DC186" s="431"/>
      <c r="DD186" s="431"/>
      <c r="DE186" s="431"/>
      <c r="DF186" s="431"/>
      <c r="DG186" s="431"/>
      <c r="DH186" s="431"/>
      <c r="DI186" s="431"/>
      <c r="DJ186" s="435"/>
      <c r="DK186" s="435"/>
      <c r="DL186" s="435"/>
      <c r="DM186" s="435"/>
      <c r="DN186" s="435"/>
      <c r="DO186" s="426"/>
      <c r="DP186" s="426"/>
      <c r="DQ186" s="426"/>
      <c r="DR186" s="426"/>
      <c r="DS186" s="426"/>
      <c r="DT186" s="426"/>
      <c r="DU186" s="426"/>
      <c r="DV186" s="426"/>
      <c r="DW186" s="426"/>
      <c r="DX186" s="426"/>
      <c r="DY186" s="379"/>
      <c r="DZ186" s="379"/>
      <c r="EA186" s="379"/>
      <c r="EB186" s="379"/>
      <c r="EC186" s="379"/>
      <c r="ED186" s="379"/>
      <c r="EE186" s="379"/>
      <c r="EF186" s="379"/>
      <c r="EG186" s="379"/>
      <c r="EH186" s="379"/>
      <c r="EI186" s="379"/>
      <c r="EJ186" s="379"/>
      <c r="EK186" s="379"/>
      <c r="EL186" s="379"/>
      <c r="EM186" s="379"/>
      <c r="EN186" s="379"/>
      <c r="EO186" s="379"/>
      <c r="EP186" s="379"/>
      <c r="EQ186" s="379"/>
      <c r="ER186" s="379"/>
      <c r="ES186" s="379"/>
      <c r="ET186" s="379"/>
      <c r="EU186" s="379"/>
      <c r="EV186" s="379"/>
      <c r="EW186" s="379"/>
      <c r="FA186" s="66"/>
      <c r="FB186" s="66"/>
      <c r="FC186" s="66"/>
      <c r="FD186" s="66"/>
      <c r="FE186" s="66"/>
      <c r="FF186" s="66"/>
      <c r="FG186" s="66"/>
      <c r="FH186" s="66"/>
      <c r="FI186" s="66"/>
      <c r="FJ186" s="66"/>
      <c r="FK186" s="66"/>
      <c r="FL186" s="66"/>
      <c r="FM186" s="66"/>
      <c r="FN186" s="66"/>
      <c r="FO186" s="66"/>
      <c r="FP186" s="66"/>
      <c r="FQ186" s="66"/>
      <c r="FR186" s="66"/>
      <c r="FS186" s="66"/>
      <c r="FT186" s="66"/>
      <c r="FU186" s="66"/>
      <c r="FV186" s="66"/>
      <c r="FW186" s="66"/>
      <c r="FX186" s="56"/>
      <c r="FY186" s="56"/>
      <c r="FZ186" s="56"/>
      <c r="GA186" s="56"/>
      <c r="GB186" s="56"/>
      <c r="GC186" s="56"/>
      <c r="GD186" s="56"/>
      <c r="GE186" s="56"/>
      <c r="GF186" s="56"/>
      <c r="GG186" s="56"/>
      <c r="GH186" s="56"/>
      <c r="GI186" s="56"/>
      <c r="GJ186" s="56"/>
      <c r="GK186" s="56"/>
      <c r="GN186" s="70"/>
    </row>
    <row r="187" spans="1:196" collapsed="1">
      <c r="A187" s="61" t="s">
        <v>278</v>
      </c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3"/>
      <c r="CP187" s="63"/>
      <c r="CQ187" s="63"/>
      <c r="CR187" s="63"/>
      <c r="CS187" s="63"/>
      <c r="CT187" s="63"/>
      <c r="CU187" s="63"/>
      <c r="CV187" s="63"/>
      <c r="CW187" s="63"/>
      <c r="CX187" s="63"/>
      <c r="CY187" s="63"/>
      <c r="CZ187" s="63"/>
      <c r="DA187" s="63"/>
      <c r="DB187" s="63"/>
      <c r="DC187" s="63"/>
      <c r="DD187" s="63"/>
      <c r="DE187" s="63"/>
      <c r="DF187" s="63"/>
      <c r="DG187" s="63"/>
      <c r="DH187" s="63"/>
      <c r="DI187" s="63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63"/>
      <c r="DY187" s="63"/>
      <c r="DZ187" s="63"/>
      <c r="EA187" s="63"/>
      <c r="EB187" s="63"/>
      <c r="EC187" s="63"/>
      <c r="ED187" s="63"/>
      <c r="EE187" s="63"/>
      <c r="EF187" s="63"/>
      <c r="EG187" s="63"/>
      <c r="EH187" s="63"/>
      <c r="EI187" s="63"/>
      <c r="EJ187" s="63"/>
      <c r="EK187" s="63"/>
      <c r="EL187" s="63"/>
      <c r="EM187" s="63"/>
      <c r="EN187" s="63"/>
      <c r="EO187" s="63"/>
      <c r="EP187" s="63"/>
      <c r="EQ187" s="63"/>
      <c r="ER187" s="63"/>
      <c r="ES187" s="63"/>
      <c r="ET187" s="63"/>
      <c r="EU187" s="63"/>
      <c r="EV187" s="63"/>
      <c r="EW187" s="63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N187" s="48"/>
    </row>
    <row r="188" spans="1:196" s="379" customFormat="1">
      <c r="A188" s="376" t="s">
        <v>197</v>
      </c>
      <c r="B188" s="376"/>
      <c r="C188" s="376"/>
      <c r="D188" s="376"/>
      <c r="E188" s="376"/>
      <c r="F188" s="376"/>
      <c r="G188" s="376"/>
      <c r="H188" s="376"/>
      <c r="I188" s="376"/>
      <c r="J188" s="376"/>
      <c r="K188" s="376"/>
      <c r="L188" s="376"/>
      <c r="M188" s="376"/>
      <c r="N188" s="376"/>
      <c r="O188" s="376"/>
      <c r="P188" s="376"/>
      <c r="Q188" s="376"/>
      <c r="R188" s="376"/>
      <c r="S188" s="376"/>
      <c r="T188" s="376"/>
      <c r="U188" s="376"/>
      <c r="V188" s="376"/>
      <c r="W188" s="376"/>
      <c r="X188" s="376"/>
      <c r="Y188" s="376"/>
      <c r="Z188" s="376"/>
      <c r="AA188" s="376"/>
      <c r="AB188" s="376"/>
      <c r="AC188" s="376"/>
      <c r="AD188" s="403">
        <f>AD195+AD246</f>
        <v>562.79660390000004</v>
      </c>
      <c r="AE188" s="403">
        <f>AE195+AE246</f>
        <v>589.92896639500009</v>
      </c>
      <c r="AF188" s="403">
        <f>AF195+AF246</f>
        <v>637.33019304000004</v>
      </c>
      <c r="AG188" s="403">
        <f>AG195+AG246</f>
        <v>596.61317796000003</v>
      </c>
      <c r="AH188" s="403">
        <f>AH195+AH246</f>
        <v>659.02043400000002</v>
      </c>
      <c r="AI188" s="403">
        <f>AI195+AI246</f>
        <v>620.83241799999996</v>
      </c>
      <c r="AJ188" s="403">
        <f>AJ195+AJ246</f>
        <v>521.82164999999998</v>
      </c>
      <c r="AK188" s="403">
        <f>AK195+AK246</f>
        <v>722.12597000000005</v>
      </c>
      <c r="AL188" s="403">
        <f>AL195+AL246</f>
        <v>749.83994000000007</v>
      </c>
      <c r="AM188" s="403">
        <f>AM195+AM246</f>
        <v>406.56808999999998</v>
      </c>
      <c r="AN188" s="403">
        <f>AN195+AN246</f>
        <v>266.56851999999998</v>
      </c>
      <c r="AO188" s="403">
        <f>AO195+AO246</f>
        <v>415.57071000000002</v>
      </c>
      <c r="AP188" s="403">
        <f>AP195+AP246</f>
        <v>458.54399999999998</v>
      </c>
      <c r="AQ188" s="403">
        <f>AQ195+AQ246</f>
        <v>391.88400000000001</v>
      </c>
      <c r="AR188" s="403">
        <f>AR195+AR246</f>
        <v>488.39100000000002</v>
      </c>
      <c r="AS188" s="403">
        <f>AS195+AS246</f>
        <v>558.04099999999994</v>
      </c>
      <c r="AT188" s="403">
        <f>AT195+AT246</f>
        <v>528.16999999999996</v>
      </c>
      <c r="AU188" s="403">
        <f>AU195+AU246</f>
        <v>490.43599999999998</v>
      </c>
      <c r="AV188" s="403">
        <f>AV195+AV246</f>
        <v>603.98399999999992</v>
      </c>
      <c r="AW188" s="403">
        <f>AW195+AW246</f>
        <v>648.08600000000001</v>
      </c>
      <c r="AX188" s="403">
        <f>AX195+AX246</f>
        <v>659.45600000000002</v>
      </c>
      <c r="AY188" s="403">
        <f>AY195+AY246</f>
        <v>592.00700000000006</v>
      </c>
      <c r="AZ188" s="403">
        <f>AZ195+AZ246</f>
        <v>779.09100000000001</v>
      </c>
      <c r="BA188" s="403">
        <f>BA195+BA246</f>
        <v>1050.0630000000001</v>
      </c>
      <c r="BB188" s="403">
        <f>BB195+BB246</f>
        <v>1022.072</v>
      </c>
      <c r="BC188" s="403">
        <f>BC195+BC246</f>
        <v>834.18709000000001</v>
      </c>
      <c r="BD188" s="403">
        <f>BD195+BD246</f>
        <v>910.04</v>
      </c>
      <c r="BE188" s="403">
        <f>BE195+BE246</f>
        <v>1072.021</v>
      </c>
      <c r="BF188" s="403">
        <f>BF195+BF246</f>
        <v>619.43000000000006</v>
      </c>
      <c r="BG188" s="403">
        <f>BG195+BG246</f>
        <v>782.43299999999999</v>
      </c>
      <c r="BH188" s="403">
        <f>BH195+BH246</f>
        <v>965.97500000000002</v>
      </c>
      <c r="BI188" s="403">
        <f>BI195+BI246</f>
        <v>1081.1220000000001</v>
      </c>
      <c r="BJ188" s="403">
        <f>BJ195+BJ246</f>
        <v>894.51152000000002</v>
      </c>
      <c r="BK188" s="403">
        <f>BK195+BK246</f>
        <v>809.93444999999997</v>
      </c>
      <c r="BL188" s="403">
        <f>BL195+BL246</f>
        <v>853.60897</v>
      </c>
      <c r="BM188" s="403">
        <f>BM195+BM246</f>
        <v>634.45755000000008</v>
      </c>
      <c r="BN188" s="403">
        <f>BN195+BN246</f>
        <v>706.53580000000011</v>
      </c>
      <c r="BO188" s="403">
        <f>BO195+BO246</f>
        <v>669.65470000000005</v>
      </c>
      <c r="BP188" s="403">
        <f>BP195+BP246</f>
        <v>750.62068999999997</v>
      </c>
      <c r="BQ188" s="403">
        <f>BQ195+BQ246</f>
        <v>834.80157500000007</v>
      </c>
      <c r="BR188" s="403">
        <f>BR195+BR246</f>
        <v>796.35494999999992</v>
      </c>
      <c r="BS188" s="403">
        <f>BS195+BS246</f>
        <v>832.12509999999997</v>
      </c>
      <c r="BT188" s="403">
        <f>BT195+BT246</f>
        <v>852.34265000000005</v>
      </c>
      <c r="BU188" s="403">
        <f>BU195+BU246</f>
        <v>868.0926750000001</v>
      </c>
      <c r="BV188" s="403">
        <f>BV195+BV246</f>
        <v>858.10480000000007</v>
      </c>
      <c r="BW188" s="403">
        <f>BW195+BW246</f>
        <v>883.62788999999998</v>
      </c>
      <c r="BX188" s="403">
        <f>BX195+BX246</f>
        <v>942.86649999999986</v>
      </c>
      <c r="BY188" s="403">
        <f>BY195+BY246</f>
        <v>916.36705000000006</v>
      </c>
      <c r="BZ188" s="403">
        <f>BZ195+BZ246</f>
        <v>863.80918999999994</v>
      </c>
      <c r="CA188" s="403">
        <f>CA195+CA246</f>
        <v>751.46407000000011</v>
      </c>
      <c r="CB188" s="403">
        <f>CB195+CB246</f>
        <v>651.84014999999999</v>
      </c>
      <c r="CC188" s="403">
        <f>CC195+CC246</f>
        <v>586.55724999999995</v>
      </c>
      <c r="CD188" s="376">
        <f>AMD!EB246</f>
        <v>913</v>
      </c>
      <c r="CE188" s="376">
        <f>AMD!EC246</f>
        <v>994</v>
      </c>
      <c r="CF188" s="376">
        <f>AMD!ED246</f>
        <v>925</v>
      </c>
      <c r="CG188" s="376">
        <f>AMD!EE246</f>
        <v>888</v>
      </c>
      <c r="CH188" s="376">
        <f>AMD!EG246</f>
        <v>861</v>
      </c>
      <c r="CI188" s="376">
        <f>AMD!EH246</f>
        <v>828</v>
      </c>
      <c r="CJ188" s="376">
        <f>AMD!EI246</f>
        <v>781</v>
      </c>
      <c r="CK188" s="376">
        <f>AMD!EJ246</f>
        <v>662</v>
      </c>
      <c r="CL188" s="376">
        <f>AMD!EL246</f>
        <v>532</v>
      </c>
      <c r="CM188" s="376">
        <f>AMD!EM246</f>
        <v>379</v>
      </c>
      <c r="CN188" s="376">
        <f>AMD!EN246</f>
        <v>424</v>
      </c>
      <c r="CO188" s="376">
        <f>AMD!EO246</f>
        <v>470</v>
      </c>
      <c r="CP188" s="376">
        <f>AMD!EQ246</f>
        <v>460</v>
      </c>
      <c r="CQ188" s="376">
        <f>AMD!ER246</f>
        <v>435</v>
      </c>
      <c r="CR188" s="376">
        <f>AMD!ES246</f>
        <v>472</v>
      </c>
      <c r="CS188" s="376">
        <f>AMD!ET246</f>
        <v>600</v>
      </c>
      <c r="CT188" s="376">
        <v>593</v>
      </c>
      <c r="CU188" s="376">
        <v>659</v>
      </c>
      <c r="CV188" s="376">
        <v>819</v>
      </c>
      <c r="CW188" s="376">
        <v>958</v>
      </c>
      <c r="CX188" s="376">
        <v>1115</v>
      </c>
      <c r="CY188" s="376">
        <v>1086</v>
      </c>
      <c r="CZ188" s="376">
        <v>938</v>
      </c>
      <c r="DA188" s="376">
        <v>986</v>
      </c>
      <c r="DB188" s="376">
        <v>831</v>
      </c>
      <c r="DC188" s="376">
        <v>940</v>
      </c>
      <c r="DD188" s="376">
        <v>1276</v>
      </c>
      <c r="DE188" s="376">
        <v>1662</v>
      </c>
      <c r="DF188" s="376">
        <v>1438</v>
      </c>
      <c r="DG188" s="376">
        <v>1367</v>
      </c>
      <c r="DH188" s="376">
        <v>1667</v>
      </c>
      <c r="DI188" s="376">
        <v>1960</v>
      </c>
      <c r="DJ188" s="397">
        <v>2100</v>
      </c>
      <c r="DK188" s="397">
        <v>2250</v>
      </c>
      <c r="DL188" s="397">
        <v>2398</v>
      </c>
      <c r="DM188" s="397">
        <v>2584</v>
      </c>
      <c r="DN188" s="397">
        <v>2802</v>
      </c>
      <c r="DO188" s="397">
        <f>2152+(1655-DO327)+DO315</f>
        <v>2602.9785900000002</v>
      </c>
      <c r="DP188" s="397">
        <f>1022+(1631-DP327)+DP315</f>
        <v>1188.4915700000001</v>
      </c>
      <c r="DQ188" s="397">
        <f>903+(1644-DQ327)+DQ315</f>
        <v>1253.5939900000001</v>
      </c>
      <c r="DR188" s="397">
        <f>739+(1757-DR327)+DR315</f>
        <v>1064.0650800000001</v>
      </c>
      <c r="DS188" s="397">
        <f>998+(1581-DS327)+DS315</f>
        <v>1228.0303000000001</v>
      </c>
      <c r="DT188" s="397">
        <f>1453+(1506-DT327)+DT315</f>
        <v>1698.01225</v>
      </c>
      <c r="DU188" s="397">
        <f>DU195+DU246+DU315</f>
        <v>2121.091721972698</v>
      </c>
      <c r="DV188" s="376">
        <f>DV195+DV246+DV315</f>
        <v>2120.1633349969297</v>
      </c>
      <c r="DW188" s="376">
        <f>DW195+DW246+DW315</f>
        <v>2701.6281879981552</v>
      </c>
      <c r="DX188" s="376">
        <f>DX195+DX246+DX315</f>
        <v>3619.0660155338933</v>
      </c>
      <c r="DY188" s="376">
        <f>DY195+DY246+DY315</f>
        <v>4228.7168149044865</v>
      </c>
      <c r="DZ188" s="376">
        <f>DZ195+DZ246+DZ315</f>
        <v>4056.9531323516194</v>
      </c>
      <c r="EA188" s="376">
        <f>EA195+EA246+EA315</f>
        <v>3606.3346186968233</v>
      </c>
      <c r="EB188" s="376">
        <f>EB195+EB246+EB315</f>
        <v>4898.1253052703341</v>
      </c>
      <c r="EC188" s="376">
        <f>EC195+EC246+EC315</f>
        <v>5728.2930024041671</v>
      </c>
      <c r="ED188" s="376">
        <f>ED195+ED246+ED315</f>
        <v>5436.2920975088509</v>
      </c>
      <c r="EE188" s="380">
        <f>EE195+EE246+EE315</f>
        <v>5728.6308719727876</v>
      </c>
      <c r="EF188" s="380">
        <f>EF195+EF246+EF315</f>
        <v>6230.8981510402173</v>
      </c>
      <c r="EG188" s="380">
        <f>EG195+EG246+EG315</f>
        <v>10135.19273043272</v>
      </c>
      <c r="EH188" s="380">
        <f>EH195+EH246+EH315</f>
        <v>11181.28408439084</v>
      </c>
      <c r="EI188" s="380">
        <f>EI195+EI246+EI315</f>
        <v>12463.497669000824</v>
      </c>
      <c r="EJ188" s="380">
        <f>EJ195+EJ246+EJ315</f>
        <v>14701.979096123552</v>
      </c>
      <c r="EK188" s="380">
        <f>EK195+EK246+EK315</f>
        <v>16568.476742997347</v>
      </c>
      <c r="EL188" s="380">
        <f>EL195+EL246+EL315</f>
        <v>15902.213887923645</v>
      </c>
      <c r="EM188" s="380">
        <f>EM195+EM246+EM315</f>
        <v>16487.507369446939</v>
      </c>
      <c r="EN188" s="380">
        <f>EN195+EN246+EN315</f>
        <v>17698.531255166847</v>
      </c>
      <c r="EO188" s="380">
        <f>EO195+EO246+EO315</f>
        <v>19061.069544078622</v>
      </c>
      <c r="EP188" s="380">
        <f>EP195+EP246+EP315</f>
        <v>19369.281694075049</v>
      </c>
      <c r="EQ188" s="380">
        <f>EQ195+EQ246+EQ315</f>
        <v>20291.469690758382</v>
      </c>
      <c r="ER188" s="380">
        <f>ER195+ER246+ER315</f>
        <v>22010.358265337905</v>
      </c>
      <c r="ES188" s="380">
        <f>ES195+ES246+ES315</f>
        <v>22936.914174716767</v>
      </c>
      <c r="ET188" s="380">
        <f>ET195+ET246+ET315</f>
        <v>22385.139367199528</v>
      </c>
      <c r="EU188" s="380">
        <f>EU195+EU246+EU315</f>
        <v>23442.671029427805</v>
      </c>
      <c r="EV188" s="380">
        <f>EV195+EV246+EV315</f>
        <v>26081.071326812213</v>
      </c>
      <c r="EW188" s="380">
        <f>EW195+EW246+EW315</f>
        <v>27190.817559852589</v>
      </c>
      <c r="EZ188" s="376"/>
      <c r="FA188" s="376"/>
      <c r="FB188" s="376"/>
      <c r="FC188" s="376"/>
      <c r="FD188" s="376"/>
      <c r="FE188" s="376"/>
      <c r="FF188" s="376"/>
      <c r="FG188" s="376">
        <f>AD188+AE188+AF188+AG188</f>
        <v>2386.668941295</v>
      </c>
      <c r="FH188" s="376">
        <f>AH188+AI188+AJ188+AK188</f>
        <v>2523.8004719999999</v>
      </c>
      <c r="FI188" s="376">
        <f>AL188+AM188+AN188+AO188</f>
        <v>1838.5472600000001</v>
      </c>
      <c r="FJ188" s="376">
        <f>AP188+AQ188+AR188+AS188</f>
        <v>1896.86</v>
      </c>
      <c r="FK188" s="376">
        <f>AT188+AU188+AV188+AW188</f>
        <v>2270.6759999999999</v>
      </c>
      <c r="FL188" s="376">
        <f>AX188+AY188+AZ188+BA188</f>
        <v>3080.6170000000002</v>
      </c>
      <c r="FM188" s="376">
        <f>BB188+BC188+BD188+BE188</f>
        <v>3838.3200900000002</v>
      </c>
      <c r="FN188" s="376">
        <f>BF188+BG188+BH188+BI188</f>
        <v>3448.96</v>
      </c>
      <c r="FO188" s="376">
        <f>BJ188+BK188+BL188+BM188</f>
        <v>3192.5124900000001</v>
      </c>
      <c r="FP188" s="376">
        <f>BN188+BO188+BP188+BQ188</f>
        <v>2961.6127650000003</v>
      </c>
      <c r="FQ188" s="376">
        <f>BR188+BS188+BT188+BU188</f>
        <v>3348.9153749999996</v>
      </c>
      <c r="FR188" s="376">
        <f>BV188+BW188+BX188+BY188</f>
        <v>3600.9662399999997</v>
      </c>
      <c r="FS188" s="376">
        <f>BZ188+CA188+CB188+CC188</f>
        <v>2853.6706599999998</v>
      </c>
      <c r="FT188" s="376">
        <f>CD188+CE188+CF188+CG188</f>
        <v>3720</v>
      </c>
      <c r="FU188" s="376">
        <f>CH188+CI188+CJ188+CK188</f>
        <v>3132</v>
      </c>
      <c r="FV188" s="376">
        <f>CL188+CM188+CN188+CO188</f>
        <v>1805</v>
      </c>
      <c r="FW188" s="376">
        <f>CP188+CQ188+CR188+CS188</f>
        <v>1967</v>
      </c>
      <c r="FX188" s="376">
        <f>CT188+CU188+CV188+CW188</f>
        <v>3029</v>
      </c>
      <c r="FY188" s="376">
        <f>CX188+CY188+CZ188+DA188</f>
        <v>4125</v>
      </c>
      <c r="FZ188" s="376">
        <f>DB188+DC188+DD188+DE188</f>
        <v>4709</v>
      </c>
      <c r="GA188" s="376">
        <f>SUM(DF188:DI188)</f>
        <v>6432</v>
      </c>
      <c r="GB188" s="376">
        <f>SUM(DJ188:DM188)</f>
        <v>9332</v>
      </c>
      <c r="GC188" s="376">
        <f>SUM(DN188:DQ188)</f>
        <v>7847.0641500000011</v>
      </c>
      <c r="GD188" s="376">
        <f>SUM(DR188:DU188)</f>
        <v>6111.1993519726984</v>
      </c>
      <c r="GE188" s="376">
        <f>SUM(DV188:DY188)</f>
        <v>12669.574353433465</v>
      </c>
      <c r="GF188" s="376">
        <f>SUM(DZ188:EC188)</f>
        <v>18289.706058722943</v>
      </c>
      <c r="GG188" s="380">
        <f>SUM(ED188:EG188)</f>
        <v>27531.013850954572</v>
      </c>
      <c r="GH188" s="410">
        <f>SUM(EH188:EK188)</f>
        <v>54915.237592512567</v>
      </c>
      <c r="GI188" s="410">
        <f>SUM(EL188:EO188)</f>
        <v>69149.322056616045</v>
      </c>
      <c r="GJ188" s="410">
        <f>SUM(EP188:ES188)</f>
        <v>84608.023824888107</v>
      </c>
      <c r="GK188" s="410">
        <f>SUM(ET188:EW188)</f>
        <v>99099.699283292139</v>
      </c>
      <c r="GN188" s="70"/>
    </row>
    <row r="189" spans="1:196" s="382" customFormat="1">
      <c r="A189" s="381" t="s">
        <v>198</v>
      </c>
      <c r="AE189" s="382">
        <f t="shared" ref="AE189:CP189" si="369">AE188/AD188-1</f>
        <v>4.8209890228515073E-2</v>
      </c>
      <c r="AF189" s="382">
        <f t="shared" si="369"/>
        <v>8.0350736012615886E-2</v>
      </c>
      <c r="AG189" s="382">
        <f t="shared" si="369"/>
        <v>-6.3886844722959024E-2</v>
      </c>
      <c r="AH189" s="382">
        <f t="shared" si="369"/>
        <v>0.10460254373426547</v>
      </c>
      <c r="AI189" s="382">
        <f t="shared" si="369"/>
        <v>-5.7946634170678912E-2</v>
      </c>
      <c r="AJ189" s="382">
        <f t="shared" si="369"/>
        <v>-0.1594806668101536</v>
      </c>
      <c r="AK189" s="382">
        <f t="shared" si="369"/>
        <v>0.38385590172427708</v>
      </c>
      <c r="AL189" s="382">
        <f t="shared" si="369"/>
        <v>3.8378303995908025E-2</v>
      </c>
      <c r="AM189" s="382">
        <f t="shared" si="369"/>
        <v>-0.45779349923665047</v>
      </c>
      <c r="AN189" s="382">
        <f t="shared" si="369"/>
        <v>-0.34434470742649781</v>
      </c>
      <c r="AO189" s="382">
        <f t="shared" si="369"/>
        <v>0.55896393917781451</v>
      </c>
      <c r="AP189" s="382">
        <f t="shared" si="369"/>
        <v>0.10340788935774592</v>
      </c>
      <c r="AQ189" s="382">
        <f t="shared" si="369"/>
        <v>-0.14537318119962306</v>
      </c>
      <c r="AR189" s="382">
        <f t="shared" si="369"/>
        <v>0.2462642006307989</v>
      </c>
      <c r="AS189" s="382">
        <f t="shared" si="369"/>
        <v>0.14261114557803056</v>
      </c>
      <c r="AT189" s="382">
        <f t="shared" si="369"/>
        <v>-5.3528324979705721E-2</v>
      </c>
      <c r="AU189" s="382">
        <f t="shared" si="369"/>
        <v>-7.14429066399076E-2</v>
      </c>
      <c r="AV189" s="382">
        <f t="shared" si="369"/>
        <v>0.23152460259850405</v>
      </c>
      <c r="AW189" s="382">
        <f t="shared" si="369"/>
        <v>7.3018490556041371E-2</v>
      </c>
      <c r="AX189" s="382">
        <f t="shared" si="369"/>
        <v>1.7543967930182092E-2</v>
      </c>
      <c r="AY189" s="382">
        <f t="shared" si="369"/>
        <v>-0.10227975786102472</v>
      </c>
      <c r="AZ189" s="382">
        <f t="shared" si="369"/>
        <v>0.31601653358828519</v>
      </c>
      <c r="BA189" s="382">
        <f t="shared" si="369"/>
        <v>0.34780532697720812</v>
      </c>
      <c r="BB189" s="382">
        <f t="shared" si="369"/>
        <v>-2.6656495848344397E-2</v>
      </c>
      <c r="BC189" s="382">
        <f t="shared" si="369"/>
        <v>-0.18382747008038569</v>
      </c>
      <c r="BD189" s="382">
        <f t="shared" si="369"/>
        <v>9.0930333146248987E-2</v>
      </c>
      <c r="BE189" s="382">
        <f t="shared" si="369"/>
        <v>0.17799327502087814</v>
      </c>
      <c r="BF189" s="382">
        <f t="shared" si="369"/>
        <v>-0.42218482660321011</v>
      </c>
      <c r="BG189" s="382">
        <f t="shared" si="369"/>
        <v>0.26314999273525652</v>
      </c>
      <c r="BH189" s="382">
        <f t="shared" si="369"/>
        <v>0.23457855177376219</v>
      </c>
      <c r="BI189" s="382">
        <f t="shared" si="369"/>
        <v>0.11920287792127127</v>
      </c>
      <c r="BJ189" s="382">
        <f t="shared" si="369"/>
        <v>-0.17260816078111452</v>
      </c>
      <c r="BK189" s="382">
        <f t="shared" si="369"/>
        <v>-9.4551124394686492E-2</v>
      </c>
      <c r="BL189" s="382">
        <f t="shared" si="369"/>
        <v>5.3923524304960724E-2</v>
      </c>
      <c r="BM189" s="382">
        <f t="shared" si="369"/>
        <v>-0.25673514185306645</v>
      </c>
      <c r="BN189" s="382">
        <f t="shared" si="369"/>
        <v>0.11360610335553578</v>
      </c>
      <c r="BO189" s="382">
        <f t="shared" si="369"/>
        <v>-5.2199902680090782E-2</v>
      </c>
      <c r="BP189" s="382">
        <f t="shared" si="369"/>
        <v>0.12090707345143681</v>
      </c>
      <c r="BQ189" s="382">
        <f t="shared" si="369"/>
        <v>0.11214836750636348</v>
      </c>
      <c r="BR189" s="382">
        <f t="shared" si="369"/>
        <v>-4.6054806496981238E-2</v>
      </c>
      <c r="BS189" s="382">
        <f t="shared" si="369"/>
        <v>4.4917344960309524E-2</v>
      </c>
      <c r="BT189" s="382">
        <f t="shared" si="369"/>
        <v>2.4296286700160818E-2</v>
      </c>
      <c r="BU189" s="382">
        <f t="shared" si="369"/>
        <v>1.8478513306825706E-2</v>
      </c>
      <c r="BV189" s="382">
        <f t="shared" si="369"/>
        <v>-1.150554000470061E-2</v>
      </c>
      <c r="BW189" s="382">
        <f t="shared" si="369"/>
        <v>2.9743558129496472E-2</v>
      </c>
      <c r="BX189" s="382">
        <f t="shared" si="369"/>
        <v>6.7040222100730462E-2</v>
      </c>
      <c r="BY189" s="382">
        <f t="shared" si="369"/>
        <v>-2.8105198349925309E-2</v>
      </c>
      <c r="BZ189" s="382">
        <f t="shared" si="369"/>
        <v>-5.7354593882440574E-2</v>
      </c>
      <c r="CA189" s="382">
        <f t="shared" si="369"/>
        <v>-0.13005779667613848</v>
      </c>
      <c r="CB189" s="382">
        <f t="shared" si="369"/>
        <v>-0.13257309827201735</v>
      </c>
      <c r="CC189" s="382">
        <f t="shared" si="369"/>
        <v>-0.10015170130284246</v>
      </c>
      <c r="CD189" s="382">
        <f t="shared" si="369"/>
        <v>0.55654030361060247</v>
      </c>
      <c r="CE189" s="382">
        <f t="shared" si="369"/>
        <v>8.8718510405257467E-2</v>
      </c>
      <c r="CF189" s="382">
        <f t="shared" si="369"/>
        <v>-6.9416498993963738E-2</v>
      </c>
      <c r="CG189" s="382">
        <f t="shared" si="369"/>
        <v>-4.0000000000000036E-2</v>
      </c>
      <c r="CH189" s="382">
        <f t="shared" si="369"/>
        <v>-3.0405405405405372E-2</v>
      </c>
      <c r="CI189" s="382">
        <f t="shared" si="369"/>
        <v>-3.8327526132404199E-2</v>
      </c>
      <c r="CJ189" s="382">
        <f t="shared" si="369"/>
        <v>-5.6763285024154619E-2</v>
      </c>
      <c r="CK189" s="382">
        <f t="shared" si="369"/>
        <v>-0.15236875800256078</v>
      </c>
      <c r="CL189" s="382">
        <f t="shared" si="369"/>
        <v>-0.1963746223564955</v>
      </c>
      <c r="CM189" s="382">
        <f t="shared" si="369"/>
        <v>-0.28759398496240607</v>
      </c>
      <c r="CN189" s="382">
        <f t="shared" si="369"/>
        <v>0.1187335092348285</v>
      </c>
      <c r="CO189" s="382">
        <f t="shared" si="369"/>
        <v>0.10849056603773577</v>
      </c>
      <c r="CP189" s="382">
        <f t="shared" si="369"/>
        <v>-2.1276595744680882E-2</v>
      </c>
      <c r="CQ189" s="382">
        <f t="shared" ref="CQ189:EH189" si="370">CQ188/CP188-1</f>
        <v>-5.4347826086956541E-2</v>
      </c>
      <c r="CR189" s="382">
        <f t="shared" si="370"/>
        <v>8.5057471264367912E-2</v>
      </c>
      <c r="CS189" s="382">
        <f t="shared" si="370"/>
        <v>0.27118644067796605</v>
      </c>
      <c r="CT189" s="382">
        <f t="shared" si="370"/>
        <v>-1.1666666666666714E-2</v>
      </c>
      <c r="CU189" s="382">
        <f t="shared" si="370"/>
        <v>0.11129848229342332</v>
      </c>
      <c r="CV189" s="382">
        <f t="shared" si="370"/>
        <v>0.24279210925644912</v>
      </c>
      <c r="CW189" s="382">
        <f t="shared" si="370"/>
        <v>0.16971916971916978</v>
      </c>
      <c r="CX189" s="382">
        <f t="shared" si="370"/>
        <v>0.16388308977035493</v>
      </c>
      <c r="CY189" s="382">
        <f t="shared" si="370"/>
        <v>-2.6008968609865457E-2</v>
      </c>
      <c r="CZ189" s="382">
        <f t="shared" si="370"/>
        <v>-0.13627992633517494</v>
      </c>
      <c r="DA189" s="382">
        <f t="shared" si="370"/>
        <v>5.1172707889125757E-2</v>
      </c>
      <c r="DB189" s="382">
        <f t="shared" si="370"/>
        <v>-0.15720081135902642</v>
      </c>
      <c r="DC189" s="382">
        <f t="shared" si="370"/>
        <v>0.13116726835138381</v>
      </c>
      <c r="DD189" s="382">
        <f t="shared" si="370"/>
        <v>0.35744680851063837</v>
      </c>
      <c r="DE189" s="382">
        <f t="shared" si="370"/>
        <v>0.30250783699059558</v>
      </c>
      <c r="DF189" s="382">
        <f t="shared" si="370"/>
        <v>-0.13477737665463296</v>
      </c>
      <c r="DG189" s="382">
        <f t="shared" si="370"/>
        <v>-4.9374130737134925E-2</v>
      </c>
      <c r="DH189" s="382">
        <f t="shared" si="370"/>
        <v>0.21945866861741048</v>
      </c>
      <c r="DI189" s="382">
        <f t="shared" si="370"/>
        <v>0.17576484703059392</v>
      </c>
      <c r="DJ189" s="383">
        <f t="shared" si="370"/>
        <v>7.1428571428571397E-2</v>
      </c>
      <c r="DK189" s="383">
        <f t="shared" si="370"/>
        <v>7.1428571428571397E-2</v>
      </c>
      <c r="DL189" s="383">
        <f t="shared" si="370"/>
        <v>6.5777777777777713E-2</v>
      </c>
      <c r="DM189" s="383">
        <f t="shared" si="370"/>
        <v>7.7564637197664821E-2</v>
      </c>
      <c r="DN189" s="383">
        <f t="shared" si="370"/>
        <v>8.4365325077399467E-2</v>
      </c>
      <c r="DO189" s="383">
        <f t="shared" si="370"/>
        <v>-7.1028340471091966E-2</v>
      </c>
      <c r="DP189" s="383">
        <f t="shared" si="370"/>
        <v>-0.54341093139763397</v>
      </c>
      <c r="DQ189" s="383">
        <f t="shared" si="370"/>
        <v>5.4777351092191617E-2</v>
      </c>
      <c r="DR189" s="383">
        <f t="shared" si="370"/>
        <v>-0.15118843222916212</v>
      </c>
      <c r="DS189" s="383">
        <f t="shared" si="370"/>
        <v>0.15409322520009772</v>
      </c>
      <c r="DT189" s="383">
        <f t="shared" si="370"/>
        <v>0.38271201451625414</v>
      </c>
      <c r="DU189" s="383">
        <f t="shared" si="370"/>
        <v>0.24916161351173871</v>
      </c>
      <c r="DV189" s="382">
        <f t="shared" si="370"/>
        <v>-4.3769298901641385E-4</v>
      </c>
      <c r="DW189" s="382">
        <f t="shared" si="370"/>
        <v>0.27425474415256201</v>
      </c>
      <c r="DX189" s="382">
        <f>DX188/DW188-1</f>
        <v>0.33958700594382618</v>
      </c>
      <c r="DY189" s="382">
        <f t="shared" si="370"/>
        <v>0.16845528563276457</v>
      </c>
      <c r="DZ189" s="382">
        <f t="shared" si="370"/>
        <v>-4.0618393255247298E-2</v>
      </c>
      <c r="EA189" s="382">
        <f t="shared" si="370"/>
        <v>-0.11107313763656779</v>
      </c>
      <c r="EB189" s="382">
        <f t="shared" si="370"/>
        <v>0.35820045091664543</v>
      </c>
      <c r="EC189" s="382">
        <f t="shared" si="370"/>
        <v>0.16948682309956031</v>
      </c>
      <c r="ED189" s="382">
        <f t="shared" si="370"/>
        <v>-5.0975204091823434E-2</v>
      </c>
      <c r="EE189" s="384">
        <f t="shared" si="370"/>
        <v>5.3775398602643021E-2</v>
      </c>
      <c r="EF189" s="384">
        <f t="shared" si="370"/>
        <v>8.7676670096647813E-2</v>
      </c>
      <c r="EG189" s="384">
        <f t="shared" si="370"/>
        <v>0.62660221444009645</v>
      </c>
      <c r="EH189" s="384">
        <f t="shared" si="370"/>
        <v>0.10321376038731311</v>
      </c>
      <c r="EI189" s="384">
        <f>EI188/EH188-1</f>
        <v>0.11467498499568274</v>
      </c>
      <c r="EJ189" s="384">
        <f>EJ188/EI188-1</f>
        <v>0.17960298838826549</v>
      </c>
      <c r="EK189" s="384">
        <f>EK188/EJ188-1</f>
        <v>0.12695553671178406</v>
      </c>
      <c r="EL189" s="384">
        <f t="shared" ref="EL189" si="371">EL188/EK188-1</f>
        <v>-4.0212680103818066E-2</v>
      </c>
      <c r="EM189" s="384">
        <f>EM188/EL188-1</f>
        <v>3.680578601497575E-2</v>
      </c>
      <c r="EN189" s="384">
        <f>EN188/EM188-1</f>
        <v>7.3450998903816123E-2</v>
      </c>
      <c r="EO189" s="384">
        <f>EO188/EN188-1</f>
        <v>7.6985952634572419E-2</v>
      </c>
      <c r="EP189" s="384">
        <f t="shared" ref="EP189" si="372">EP188/EO188-1</f>
        <v>1.6169719610103162E-2</v>
      </c>
      <c r="EQ189" s="384">
        <f>EQ188/EP188-1</f>
        <v>4.7610851617973182E-2</v>
      </c>
      <c r="ER189" s="384">
        <f>ER188/EQ188-1</f>
        <v>8.4709910163007107E-2</v>
      </c>
      <c r="ES189" s="384">
        <f>ES188/ER188-1</f>
        <v>4.2096357460841949E-2</v>
      </c>
      <c r="ET189" s="384">
        <f t="shared" ref="ET189" si="373">ET188/ES188-1</f>
        <v>-2.4056191836191121E-2</v>
      </c>
      <c r="EU189" s="384">
        <f>EU188/ET188-1</f>
        <v>4.7242576643407252E-2</v>
      </c>
      <c r="EV189" s="384">
        <f>EV188/EU188-1</f>
        <v>0.11254691472965672</v>
      </c>
      <c r="EW189" s="384">
        <f>EW188/EV188-1</f>
        <v>4.2549871480912715E-2</v>
      </c>
      <c r="FZ189" s="386" t="s">
        <v>199</v>
      </c>
      <c r="GA189" s="386" t="s">
        <v>199</v>
      </c>
      <c r="GB189" s="386" t="s">
        <v>199</v>
      </c>
      <c r="GC189" s="386" t="s">
        <v>199</v>
      </c>
      <c r="GD189" s="386" t="s">
        <v>199</v>
      </c>
      <c r="GE189" s="386" t="s">
        <v>199</v>
      </c>
      <c r="GF189" s="386" t="s">
        <v>199</v>
      </c>
      <c r="GG189" s="386" t="s">
        <v>199</v>
      </c>
      <c r="GH189" s="386" t="s">
        <v>199</v>
      </c>
      <c r="GI189" s="386" t="s">
        <v>199</v>
      </c>
      <c r="GJ189" s="386" t="s">
        <v>199</v>
      </c>
      <c r="GK189" s="386" t="s">
        <v>199</v>
      </c>
      <c r="GN189" s="70"/>
    </row>
    <row r="190" spans="1:196" s="382" customFormat="1">
      <c r="A190" s="381" t="s">
        <v>200</v>
      </c>
      <c r="AH190" s="382">
        <f t="shared" ref="AH190:CS190" si="374">AH188/AD188-1</f>
        <v>0.17097443274035351</v>
      </c>
      <c r="AI190" s="382">
        <f t="shared" si="374"/>
        <v>5.2385038479883406E-2</v>
      </c>
      <c r="AJ190" s="382">
        <f t="shared" si="374"/>
        <v>-0.18123814672742256</v>
      </c>
      <c r="AK190" s="382">
        <f t="shared" si="374"/>
        <v>0.21037549399958944</v>
      </c>
      <c r="AL190" s="382">
        <f t="shared" si="374"/>
        <v>0.13780984824516085</v>
      </c>
      <c r="AM190" s="382">
        <f t="shared" si="374"/>
        <v>-0.34512425863689355</v>
      </c>
      <c r="AN190" s="382">
        <f t="shared" si="374"/>
        <v>-0.48915779941288373</v>
      </c>
      <c r="AO190" s="382">
        <f t="shared" si="374"/>
        <v>-0.42451770568506209</v>
      </c>
      <c r="AP190" s="382">
        <f t="shared" si="374"/>
        <v>-0.38847749294336076</v>
      </c>
      <c r="AQ190" s="382">
        <f t="shared" si="374"/>
        <v>-3.6117172894704952E-2</v>
      </c>
      <c r="AR190" s="382">
        <f t="shared" si="374"/>
        <v>0.83214056933654446</v>
      </c>
      <c r="AS190" s="382">
        <f t="shared" si="374"/>
        <v>0.34283044153905817</v>
      </c>
      <c r="AT190" s="382">
        <f t="shared" si="374"/>
        <v>0.15184148086116056</v>
      </c>
      <c r="AU190" s="382">
        <f t="shared" si="374"/>
        <v>0.25148258158026349</v>
      </c>
      <c r="AV190" s="382">
        <f t="shared" si="374"/>
        <v>0.23668126562528768</v>
      </c>
      <c r="AW190" s="382">
        <f t="shared" si="374"/>
        <v>0.16135911160649496</v>
      </c>
      <c r="AX190" s="382">
        <f t="shared" si="374"/>
        <v>0.2485676960069676</v>
      </c>
      <c r="AY190" s="382">
        <f t="shared" si="374"/>
        <v>0.20710347527506157</v>
      </c>
      <c r="AZ190" s="382">
        <f t="shared" si="374"/>
        <v>0.2899199316538188</v>
      </c>
      <c r="BA190" s="382">
        <f t="shared" si="374"/>
        <v>0.62025255907395027</v>
      </c>
      <c r="BB190" s="382">
        <f t="shared" si="374"/>
        <v>0.54987140916149069</v>
      </c>
      <c r="BC190" s="382">
        <f t="shared" si="374"/>
        <v>0.40908315273299123</v>
      </c>
      <c r="BD190" s="382">
        <f t="shared" si="374"/>
        <v>0.1680792102591353</v>
      </c>
      <c r="BE190" s="382">
        <f t="shared" si="374"/>
        <v>2.0911126284803627E-2</v>
      </c>
      <c r="BF190" s="382">
        <f t="shared" si="374"/>
        <v>-0.39394680609585231</v>
      </c>
      <c r="BG190" s="382">
        <f t="shared" si="374"/>
        <v>-6.2041346144544152E-2</v>
      </c>
      <c r="BH190" s="382">
        <f t="shared" si="374"/>
        <v>6.1464331238187508E-2</v>
      </c>
      <c r="BI190" s="382">
        <f t="shared" si="374"/>
        <v>8.4895724990463606E-3</v>
      </c>
      <c r="BJ190" s="382">
        <f t="shared" si="374"/>
        <v>0.44408814555316978</v>
      </c>
      <c r="BK190" s="382">
        <f t="shared" si="374"/>
        <v>3.5148632534670599E-2</v>
      </c>
      <c r="BL190" s="382">
        <f t="shared" si="374"/>
        <v>-0.11632395248324234</v>
      </c>
      <c r="BM190" s="382">
        <f t="shared" si="374"/>
        <v>-0.4131489785611614</v>
      </c>
      <c r="BN190" s="382">
        <f t="shared" si="374"/>
        <v>-0.21014343113211098</v>
      </c>
      <c r="BO190" s="382">
        <f t="shared" si="374"/>
        <v>-0.17319889282398093</v>
      </c>
      <c r="BP190" s="382">
        <f t="shared" si="374"/>
        <v>-0.12065041912575036</v>
      </c>
      <c r="BQ190" s="382">
        <f t="shared" si="374"/>
        <v>0.31577215055601426</v>
      </c>
      <c r="BR190" s="382">
        <f t="shared" si="374"/>
        <v>0.12712611307169408</v>
      </c>
      <c r="BS190" s="382">
        <f t="shared" si="374"/>
        <v>0.24261817321673385</v>
      </c>
      <c r="BT190" s="382">
        <f t="shared" si="374"/>
        <v>0.1355171278319014</v>
      </c>
      <c r="BU190" s="382">
        <f t="shared" si="374"/>
        <v>3.9879057487403502E-2</v>
      </c>
      <c r="BV190" s="382">
        <f t="shared" si="374"/>
        <v>7.7540611758613709E-2</v>
      </c>
      <c r="BW190" s="382">
        <f t="shared" si="374"/>
        <v>6.1893085546872673E-2</v>
      </c>
      <c r="BX190" s="382">
        <f t="shared" si="374"/>
        <v>0.10620593724835881</v>
      </c>
      <c r="BY190" s="382">
        <f t="shared" si="374"/>
        <v>5.5609702040165132E-2</v>
      </c>
      <c r="BZ190" s="382">
        <f t="shared" si="374"/>
        <v>6.6476612180701444E-3</v>
      </c>
      <c r="CA190" s="382">
        <f t="shared" si="374"/>
        <v>-0.14956954335155703</v>
      </c>
      <c r="CB190" s="382">
        <f t="shared" si="374"/>
        <v>-0.30866124737701461</v>
      </c>
      <c r="CC190" s="382">
        <f t="shared" si="374"/>
        <v>-0.35991014735852855</v>
      </c>
      <c r="CD190" s="382">
        <f t="shared" si="374"/>
        <v>5.6946384189313859E-2</v>
      </c>
      <c r="CE190" s="382">
        <f t="shared" si="374"/>
        <v>0.32275119953506204</v>
      </c>
      <c r="CF190" s="382">
        <f t="shared" si="374"/>
        <v>0.41905956544714229</v>
      </c>
      <c r="CG190" s="382">
        <f t="shared" si="374"/>
        <v>0.5139187180790965</v>
      </c>
      <c r="CH190" s="382">
        <f t="shared" si="374"/>
        <v>-5.6955093099671394E-2</v>
      </c>
      <c r="CI190" s="382">
        <f t="shared" si="374"/>
        <v>-0.16700201207243459</v>
      </c>
      <c r="CJ190" s="382">
        <f t="shared" si="374"/>
        <v>-0.15567567567567564</v>
      </c>
      <c r="CK190" s="382">
        <f t="shared" si="374"/>
        <v>-0.25450450450450446</v>
      </c>
      <c r="CL190" s="382">
        <f t="shared" si="374"/>
        <v>-0.38211382113821135</v>
      </c>
      <c r="CM190" s="382">
        <f t="shared" si="374"/>
        <v>-0.54227053140096615</v>
      </c>
      <c r="CN190" s="382">
        <f t="shared" si="374"/>
        <v>-0.45710627400768244</v>
      </c>
      <c r="CO190" s="382">
        <f t="shared" si="374"/>
        <v>-0.29003021148036257</v>
      </c>
      <c r="CP190" s="382">
        <f t="shared" si="374"/>
        <v>-0.13533834586466165</v>
      </c>
      <c r="CQ190" s="382">
        <f t="shared" si="374"/>
        <v>0.14775725593667555</v>
      </c>
      <c r="CR190" s="382">
        <f t="shared" si="374"/>
        <v>0.1132075471698113</v>
      </c>
      <c r="CS190" s="382">
        <f t="shared" si="374"/>
        <v>0.27659574468085113</v>
      </c>
      <c r="CT190" s="382">
        <f t="shared" ref="CT190:EW190" si="375">CT188/CP188-1</f>
        <v>0.28913043478260869</v>
      </c>
      <c r="CU190" s="382">
        <f t="shared" si="375"/>
        <v>0.51494252873563218</v>
      </c>
      <c r="CV190" s="382">
        <f t="shared" si="375"/>
        <v>0.73516949152542366</v>
      </c>
      <c r="CW190" s="382">
        <f t="shared" si="375"/>
        <v>0.59666666666666668</v>
      </c>
      <c r="CX190" s="382">
        <f t="shared" si="375"/>
        <v>0.88026981450252961</v>
      </c>
      <c r="CY190" s="382">
        <f t="shared" si="375"/>
        <v>0.64795144157814866</v>
      </c>
      <c r="CZ190" s="382">
        <f t="shared" si="375"/>
        <v>0.14529914529914523</v>
      </c>
      <c r="DA190" s="382">
        <f t="shared" si="375"/>
        <v>2.9227557411273475E-2</v>
      </c>
      <c r="DB190" s="382">
        <f t="shared" si="375"/>
        <v>-0.25470852017937218</v>
      </c>
      <c r="DC190" s="382">
        <f t="shared" si="375"/>
        <v>-0.13443830570902393</v>
      </c>
      <c r="DD190" s="382">
        <f t="shared" si="375"/>
        <v>0.36034115138592759</v>
      </c>
      <c r="DE190" s="382">
        <f t="shared" si="375"/>
        <v>0.68559837728194717</v>
      </c>
      <c r="DF190" s="382">
        <f t="shared" si="375"/>
        <v>0.73044524669073407</v>
      </c>
      <c r="DG190" s="382">
        <f t="shared" si="375"/>
        <v>0.45425531914893624</v>
      </c>
      <c r="DH190" s="382">
        <f t="shared" si="375"/>
        <v>0.30642633228840133</v>
      </c>
      <c r="DI190" s="382">
        <f t="shared" si="375"/>
        <v>0.17930204572803854</v>
      </c>
      <c r="DJ190" s="383">
        <f t="shared" si="375"/>
        <v>0.46036161335187753</v>
      </c>
      <c r="DK190" s="383">
        <f t="shared" si="375"/>
        <v>0.64594001463057782</v>
      </c>
      <c r="DL190" s="383">
        <f t="shared" si="375"/>
        <v>0.43851229754049181</v>
      </c>
      <c r="DM190" s="383">
        <f t="shared" si="375"/>
        <v>0.31836734693877555</v>
      </c>
      <c r="DN190" s="383">
        <f t="shared" si="375"/>
        <v>0.3342857142857143</v>
      </c>
      <c r="DO190" s="383">
        <f t="shared" si="375"/>
        <v>0.15687937333333335</v>
      </c>
      <c r="DP190" s="383">
        <f t="shared" si="375"/>
        <v>-0.50438216430358629</v>
      </c>
      <c r="DQ190" s="383">
        <f t="shared" si="375"/>
        <v>-0.51486300696594423</v>
      </c>
      <c r="DR190" s="383">
        <f t="shared" si="375"/>
        <v>-0.62024800856531048</v>
      </c>
      <c r="DS190" s="383">
        <f t="shared" si="375"/>
        <v>-0.52822112916418562</v>
      </c>
      <c r="DT190" s="383">
        <f t="shared" si="375"/>
        <v>0.42871206903049375</v>
      </c>
      <c r="DU190" s="383">
        <f t="shared" si="375"/>
        <v>0.69200852819396319</v>
      </c>
      <c r="DV190" s="382">
        <f t="shared" si="375"/>
        <v>0.99251284047112009</v>
      </c>
      <c r="DW190" s="382">
        <f t="shared" si="375"/>
        <v>1.1999686717812703</v>
      </c>
      <c r="DX190" s="382">
        <f t="shared" si="375"/>
        <v>1.1313544796475368</v>
      </c>
      <c r="DY190" s="382">
        <f t="shared" si="375"/>
        <v>0.99365108594720031</v>
      </c>
      <c r="DZ190" s="382">
        <f t="shared" si="375"/>
        <v>0.91350971190976393</v>
      </c>
      <c r="EA190" s="382">
        <f t="shared" si="375"/>
        <v>0.33487451556723458</v>
      </c>
      <c r="EB190" s="382">
        <f t="shared" si="375"/>
        <v>0.35342248089601402</v>
      </c>
      <c r="EC190" s="382">
        <f t="shared" si="375"/>
        <v>0.3546173113825668</v>
      </c>
      <c r="ED190" s="382">
        <f t="shared" si="375"/>
        <v>0.33999381312982924</v>
      </c>
      <c r="EE190" s="384">
        <f t="shared" si="375"/>
        <v>0.58849121827826179</v>
      </c>
      <c r="EF190" s="384">
        <f t="shared" si="375"/>
        <v>0.27209856071583816</v>
      </c>
      <c r="EG190" s="384">
        <f t="shared" si="375"/>
        <v>0.76932163319491087</v>
      </c>
      <c r="EH190" s="384">
        <f t="shared" si="375"/>
        <v>1.0567850078391845</v>
      </c>
      <c r="EI190" s="384">
        <f t="shared" si="375"/>
        <v>1.1756503338307653</v>
      </c>
      <c r="EJ190" s="384">
        <f t="shared" si="375"/>
        <v>1.3595280711929356</v>
      </c>
      <c r="EK190" s="384">
        <f t="shared" si="375"/>
        <v>0.6347470821395973</v>
      </c>
      <c r="EL190" s="384">
        <f t="shared" si="375"/>
        <v>0.42221714142146327</v>
      </c>
      <c r="EM190" s="384">
        <f t="shared" si="375"/>
        <v>0.32286359794928354</v>
      </c>
      <c r="EN190" s="384">
        <f t="shared" si="375"/>
        <v>0.20381964492340976</v>
      </c>
      <c r="EO190" s="384">
        <f t="shared" si="375"/>
        <v>0.15044188067166564</v>
      </c>
      <c r="EP190" s="384">
        <f t="shared" si="375"/>
        <v>0.21802422169559321</v>
      </c>
      <c r="EQ190" s="384">
        <f t="shared" si="375"/>
        <v>0.23071785419550928</v>
      </c>
      <c r="ER190" s="384">
        <f t="shared" si="375"/>
        <v>0.24362626186352498</v>
      </c>
      <c r="ES190" s="384">
        <f t="shared" si="375"/>
        <v>0.20333825558294483</v>
      </c>
      <c r="ET190" s="384">
        <f t="shared" si="375"/>
        <v>0.15570312419210741</v>
      </c>
      <c r="EU190" s="384">
        <f t="shared" si="375"/>
        <v>0.15529685068127996</v>
      </c>
      <c r="EV190" s="384">
        <f t="shared" si="375"/>
        <v>0.18494533402870128</v>
      </c>
      <c r="EW190" s="384">
        <f t="shared" si="375"/>
        <v>0.18546101505776558</v>
      </c>
      <c r="FH190" s="382">
        <f t="shared" ref="FH190:GK190" si="376">FH188/FG188-1</f>
        <v>5.7457290507410219E-2</v>
      </c>
      <c r="FI190" s="382">
        <f t="shared" si="376"/>
        <v>-0.27151639743413114</v>
      </c>
      <c r="FJ190" s="382">
        <f t="shared" si="376"/>
        <v>3.1716747928470346E-2</v>
      </c>
      <c r="FK190" s="382">
        <f t="shared" si="376"/>
        <v>0.19707094883122633</v>
      </c>
      <c r="FL190" s="382">
        <f t="shared" si="376"/>
        <v>0.35669597952327869</v>
      </c>
      <c r="FM190" s="382">
        <f t="shared" si="376"/>
        <v>0.24595822525162969</v>
      </c>
      <c r="FN190" s="382">
        <f t="shared" si="376"/>
        <v>-0.10144023449591988</v>
      </c>
      <c r="FO190" s="382">
        <f t="shared" si="376"/>
        <v>-7.4355025862868795E-2</v>
      </c>
      <c r="FP190" s="382">
        <f t="shared" si="376"/>
        <v>-7.2325394410594712E-2</v>
      </c>
      <c r="FQ190" s="382">
        <f t="shared" si="376"/>
        <v>0.13077422361798852</v>
      </c>
      <c r="FR190" s="382">
        <f t="shared" si="376"/>
        <v>7.5263432119421658E-2</v>
      </c>
      <c r="FS190" s="382">
        <f t="shared" si="376"/>
        <v>-0.2075264054683279</v>
      </c>
      <c r="FT190" s="382">
        <f t="shared" si="376"/>
        <v>0.30358420547380205</v>
      </c>
      <c r="FU190" s="382">
        <f t="shared" si="376"/>
        <v>-0.15806451612903227</v>
      </c>
      <c r="FV190" s="382">
        <f t="shared" si="376"/>
        <v>-0.42369093231162192</v>
      </c>
      <c r="FW190" s="382">
        <f t="shared" si="376"/>
        <v>8.975069252077561E-2</v>
      </c>
      <c r="FX190" s="382">
        <f t="shared" si="376"/>
        <v>0.53990849008642594</v>
      </c>
      <c r="FY190" s="382">
        <f t="shared" si="376"/>
        <v>0.36183558930340043</v>
      </c>
      <c r="FZ190" s="382">
        <f t="shared" si="376"/>
        <v>0.14157575757575747</v>
      </c>
      <c r="GA190" s="382">
        <f t="shared" si="376"/>
        <v>0.36589509449989377</v>
      </c>
      <c r="GB190" s="382">
        <f t="shared" si="376"/>
        <v>0.45087064676616917</v>
      </c>
      <c r="GC190" s="382">
        <f t="shared" si="376"/>
        <v>-0.15912300150021419</v>
      </c>
      <c r="GD190" s="382">
        <f t="shared" si="376"/>
        <v>-0.22121200551512021</v>
      </c>
      <c r="GE190" s="382">
        <f t="shared" si="376"/>
        <v>1.0731731406117064</v>
      </c>
      <c r="GF190" s="382">
        <f t="shared" si="376"/>
        <v>0.4435927797184771</v>
      </c>
      <c r="GG190" s="387">
        <f t="shared" si="376"/>
        <v>0.50527371859123771</v>
      </c>
      <c r="GH190" s="387">
        <f t="shared" si="376"/>
        <v>0.99466819092855574</v>
      </c>
      <c r="GI190" s="387">
        <f t="shared" si="376"/>
        <v>0.25920099936058971</v>
      </c>
      <c r="GJ190" s="387">
        <f t="shared" si="376"/>
        <v>0.22355536263414466</v>
      </c>
      <c r="GK190" s="387">
        <f t="shared" si="376"/>
        <v>0.17128015527696561</v>
      </c>
      <c r="GN190" s="70"/>
    </row>
    <row r="191" spans="1:196" s="382" customFormat="1">
      <c r="A191" s="381" t="s">
        <v>261</v>
      </c>
      <c r="AD191" s="382">
        <f>AD188/AD4</f>
        <v>0.51536781889491945</v>
      </c>
      <c r="AE191" s="382">
        <f>AE188/AE4</f>
        <v>0.50402453647227496</v>
      </c>
      <c r="AF191" s="382">
        <f>AF188/AF4</f>
        <v>0.5282257024289938</v>
      </c>
      <c r="AG191" s="382">
        <f>AG188/AG4</f>
        <v>0.50768158019421838</v>
      </c>
      <c r="AH191" s="382">
        <f>AH188/AH4</f>
        <v>0.55438241610704375</v>
      </c>
      <c r="AI191" s="382">
        <f>AI188/AI4</f>
        <v>0.63011783440783375</v>
      </c>
      <c r="AJ191" s="382">
        <f>AJ188/AJ4</f>
        <v>0.68134494104743626</v>
      </c>
      <c r="AK191" s="382">
        <f>AK188/AK4</f>
        <v>0.75863688748393954</v>
      </c>
      <c r="AL191" s="382">
        <f>AL188/AL4</f>
        <v>0.83124086409858189</v>
      </c>
      <c r="AM191" s="382">
        <f>AM188/AM4</f>
        <v>0.67727597413955376</v>
      </c>
      <c r="AN191" s="382">
        <f>AN188/AN4</f>
        <v>0.52450680503003577</v>
      </c>
      <c r="AO191" s="382">
        <f>AO188/AO4</f>
        <v>0.60540872339495655</v>
      </c>
      <c r="AP191" s="382">
        <f>AP188/AP4</f>
        <v>0.64171967168377519</v>
      </c>
      <c r="AQ191" s="382">
        <f>AQ188/AQ4</f>
        <v>0.60732633771450628</v>
      </c>
      <c r="AR191" s="382">
        <f>AR188/AR4</f>
        <v>0.51206961087654224</v>
      </c>
      <c r="AS191" s="382">
        <f>AS188/AS4</f>
        <v>0.46287677516375753</v>
      </c>
      <c r="AT191" s="382">
        <f>AT188/AT4</f>
        <v>0.42717235790374403</v>
      </c>
      <c r="AU191" s="382">
        <f>AU188/AU4</f>
        <v>0.38866826697901552</v>
      </c>
      <c r="AV191" s="382">
        <f>AV188/AV4</f>
        <v>0.48729647370344636</v>
      </c>
      <c r="AW191" s="382">
        <f>AW188/AW4</f>
        <v>0.51284555110128471</v>
      </c>
      <c r="AX191" s="382">
        <f>AX188/AX4</f>
        <v>0.53761694662114357</v>
      </c>
      <c r="AY191" s="382">
        <f>AY188/AY4</f>
        <v>0.46987740471998979</v>
      </c>
      <c r="AZ191" s="382">
        <f>AZ188/AZ4</f>
        <v>0.51163253445235768</v>
      </c>
      <c r="BA191" s="382">
        <f>BA188/BA4</f>
        <v>0.57122162286838318</v>
      </c>
      <c r="BB191" s="382">
        <f>BB188/BB4</f>
        <v>0.76723031352136917</v>
      </c>
      <c r="BC191" s="382">
        <f>BC188/BC4</f>
        <v>0.68580213866374218</v>
      </c>
      <c r="BD191" s="382">
        <f>BD188/BD4</f>
        <v>0.68546619444390033</v>
      </c>
      <c r="BE191" s="382">
        <f>BE188/BE4</f>
        <v>0.60463677382966718</v>
      </c>
      <c r="BF191" s="382">
        <f>BF188/BF4</f>
        <v>0.50237631792376325</v>
      </c>
      <c r="BG191" s="382">
        <f>BG188/BG4</f>
        <v>0.56780333817126272</v>
      </c>
      <c r="BH191" s="382">
        <f>BH188/BH4</f>
        <v>0.59189644607843139</v>
      </c>
      <c r="BI191" s="382">
        <f>BI188/BI4</f>
        <v>0.61080338983050853</v>
      </c>
      <c r="BJ191" s="382">
        <f>BJ188/BJ4</f>
        <v>0.59435981395348836</v>
      </c>
      <c r="BK191" s="382">
        <f>BK188/BK4</f>
        <v>0.60039618235730163</v>
      </c>
      <c r="BL191" s="382">
        <f>BL188/BL4</f>
        <v>0.53151243462017439</v>
      </c>
      <c r="BM191" s="382">
        <f>BM188/BM4</f>
        <v>0.5460047762478486</v>
      </c>
      <c r="BN191" s="382">
        <f>BN188/BN4</f>
        <v>0.60028530161427363</v>
      </c>
      <c r="BO191" s="382">
        <f>BO188/BO4</f>
        <v>0.56558673986486485</v>
      </c>
      <c r="BP191" s="382">
        <f>BP188/BP4</f>
        <v>0.53769390401146133</v>
      </c>
      <c r="BQ191" s="382">
        <f>BQ188/BQ4</f>
        <v>0.50716985115431357</v>
      </c>
      <c r="BR191" s="382">
        <f>BR188/BR4</f>
        <v>0.50594342439644213</v>
      </c>
      <c r="BS191" s="382">
        <f>BS188/BS4</f>
        <v>0.50340296430732001</v>
      </c>
      <c r="BT191" s="382">
        <f>BT188/BT4</f>
        <v>0.52678779357231154</v>
      </c>
      <c r="BU191" s="382">
        <f>BU188/BU4</f>
        <v>0.52643582474226813</v>
      </c>
      <c r="BV191" s="382">
        <f>BV188/BV4</f>
        <v>0.5319930564166151</v>
      </c>
      <c r="BW191" s="382">
        <f>BW188/BW4</f>
        <v>0.56139001905972041</v>
      </c>
      <c r="BX191" s="382">
        <f>BX188/BX4</f>
        <v>0.55790917159763309</v>
      </c>
      <c r="BY191" s="382">
        <f>BY188/BY4</f>
        <v>0.54190836782968665</v>
      </c>
      <c r="BZ191" s="382">
        <f>BZ188/BZ4</f>
        <v>0.54499002523659301</v>
      </c>
      <c r="CA191" s="382">
        <f>CA188/CA4</f>
        <v>0.53182170559094133</v>
      </c>
      <c r="CB191" s="382">
        <f>CB188/CB4</f>
        <v>0.5136644208037825</v>
      </c>
      <c r="CC191" s="382">
        <f>CC188/CC4</f>
        <v>0.50784177489177484</v>
      </c>
      <c r="CD191" s="382">
        <f>CD188/CD4</f>
        <v>0.83915441176470584</v>
      </c>
      <c r="CE191" s="382">
        <f>CE188/CE4</f>
        <v>0.8561584840654608</v>
      </c>
      <c r="CF191" s="382">
        <f>CF188/CF4</f>
        <v>0.63312799452429847</v>
      </c>
      <c r="CG191" s="382">
        <f>CG188/CG4</f>
        <v>0.55884203901825047</v>
      </c>
      <c r="CH191" s="382">
        <f>CH188/CH4</f>
        <v>0.61632068718682886</v>
      </c>
      <c r="CI191" s="382">
        <f>CI188/CI4</f>
        <v>0.57460097154753642</v>
      </c>
      <c r="CJ191" s="382">
        <f>CJ188/CJ4</f>
        <v>0.54653603918824356</v>
      </c>
      <c r="CK191" s="382">
        <f>CK188/CK4</f>
        <v>0.53430185633575467</v>
      </c>
      <c r="CL191" s="382">
        <f>CL188/CL4</f>
        <v>0.51650485436893201</v>
      </c>
      <c r="CM191" s="382">
        <f>CM188/CM4</f>
        <v>0.40233545647558389</v>
      </c>
      <c r="CN191" s="382">
        <f>CN188/CN4</f>
        <v>0.39962299717247879</v>
      </c>
      <c r="CO191" s="382">
        <f>CO188/CO4</f>
        <v>0.49060542797494783</v>
      </c>
      <c r="CP191" s="382">
        <f>CP188/CP4</f>
        <v>0.55288461538461542</v>
      </c>
      <c r="CQ191" s="382">
        <f>CQ188/CQ4</f>
        <v>0.42356377799415773</v>
      </c>
      <c r="CR191" s="382">
        <f>CR188/CR4</f>
        <v>0.36113236419280798</v>
      </c>
      <c r="CS191" s="382">
        <f>CS188/CS4</f>
        <v>0.54249547920433994</v>
      </c>
      <c r="CT191" s="382">
        <f>CT188/CT4</f>
        <v>0.60264227642276424</v>
      </c>
      <c r="CU191" s="382">
        <f>CU188/CU4</f>
        <v>0.53927986906710312</v>
      </c>
      <c r="CV191" s="382">
        <f>CV188/CV4</f>
        <v>0.49847839318320147</v>
      </c>
      <c r="CW191" s="382">
        <f>CW188/CW4</f>
        <v>0.64729729729729735</v>
      </c>
      <c r="CX191" s="382">
        <f>CX188/CX4</f>
        <v>0.67698846387370981</v>
      </c>
      <c r="CY191" s="382">
        <f>CY188/CY4</f>
        <v>0.6184510250569476</v>
      </c>
      <c r="CZ191" s="382">
        <f>CZ188/CZ4</f>
        <v>0.56745311554748945</v>
      </c>
      <c r="DA191" s="382">
        <f>DA188/DA4</f>
        <v>0.69485553206483441</v>
      </c>
      <c r="DB191" s="382">
        <f>DB188/DB4</f>
        <v>0.65330188679245282</v>
      </c>
      <c r="DC191" s="382">
        <f>DC188/DC4</f>
        <v>0.61397779229261917</v>
      </c>
      <c r="DD191" s="382">
        <f>DD188/DD4</f>
        <v>0.70849528039977794</v>
      </c>
      <c r="DE191" s="382">
        <f>DE188/DE4</f>
        <v>0.78138222849083216</v>
      </c>
      <c r="DF191" s="382">
        <f>DF188/DF4</f>
        <v>0.80515117581187012</v>
      </c>
      <c r="DG191" s="382">
        <f>DG188/DG4</f>
        <v>0.70755693581780543</v>
      </c>
      <c r="DH191" s="382">
        <f>DH188/DH4</f>
        <v>0.59514459121742236</v>
      </c>
      <c r="DI191" s="382">
        <f>DI188/DI4</f>
        <v>0.60419235511713931</v>
      </c>
      <c r="DJ191" s="383">
        <f>DJ188/DJ4</f>
        <v>0.60957910014513783</v>
      </c>
      <c r="DK191" s="383">
        <f>DK188/DK4</f>
        <v>0.58441558441558439</v>
      </c>
      <c r="DL191" s="383">
        <f>DL188/DL4</f>
        <v>0.55599350799907254</v>
      </c>
      <c r="DM191" s="383">
        <f>DM188/DM4</f>
        <v>0.53543307086614178</v>
      </c>
      <c r="DN191" s="383">
        <f>DN188/DN4</f>
        <v>0.47596398844912519</v>
      </c>
      <c r="DO191" s="383">
        <f>DO188/DO4</f>
        <v>0.39740131145038171</v>
      </c>
      <c r="DP191" s="383">
        <f>DP188/DP4</f>
        <v>0.21356542138364781</v>
      </c>
      <c r="DQ191" s="383">
        <f>DQ188/DQ4</f>
        <v>0.22389605108055011</v>
      </c>
      <c r="DR191" s="383">
        <f>DR188/DR4</f>
        <v>0.1987792041845694</v>
      </c>
      <c r="DS191" s="383">
        <f>DS188/DS4</f>
        <v>0.22915288300055983</v>
      </c>
      <c r="DT191" s="383">
        <f>DT188/DT4</f>
        <v>0.29276073275862069</v>
      </c>
      <c r="DU191" s="383">
        <f>DU188/DU4</f>
        <v>0.343886465948881</v>
      </c>
      <c r="DV191" s="382">
        <f>DV188/DV4</f>
        <v>0.38738595559965827</v>
      </c>
      <c r="DW191" s="382">
        <f>DW188/DW4</f>
        <v>0.46300397394998377</v>
      </c>
      <c r="DX191" s="382">
        <f>DX188/DX4</f>
        <v>0.53073266102564798</v>
      </c>
      <c r="DY191" s="382">
        <f>DY188/DY4</f>
        <v>0.55219598000842085</v>
      </c>
      <c r="DZ191" s="382">
        <f>DZ188/DZ4</f>
        <v>0.54543602209621123</v>
      </c>
      <c r="EA191" s="382">
        <f>EA188/EA4</f>
        <v>0.46926930627154501</v>
      </c>
      <c r="EB191" s="382">
        <f>EB188/EB4</f>
        <v>0.52975614376707059</v>
      </c>
      <c r="EC191" s="382">
        <f>EC188/EC4</f>
        <v>0.55776952311627725</v>
      </c>
      <c r="ED191" s="382">
        <f>ED188/ED4</f>
        <v>0.53021477592010635</v>
      </c>
      <c r="EE191" s="384">
        <f>EE188/EE4</f>
        <v>0.5104587718985053</v>
      </c>
      <c r="EF191" s="384">
        <f>EF188/EF4</f>
        <v>0.51951772136974983</v>
      </c>
      <c r="EG191" s="384">
        <f>EG188/EG4</f>
        <v>0.625954690647062</v>
      </c>
      <c r="EH191" s="384">
        <f>EH188/EH4</f>
        <v>0.6413186005562741</v>
      </c>
      <c r="EI191" s="384">
        <f>EI188/EI4</f>
        <v>0.64875127198128779</v>
      </c>
      <c r="EJ191" s="384">
        <f>EJ188/EJ4</f>
        <v>0.66417108868666475</v>
      </c>
      <c r="EK191" s="384">
        <f>EK188/EK4</f>
        <v>0.67575387702948653</v>
      </c>
      <c r="EL191" s="384">
        <f>EL188/EL4</f>
        <v>0.66421214473460322</v>
      </c>
      <c r="EM191" s="384">
        <f>EM188/EM4</f>
        <v>0.65862859654450612</v>
      </c>
      <c r="EN191" s="384">
        <f>EN188/EN4</f>
        <v>0.65862525364105384</v>
      </c>
      <c r="EO191" s="384">
        <f>EO188/EO4</f>
        <v>0.66294564392738065</v>
      </c>
      <c r="EP191" s="384">
        <f>EP188/EP4</f>
        <v>0.68742523698634739</v>
      </c>
      <c r="EQ191" s="384">
        <f>EQ188/EQ4</f>
        <v>0.69069629304146107</v>
      </c>
      <c r="ER191" s="384">
        <f>ER188/ER4</f>
        <v>0.69397997989532367</v>
      </c>
      <c r="ES191" s="384">
        <f>ES188/ES4</f>
        <v>0.69266041738205864</v>
      </c>
      <c r="ET191" s="384">
        <f>ET188/ET4</f>
        <v>0.70585295838431705</v>
      </c>
      <c r="EU191" s="384">
        <f>EU188/EU4</f>
        <v>0.70920329295109974</v>
      </c>
      <c r="EV191" s="384">
        <f>EV188/EV4</f>
        <v>0.71806032809954623</v>
      </c>
      <c r="EW191" s="384">
        <f>EW188/EW4</f>
        <v>0.71560039548360876</v>
      </c>
      <c r="FG191" s="382">
        <f t="shared" ref="FG191:GF191" si="377">FG188/FG$4</f>
        <v>0.5139045738888206</v>
      </c>
      <c r="FH191" s="382">
        <f t="shared" si="377"/>
        <v>0.64849948686376369</v>
      </c>
      <c r="FI191" s="382">
        <f t="shared" si="377"/>
        <v>0.68169354500822954</v>
      </c>
      <c r="FJ191" s="382">
        <f t="shared" si="377"/>
        <v>0.53900808372888143</v>
      </c>
      <c r="FK191" s="382">
        <f t="shared" si="377"/>
        <v>0.4540049005935296</v>
      </c>
      <c r="FL191" s="382">
        <f t="shared" si="377"/>
        <v>0.52681939887238771</v>
      </c>
      <c r="FM191" s="382">
        <f t="shared" si="377"/>
        <v>0.67945126759845342</v>
      </c>
      <c r="FN191" s="382">
        <f t="shared" si="377"/>
        <v>0.57358390154664896</v>
      </c>
      <c r="FO191" s="382">
        <f t="shared" si="377"/>
        <v>0.56786063500533623</v>
      </c>
      <c r="FP191" s="382">
        <f t="shared" si="377"/>
        <v>0.54814228484175465</v>
      </c>
      <c r="FQ191" s="382">
        <f t="shared" si="377"/>
        <v>0.51569377502309821</v>
      </c>
      <c r="FR191" s="382">
        <f t="shared" si="377"/>
        <v>0.5482591717417783</v>
      </c>
      <c r="FS191" s="382">
        <f t="shared" si="377"/>
        <v>0.52631329029878271</v>
      </c>
      <c r="FT191" s="382">
        <f t="shared" si="377"/>
        <v>0.70201924891488965</v>
      </c>
      <c r="FU191" s="382">
        <f t="shared" si="377"/>
        <v>0.56883399927351974</v>
      </c>
      <c r="FV191" s="382">
        <f t="shared" si="377"/>
        <v>0.45226760210473566</v>
      </c>
      <c r="FW191" s="382">
        <f t="shared" si="377"/>
        <v>0.46044007490636701</v>
      </c>
      <c r="FX191" s="382">
        <f t="shared" si="377"/>
        <v>0.56839932445111652</v>
      </c>
      <c r="FY191" s="382">
        <f t="shared" si="377"/>
        <v>0.63706563706563701</v>
      </c>
      <c r="FZ191" s="382">
        <f t="shared" si="377"/>
        <v>0.69959887089585504</v>
      </c>
      <c r="GA191" s="382">
        <f t="shared" si="377"/>
        <v>0.65881388917340977</v>
      </c>
      <c r="GB191" s="382">
        <f t="shared" si="377"/>
        <v>0.56784714616039922</v>
      </c>
      <c r="GC191" s="382">
        <f t="shared" si="377"/>
        <v>0.33248862971907972</v>
      </c>
      <c r="GD191" s="382">
        <f t="shared" si="377"/>
        <v>0.26945323421396378</v>
      </c>
      <c r="GE191" s="382">
        <f t="shared" si="377"/>
        <v>0.49135444457760191</v>
      </c>
      <c r="GF191" s="382">
        <f t="shared" si="377"/>
        <v>0.52800906662210056</v>
      </c>
      <c r="GG191" s="384">
        <f>GG188/GG$4</f>
        <v>0.55438220379177439</v>
      </c>
      <c r="GH191" s="384">
        <f>GH188/GH$4</f>
        <v>0.65924106029304153</v>
      </c>
      <c r="GI191" s="384">
        <f t="shared" ref="GI191:GK191" si="378">GI188/GI$4</f>
        <v>0.66109242204431862</v>
      </c>
      <c r="GJ191" s="384">
        <f t="shared" si="378"/>
        <v>0.69132561072059817</v>
      </c>
      <c r="GK191" s="384">
        <f t="shared" si="378"/>
        <v>0.71249994312258458</v>
      </c>
      <c r="GN191" s="70"/>
    </row>
    <row r="192" spans="1:196" s="418" customFormat="1">
      <c r="A192" s="448"/>
      <c r="B192" s="449"/>
      <c r="C192" s="449"/>
      <c r="D192" s="449"/>
      <c r="E192" s="449"/>
      <c r="F192" s="449"/>
      <c r="G192" s="449"/>
      <c r="H192" s="449"/>
      <c r="I192" s="449"/>
      <c r="J192" s="449"/>
      <c r="K192" s="449"/>
      <c r="L192" s="449"/>
      <c r="M192" s="449"/>
      <c r="N192" s="449"/>
      <c r="O192" s="449"/>
      <c r="P192" s="449"/>
      <c r="Q192" s="449"/>
      <c r="R192" s="449"/>
      <c r="S192" s="449"/>
      <c r="T192" s="449"/>
      <c r="U192" s="449"/>
      <c r="V192" s="449"/>
      <c r="W192" s="449"/>
      <c r="X192" s="449"/>
      <c r="Y192" s="449"/>
      <c r="Z192" s="449"/>
      <c r="AA192" s="449"/>
      <c r="AB192" s="449"/>
      <c r="AC192" s="449"/>
      <c r="AD192" s="450"/>
      <c r="AE192" s="450"/>
      <c r="AF192" s="450"/>
      <c r="AG192" s="450"/>
      <c r="AH192" s="450"/>
      <c r="AI192" s="450"/>
      <c r="AJ192" s="450"/>
      <c r="AK192" s="450"/>
      <c r="AL192" s="450"/>
      <c r="AM192" s="450"/>
      <c r="AN192" s="450"/>
      <c r="AO192" s="450"/>
      <c r="AP192" s="450"/>
      <c r="AQ192" s="450"/>
      <c r="AR192" s="450"/>
      <c r="AS192" s="450"/>
      <c r="AT192" s="450"/>
      <c r="AU192" s="450"/>
      <c r="AV192" s="450"/>
      <c r="AW192" s="450"/>
      <c r="AX192" s="450"/>
      <c r="AY192" s="450"/>
      <c r="AZ192" s="450"/>
      <c r="BA192" s="450"/>
      <c r="BB192" s="450"/>
      <c r="BC192" s="450"/>
      <c r="BD192" s="450"/>
      <c r="BE192" s="450"/>
      <c r="BF192" s="450"/>
      <c r="BG192" s="450"/>
      <c r="BH192" s="450"/>
      <c r="BI192" s="450"/>
      <c r="BJ192" s="450"/>
      <c r="BK192" s="450"/>
      <c r="BL192" s="450"/>
      <c r="BM192" s="450"/>
      <c r="BN192" s="450"/>
      <c r="BO192" s="450"/>
      <c r="BP192" s="450"/>
      <c r="BQ192" s="450"/>
      <c r="BR192" s="450"/>
      <c r="BS192" s="450"/>
      <c r="BT192" s="450"/>
      <c r="BU192" s="450"/>
      <c r="BV192" s="450"/>
      <c r="BW192" s="450"/>
      <c r="BX192" s="450"/>
      <c r="BY192" s="450"/>
      <c r="BZ192" s="450"/>
      <c r="CA192" s="450"/>
      <c r="CB192" s="450"/>
      <c r="CC192" s="450"/>
      <c r="CD192" s="450"/>
      <c r="CE192" s="450"/>
      <c r="CF192" s="450"/>
      <c r="CG192" s="450"/>
      <c r="CH192" s="450"/>
      <c r="CI192" s="450"/>
      <c r="CJ192" s="450"/>
      <c r="CK192" s="450"/>
      <c r="CL192" s="450"/>
      <c r="CM192" s="450"/>
      <c r="CN192" s="450"/>
      <c r="CO192" s="450"/>
      <c r="CP192" s="450"/>
      <c r="CQ192" s="450"/>
      <c r="CR192" s="450"/>
      <c r="CS192" s="450"/>
      <c r="CT192" s="450"/>
      <c r="CU192" s="389"/>
      <c r="CV192" s="389"/>
      <c r="CW192" s="389"/>
      <c r="CX192" s="389"/>
      <c r="CY192" s="389"/>
      <c r="CZ192" s="389"/>
      <c r="DA192" s="389"/>
      <c r="DB192" s="389"/>
      <c r="DC192" s="389"/>
      <c r="DD192" s="450"/>
      <c r="DE192" s="450"/>
      <c r="DF192" s="450"/>
      <c r="DG192" s="450"/>
      <c r="DH192" s="451"/>
      <c r="DI192" s="451"/>
      <c r="DJ192" s="452"/>
      <c r="DK192" s="452"/>
      <c r="DL192" s="452"/>
      <c r="DM192" s="452"/>
      <c r="DN192" s="452"/>
      <c r="DO192" s="452"/>
      <c r="DP192" s="452"/>
      <c r="DQ192" s="453"/>
      <c r="DR192" s="453"/>
      <c r="DS192" s="453"/>
      <c r="DT192" s="453"/>
      <c r="DU192" s="453"/>
      <c r="DV192" s="452"/>
      <c r="DW192" s="452"/>
      <c r="DX192" s="451"/>
      <c r="DY192" s="451"/>
      <c r="DZ192" s="451"/>
      <c r="EA192" s="451"/>
      <c r="EB192" s="451"/>
      <c r="EC192" s="451"/>
      <c r="ED192" s="451"/>
      <c r="EE192" s="451"/>
      <c r="EF192" s="451"/>
      <c r="EG192" s="451"/>
      <c r="EH192" s="451"/>
      <c r="EI192" s="451"/>
      <c r="EJ192" s="451"/>
      <c r="EK192" s="451"/>
      <c r="EL192" s="451"/>
      <c r="EM192" s="451"/>
      <c r="EN192" s="451"/>
      <c r="EO192" s="451"/>
      <c r="EP192" s="451"/>
      <c r="EQ192" s="451"/>
      <c r="ER192" s="451"/>
      <c r="ES192" s="451"/>
      <c r="ET192" s="451"/>
      <c r="EU192" s="451"/>
      <c r="EV192" s="451"/>
      <c r="EW192" s="451"/>
      <c r="EZ192" s="450"/>
      <c r="FA192" s="450"/>
      <c r="FB192" s="450"/>
      <c r="FC192" s="450"/>
      <c r="FD192" s="450"/>
      <c r="FE192" s="450"/>
      <c r="FF192" s="450"/>
      <c r="FG192" s="450"/>
      <c r="FH192" s="450"/>
      <c r="FI192" s="450"/>
      <c r="FJ192" s="450"/>
      <c r="FK192" s="450"/>
      <c r="FL192" s="450"/>
      <c r="FM192" s="450"/>
      <c r="FN192" s="450"/>
      <c r="FO192" s="450"/>
      <c r="FP192" s="450"/>
      <c r="FQ192" s="450"/>
      <c r="FR192" s="450"/>
      <c r="FS192" s="450"/>
      <c r="FT192" s="450"/>
      <c r="FU192" s="450"/>
      <c r="FV192" s="450"/>
      <c r="FW192" s="450"/>
      <c r="FX192" s="450"/>
      <c r="FY192" s="454"/>
      <c r="FZ192" s="450"/>
      <c r="GA192" s="450"/>
      <c r="GB192" s="450"/>
      <c r="GC192" s="450"/>
      <c r="GD192" s="450"/>
      <c r="GE192" s="450"/>
      <c r="GF192" s="450"/>
      <c r="GG192" s="450"/>
      <c r="GH192" s="450"/>
      <c r="GI192" s="450"/>
      <c r="GJ192" s="450"/>
      <c r="GK192" s="450"/>
      <c r="GN192" s="70"/>
    </row>
    <row r="193" spans="1:196">
      <c r="A193" s="61" t="s">
        <v>279</v>
      </c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75"/>
      <c r="CS193" s="62"/>
      <c r="CT193" s="76"/>
      <c r="CU193" s="76"/>
      <c r="CV193" s="76"/>
      <c r="CW193" s="76"/>
      <c r="CX193" s="76"/>
      <c r="CY193" s="76"/>
      <c r="CZ193" s="77"/>
      <c r="DA193" s="76"/>
      <c r="DB193" s="78"/>
      <c r="DC193" s="62"/>
      <c r="DD193" s="62"/>
      <c r="DE193" s="79"/>
      <c r="DF193" s="75"/>
      <c r="DG193" s="62"/>
      <c r="DH193" s="62"/>
      <c r="DI193" s="75"/>
      <c r="DJ193" s="80"/>
      <c r="DK193" s="80"/>
      <c r="DL193" s="80"/>
      <c r="DM193" s="80"/>
      <c r="DN193" s="81"/>
      <c r="DO193" s="81"/>
      <c r="DP193" s="81"/>
      <c r="DQ193" s="81"/>
      <c r="DR193" s="81"/>
      <c r="DS193" s="81"/>
      <c r="DT193" s="81"/>
      <c r="DU193" s="81"/>
      <c r="DV193" s="81"/>
      <c r="DW193" s="81"/>
      <c r="DX193" s="75"/>
      <c r="DY193" s="75"/>
      <c r="DZ193" s="75"/>
      <c r="EA193" s="75"/>
      <c r="EB193" s="75"/>
      <c r="EC193" s="75"/>
      <c r="ED193" s="75"/>
      <c r="EE193" s="75"/>
      <c r="EF193" s="75"/>
      <c r="EG193" s="75"/>
      <c r="EH193" s="75"/>
      <c r="EI193" s="75"/>
      <c r="EJ193" s="75"/>
      <c r="EK193" s="75"/>
      <c r="EL193" s="75"/>
      <c r="EM193" s="75"/>
      <c r="EN193" s="75"/>
      <c r="EO193" s="75"/>
      <c r="EP193" s="75"/>
      <c r="EQ193" s="75"/>
      <c r="ER193" s="75"/>
      <c r="ES193" s="75"/>
      <c r="ET193" s="75"/>
      <c r="EU193" s="75"/>
      <c r="EV193" s="75"/>
      <c r="EW193" s="75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N193" s="48"/>
    </row>
    <row r="194" spans="1:196">
      <c r="A194" s="82" t="s">
        <v>197</v>
      </c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4"/>
      <c r="CS194" s="83"/>
      <c r="CT194" s="85"/>
      <c r="CU194" s="85"/>
      <c r="CV194" s="85"/>
      <c r="CW194" s="85"/>
      <c r="CX194" s="85"/>
      <c r="CY194" s="85"/>
      <c r="CZ194" s="86"/>
      <c r="DA194" s="85"/>
      <c r="DB194" s="87"/>
      <c r="DC194" s="83"/>
      <c r="DD194" s="83"/>
      <c r="DE194" s="88"/>
      <c r="DF194" s="84"/>
      <c r="DG194" s="83"/>
      <c r="DH194" s="83"/>
      <c r="DI194" s="84"/>
      <c r="DJ194" s="89"/>
      <c r="DK194" s="90"/>
      <c r="DL194" s="89"/>
      <c r="DM194" s="90"/>
      <c r="DN194" s="91"/>
      <c r="DO194" s="92"/>
      <c r="DP194" s="91"/>
      <c r="DQ194" s="91"/>
      <c r="DR194" s="91"/>
      <c r="DS194" s="93"/>
      <c r="DT194" s="89"/>
      <c r="DU194" s="89"/>
      <c r="DV194" s="89"/>
      <c r="DW194" s="89"/>
      <c r="DX194" s="83"/>
      <c r="DY194" s="84"/>
      <c r="DZ194" s="84"/>
      <c r="EA194" s="84"/>
      <c r="EB194" s="84"/>
      <c r="EC194" s="84"/>
      <c r="ED194" s="84"/>
      <c r="EE194" s="84"/>
      <c r="EF194" s="84"/>
      <c r="EG194" s="84"/>
      <c r="EH194" s="84"/>
      <c r="EI194" s="84"/>
      <c r="EJ194" s="84"/>
      <c r="EK194" s="84"/>
      <c r="EL194" s="84"/>
      <c r="EM194" s="84"/>
      <c r="EN194" s="84"/>
      <c r="EO194" s="84"/>
      <c r="EP194" s="84"/>
      <c r="EQ194" s="84"/>
      <c r="ER194" s="84"/>
      <c r="ES194" s="84"/>
      <c r="ET194" s="84"/>
      <c r="EU194" s="84"/>
      <c r="EV194" s="84"/>
      <c r="EW194" s="84"/>
      <c r="EZ194" s="83"/>
      <c r="FA194" s="83"/>
      <c r="FB194" s="83"/>
      <c r="FC194" s="83"/>
      <c r="FD194" s="83"/>
      <c r="FE194" s="83"/>
      <c r="FF194" s="83"/>
      <c r="FG194" s="83"/>
      <c r="FH194" s="83"/>
      <c r="FI194" s="83"/>
      <c r="FJ194" s="83"/>
      <c r="FK194" s="83"/>
      <c r="FL194" s="83"/>
      <c r="FM194" s="83"/>
      <c r="FN194" s="83"/>
      <c r="FO194" s="83"/>
      <c r="FP194" s="83"/>
      <c r="FQ194" s="83"/>
      <c r="FR194" s="83"/>
      <c r="FS194" s="83"/>
      <c r="FT194" s="83"/>
      <c r="FU194" s="83"/>
      <c r="FV194" s="83"/>
      <c r="FW194" s="83"/>
      <c r="FX194" s="83"/>
      <c r="FY194" s="83"/>
      <c r="FZ194" s="83"/>
      <c r="GA194" s="83"/>
      <c r="GB194" s="83"/>
      <c r="GC194" s="83"/>
      <c r="GD194" s="83"/>
      <c r="GE194" s="83"/>
      <c r="GF194" s="83"/>
      <c r="GG194" s="83"/>
      <c r="GH194" s="83"/>
      <c r="GI194" s="83"/>
      <c r="GJ194" s="83"/>
      <c r="GK194" s="83"/>
      <c r="GN194" s="48"/>
    </row>
    <row r="195" spans="1:196" s="379" customFormat="1">
      <c r="A195" s="405" t="s">
        <v>280</v>
      </c>
      <c r="B195" s="376"/>
      <c r="C195" s="376"/>
      <c r="D195" s="376"/>
      <c r="E195" s="376"/>
      <c r="F195" s="376"/>
      <c r="G195" s="376"/>
      <c r="H195" s="376"/>
      <c r="I195" s="376"/>
      <c r="J195" s="376"/>
      <c r="K195" s="376"/>
      <c r="L195" s="376"/>
      <c r="M195" s="376"/>
      <c r="N195" s="376"/>
      <c r="O195" s="376"/>
      <c r="P195" s="376"/>
      <c r="Q195" s="376"/>
      <c r="R195" s="376"/>
      <c r="S195" s="376"/>
      <c r="T195" s="376"/>
      <c r="U195" s="376"/>
      <c r="V195" s="376"/>
      <c r="W195" s="376"/>
      <c r="X195" s="376"/>
      <c r="Y195" s="376"/>
      <c r="Z195" s="376"/>
      <c r="AA195" s="376"/>
      <c r="AB195" s="376"/>
      <c r="AC195" s="376"/>
      <c r="AD195" s="376">
        <f>AD199+AD203</f>
        <v>562.79660390000004</v>
      </c>
      <c r="AE195" s="376">
        <f>AE199+AE203</f>
        <v>589.92896639500009</v>
      </c>
      <c r="AF195" s="376">
        <f>AF199+AF203</f>
        <v>637.33019304000004</v>
      </c>
      <c r="AG195" s="376">
        <f>AG199+AG203</f>
        <v>596.61317796000003</v>
      </c>
      <c r="AH195" s="376">
        <f>AH199+AH203</f>
        <v>659.02043400000002</v>
      </c>
      <c r="AI195" s="376">
        <f>AI199+AI203</f>
        <v>620.83241799999996</v>
      </c>
      <c r="AJ195" s="376">
        <f>AJ199+AJ203</f>
        <v>521.82164999999998</v>
      </c>
      <c r="AK195" s="376">
        <f>AK199+AK203</f>
        <v>722.12597000000005</v>
      </c>
      <c r="AL195" s="376">
        <f>AL199+AL203</f>
        <v>749.83994000000007</v>
      </c>
      <c r="AM195" s="376">
        <f>AM199+AM203</f>
        <v>406.56808999999998</v>
      </c>
      <c r="AN195" s="376">
        <f>AN199+AN203</f>
        <v>266.56851999999998</v>
      </c>
      <c r="AO195" s="376">
        <f>AO199+AO203</f>
        <v>415.57071000000002</v>
      </c>
      <c r="AP195" s="376">
        <f>AP199+AP203</f>
        <v>458.54399999999998</v>
      </c>
      <c r="AQ195" s="376">
        <f>AQ199+AQ203</f>
        <v>391.88400000000001</v>
      </c>
      <c r="AR195" s="376">
        <f>AR199+AR203</f>
        <v>488.39100000000002</v>
      </c>
      <c r="AS195" s="376">
        <f>AS199+AS203</f>
        <v>558.04099999999994</v>
      </c>
      <c r="AT195" s="376">
        <f>AT199+AT203</f>
        <v>528.16999999999996</v>
      </c>
      <c r="AU195" s="376">
        <f>AU199+AU203</f>
        <v>490.43599999999998</v>
      </c>
      <c r="AV195" s="376">
        <f>AV199+AV203</f>
        <v>603.98399999999992</v>
      </c>
      <c r="AW195" s="376">
        <f>AW199+AW203</f>
        <v>648.08600000000001</v>
      </c>
      <c r="AX195" s="376">
        <f>AX199+AX203</f>
        <v>659.45600000000002</v>
      </c>
      <c r="AY195" s="376">
        <f>AY199+AY203</f>
        <v>592.00700000000006</v>
      </c>
      <c r="AZ195" s="376">
        <f>AZ199+AZ203</f>
        <v>779.09100000000001</v>
      </c>
      <c r="BA195" s="376">
        <f>BA199+BA203</f>
        <v>1050.0630000000001</v>
      </c>
      <c r="BB195" s="376">
        <f>BB199+BB203</f>
        <v>1022.072</v>
      </c>
      <c r="BC195" s="376">
        <f>BC199+BC203</f>
        <v>834.18709000000001</v>
      </c>
      <c r="BD195" s="376">
        <f>BD199+BD203</f>
        <v>910.04</v>
      </c>
      <c r="BE195" s="376">
        <f>BE199+BE203</f>
        <v>1072.021</v>
      </c>
      <c r="BF195" s="376">
        <f>BF199+BF203</f>
        <v>619.43000000000006</v>
      </c>
      <c r="BG195" s="376">
        <f>BG199+BG203</f>
        <v>782.43299999999999</v>
      </c>
      <c r="BH195" s="376">
        <f>BH199+BH203</f>
        <v>965.97500000000002</v>
      </c>
      <c r="BI195" s="376">
        <f>BI199+BI203</f>
        <v>1081.1220000000001</v>
      </c>
      <c r="BJ195" s="376">
        <f>BJ199+BJ203</f>
        <v>894.51152000000002</v>
      </c>
      <c r="BK195" s="376">
        <f>BK199+BK203</f>
        <v>809.93444999999997</v>
      </c>
      <c r="BL195" s="376">
        <f>BL199+BL203</f>
        <v>853.60897</v>
      </c>
      <c r="BM195" s="376">
        <f>BM199+BM203</f>
        <v>634.45755000000008</v>
      </c>
      <c r="BN195" s="376">
        <f>BN199+BN203</f>
        <v>706.53580000000011</v>
      </c>
      <c r="BO195" s="376">
        <f>BO199+BO203</f>
        <v>669.65470000000005</v>
      </c>
      <c r="BP195" s="376">
        <f>BP199+BP203</f>
        <v>750.62068999999997</v>
      </c>
      <c r="BQ195" s="376">
        <f>BQ199+BQ203</f>
        <v>834.80157500000007</v>
      </c>
      <c r="BR195" s="376">
        <f>BR199+BR203</f>
        <v>796.35494999999992</v>
      </c>
      <c r="BS195" s="376">
        <f>BS199+BS203</f>
        <v>832.12509999999997</v>
      </c>
      <c r="BT195" s="376">
        <f>BT199+BT203</f>
        <v>852.34265000000005</v>
      </c>
      <c r="BU195" s="376">
        <f>BU199+BU203</f>
        <v>868.0926750000001</v>
      </c>
      <c r="BV195" s="376">
        <f>BV199+BV203</f>
        <v>858.10480000000007</v>
      </c>
      <c r="BW195" s="376">
        <f>BW199+BW203</f>
        <v>883.62788999999998</v>
      </c>
      <c r="BX195" s="376">
        <f>BX199+BX203</f>
        <v>942.86649999999986</v>
      </c>
      <c r="BY195" s="376">
        <f>BY199+BY203</f>
        <v>916.36705000000006</v>
      </c>
      <c r="BZ195" s="376">
        <f>BZ199+BZ203</f>
        <v>863.80918999999994</v>
      </c>
      <c r="CA195" s="376">
        <f>CA199+CA203</f>
        <v>751.46407000000011</v>
      </c>
      <c r="CB195" s="376">
        <f>CB199+CB203</f>
        <v>651.84014999999999</v>
      </c>
      <c r="CC195" s="376">
        <f>CC199+CC203</f>
        <v>586.55724999999995</v>
      </c>
      <c r="CD195" s="376">
        <f>CD199+CD203</f>
        <v>534.03200000000004</v>
      </c>
      <c r="CE195" s="376">
        <f>CE199+CE203</f>
        <v>625.47699999999998</v>
      </c>
      <c r="CF195" s="376">
        <f>CF199+CF203</f>
        <v>605.44899999999996</v>
      </c>
      <c r="CG195" s="376">
        <f>CG199+CG203</f>
        <v>554.96500000000003</v>
      </c>
      <c r="CH195" s="376">
        <f>CH199+CH203</f>
        <v>526.11200000000008</v>
      </c>
      <c r="CI195" s="376">
        <f>CI199+CI203</f>
        <v>565.30899999999997</v>
      </c>
      <c r="CJ195" s="376">
        <f>CJ199+CJ203</f>
        <v>592.43399999999997</v>
      </c>
      <c r="CK195" s="376">
        <f>CK199+CK203</f>
        <v>497.30100000000004</v>
      </c>
      <c r="CL195" s="376">
        <f>CL199+CL203</f>
        <v>387.69399999999996</v>
      </c>
      <c r="CM195" s="376">
        <f>CM199+CM203</f>
        <v>257.51</v>
      </c>
      <c r="CN195" s="376">
        <f>CN199+CN203</f>
        <v>269.178</v>
      </c>
      <c r="CO195" s="376">
        <f>CO199+CO203</f>
        <v>314.82100000000003</v>
      </c>
      <c r="CP195" s="376">
        <f>CP199+CP203</f>
        <v>286.96199999999999</v>
      </c>
      <c r="CQ195" s="376">
        <f>CQ199+CQ203</f>
        <v>257.47899999999998</v>
      </c>
      <c r="CR195" s="376">
        <f>CR199+CR203</f>
        <v>270.10900000000004</v>
      </c>
      <c r="CS195" s="376">
        <f>CS199+CS203</f>
        <v>321.77999999999997</v>
      </c>
      <c r="CT195" s="376">
        <f>CT199+CT203</f>
        <v>364.80600000000004</v>
      </c>
      <c r="CU195" s="376">
        <f>CU199+CU203</f>
        <v>360.72800000000001</v>
      </c>
      <c r="CV195" s="376">
        <f>CV199+CV203</f>
        <v>361.38499999999999</v>
      </c>
      <c r="CW195" s="376">
        <f>CW199+CW203</f>
        <v>378.09800000000001</v>
      </c>
      <c r="CX195" s="376">
        <f>CX199+CX203</f>
        <v>366.93022917723681</v>
      </c>
      <c r="CY195" s="376">
        <f>CY199+CY203</f>
        <v>398.06134499999996</v>
      </c>
      <c r="CZ195" s="376">
        <f>CZ199+CZ203</f>
        <v>565.56720250000001</v>
      </c>
      <c r="DA195" s="376">
        <f>DA199+DA203</f>
        <v>629.09210499999995</v>
      </c>
      <c r="DB195" s="376">
        <f>DB199+DB203</f>
        <v>576.69287750000001</v>
      </c>
      <c r="DC195" s="376">
        <f>DC199+DC203</f>
        <v>611.51138539999999</v>
      </c>
      <c r="DD195" s="376">
        <f>DD199+DD203</f>
        <v>881.78844249999997</v>
      </c>
      <c r="DE195" s="376">
        <f>DE199+DE203</f>
        <v>1034.780344</v>
      </c>
      <c r="DF195" s="376">
        <f>DF199+DF203</f>
        <v>985.08078999999998</v>
      </c>
      <c r="DG195" s="376">
        <f>DG199+DG203</f>
        <v>1012.755</v>
      </c>
      <c r="DH195" s="376">
        <f>DH199+DH203</f>
        <v>1259.4149</v>
      </c>
      <c r="DI195" s="376">
        <f>DI199+DI203</f>
        <v>1530.3801235000001</v>
      </c>
      <c r="DJ195" s="397">
        <f>DJ199+DJ203</f>
        <v>1588.6458601575184</v>
      </c>
      <c r="DK195" s="397">
        <f>DK199+DK203</f>
        <v>1646.1921955827972</v>
      </c>
      <c r="DL195" s="397">
        <f>DL199+DL203</f>
        <v>1619.0629349999999</v>
      </c>
      <c r="DM195" s="397">
        <f>DM199+DM203</f>
        <v>1782.9490000000001</v>
      </c>
      <c r="DN195" s="397">
        <f>DN199+DN203</f>
        <v>2048.0270249999999</v>
      </c>
      <c r="DO195" s="397">
        <f>DO199+DO203</f>
        <v>2104.573288</v>
      </c>
      <c r="DP195" s="397">
        <f>DP199+DP203</f>
        <v>955.35592799999995</v>
      </c>
      <c r="DQ195" s="397">
        <f>DQ199+DQ203</f>
        <v>850.19370491346149</v>
      </c>
      <c r="DR195" s="397">
        <f>DR199+DR203</f>
        <v>689.25190605959506</v>
      </c>
      <c r="DS195" s="397">
        <f>DS199+DS203</f>
        <v>937.42971017651575</v>
      </c>
      <c r="DT195" s="397">
        <f>DT199+DT203</f>
        <v>1373.69052964516</v>
      </c>
      <c r="DU195" s="397">
        <f>DU199+DU203</f>
        <v>1389.3259355</v>
      </c>
      <c r="DV195" s="376">
        <f>DV199+DV203</f>
        <v>1282.1544570000001</v>
      </c>
      <c r="DW195" s="376">
        <f>DW199+DW203</f>
        <v>1404.895182</v>
      </c>
      <c r="DX195" s="376">
        <f>DX199+DX203</f>
        <v>1788.6135983194595</v>
      </c>
      <c r="DY195" s="376">
        <f>DY199+DY203</f>
        <v>2197.0242387725948</v>
      </c>
      <c r="DZ195" s="376">
        <f>DZ199+DZ203</f>
        <v>2194.7040187538787</v>
      </c>
      <c r="EA195" s="376">
        <f>EA199+EA203</f>
        <v>2394.259114273329</v>
      </c>
      <c r="EB195" s="376">
        <f>EB199+EB203</f>
        <v>2686.0669344126795</v>
      </c>
      <c r="EC195" s="376">
        <f>EC199+EC203</f>
        <v>3015.8250618123166</v>
      </c>
      <c r="ED195" s="376">
        <f>ED199+ED203</f>
        <v>2777.4068441306317</v>
      </c>
      <c r="EE195" s="380">
        <f>EE199+EE203</f>
        <v>2833.2327216976582</v>
      </c>
      <c r="EF195" s="380">
        <f>EF199+EF203</f>
        <v>2747.1361752127928</v>
      </c>
      <c r="EG195" s="380">
        <f>EG199+EG203</f>
        <v>2720.8311387019044</v>
      </c>
      <c r="EH195" s="380">
        <f>EH199+EH203</f>
        <v>2593.2508699759569</v>
      </c>
      <c r="EI195" s="380">
        <f>EI199+EI203</f>
        <v>2762.7932089784731</v>
      </c>
      <c r="EJ195" s="380">
        <f>EJ199+EJ203</f>
        <v>3014.2058754804721</v>
      </c>
      <c r="EK195" s="380">
        <f>EK199+EK203</f>
        <v>3212.2285258071724</v>
      </c>
      <c r="EL195" s="380">
        <f>EL199+EL203</f>
        <v>2860.4353178390165</v>
      </c>
      <c r="EM195" s="380">
        <f>EM199+EM203</f>
        <v>2917.6440241957971</v>
      </c>
      <c r="EN195" s="380">
        <f>EN199+EN203</f>
        <v>3035.2250783708878</v>
      </c>
      <c r="EO195" s="380">
        <f>EO199+EO203</f>
        <v>3204.5072068373424</v>
      </c>
      <c r="EP195" s="380">
        <f>EP199+EP203</f>
        <v>2916.1015582219816</v>
      </c>
      <c r="EQ195" s="380">
        <f>EQ199+EQ203</f>
        <v>3005.1495828846141</v>
      </c>
      <c r="ER195" s="380">
        <f>ER199+ER203</f>
        <v>3141.1015026710184</v>
      </c>
      <c r="ES195" s="380">
        <f>ES199+ES203</f>
        <v>3298.1565778045697</v>
      </c>
      <c r="ET195" s="380">
        <f>ET199+ET203</f>
        <v>2998.1783112879189</v>
      </c>
      <c r="EU195" s="380">
        <f>EU199+EU203</f>
        <v>3074.0782610863134</v>
      </c>
      <c r="EV195" s="380">
        <f>EV199+EV203</f>
        <v>3213.7809688344641</v>
      </c>
      <c r="EW195" s="380">
        <f>EW199+EW203</f>
        <v>3392.2223390078193</v>
      </c>
      <c r="EZ195" s="376"/>
      <c r="FA195" s="376"/>
      <c r="FB195" s="376"/>
      <c r="FC195" s="376"/>
      <c r="FD195" s="376"/>
      <c r="FE195" s="376"/>
      <c r="FF195" s="376"/>
      <c r="FG195" s="376">
        <f>AD195+AE195+AF195+AG195</f>
        <v>2386.668941295</v>
      </c>
      <c r="FH195" s="376">
        <f>AH195+AI195+AJ195+AK195</f>
        <v>2523.8004719999999</v>
      </c>
      <c r="FI195" s="376">
        <f>AL195+AM195+AN195+AO195</f>
        <v>1838.5472600000001</v>
      </c>
      <c r="FJ195" s="376">
        <f>AP195+AQ195+AR195+AS195</f>
        <v>1896.86</v>
      </c>
      <c r="FK195" s="376">
        <f>AT195+AU195+AV195+AW195</f>
        <v>2270.6759999999999</v>
      </c>
      <c r="FL195" s="376">
        <f>AX195+AY195+AZ195+BA195</f>
        <v>3080.6170000000002</v>
      </c>
      <c r="FM195" s="376">
        <f>BB195+BC195+BD195+BE195</f>
        <v>3838.3200900000002</v>
      </c>
      <c r="FN195" s="376">
        <f>BF195+BG195+BH195+BI195</f>
        <v>3448.96</v>
      </c>
      <c r="FO195" s="376">
        <f>BJ195+BK195+BL195+BM195</f>
        <v>3192.5124900000001</v>
      </c>
      <c r="FP195" s="376">
        <f>BN195+BO195+BP195+BQ195</f>
        <v>2961.6127650000003</v>
      </c>
      <c r="FQ195" s="376">
        <f>BR195+BS195+BT195+BU195</f>
        <v>3348.9153749999996</v>
      </c>
      <c r="FR195" s="376">
        <f>BV195+BW195+BX195+BY195</f>
        <v>3600.9662399999997</v>
      </c>
      <c r="FS195" s="376">
        <f>BZ195+CA195+CB195+CC195</f>
        <v>2853.6706599999998</v>
      </c>
      <c r="FT195" s="376">
        <f>CD195+CE195+CF195+CG195</f>
        <v>2319.9230000000002</v>
      </c>
      <c r="FU195" s="376">
        <f>CH195+CI195+CJ195+CK195</f>
        <v>2181.1559999999999</v>
      </c>
      <c r="FV195" s="376">
        <f>CL195+CM195+CN195+CO195</f>
        <v>1229.203</v>
      </c>
      <c r="FW195" s="376">
        <f>CP195+CQ195+CR195+CS195</f>
        <v>1136.33</v>
      </c>
      <c r="FX195" s="376">
        <f>CT195+CU195+CV195+CW195</f>
        <v>1465.0170000000001</v>
      </c>
      <c r="FY195" s="376">
        <f>CX195+CY195+CZ195+DA195</f>
        <v>1959.6508816772368</v>
      </c>
      <c r="FZ195" s="376">
        <f>DB195+DC195+DD195+DE195</f>
        <v>3104.7730493999998</v>
      </c>
      <c r="GA195" s="376">
        <f>SUM(DF195:DI195)</f>
        <v>4787.6308134999999</v>
      </c>
      <c r="GB195" s="376">
        <f>SUM(DJ195:DM195)</f>
        <v>6636.8499907403166</v>
      </c>
      <c r="GC195" s="376">
        <f>SUM(DN195:DQ195)</f>
        <v>5958.1499459134611</v>
      </c>
      <c r="GD195" s="376">
        <f>SUM(DR195:DU195)</f>
        <v>4389.6980813812706</v>
      </c>
      <c r="GE195" s="376">
        <f>SUM(DV195:DY195)</f>
        <v>6672.6874760920537</v>
      </c>
      <c r="GF195" s="376">
        <f>SUM(DZ195:EC195)</f>
        <v>10290.855129252204</v>
      </c>
      <c r="GG195" s="380">
        <f>SUM(ED195:EG195)</f>
        <v>11078.606879742987</v>
      </c>
      <c r="GH195" s="410">
        <f>SUM(EH195:EK195)</f>
        <v>11582.478480242073</v>
      </c>
      <c r="GI195" s="410">
        <f>SUM(EL195:EO195)</f>
        <v>12017.811627243043</v>
      </c>
      <c r="GJ195" s="410">
        <f>SUM(EP195:ES195)</f>
        <v>12360.509221582182</v>
      </c>
      <c r="GK195" s="410">
        <f>SUM(ET195:EW195)</f>
        <v>12678.259880216516</v>
      </c>
      <c r="GN195" s="70"/>
    </row>
    <row r="196" spans="1:196" s="382" customFormat="1">
      <c r="A196" s="381" t="s">
        <v>198</v>
      </c>
      <c r="AE196" s="382">
        <f t="shared" ref="AE196:CP196" si="379">AE195/AD195-1</f>
        <v>4.8209890228515073E-2</v>
      </c>
      <c r="AF196" s="382">
        <f t="shared" si="379"/>
        <v>8.0350736012615886E-2</v>
      </c>
      <c r="AG196" s="382">
        <f t="shared" si="379"/>
        <v>-6.3886844722959024E-2</v>
      </c>
      <c r="AH196" s="382">
        <f t="shared" si="379"/>
        <v>0.10460254373426547</v>
      </c>
      <c r="AI196" s="382">
        <f t="shared" si="379"/>
        <v>-5.7946634170678912E-2</v>
      </c>
      <c r="AJ196" s="382">
        <f t="shared" si="379"/>
        <v>-0.1594806668101536</v>
      </c>
      <c r="AK196" s="382">
        <f t="shared" si="379"/>
        <v>0.38385590172427708</v>
      </c>
      <c r="AL196" s="382">
        <f t="shared" si="379"/>
        <v>3.8378303995908025E-2</v>
      </c>
      <c r="AM196" s="382">
        <f t="shared" si="379"/>
        <v>-0.45779349923665047</v>
      </c>
      <c r="AN196" s="382">
        <f t="shared" si="379"/>
        <v>-0.34434470742649781</v>
      </c>
      <c r="AO196" s="382">
        <f t="shared" si="379"/>
        <v>0.55896393917781451</v>
      </c>
      <c r="AP196" s="382">
        <f t="shared" si="379"/>
        <v>0.10340788935774592</v>
      </c>
      <c r="AQ196" s="382">
        <f t="shared" si="379"/>
        <v>-0.14537318119962306</v>
      </c>
      <c r="AR196" s="382">
        <f t="shared" si="379"/>
        <v>0.2462642006307989</v>
      </c>
      <c r="AS196" s="382">
        <f t="shared" si="379"/>
        <v>0.14261114557803056</v>
      </c>
      <c r="AT196" s="382">
        <f t="shared" si="379"/>
        <v>-5.3528324979705721E-2</v>
      </c>
      <c r="AU196" s="382">
        <f t="shared" si="379"/>
        <v>-7.14429066399076E-2</v>
      </c>
      <c r="AV196" s="382">
        <f t="shared" si="379"/>
        <v>0.23152460259850405</v>
      </c>
      <c r="AW196" s="382">
        <f t="shared" si="379"/>
        <v>7.3018490556041371E-2</v>
      </c>
      <c r="AX196" s="382">
        <f t="shared" si="379"/>
        <v>1.7543967930182092E-2</v>
      </c>
      <c r="AY196" s="382">
        <f t="shared" si="379"/>
        <v>-0.10227975786102472</v>
      </c>
      <c r="AZ196" s="382">
        <f t="shared" si="379"/>
        <v>0.31601653358828519</v>
      </c>
      <c r="BA196" s="382">
        <f t="shared" si="379"/>
        <v>0.34780532697720812</v>
      </c>
      <c r="BB196" s="382">
        <f t="shared" si="379"/>
        <v>-2.6656495848344397E-2</v>
      </c>
      <c r="BC196" s="382">
        <f t="shared" si="379"/>
        <v>-0.18382747008038569</v>
      </c>
      <c r="BD196" s="382">
        <f t="shared" si="379"/>
        <v>9.0930333146248987E-2</v>
      </c>
      <c r="BE196" s="382">
        <f t="shared" si="379"/>
        <v>0.17799327502087814</v>
      </c>
      <c r="BF196" s="382">
        <f t="shared" si="379"/>
        <v>-0.42218482660321011</v>
      </c>
      <c r="BG196" s="382">
        <f t="shared" si="379"/>
        <v>0.26314999273525652</v>
      </c>
      <c r="BH196" s="382">
        <f t="shared" si="379"/>
        <v>0.23457855177376219</v>
      </c>
      <c r="BI196" s="382">
        <f t="shared" si="379"/>
        <v>0.11920287792127127</v>
      </c>
      <c r="BJ196" s="382">
        <f t="shared" si="379"/>
        <v>-0.17260816078111452</v>
      </c>
      <c r="BK196" s="382">
        <f t="shared" si="379"/>
        <v>-9.4551124394686492E-2</v>
      </c>
      <c r="BL196" s="382">
        <f t="shared" si="379"/>
        <v>5.3923524304960724E-2</v>
      </c>
      <c r="BM196" s="382">
        <f t="shared" si="379"/>
        <v>-0.25673514185306645</v>
      </c>
      <c r="BN196" s="382">
        <f t="shared" si="379"/>
        <v>0.11360610335553578</v>
      </c>
      <c r="BO196" s="382">
        <f t="shared" si="379"/>
        <v>-5.2199902680090782E-2</v>
      </c>
      <c r="BP196" s="382">
        <f t="shared" si="379"/>
        <v>0.12090707345143681</v>
      </c>
      <c r="BQ196" s="382">
        <f t="shared" si="379"/>
        <v>0.11214836750636348</v>
      </c>
      <c r="BR196" s="382">
        <f t="shared" si="379"/>
        <v>-4.6054806496981238E-2</v>
      </c>
      <c r="BS196" s="382">
        <f t="shared" si="379"/>
        <v>4.4917344960309524E-2</v>
      </c>
      <c r="BT196" s="382">
        <f t="shared" si="379"/>
        <v>2.4296286700160818E-2</v>
      </c>
      <c r="BU196" s="382">
        <f t="shared" si="379"/>
        <v>1.8478513306825706E-2</v>
      </c>
      <c r="BV196" s="382">
        <f t="shared" si="379"/>
        <v>-1.150554000470061E-2</v>
      </c>
      <c r="BW196" s="382">
        <f t="shared" si="379"/>
        <v>2.9743558129496472E-2</v>
      </c>
      <c r="BX196" s="382">
        <f t="shared" si="379"/>
        <v>6.7040222100730462E-2</v>
      </c>
      <c r="BY196" s="382">
        <f t="shared" si="379"/>
        <v>-2.8105198349925309E-2</v>
      </c>
      <c r="BZ196" s="382">
        <f t="shared" si="379"/>
        <v>-5.7354593882440574E-2</v>
      </c>
      <c r="CA196" s="382">
        <f t="shared" si="379"/>
        <v>-0.13005779667613848</v>
      </c>
      <c r="CB196" s="382">
        <f t="shared" si="379"/>
        <v>-0.13257309827201735</v>
      </c>
      <c r="CC196" s="382">
        <f t="shared" si="379"/>
        <v>-0.10015170130284246</v>
      </c>
      <c r="CD196" s="382">
        <f t="shared" si="379"/>
        <v>-8.9548377417549507E-2</v>
      </c>
      <c r="CE196" s="382">
        <f t="shared" si="379"/>
        <v>0.17123505707523123</v>
      </c>
      <c r="CF196" s="382">
        <f t="shared" si="379"/>
        <v>-3.2020362059676066E-2</v>
      </c>
      <c r="CG196" s="382">
        <f t="shared" si="379"/>
        <v>-8.3382745697820781E-2</v>
      </c>
      <c r="CH196" s="382">
        <f t="shared" si="379"/>
        <v>-5.1990666078040815E-2</v>
      </c>
      <c r="CI196" s="382">
        <f t="shared" si="379"/>
        <v>7.450314761875787E-2</v>
      </c>
      <c r="CJ196" s="382">
        <f t="shared" si="379"/>
        <v>4.7982607741960503E-2</v>
      </c>
      <c r="CK196" s="382">
        <f t="shared" si="379"/>
        <v>-0.16057991269913596</v>
      </c>
      <c r="CL196" s="382">
        <f t="shared" si="379"/>
        <v>-0.22040373938520141</v>
      </c>
      <c r="CM196" s="382">
        <f t="shared" si="379"/>
        <v>-0.3357905977394543</v>
      </c>
      <c r="CN196" s="382">
        <f t="shared" si="379"/>
        <v>4.5310861714108253E-2</v>
      </c>
      <c r="CO196" s="382">
        <f t="shared" si="379"/>
        <v>0.16956437747512809</v>
      </c>
      <c r="CP196" s="382">
        <f t="shared" si="379"/>
        <v>-8.8491555518850462E-2</v>
      </c>
      <c r="CQ196" s="382">
        <f t="shared" ref="CQ196:EW196" si="380">CQ195/CP195-1</f>
        <v>-0.10274182644391938</v>
      </c>
      <c r="CR196" s="382">
        <f t="shared" si="380"/>
        <v>4.9052544090974592E-2</v>
      </c>
      <c r="CS196" s="382">
        <f t="shared" si="380"/>
        <v>0.19129684682850234</v>
      </c>
      <c r="CT196" s="382">
        <f t="shared" si="380"/>
        <v>0.13371247436136513</v>
      </c>
      <c r="CU196" s="382">
        <f t="shared" si="380"/>
        <v>-1.1178544212540498E-2</v>
      </c>
      <c r="CV196" s="382">
        <f t="shared" si="380"/>
        <v>1.8213168925063083E-3</v>
      </c>
      <c r="CW196" s="382">
        <f t="shared" si="380"/>
        <v>4.6247077216818644E-2</v>
      </c>
      <c r="CX196" s="382">
        <f t="shared" si="380"/>
        <v>-2.9536709590537891E-2</v>
      </c>
      <c r="CY196" s="382">
        <f t="shared" si="380"/>
        <v>8.4842058100713214E-2</v>
      </c>
      <c r="CZ196" s="382">
        <f t="shared" si="380"/>
        <v>0.42080412882089835</v>
      </c>
      <c r="DA196" s="382">
        <f t="shared" si="380"/>
        <v>0.1123206972030879</v>
      </c>
      <c r="DB196" s="382">
        <f t="shared" si="380"/>
        <v>-8.3293411383695504E-2</v>
      </c>
      <c r="DC196" s="382">
        <f t="shared" si="380"/>
        <v>6.0376171196947048E-2</v>
      </c>
      <c r="DD196" s="382">
        <f t="shared" si="380"/>
        <v>0.44198205226090304</v>
      </c>
      <c r="DE196" s="382">
        <f t="shared" si="380"/>
        <v>0.17350182212214693</v>
      </c>
      <c r="DF196" s="382">
        <f t="shared" si="380"/>
        <v>-4.8029085871387656E-2</v>
      </c>
      <c r="DG196" s="382">
        <f t="shared" si="380"/>
        <v>2.8093340445711101E-2</v>
      </c>
      <c r="DH196" s="382">
        <f t="shared" si="380"/>
        <v>0.24355337668044097</v>
      </c>
      <c r="DI196" s="382">
        <f t="shared" si="380"/>
        <v>0.21515167360652954</v>
      </c>
      <c r="DJ196" s="383">
        <f t="shared" si="380"/>
        <v>3.8072721778602103E-2</v>
      </c>
      <c r="DK196" s="383">
        <f t="shared" si="380"/>
        <v>3.6223513917427175E-2</v>
      </c>
      <c r="DL196" s="383">
        <f t="shared" si="380"/>
        <v>-1.6480008018257442E-2</v>
      </c>
      <c r="DM196" s="383">
        <f t="shared" si="380"/>
        <v>0.10122278847671851</v>
      </c>
      <c r="DN196" s="383">
        <f t="shared" si="380"/>
        <v>0.14867392449251193</v>
      </c>
      <c r="DO196" s="383">
        <f t="shared" si="380"/>
        <v>2.7610115642883182E-2</v>
      </c>
      <c r="DP196" s="383">
        <f t="shared" si="380"/>
        <v>-0.54605718249522894</v>
      </c>
      <c r="DQ196" s="383">
        <f t="shared" si="380"/>
        <v>-0.11007648563681538</v>
      </c>
      <c r="DR196" s="383">
        <f t="shared" si="380"/>
        <v>-0.18930015351060281</v>
      </c>
      <c r="DS196" s="383">
        <f t="shared" si="380"/>
        <v>0.36006836097956674</v>
      </c>
      <c r="DT196" s="383">
        <f t="shared" si="380"/>
        <v>0.46537976632562406</v>
      </c>
      <c r="DU196" s="383">
        <f t="shared" si="380"/>
        <v>1.1382043857344426E-2</v>
      </c>
      <c r="DV196" s="382">
        <f t="shared" si="380"/>
        <v>-7.7139190856197692E-2</v>
      </c>
      <c r="DW196" s="382">
        <f t="shared" si="380"/>
        <v>9.5730061483536133E-2</v>
      </c>
      <c r="DX196" s="382">
        <f t="shared" si="380"/>
        <v>0.27312956954781531</v>
      </c>
      <c r="DY196" s="382">
        <f t="shared" si="380"/>
        <v>0.2283392236516979</v>
      </c>
      <c r="DZ196" s="382">
        <f t="shared" si="380"/>
        <v>-1.056073928438872E-3</v>
      </c>
      <c r="EA196" s="382">
        <f t="shared" si="380"/>
        <v>9.0925743888123467E-2</v>
      </c>
      <c r="EB196" s="382">
        <f t="shared" si="380"/>
        <v>0.12187812856166813</v>
      </c>
      <c r="EC196" s="382">
        <f t="shared" si="380"/>
        <v>0.122766161622752</v>
      </c>
      <c r="ED196" s="382">
        <f t="shared" si="380"/>
        <v>-7.9055718682306764E-2</v>
      </c>
      <c r="EE196" s="384">
        <f t="shared" si="380"/>
        <v>2.0100000000000229E-2</v>
      </c>
      <c r="EF196" s="384">
        <f t="shared" si="380"/>
        <v>-3.0388095487361433E-2</v>
      </c>
      <c r="EG196" s="384">
        <f t="shared" si="380"/>
        <v>-9.5754395971473505E-3</v>
      </c>
      <c r="EH196" s="384">
        <f t="shared" si="380"/>
        <v>-4.6890182529598423E-2</v>
      </c>
      <c r="EI196" s="384">
        <f t="shared" si="380"/>
        <v>6.537830217871976E-2</v>
      </c>
      <c r="EJ196" s="384">
        <f t="shared" si="380"/>
        <v>9.0999451455491709E-2</v>
      </c>
      <c r="EK196" s="384">
        <f t="shared" si="380"/>
        <v>6.5696458207299857E-2</v>
      </c>
      <c r="EL196" s="384">
        <f t="shared" si="380"/>
        <v>-0.10951686816234751</v>
      </c>
      <c r="EM196" s="384">
        <f t="shared" si="380"/>
        <v>2.0000000000000018E-2</v>
      </c>
      <c r="EN196" s="384">
        <f t="shared" si="380"/>
        <v>4.0300000000000002E-2</v>
      </c>
      <c r="EO196" s="384">
        <f t="shared" si="380"/>
        <v>5.5772512448175382E-2</v>
      </c>
      <c r="EP196" s="384">
        <f t="shared" si="380"/>
        <v>-8.9999999999999969E-2</v>
      </c>
      <c r="EQ196" s="384">
        <f t="shared" si="380"/>
        <v>3.0536667837085751E-2</v>
      </c>
      <c r="ER196" s="384">
        <f t="shared" si="380"/>
        <v>4.5239651483805821E-2</v>
      </c>
      <c r="ES196" s="384">
        <f t="shared" si="380"/>
        <v>5.0000000000000044E-2</v>
      </c>
      <c r="ET196" s="384">
        <f t="shared" si="380"/>
        <v>-9.0953312688487498E-2</v>
      </c>
      <c r="EU196" s="384">
        <f t="shared" si="380"/>
        <v>2.5315355498582992E-2</v>
      </c>
      <c r="EV196" s="384">
        <f t="shared" si="380"/>
        <v>4.5445397248534247E-2</v>
      </c>
      <c r="EW196" s="384">
        <f t="shared" si="380"/>
        <v>5.5523811953516633E-2</v>
      </c>
      <c r="FZ196" s="386" t="s">
        <v>199</v>
      </c>
      <c r="GA196" s="386" t="s">
        <v>199</v>
      </c>
      <c r="GB196" s="386" t="s">
        <v>199</v>
      </c>
      <c r="GC196" s="386" t="s">
        <v>199</v>
      </c>
      <c r="GD196" s="386" t="s">
        <v>199</v>
      </c>
      <c r="GE196" s="386" t="s">
        <v>199</v>
      </c>
      <c r="GF196" s="386" t="s">
        <v>199</v>
      </c>
      <c r="GG196" s="386" t="s">
        <v>199</v>
      </c>
      <c r="GH196" s="386" t="s">
        <v>199</v>
      </c>
      <c r="GI196" s="386" t="s">
        <v>199</v>
      </c>
      <c r="GJ196" s="386" t="s">
        <v>199</v>
      </c>
      <c r="GK196" s="386" t="s">
        <v>199</v>
      </c>
      <c r="GN196" s="70"/>
    </row>
    <row r="197" spans="1:196" s="382" customFormat="1">
      <c r="A197" s="381" t="s">
        <v>200</v>
      </c>
      <c r="AH197" s="382">
        <f t="shared" ref="AH197:CS197" si="381">AH195/AD195-1</f>
        <v>0.17097443274035351</v>
      </c>
      <c r="AI197" s="382">
        <f t="shared" si="381"/>
        <v>5.2385038479883406E-2</v>
      </c>
      <c r="AJ197" s="382">
        <f t="shared" si="381"/>
        <v>-0.18123814672742256</v>
      </c>
      <c r="AK197" s="382">
        <f t="shared" si="381"/>
        <v>0.21037549399958944</v>
      </c>
      <c r="AL197" s="382">
        <f t="shared" si="381"/>
        <v>0.13780984824516085</v>
      </c>
      <c r="AM197" s="382">
        <f t="shared" si="381"/>
        <v>-0.34512425863689355</v>
      </c>
      <c r="AN197" s="382">
        <f t="shared" si="381"/>
        <v>-0.48915779941288373</v>
      </c>
      <c r="AO197" s="382">
        <f t="shared" si="381"/>
        <v>-0.42451770568506209</v>
      </c>
      <c r="AP197" s="382">
        <f t="shared" si="381"/>
        <v>-0.38847749294336076</v>
      </c>
      <c r="AQ197" s="382">
        <f t="shared" si="381"/>
        <v>-3.6117172894704952E-2</v>
      </c>
      <c r="AR197" s="382">
        <f t="shared" si="381"/>
        <v>0.83214056933654446</v>
      </c>
      <c r="AS197" s="382">
        <f t="shared" si="381"/>
        <v>0.34283044153905817</v>
      </c>
      <c r="AT197" s="382">
        <f t="shared" si="381"/>
        <v>0.15184148086116056</v>
      </c>
      <c r="AU197" s="382">
        <f t="shared" si="381"/>
        <v>0.25148258158026349</v>
      </c>
      <c r="AV197" s="382">
        <f t="shared" si="381"/>
        <v>0.23668126562528768</v>
      </c>
      <c r="AW197" s="382">
        <f t="shared" si="381"/>
        <v>0.16135911160649496</v>
      </c>
      <c r="AX197" s="382">
        <f t="shared" si="381"/>
        <v>0.2485676960069676</v>
      </c>
      <c r="AY197" s="382">
        <f t="shared" si="381"/>
        <v>0.20710347527506157</v>
      </c>
      <c r="AZ197" s="382">
        <f t="shared" si="381"/>
        <v>0.2899199316538188</v>
      </c>
      <c r="BA197" s="382">
        <f t="shared" si="381"/>
        <v>0.62025255907395027</v>
      </c>
      <c r="BB197" s="382">
        <f t="shared" si="381"/>
        <v>0.54987140916149069</v>
      </c>
      <c r="BC197" s="382">
        <f t="shared" si="381"/>
        <v>0.40908315273299123</v>
      </c>
      <c r="BD197" s="382">
        <f t="shared" si="381"/>
        <v>0.1680792102591353</v>
      </c>
      <c r="BE197" s="382">
        <f t="shared" si="381"/>
        <v>2.0911126284803627E-2</v>
      </c>
      <c r="BF197" s="382">
        <f t="shared" si="381"/>
        <v>-0.39394680609585231</v>
      </c>
      <c r="BG197" s="382">
        <f t="shared" si="381"/>
        <v>-6.2041346144544152E-2</v>
      </c>
      <c r="BH197" s="382">
        <f t="shared" si="381"/>
        <v>6.1464331238187508E-2</v>
      </c>
      <c r="BI197" s="382">
        <f t="shared" si="381"/>
        <v>8.4895724990463606E-3</v>
      </c>
      <c r="BJ197" s="382">
        <f t="shared" si="381"/>
        <v>0.44408814555316978</v>
      </c>
      <c r="BK197" s="382">
        <f t="shared" si="381"/>
        <v>3.5148632534670599E-2</v>
      </c>
      <c r="BL197" s="382">
        <f t="shared" si="381"/>
        <v>-0.11632395248324234</v>
      </c>
      <c r="BM197" s="382">
        <f t="shared" si="381"/>
        <v>-0.4131489785611614</v>
      </c>
      <c r="BN197" s="382">
        <f t="shared" si="381"/>
        <v>-0.21014343113211098</v>
      </c>
      <c r="BO197" s="382">
        <f t="shared" si="381"/>
        <v>-0.17319889282398093</v>
      </c>
      <c r="BP197" s="382">
        <f t="shared" si="381"/>
        <v>-0.12065041912575036</v>
      </c>
      <c r="BQ197" s="382">
        <f t="shared" si="381"/>
        <v>0.31577215055601426</v>
      </c>
      <c r="BR197" s="382">
        <f t="shared" si="381"/>
        <v>0.12712611307169408</v>
      </c>
      <c r="BS197" s="382">
        <f t="shared" si="381"/>
        <v>0.24261817321673385</v>
      </c>
      <c r="BT197" s="382">
        <f t="shared" si="381"/>
        <v>0.1355171278319014</v>
      </c>
      <c r="BU197" s="382">
        <f t="shared" si="381"/>
        <v>3.9879057487403502E-2</v>
      </c>
      <c r="BV197" s="382">
        <f t="shared" si="381"/>
        <v>7.7540611758613709E-2</v>
      </c>
      <c r="BW197" s="382">
        <f t="shared" si="381"/>
        <v>6.1893085546872673E-2</v>
      </c>
      <c r="BX197" s="382">
        <f t="shared" si="381"/>
        <v>0.10620593724835881</v>
      </c>
      <c r="BY197" s="382">
        <f t="shared" si="381"/>
        <v>5.5609702040165132E-2</v>
      </c>
      <c r="BZ197" s="382">
        <f t="shared" si="381"/>
        <v>6.6476612180701444E-3</v>
      </c>
      <c r="CA197" s="382">
        <f t="shared" si="381"/>
        <v>-0.14956954335155703</v>
      </c>
      <c r="CB197" s="382">
        <f t="shared" si="381"/>
        <v>-0.30866124737701461</v>
      </c>
      <c r="CC197" s="382">
        <f t="shared" si="381"/>
        <v>-0.35991014735852855</v>
      </c>
      <c r="CD197" s="382">
        <f t="shared" si="381"/>
        <v>-0.3817708746534636</v>
      </c>
      <c r="CE197" s="382">
        <f t="shared" si="381"/>
        <v>-0.16765548085352922</v>
      </c>
      <c r="CF197" s="382">
        <f t="shared" si="381"/>
        <v>-7.1169519091452194E-2</v>
      </c>
      <c r="CG197" s="382">
        <f t="shared" si="381"/>
        <v>-5.3860471420308809E-2</v>
      </c>
      <c r="CH197" s="382">
        <f t="shared" si="381"/>
        <v>-1.4830571950744442E-2</v>
      </c>
      <c r="CI197" s="382">
        <f t="shared" si="381"/>
        <v>-9.6195383683173041E-2</v>
      </c>
      <c r="CJ197" s="382">
        <f t="shared" si="381"/>
        <v>-2.1496443135590293E-2</v>
      </c>
      <c r="CK197" s="382">
        <f t="shared" si="381"/>
        <v>-0.10390565170776533</v>
      </c>
      <c r="CL197" s="382">
        <f t="shared" si="381"/>
        <v>-0.26309607079861341</v>
      </c>
      <c r="CM197" s="382">
        <f t="shared" si="381"/>
        <v>-0.54447921402277344</v>
      </c>
      <c r="CN197" s="382">
        <f t="shared" si="381"/>
        <v>-0.54564052704605071</v>
      </c>
      <c r="CO197" s="382">
        <f t="shared" si="381"/>
        <v>-0.36694074614770533</v>
      </c>
      <c r="CP197" s="382">
        <f t="shared" si="381"/>
        <v>-0.2598234690245399</v>
      </c>
      <c r="CQ197" s="382">
        <f t="shared" si="381"/>
        <v>-1.203836744204656E-4</v>
      </c>
      <c r="CR197" s="382">
        <f t="shared" si="381"/>
        <v>3.4586779008687341E-3</v>
      </c>
      <c r="CS197" s="382">
        <f t="shared" si="381"/>
        <v>2.2104624532670814E-2</v>
      </c>
      <c r="CT197" s="382">
        <f t="shared" ref="CT197:EW197" si="382">CT195/CP195-1</f>
        <v>0.27126936667572732</v>
      </c>
      <c r="CU197" s="382">
        <f t="shared" si="382"/>
        <v>0.40099969317886131</v>
      </c>
      <c r="CV197" s="382">
        <f t="shared" si="382"/>
        <v>0.33792283855776728</v>
      </c>
      <c r="CW197" s="382">
        <f t="shared" si="382"/>
        <v>0.17502020013673958</v>
      </c>
      <c r="CX197" s="382">
        <f t="shared" si="382"/>
        <v>5.8229008767312074E-3</v>
      </c>
      <c r="CY197" s="382">
        <f t="shared" si="382"/>
        <v>0.10349444733982383</v>
      </c>
      <c r="CZ197" s="382">
        <f t="shared" si="382"/>
        <v>0.56499910759992811</v>
      </c>
      <c r="DA197" s="382">
        <f t="shared" si="382"/>
        <v>0.66383346381096953</v>
      </c>
      <c r="DB197" s="382">
        <f t="shared" si="382"/>
        <v>0.57166903035792771</v>
      </c>
      <c r="DC197" s="382">
        <f t="shared" si="382"/>
        <v>0.53622398427056517</v>
      </c>
      <c r="DD197" s="382">
        <f t="shared" si="382"/>
        <v>0.55912230872333857</v>
      </c>
      <c r="DE197" s="382">
        <f t="shared" si="382"/>
        <v>0.64487892277713477</v>
      </c>
      <c r="DF197" s="382">
        <f t="shared" si="382"/>
        <v>0.70815494422332259</v>
      </c>
      <c r="DG197" s="382">
        <f t="shared" si="382"/>
        <v>0.65615068530169673</v>
      </c>
      <c r="DH197" s="382">
        <f t="shared" si="382"/>
        <v>0.42825063167007893</v>
      </c>
      <c r="DI197" s="382">
        <f t="shared" si="382"/>
        <v>0.47894201158115557</v>
      </c>
      <c r="DJ197" s="383">
        <f t="shared" si="382"/>
        <v>0.61270616205754913</v>
      </c>
      <c r="DK197" s="383">
        <f t="shared" si="382"/>
        <v>0.62545946016834986</v>
      </c>
      <c r="DL197" s="383">
        <f t="shared" si="382"/>
        <v>0.28556755601351069</v>
      </c>
      <c r="DM197" s="383">
        <f t="shared" si="382"/>
        <v>0.16503669423147738</v>
      </c>
      <c r="DN197" s="383">
        <f t="shared" si="382"/>
        <v>0.28916524214964601</v>
      </c>
      <c r="DO197" s="383">
        <f t="shared" si="382"/>
        <v>0.27844931694316744</v>
      </c>
      <c r="DP197" s="383">
        <f t="shared" si="382"/>
        <v>-0.4099328028900866</v>
      </c>
      <c r="DQ197" s="383">
        <f t="shared" si="382"/>
        <v>-0.523153099211777</v>
      </c>
      <c r="DR197" s="383">
        <f t="shared" si="382"/>
        <v>-0.66345565871641998</v>
      </c>
      <c r="DS197" s="383">
        <f t="shared" si="382"/>
        <v>-0.55457492712579004</v>
      </c>
      <c r="DT197" s="383">
        <f t="shared" si="382"/>
        <v>0.43788350434055201</v>
      </c>
      <c r="DU197" s="383">
        <f t="shared" si="382"/>
        <v>0.63412870204845273</v>
      </c>
      <c r="DV197" s="382">
        <f t="shared" si="382"/>
        <v>0.8602116957934689</v>
      </c>
      <c r="DW197" s="382">
        <f t="shared" si="382"/>
        <v>0.4986672245916568</v>
      </c>
      <c r="DX197" s="382">
        <f t="shared" si="382"/>
        <v>0.30204988657924203</v>
      </c>
      <c r="DY197" s="382">
        <f>DY195/DU195-1</f>
        <v>0.58135983978584171</v>
      </c>
      <c r="DZ197" s="382">
        <f>DZ195/DV195-1</f>
        <v>0.7117313805460479</v>
      </c>
      <c r="EA197" s="382">
        <f>EA195/DW195-1</f>
        <v>0.70422615505370079</v>
      </c>
      <c r="EB197" s="382">
        <f t="shared" si="382"/>
        <v>0.50175920441197963</v>
      </c>
      <c r="EC197" s="382">
        <f t="shared" si="382"/>
        <v>0.37268629475711146</v>
      </c>
      <c r="ED197" s="382">
        <f t="shared" si="382"/>
        <v>0.26550405904282415</v>
      </c>
      <c r="EE197" s="384">
        <f t="shared" si="382"/>
        <v>0.18334423572093628</v>
      </c>
      <c r="EF197" s="384">
        <f t="shared" si="382"/>
        <v>2.2735561805151461E-2</v>
      </c>
      <c r="EG197" s="384">
        <f t="shared" si="382"/>
        <v>-9.7815329823255692E-2</v>
      </c>
      <c r="EH197" s="384">
        <f t="shared" si="382"/>
        <v>-6.6305004808295709E-2</v>
      </c>
      <c r="EI197" s="384">
        <f t="shared" si="382"/>
        <v>-2.4861887334471477E-2</v>
      </c>
      <c r="EJ197" s="384">
        <f t="shared" si="382"/>
        <v>9.7217496051862806E-2</v>
      </c>
      <c r="EK197" s="384">
        <f t="shared" si="382"/>
        <v>0.18060561720111434</v>
      </c>
      <c r="EL197" s="384">
        <f t="shared" si="382"/>
        <v>0.10303069824692157</v>
      </c>
      <c r="EM197" s="384">
        <f t="shared" si="382"/>
        <v>5.6048644796900637E-2</v>
      </c>
      <c r="EN197" s="384">
        <f t="shared" si="382"/>
        <v>6.9733799742743852E-3</v>
      </c>
      <c r="EO197" s="384">
        <f t="shared" si="382"/>
        <v>-2.4037265430515431E-3</v>
      </c>
      <c r="EP197" s="384">
        <f t="shared" si="382"/>
        <v>1.9460758310388737E-2</v>
      </c>
      <c r="EQ197" s="384">
        <f t="shared" si="382"/>
        <v>2.9991855744957219E-2</v>
      </c>
      <c r="ER197" s="384">
        <f t="shared" si="382"/>
        <v>3.4882561117002275E-2</v>
      </c>
      <c r="ES197" s="384">
        <f t="shared" si="382"/>
        <v>2.9224265986174336E-2</v>
      </c>
      <c r="ET197" s="384">
        <f t="shared" si="382"/>
        <v>2.8146054390499886E-2</v>
      </c>
      <c r="EU197" s="384">
        <f t="shared" si="382"/>
        <v>2.2936854323083455E-2</v>
      </c>
      <c r="EV197" s="384">
        <f t="shared" si="382"/>
        <v>2.3138209988325276E-2</v>
      </c>
      <c r="EW197" s="384">
        <f t="shared" si="382"/>
        <v>2.8520708154451846E-2</v>
      </c>
      <c r="FH197" s="382">
        <f t="shared" ref="FH197:GK197" si="383">FH195/FG195-1</f>
        <v>5.7457290507410219E-2</v>
      </c>
      <c r="FI197" s="382">
        <f t="shared" si="383"/>
        <v>-0.27151639743413114</v>
      </c>
      <c r="FJ197" s="382">
        <f t="shared" si="383"/>
        <v>3.1716747928470346E-2</v>
      </c>
      <c r="FK197" s="382">
        <f t="shared" si="383"/>
        <v>0.19707094883122633</v>
      </c>
      <c r="FL197" s="382">
        <f t="shared" si="383"/>
        <v>0.35669597952327869</v>
      </c>
      <c r="FM197" s="382">
        <f t="shared" si="383"/>
        <v>0.24595822525162969</v>
      </c>
      <c r="FN197" s="382">
        <f t="shared" si="383"/>
        <v>-0.10144023449591988</v>
      </c>
      <c r="FO197" s="382">
        <f t="shared" si="383"/>
        <v>-7.4355025862868795E-2</v>
      </c>
      <c r="FP197" s="382">
        <f t="shared" si="383"/>
        <v>-7.2325394410594712E-2</v>
      </c>
      <c r="FQ197" s="382">
        <f t="shared" si="383"/>
        <v>0.13077422361798852</v>
      </c>
      <c r="FR197" s="382">
        <f t="shared" si="383"/>
        <v>7.5263432119421658E-2</v>
      </c>
      <c r="FS197" s="382">
        <f t="shared" si="383"/>
        <v>-0.2075264054683279</v>
      </c>
      <c r="FT197" s="382">
        <f t="shared" si="383"/>
        <v>-0.18703898367865601</v>
      </c>
      <c r="FU197" s="382">
        <f t="shared" si="383"/>
        <v>-5.981534731971716E-2</v>
      </c>
      <c r="FV197" s="382">
        <f t="shared" si="383"/>
        <v>-0.43644425249729957</v>
      </c>
      <c r="FW197" s="382">
        <f t="shared" si="383"/>
        <v>-7.5555461547034963E-2</v>
      </c>
      <c r="FX197" s="382">
        <f t="shared" si="383"/>
        <v>0.28925312189240815</v>
      </c>
      <c r="FY197" s="382">
        <f t="shared" si="383"/>
        <v>0.33763013103413586</v>
      </c>
      <c r="FZ197" s="382">
        <f t="shared" si="383"/>
        <v>0.5843500893091067</v>
      </c>
      <c r="GA197" s="382">
        <f t="shared" si="383"/>
        <v>0.54202279436341216</v>
      </c>
      <c r="GB197" s="382">
        <f t="shared" si="383"/>
        <v>0.38624932649901722</v>
      </c>
      <c r="GC197" s="382">
        <f t="shared" si="383"/>
        <v>-0.102262375339773</v>
      </c>
      <c r="GD197" s="382">
        <f t="shared" si="383"/>
        <v>-0.26324477879378494</v>
      </c>
      <c r="GE197" s="382">
        <f t="shared" si="383"/>
        <v>0.52007891030000253</v>
      </c>
      <c r="GF197" s="382">
        <f t="shared" si="383"/>
        <v>0.54223544353364161</v>
      </c>
      <c r="GG197" s="387">
        <f t="shared" si="383"/>
        <v>7.6548716369698289E-2</v>
      </c>
      <c r="GH197" s="387">
        <f t="shared" si="383"/>
        <v>4.5481494737430017E-2</v>
      </c>
      <c r="GI197" s="387">
        <f t="shared" si="383"/>
        <v>3.7585491546008987E-2</v>
      </c>
      <c r="GJ197" s="387">
        <f t="shared" si="383"/>
        <v>2.8515806784846109E-2</v>
      </c>
      <c r="GK197" s="387">
        <f t="shared" si="383"/>
        <v>2.5706922986596936E-2</v>
      </c>
      <c r="GN197" s="70"/>
    </row>
    <row r="198" spans="1:196" s="382" customFormat="1">
      <c r="A198" s="381" t="s">
        <v>281</v>
      </c>
      <c r="AD198" s="382">
        <f>AD195/AD4</f>
        <v>0.51536781889491945</v>
      </c>
      <c r="AE198" s="382">
        <f>AE195/AE4</f>
        <v>0.50402453647227496</v>
      </c>
      <c r="AF198" s="382">
        <f>AF195/AF4</f>
        <v>0.5282257024289938</v>
      </c>
      <c r="AG198" s="382">
        <f>AG195/AG4</f>
        <v>0.50768158019421838</v>
      </c>
      <c r="AH198" s="382">
        <f>AH195/AH4</f>
        <v>0.55438241610704375</v>
      </c>
      <c r="AI198" s="382">
        <f>AI195/AI4</f>
        <v>0.63011783440783375</v>
      </c>
      <c r="AJ198" s="382">
        <f>AJ195/AJ4</f>
        <v>0.68134494104743626</v>
      </c>
      <c r="AK198" s="382">
        <f>AK195/AK4</f>
        <v>0.75863688748393954</v>
      </c>
      <c r="AL198" s="382">
        <f>AL195/AL4</f>
        <v>0.83124086409858189</v>
      </c>
      <c r="AM198" s="382">
        <f>AM195/AM4</f>
        <v>0.67727597413955376</v>
      </c>
      <c r="AN198" s="382">
        <f>AN195/AN4</f>
        <v>0.52450680503003577</v>
      </c>
      <c r="AO198" s="382">
        <f>AO195/AO4</f>
        <v>0.60540872339495655</v>
      </c>
      <c r="AP198" s="382">
        <f>AP195/AP4</f>
        <v>0.64171967168377519</v>
      </c>
      <c r="AQ198" s="382">
        <f>AQ195/AQ4</f>
        <v>0.60732633771450628</v>
      </c>
      <c r="AR198" s="382">
        <f>AR195/AR4</f>
        <v>0.51206961087654224</v>
      </c>
      <c r="AS198" s="382">
        <f>AS195/AS4</f>
        <v>0.46287677516375753</v>
      </c>
      <c r="AT198" s="382">
        <f>AT195/AT4</f>
        <v>0.42717235790374403</v>
      </c>
      <c r="AU198" s="382">
        <f>AU195/AU4</f>
        <v>0.38866826697901552</v>
      </c>
      <c r="AV198" s="382">
        <f>AV195/AV4</f>
        <v>0.48729647370344636</v>
      </c>
      <c r="AW198" s="382">
        <f>AW195/AW4</f>
        <v>0.51284555110128471</v>
      </c>
      <c r="AX198" s="382">
        <f>AX195/AX4</f>
        <v>0.53761694662114357</v>
      </c>
      <c r="AY198" s="382">
        <f>AY195/AY4</f>
        <v>0.46987740471998979</v>
      </c>
      <c r="AZ198" s="382">
        <f>AZ195/AZ4</f>
        <v>0.51163253445235768</v>
      </c>
      <c r="BA198" s="382">
        <f>BA195/BA4</f>
        <v>0.57122162286838318</v>
      </c>
      <c r="BB198" s="382">
        <f>BB195/BB4</f>
        <v>0.76723031352136917</v>
      </c>
      <c r="BC198" s="382">
        <f>BC195/BC4</f>
        <v>0.68580213866374218</v>
      </c>
      <c r="BD198" s="382">
        <f>BD195/BD4</f>
        <v>0.68546619444390033</v>
      </c>
      <c r="BE198" s="382">
        <f>BE195/BE4</f>
        <v>0.60463677382966718</v>
      </c>
      <c r="BF198" s="382">
        <f>BF195/BF4</f>
        <v>0.50237631792376325</v>
      </c>
      <c r="BG198" s="382">
        <f>BG195/BG4</f>
        <v>0.56780333817126272</v>
      </c>
      <c r="BH198" s="382">
        <f>BH195/BH4</f>
        <v>0.59189644607843139</v>
      </c>
      <c r="BI198" s="382">
        <f>BI195/BI4</f>
        <v>0.61080338983050853</v>
      </c>
      <c r="BJ198" s="382">
        <f>BJ195/BJ4</f>
        <v>0.59435981395348836</v>
      </c>
      <c r="BK198" s="382">
        <f>BK195/BK4</f>
        <v>0.60039618235730163</v>
      </c>
      <c r="BL198" s="382">
        <f>BL195/BL4</f>
        <v>0.53151243462017439</v>
      </c>
      <c r="BM198" s="382">
        <f>BM195/BM4</f>
        <v>0.5460047762478486</v>
      </c>
      <c r="BN198" s="382">
        <f>BN195/BN4</f>
        <v>0.60028530161427363</v>
      </c>
      <c r="BO198" s="382">
        <f>BO195/BO4</f>
        <v>0.56558673986486485</v>
      </c>
      <c r="BP198" s="382">
        <f>BP195/BP4</f>
        <v>0.53769390401146133</v>
      </c>
      <c r="BQ198" s="382">
        <f>BQ195/BQ4</f>
        <v>0.50716985115431357</v>
      </c>
      <c r="BR198" s="382">
        <f>BR195/BR4</f>
        <v>0.50594342439644213</v>
      </c>
      <c r="BS198" s="382">
        <f>BS195/BS4</f>
        <v>0.50340296430732001</v>
      </c>
      <c r="BT198" s="382">
        <f>BT195/BT4</f>
        <v>0.52678779357231154</v>
      </c>
      <c r="BU198" s="382">
        <f>BU195/BU4</f>
        <v>0.52643582474226813</v>
      </c>
      <c r="BV198" s="382">
        <f>BV195/BV4</f>
        <v>0.5319930564166151</v>
      </c>
      <c r="BW198" s="382">
        <f>BW195/BW4</f>
        <v>0.56139001905972041</v>
      </c>
      <c r="BX198" s="382">
        <f>BX195/BX4</f>
        <v>0.55790917159763309</v>
      </c>
      <c r="BY198" s="382">
        <f>BY195/BY4</f>
        <v>0.54190836782968665</v>
      </c>
      <c r="BZ198" s="382">
        <f>BZ195/BZ4</f>
        <v>0.54499002523659301</v>
      </c>
      <c r="CA198" s="382">
        <f>CA195/CA4</f>
        <v>0.53182170559094133</v>
      </c>
      <c r="CB198" s="382">
        <f>CB195/CB4</f>
        <v>0.5136644208037825</v>
      </c>
      <c r="CC198" s="382">
        <f>CC195/CC4</f>
        <v>0.50784177489177484</v>
      </c>
      <c r="CD198" s="382">
        <f>CD195/CD4</f>
        <v>0.49083823529411769</v>
      </c>
      <c r="CE198" s="382">
        <f>CE195/CE4</f>
        <v>0.53873987941429802</v>
      </c>
      <c r="CF198" s="382">
        <f>CF195/CF4</f>
        <v>0.41440725530458589</v>
      </c>
      <c r="CG198" s="382">
        <f>CG195/CG4</f>
        <v>0.34925424795468851</v>
      </c>
      <c r="CH198" s="382">
        <f>CH195/CH4</f>
        <v>0.37660128847530427</v>
      </c>
      <c r="CI198" s="382">
        <f>CI195/CI4</f>
        <v>0.3923032616238723</v>
      </c>
      <c r="CJ198" s="382">
        <f>CJ195/CJ4</f>
        <v>0.41457942617214832</v>
      </c>
      <c r="CK198" s="382">
        <f>CK195/CK4</f>
        <v>0.40137288135593224</v>
      </c>
      <c r="CL198" s="382">
        <f>CL195/CL4</f>
        <v>0.3764019417475728</v>
      </c>
      <c r="CM198" s="382">
        <f>CM195/CM4</f>
        <v>0.2733651804670913</v>
      </c>
      <c r="CN198" s="382">
        <f>CN195/CN4</f>
        <v>0.25370216776625826</v>
      </c>
      <c r="CO198" s="382">
        <f>CO195/CO4</f>
        <v>0.32862317327766183</v>
      </c>
      <c r="CP198" s="382">
        <f>CP195/CP4</f>
        <v>0.34490624999999997</v>
      </c>
      <c r="CQ198" s="382">
        <f>CQ195/CQ4</f>
        <v>0.25070983446932815</v>
      </c>
      <c r="CR198" s="382">
        <f>CR195/CR4</f>
        <v>0.206663351185922</v>
      </c>
      <c r="CS198" s="382">
        <f>CS195/CS4</f>
        <v>0.29094032549728749</v>
      </c>
      <c r="CT198" s="382">
        <f>CT195/CT4</f>
        <v>0.3707378048780488</v>
      </c>
      <c r="CU198" s="382">
        <f>CU195/CU4</f>
        <v>0.29519476268412437</v>
      </c>
      <c r="CV198" s="382">
        <f>CV195/CV4</f>
        <v>0.21995435179549605</v>
      </c>
      <c r="CW198" s="382">
        <f>CW195/CW4</f>
        <v>0.25547162162162163</v>
      </c>
      <c r="CX198" s="382">
        <f>CX195/CX4</f>
        <v>0.22278702439419357</v>
      </c>
      <c r="CY198" s="382">
        <f>CY195/CY4</f>
        <v>0.22668641514806376</v>
      </c>
      <c r="CZ198" s="382">
        <f>CZ195/CZ4</f>
        <v>0.34214591802782818</v>
      </c>
      <c r="DA198" s="382">
        <f>DA195/DA4</f>
        <v>0.44333481677237485</v>
      </c>
      <c r="DB198" s="382">
        <f>DB195/DB4</f>
        <v>0.45337490369496858</v>
      </c>
      <c r="DC198" s="382">
        <f>DC195/DC4</f>
        <v>0.39941958549967344</v>
      </c>
      <c r="DD198" s="382">
        <f>DD195/DD4</f>
        <v>0.48961046224319821</v>
      </c>
      <c r="DE198" s="382">
        <f>DE195/DE4</f>
        <v>0.48649757592853787</v>
      </c>
      <c r="DF198" s="382">
        <f>DF195/DF4</f>
        <v>0.55155699328107499</v>
      </c>
      <c r="DG198" s="382">
        <f>DG195/DG4</f>
        <v>0.52420031055900618</v>
      </c>
      <c r="DH198" s="382">
        <f>DH195/DH4</f>
        <v>0.44963045340949659</v>
      </c>
      <c r="DI198" s="382">
        <f>DI195/DI4</f>
        <v>0.47175712808261411</v>
      </c>
      <c r="DJ198" s="383">
        <f>DJ195/DJ4</f>
        <v>0.46114538756386603</v>
      </c>
      <c r="DK198" s="383">
        <f>DK195/DK4</f>
        <v>0.42758238846306423</v>
      </c>
      <c r="DL198" s="383">
        <f>DL195/DL4</f>
        <v>0.37539135984233712</v>
      </c>
      <c r="DM198" s="383">
        <f>DM195/DM4</f>
        <v>0.36944653957728968</v>
      </c>
      <c r="DN198" s="383">
        <f>DN195/DN4</f>
        <v>0.34788976133854255</v>
      </c>
      <c r="DO198" s="383">
        <f>DO195/DO4</f>
        <v>0.32130889893129772</v>
      </c>
      <c r="DP198" s="383">
        <f>DP195/DP4</f>
        <v>0.17167222425876011</v>
      </c>
      <c r="DQ198" s="383">
        <f>DQ195/DQ4</f>
        <v>0.15184742005955734</v>
      </c>
      <c r="DR198" s="383">
        <f>DR195/DR4</f>
        <v>0.12875993014376894</v>
      </c>
      <c r="DS198" s="383">
        <f>DS195/DS4</f>
        <v>0.1749262381370621</v>
      </c>
      <c r="DT198" s="383">
        <f>DT195/DT4</f>
        <v>0.23684319476640692</v>
      </c>
      <c r="DU198" s="383">
        <f>DU195/DU4</f>
        <v>0.22524739550907913</v>
      </c>
      <c r="DV198" s="382">
        <f>DV195/DV4</f>
        <v>0.23426904019733238</v>
      </c>
      <c r="DW198" s="382">
        <f>DW195/DW4</f>
        <v>0.24077038251928021</v>
      </c>
      <c r="DX198" s="382">
        <f>DX195/DX4</f>
        <v>0.26229851859795561</v>
      </c>
      <c r="DY198" s="382">
        <f>DY195/DY4</f>
        <v>0.28689269244875881</v>
      </c>
      <c r="DZ198" s="382">
        <f>DZ195/DZ4</f>
        <v>0.29506641822450641</v>
      </c>
      <c r="EA198" s="382">
        <f>EA195/EA4</f>
        <v>0.31154965702971099</v>
      </c>
      <c r="EB198" s="382">
        <f>EB195/EB4</f>
        <v>0.29051124101370102</v>
      </c>
      <c r="EC198" s="382">
        <f>EC195/EC4</f>
        <v>0.29365385217257223</v>
      </c>
      <c r="ED198" s="382">
        <f>ED195/ED4</f>
        <v>0.27088723730914188</v>
      </c>
      <c r="EE198" s="384">
        <f>EE195/EE4</f>
        <v>0.25245971121934008</v>
      </c>
      <c r="EF198" s="384">
        <f>EF195/EF4</f>
        <v>0.22904979209148177</v>
      </c>
      <c r="EG198" s="384">
        <f>EG195/EG4</f>
        <v>0.16803992376140339</v>
      </c>
      <c r="EH198" s="384">
        <f>EH195/EH4</f>
        <v>0.1487396265287653</v>
      </c>
      <c r="EI198" s="384">
        <f>EI195/EI4</f>
        <v>0.14380919836042613</v>
      </c>
      <c r="EJ198" s="384">
        <f>EJ195/EJ4</f>
        <v>0.13616863313126715</v>
      </c>
      <c r="EK198" s="384">
        <f>EK195/EK4</f>
        <v>0.13101239865857572</v>
      </c>
      <c r="EL198" s="384">
        <f>EL195/EL4</f>
        <v>0.11947618682071033</v>
      </c>
      <c r="EM198" s="384">
        <f>EM195/EM4</f>
        <v>0.11655150447019955</v>
      </c>
      <c r="EN198" s="384">
        <f>EN195/EN4</f>
        <v>0.1129515132232292</v>
      </c>
      <c r="EO198" s="384">
        <f>EO195/EO4</f>
        <v>0.11145303723875608</v>
      </c>
      <c r="EP198" s="384">
        <f>EP195/EP4</f>
        <v>0.10349386396451649</v>
      </c>
      <c r="EQ198" s="384">
        <f>EQ195/EQ4</f>
        <v>0.10229153967486324</v>
      </c>
      <c r="ER198" s="384">
        <f>ER195/ER4</f>
        <v>9.9037986178792392E-2</v>
      </c>
      <c r="ES198" s="384">
        <f>ES195/ES4</f>
        <v>9.9599383525255977E-2</v>
      </c>
      <c r="ET198" s="384">
        <f>ET195/ET4</f>
        <v>9.4539193885350717E-2</v>
      </c>
      <c r="EU198" s="384">
        <f>EU195/EU4</f>
        <v>9.2999062385640513E-2</v>
      </c>
      <c r="EV198" s="384">
        <f>EV195/EV4</f>
        <v>8.8481358300223356E-2</v>
      </c>
      <c r="EW198" s="384">
        <f>EW195/EW4</f>
        <v>8.9275566724647176E-2</v>
      </c>
      <c r="FG198" s="382">
        <f>FG195/FG4</f>
        <v>0.5139045738888206</v>
      </c>
      <c r="FH198" s="382">
        <f>FH195/FH4</f>
        <v>0.64849948686376369</v>
      </c>
      <c r="FI198" s="382">
        <f>FI195/FI4</f>
        <v>0.68169354500822954</v>
      </c>
      <c r="FJ198" s="382">
        <f>FJ195/FJ4</f>
        <v>0.53900808372888143</v>
      </c>
      <c r="FK198" s="382">
        <f>FK195/FK4</f>
        <v>0.4540049005935296</v>
      </c>
      <c r="FL198" s="382">
        <f>FL195/FL4</f>
        <v>0.52681939887238771</v>
      </c>
      <c r="FM198" s="382">
        <f>FM195/FM4</f>
        <v>0.67945126759845342</v>
      </c>
      <c r="FN198" s="382">
        <f>FN195/FN4</f>
        <v>0.57358390154664896</v>
      </c>
      <c r="FO198" s="382">
        <f>FO195/FO4</f>
        <v>0.56786063500533623</v>
      </c>
      <c r="FP198" s="382">
        <f>FP195/FP4</f>
        <v>0.54814228484175465</v>
      </c>
      <c r="FQ198" s="382">
        <f>FQ195/FQ4</f>
        <v>0.51569377502309821</v>
      </c>
      <c r="FR198" s="382">
        <f>FR195/FR4</f>
        <v>0.5482591717417783</v>
      </c>
      <c r="FS198" s="382">
        <f>FS195/FS4</f>
        <v>0.52631329029878271</v>
      </c>
      <c r="FT198" s="382">
        <f>FT195/FT4</f>
        <v>0.4378039252689187</v>
      </c>
      <c r="FU198" s="382">
        <f>FU195/FU4</f>
        <v>0.3961416636396658</v>
      </c>
      <c r="FV198" s="382">
        <f>FV195/FV4</f>
        <v>0.30799373590578799</v>
      </c>
      <c r="FW198" s="382">
        <f>FW195/FW4</f>
        <v>0.26599485018726587</v>
      </c>
      <c r="FX198" s="382">
        <f>FX195/FX4</f>
        <v>0.27491405516982548</v>
      </c>
      <c r="FY198" s="382">
        <f>FY195/FY4</f>
        <v>0.30264878481501728</v>
      </c>
      <c r="FZ198" s="382">
        <f>FZ195/FZ4</f>
        <v>0.4612647525479126</v>
      </c>
      <c r="GA198" s="382">
        <f>GA195/GA4</f>
        <v>0.4903852108470757</v>
      </c>
      <c r="GB198" s="382">
        <f>GB195/GB4</f>
        <v>0.40384872768287189</v>
      </c>
      <c r="GC198" s="382">
        <f>GC195/GC4</f>
        <v>0.25245328358601166</v>
      </c>
      <c r="GD198" s="382">
        <f>GD195/GD4</f>
        <v>0.19354929812086732</v>
      </c>
      <c r="GE198" s="382">
        <f>GE195/GE4</f>
        <v>0.25878175202994197</v>
      </c>
      <c r="GF198" s="382">
        <f>GF195/GF4</f>
        <v>0.2970886898944024</v>
      </c>
      <c r="GG198" s="384">
        <f>GG195/GG4</f>
        <v>0.22308595426904987</v>
      </c>
      <c r="GH198" s="384">
        <f>GH195/GH4</f>
        <v>0.13904420209914933</v>
      </c>
      <c r="GI198" s="384">
        <f>GI195/GI4</f>
        <v>0.11489460720701786</v>
      </c>
      <c r="GJ198" s="384">
        <f>GJ195/GJ4</f>
        <v>0.10099676366527154</v>
      </c>
      <c r="GK198" s="384">
        <f>GK195/GK4</f>
        <v>9.115324777852872E-2</v>
      </c>
      <c r="GN198" s="70"/>
    </row>
    <row r="199" spans="1:196" s="376" customFormat="1">
      <c r="A199" s="405" t="s">
        <v>262</v>
      </c>
      <c r="AD199" s="376">
        <f>AD212*AD225/1000</f>
        <v>516.06155869999998</v>
      </c>
      <c r="AE199" s="376">
        <f>AE212*AE225/1000</f>
        <v>543.7515119950001</v>
      </c>
      <c r="AF199" s="376">
        <f>AF212*AF225/1000</f>
        <v>598.77593304000004</v>
      </c>
      <c r="AG199" s="376">
        <f>AG212*AG225/1000</f>
        <v>587.13581751000004</v>
      </c>
      <c r="AH199" s="376">
        <f>AH212*AH225/1000</f>
        <v>646.77405799999997</v>
      </c>
      <c r="AI199" s="376">
        <f>AI212*AI225/1000</f>
        <v>539.20723199999998</v>
      </c>
      <c r="AJ199" s="376">
        <f>AJ212*AJ225/1000</f>
        <v>422.09171999999995</v>
      </c>
      <c r="AK199" s="376">
        <f>AK212*AK225/1000</f>
        <v>650.04961000000003</v>
      </c>
      <c r="AL199" s="376">
        <f>AL212*AL225/1000</f>
        <v>594.16323</v>
      </c>
      <c r="AM199" s="376">
        <f>AM212*AM225/1000</f>
        <v>303.43713000000002</v>
      </c>
      <c r="AN199" s="376">
        <f>AN212*AN225/1000</f>
        <v>186.59945999999999</v>
      </c>
      <c r="AO199" s="376">
        <f>AO212*AO225/1000</f>
        <v>353.02611000000002</v>
      </c>
      <c r="AP199" s="376">
        <f>AP212*AP225/1000</f>
        <v>413.327</v>
      </c>
      <c r="AQ199" s="376">
        <f>AQ212*AQ225/1000</f>
        <v>352.83</v>
      </c>
      <c r="AR199" s="376">
        <f>AR212*AR225/1000</f>
        <v>422.22500000000002</v>
      </c>
      <c r="AS199" s="376">
        <f>AS212*AS225/1000</f>
        <v>493.49799999999999</v>
      </c>
      <c r="AT199" s="376">
        <f>AT212*AT225/1000</f>
        <v>479.78199999999998</v>
      </c>
      <c r="AU199" s="376">
        <f>AU212*AU225/1000</f>
        <v>424.00599999999997</v>
      </c>
      <c r="AV199" s="376">
        <f>AV212*AV225/1000</f>
        <v>527.16</v>
      </c>
      <c r="AW199" s="376">
        <f>AW212*AW225/1000</f>
        <v>566.846</v>
      </c>
      <c r="AX199" s="376">
        <f>AX212*AX225/1000</f>
        <v>571.85</v>
      </c>
      <c r="AY199" s="376">
        <f>AY212*AY225/1000</f>
        <v>495.94200000000001</v>
      </c>
      <c r="AZ199" s="376">
        <f>AZ212*AZ225/1000</f>
        <v>636.21199999999999</v>
      </c>
      <c r="BA199" s="376">
        <f>BA212*BA225/1000</f>
        <v>871.03700000000003</v>
      </c>
      <c r="BB199" s="376">
        <f>BB212*BB225/1000</f>
        <v>850.13499999999999</v>
      </c>
      <c r="BC199" s="376">
        <f>BC212*BC225/1000</f>
        <v>681.92678999999998</v>
      </c>
      <c r="BD199" s="376">
        <f>BD212*BD225/1000</f>
        <v>671.923</v>
      </c>
      <c r="BE199" s="376">
        <f>BE212*BE225/1000</f>
        <v>736.6</v>
      </c>
      <c r="BF199" s="376">
        <f>BF212*BF225/1000</f>
        <v>397.05</v>
      </c>
      <c r="BG199" s="376">
        <f>BG212*BG225/1000</f>
        <v>525.50699999999995</v>
      </c>
      <c r="BH199" s="376">
        <f>BH212*BH225/1000</f>
        <v>600.96100000000001</v>
      </c>
      <c r="BI199" s="376">
        <f>BI212*BI225/1000</f>
        <v>704.74800000000005</v>
      </c>
      <c r="BJ199" s="376">
        <f>BJ212*BJ225/1000</f>
        <v>605.80367999999999</v>
      </c>
      <c r="BK199" s="376">
        <f>BK212*BK225/1000</f>
        <v>542.41694999999993</v>
      </c>
      <c r="BL199" s="376">
        <f>BL212*BL225/1000</f>
        <v>543.46141999999998</v>
      </c>
      <c r="BM199" s="376">
        <f>BM212*BM225/1000</f>
        <v>440.03160000000003</v>
      </c>
      <c r="BN199" s="376">
        <f>BN212*BN225/1000</f>
        <v>481.76580000000007</v>
      </c>
      <c r="BO199" s="376">
        <f>BO212*BO225/1000</f>
        <v>490.11005</v>
      </c>
      <c r="BP199" s="376">
        <f>BP212*BP225/1000</f>
        <v>528.0077</v>
      </c>
      <c r="BQ199" s="376">
        <f>BQ212*BQ225/1000</f>
        <v>587.57935000000009</v>
      </c>
      <c r="BR199" s="376">
        <f>BR212*BR225/1000</f>
        <v>553.03549999999996</v>
      </c>
      <c r="BS199" s="376">
        <f>BS212*BS225/1000</f>
        <v>530.5317</v>
      </c>
      <c r="BT199" s="376">
        <f>BT212*BT225/1000</f>
        <v>540.0381000000001</v>
      </c>
      <c r="BU199" s="376">
        <f>BU212*BU225/1000</f>
        <v>574.60972500000003</v>
      </c>
      <c r="BV199" s="376">
        <f>BV212*BV225/1000</f>
        <v>598.41705000000002</v>
      </c>
      <c r="BW199" s="376">
        <f>BW212*BW225/1000</f>
        <v>574.16138999999998</v>
      </c>
      <c r="BX199" s="376">
        <f>BX212*BX225/1000</f>
        <v>511.50499999999994</v>
      </c>
      <c r="BY199" s="376">
        <f>BY212*BY225/1000</f>
        <v>480.68900000000002</v>
      </c>
      <c r="BZ199" s="376">
        <f>BZ212*BZ225/1000</f>
        <v>451.34384999999997</v>
      </c>
      <c r="CA199" s="376">
        <f>CA212*CA225/1000</f>
        <v>379.63590000000005</v>
      </c>
      <c r="CB199" s="376">
        <f>CB212*CB225/1000</f>
        <v>324.45999999999998</v>
      </c>
      <c r="CC199" s="376">
        <f>CC212*CC225/1000</f>
        <v>318.32655</v>
      </c>
      <c r="CD199" s="376">
        <f>CD212*CD225/1000</f>
        <v>280.416</v>
      </c>
      <c r="CE199" s="376">
        <f>CE212*CE225/1000</f>
        <v>310.435</v>
      </c>
      <c r="CF199" s="376">
        <f>CF212*CF225/1000</f>
        <v>328.57799999999997</v>
      </c>
      <c r="CG199" s="376">
        <f>CG212*CG225/1000</f>
        <v>367.745</v>
      </c>
      <c r="CH199" s="376">
        <f>CH212*CH225/1000</f>
        <v>320.99200000000002</v>
      </c>
      <c r="CI199" s="376">
        <f>CI212*CI225/1000</f>
        <v>287.28300000000002</v>
      </c>
      <c r="CJ199" s="376">
        <f>CJ212*CJ225/1000</f>
        <v>329.56200000000001</v>
      </c>
      <c r="CK199" s="376">
        <f>CK212*CK225/1000</f>
        <v>196.46</v>
      </c>
      <c r="CL199" s="376">
        <f>CL212*CL225/1000</f>
        <v>145.60599999999999</v>
      </c>
      <c r="CM199" s="376">
        <f>CM212*CM225/1000</f>
        <v>152.048</v>
      </c>
      <c r="CN199" s="376">
        <f>CN212*CN225/1000</f>
        <v>170.97800000000001</v>
      </c>
      <c r="CO199" s="376">
        <f>CO212*CO225/1000</f>
        <v>181.84399999999999</v>
      </c>
      <c r="CP199" s="376">
        <f>CP212*CP225/1000</f>
        <v>146.65700000000001</v>
      </c>
      <c r="CQ199" s="376">
        <f>CQ212*CQ225/1000</f>
        <v>121.004</v>
      </c>
      <c r="CR199" s="376">
        <f>CR212*CR225/1000</f>
        <v>118.26900000000001</v>
      </c>
      <c r="CS199" s="376">
        <f>CS212*CS225/1000</f>
        <v>123.08799999999999</v>
      </c>
      <c r="CT199" s="376">
        <f>CT212*CT225/1000</f>
        <v>205.06200000000001</v>
      </c>
      <c r="CU199" s="376">
        <f>CU212*CU225/1000</f>
        <v>215.96600000000001</v>
      </c>
      <c r="CV199" s="376">
        <f>CV212*CV225/1000</f>
        <v>236.11699999999999</v>
      </c>
      <c r="CW199" s="376">
        <f>CW212*CW225/1000</f>
        <v>247.39400000000001</v>
      </c>
      <c r="CX199" s="376">
        <f>CX212*CX225/1000</f>
        <v>226.66087499999998</v>
      </c>
      <c r="CY199" s="376">
        <f>CY212*CY225/1000</f>
        <v>223.67314999999996</v>
      </c>
      <c r="CZ199" s="376">
        <f>CZ212*CZ225/1000</f>
        <v>297.83283750000004</v>
      </c>
      <c r="DA199" s="376">
        <f>DA212*DA225/1000</f>
        <v>350.14580999999998</v>
      </c>
      <c r="DB199" s="376">
        <f>DB212*DB225/1000</f>
        <v>333.30108750000005</v>
      </c>
      <c r="DC199" s="376">
        <f>DC212*DC225/1000</f>
        <v>315.941035</v>
      </c>
      <c r="DD199" s="376">
        <f>DD212*DD225/1000</f>
        <v>511.36650500000002</v>
      </c>
      <c r="DE199" s="376">
        <f>DE212*DE225/1000</f>
        <v>626.17452400000002</v>
      </c>
      <c r="DF199" s="376">
        <f>DF212*DF225/1000</f>
        <v>484.12995000000001</v>
      </c>
      <c r="DG199" s="376">
        <f>DG212*DG225/1000</f>
        <v>355.86500000000001</v>
      </c>
      <c r="DH199" s="376">
        <f>DH212*DH225/1000</f>
        <v>437.63499999999999</v>
      </c>
      <c r="DI199" s="376">
        <f>DI212*DI225/1000</f>
        <v>671.06242350000002</v>
      </c>
      <c r="DJ199" s="397">
        <f>DJ212*DJ225/1000</f>
        <v>593.786224738746</v>
      </c>
      <c r="DK199" s="397">
        <f>DK212*DK225/1000</f>
        <v>535.31327558279736</v>
      </c>
      <c r="DL199" s="397">
        <f>DL212*DL225/1000</f>
        <v>544.50814000000003</v>
      </c>
      <c r="DM199" s="397">
        <f>DM212*DM225/1000</f>
        <v>607.69845000000009</v>
      </c>
      <c r="DN199" s="397">
        <f>DN212*DN225/1000</f>
        <v>465.53502500000008</v>
      </c>
      <c r="DO199" s="397">
        <f>DO212*DO225/1000</f>
        <v>460.26360000000005</v>
      </c>
      <c r="DP199" s="397">
        <f>DP212*DP225/1000</f>
        <v>395.23472500000003</v>
      </c>
      <c r="DQ199" s="397">
        <f>DQ212*DQ225/1000</f>
        <v>364.83337999999998</v>
      </c>
      <c r="DR199" s="397">
        <f>DR212*DR225/1000</f>
        <v>297.08699999999999</v>
      </c>
      <c r="DS199" s="397">
        <f>DS212*DS225/1000</f>
        <v>379.57729999999998</v>
      </c>
      <c r="DT199" s="397">
        <f>DT212*DT225/1000</f>
        <v>480.46639499999867</v>
      </c>
      <c r="DU199" s="397">
        <f>DU212*DU225/1000</f>
        <v>527.03012349999995</v>
      </c>
      <c r="DV199" s="376">
        <f>DV212*DV225/1000</f>
        <v>511.91977499999996</v>
      </c>
      <c r="DW199" s="376">
        <f>DW212*DW225/1000</f>
        <v>497.26308999999998</v>
      </c>
      <c r="DX199" s="376">
        <f>DX212*DX225/1000</f>
        <v>690.7645</v>
      </c>
      <c r="DY199" s="376">
        <f>DY212*DY225/1000</f>
        <v>892.11506000000008</v>
      </c>
      <c r="DZ199" s="376">
        <f>DZ212*DZ225/1000</f>
        <v>1014.37098</v>
      </c>
      <c r="EA199" s="376">
        <f>EA212*EA225/1000</f>
        <v>1202.09025</v>
      </c>
      <c r="EB199" s="376">
        <f>EB212*EB225/1000</f>
        <v>1334.2464750000001</v>
      </c>
      <c r="EC199" s="376">
        <f>EC212*EC225/1000</f>
        <v>1468.1142</v>
      </c>
      <c r="ED199" s="376">
        <f>ED212*ED225/1000</f>
        <v>1360.9418634000001</v>
      </c>
      <c r="EE199" s="380">
        <f>EE212*EE225/1000</f>
        <v>1388.2967948543401</v>
      </c>
      <c r="EF199" s="380">
        <f>EF212*EF225/1000</f>
        <v>1331.0989669063415</v>
      </c>
      <c r="EG199" s="380">
        <f>EG212*EG225/1000</f>
        <v>1290.6335583123887</v>
      </c>
      <c r="EH199" s="380">
        <f>EH212*EH225/1000</f>
        <v>1277.4690960176024</v>
      </c>
      <c r="EI199" s="380">
        <f>EI212*EI225/1000</f>
        <v>1354.1172417786586</v>
      </c>
      <c r="EJ199" s="380">
        <f>EJ212*EJ225/1000</f>
        <v>1463.3945031901962</v>
      </c>
      <c r="EK199" s="380">
        <f>EK212*EK225/1000</f>
        <v>1551.9298706332031</v>
      </c>
      <c r="EL199" s="380">
        <f>EL212*EL225/1000</f>
        <v>1382.769514734184</v>
      </c>
      <c r="EM199" s="380">
        <f>EM212*EM225/1000</f>
        <v>1410.4249050288677</v>
      </c>
      <c r="EN199" s="380">
        <f>EN212*EN225/1000</f>
        <v>1467.2650287015313</v>
      </c>
      <c r="EO199" s="380">
        <f>EO212*EO225/1000</f>
        <v>1541.2151861480886</v>
      </c>
      <c r="EP199" s="380">
        <f>EP212*EP225/1000</f>
        <v>1402.5058193947605</v>
      </c>
      <c r="EQ199" s="380">
        <f>EQ212*EQ225/1000</f>
        <v>1430.5559357826558</v>
      </c>
      <c r="ER199" s="380">
        <f>ER212*ER225/1000</f>
        <v>1487.7781732139622</v>
      </c>
      <c r="ES199" s="380">
        <f>ES212*ES225/1000</f>
        <v>1562.1670818746604</v>
      </c>
      <c r="ET199" s="380">
        <f>ET212*ET225/1000</f>
        <v>1435.7877649510006</v>
      </c>
      <c r="EU199" s="380">
        <f>EU212*EU225/1000</f>
        <v>1464.5035202500205</v>
      </c>
      <c r="EV199" s="380">
        <f>EV212*EV225/1000</f>
        <v>1523.0836610600215</v>
      </c>
      <c r="EW199" s="380">
        <f>EW212*EW225/1000</f>
        <v>1599.2378441130224</v>
      </c>
      <c r="FG199" s="376">
        <f>AD199+AE199+AF199+AG199</f>
        <v>2245.7248212449999</v>
      </c>
      <c r="FH199" s="376">
        <f>AH199+AI199+AJ199+AK199</f>
        <v>2258.1226200000001</v>
      </c>
      <c r="FI199" s="376">
        <f>AL199+AM199+AN199+AO199</f>
        <v>1437.2259300000001</v>
      </c>
      <c r="FJ199" s="376">
        <f>AP199+AQ199+AR199+AS199</f>
        <v>1681.88</v>
      </c>
      <c r="FK199" s="376">
        <f>AT199+AU199+AV199+AW199</f>
        <v>1997.7939999999999</v>
      </c>
      <c r="FL199" s="376">
        <f>AX199+AY199+AZ199+BA199</f>
        <v>2575.0410000000002</v>
      </c>
      <c r="FM199" s="376">
        <f>BB199+BC199+BD199+BE199</f>
        <v>2940.5847899999999</v>
      </c>
      <c r="FN199" s="376">
        <f>BF199+BG199+BH199+BI199</f>
        <v>2228.2660000000001</v>
      </c>
      <c r="FO199" s="376">
        <f>BJ199+BK199+BL199+BM199</f>
        <v>2131.7136499999997</v>
      </c>
      <c r="FP199" s="376">
        <f>BN199+BO199+BP199+BQ199</f>
        <v>2087.4629</v>
      </c>
      <c r="FQ199" s="376">
        <f>BR199+BS199+BT199+BU199</f>
        <v>2198.2150250000004</v>
      </c>
      <c r="FR199" s="376">
        <f>BV199+BW199+BX199+BY199</f>
        <v>2164.7724399999997</v>
      </c>
      <c r="FS199" s="376">
        <f>BZ199+CA199+CB199+CC199</f>
        <v>1473.7663</v>
      </c>
      <c r="FT199" s="376">
        <f>CD199+CE199+CF199+CG199</f>
        <v>1287.174</v>
      </c>
      <c r="FU199" s="376">
        <f>CH199+CI199+CJ199+CK199</f>
        <v>1134.297</v>
      </c>
      <c r="FV199" s="376">
        <f>CL199+CM199+CN199+CO199</f>
        <v>650.476</v>
      </c>
      <c r="FW199" s="376">
        <f>CP199+CQ199+CR199+CS199</f>
        <v>509.01800000000003</v>
      </c>
      <c r="FX199" s="376">
        <f>CT199+CU199+CV199+CW199</f>
        <v>904.53899999999999</v>
      </c>
      <c r="FY199" s="376">
        <f>CX199+CY199+CZ199+DA199</f>
        <v>1098.3126725</v>
      </c>
      <c r="FZ199" s="376">
        <f>DB199+DC199+DD199+DE199</f>
        <v>1786.7831515</v>
      </c>
      <c r="GA199" s="376">
        <f>SUM(DF199:DI199)</f>
        <v>1948.6923735</v>
      </c>
      <c r="GB199" s="376">
        <f>SUM(DJ199:DM199)</f>
        <v>2281.3060903215437</v>
      </c>
      <c r="GC199" s="376">
        <f>SUM(DN199:DQ199)</f>
        <v>1685.8667300000002</v>
      </c>
      <c r="GD199" s="376">
        <f>SUM(DR199:DU199)</f>
        <v>1684.1608184999984</v>
      </c>
      <c r="GE199" s="376">
        <f>SUM(DV199:DY199)</f>
        <v>2592.0624250000001</v>
      </c>
      <c r="GF199" s="376">
        <f>SUM(DZ199:EC199)</f>
        <v>5018.8219049999998</v>
      </c>
      <c r="GG199" s="380">
        <f>SUM(ED199:EG199)</f>
        <v>5370.9711834730706</v>
      </c>
      <c r="GH199" s="410">
        <f>SUM(EH199:EK199)</f>
        <v>5646.9107116196601</v>
      </c>
      <c r="GI199" s="410">
        <f>SUM(EL199:EO199)</f>
        <v>5801.674634612672</v>
      </c>
      <c r="GJ199" s="410">
        <f>SUM(EP199:ES199)</f>
        <v>5883.0070102660393</v>
      </c>
      <c r="GK199" s="410">
        <f>SUM(ET199:EW199)</f>
        <v>6022.6127903740653</v>
      </c>
      <c r="GN199" s="70"/>
    </row>
    <row r="200" spans="1:196" s="382" customFormat="1">
      <c r="A200" s="381" t="s">
        <v>198</v>
      </c>
      <c r="AE200" s="382">
        <f t="shared" ref="AE200:CP200" si="384">AE199/AD199-1</f>
        <v>5.36562989980367E-2</v>
      </c>
      <c r="AF200" s="382">
        <f t="shared" si="384"/>
        <v>0.10119405616568833</v>
      </c>
      <c r="AG200" s="382">
        <f t="shared" si="384"/>
        <v>-1.9439852017603454E-2</v>
      </c>
      <c r="AH200" s="382">
        <f t="shared" si="384"/>
        <v>0.10157486344968936</v>
      </c>
      <c r="AI200" s="382">
        <f t="shared" si="384"/>
        <v>-0.16631283315942769</v>
      </c>
      <c r="AJ200" s="382">
        <f t="shared" si="384"/>
        <v>-0.21719944587093376</v>
      </c>
      <c r="AK200" s="382">
        <f t="shared" si="384"/>
        <v>0.54006719203115394</v>
      </c>
      <c r="AL200" s="382">
        <f t="shared" si="384"/>
        <v>-8.5972484469300725E-2</v>
      </c>
      <c r="AM200" s="382">
        <f t="shared" si="384"/>
        <v>-0.48930341919677522</v>
      </c>
      <c r="AN200" s="382">
        <f t="shared" si="384"/>
        <v>-0.3850473737343878</v>
      </c>
      <c r="AO200" s="382">
        <f t="shared" si="384"/>
        <v>0.8918924524218883</v>
      </c>
      <c r="AP200" s="382">
        <f t="shared" si="384"/>
        <v>0.17081141675328193</v>
      </c>
      <c r="AQ200" s="382">
        <f t="shared" si="384"/>
        <v>-0.1463659523815285</v>
      </c>
      <c r="AR200" s="382">
        <f t="shared" si="384"/>
        <v>0.19668112121985093</v>
      </c>
      <c r="AS200" s="382">
        <f t="shared" si="384"/>
        <v>0.16880336313576882</v>
      </c>
      <c r="AT200" s="382">
        <f t="shared" si="384"/>
        <v>-2.7793425707905661E-2</v>
      </c>
      <c r="AU200" s="382">
        <f t="shared" si="384"/>
        <v>-0.11625279814582457</v>
      </c>
      <c r="AV200" s="382">
        <f t="shared" si="384"/>
        <v>0.24328429314679512</v>
      </c>
      <c r="AW200" s="382">
        <f t="shared" si="384"/>
        <v>7.5282646634797779E-2</v>
      </c>
      <c r="AX200" s="382">
        <f t="shared" si="384"/>
        <v>8.8277944979766598E-3</v>
      </c>
      <c r="AY200" s="382">
        <f t="shared" si="384"/>
        <v>-0.13274110343621581</v>
      </c>
      <c r="AZ200" s="382">
        <f t="shared" si="384"/>
        <v>0.28283549286005205</v>
      </c>
      <c r="BA200" s="382">
        <f t="shared" si="384"/>
        <v>0.36909866522479939</v>
      </c>
      <c r="BB200" s="382">
        <f t="shared" si="384"/>
        <v>-2.3996684411798808E-2</v>
      </c>
      <c r="BC200" s="382">
        <f t="shared" si="384"/>
        <v>-0.19786058684797125</v>
      </c>
      <c r="BD200" s="382">
        <f t="shared" si="384"/>
        <v>-1.4669888537448439E-2</v>
      </c>
      <c r="BE200" s="382">
        <f t="shared" si="384"/>
        <v>9.6256565112371462E-2</v>
      </c>
      <c r="BF200" s="382">
        <f t="shared" si="384"/>
        <v>-0.46096931849036116</v>
      </c>
      <c r="BG200" s="382">
        <f t="shared" si="384"/>
        <v>0.32352852285606337</v>
      </c>
      <c r="BH200" s="382">
        <f t="shared" si="384"/>
        <v>0.14358324437162606</v>
      </c>
      <c r="BI200" s="382">
        <f t="shared" si="384"/>
        <v>0.17270172274074369</v>
      </c>
      <c r="BJ200" s="382">
        <f t="shared" si="384"/>
        <v>-0.14039673755725457</v>
      </c>
      <c r="BK200" s="382">
        <f t="shared" si="384"/>
        <v>-0.10463246112998204</v>
      </c>
      <c r="BL200" s="382">
        <f t="shared" si="384"/>
        <v>1.9255851057016216E-3</v>
      </c>
      <c r="BM200" s="382">
        <f t="shared" si="384"/>
        <v>-0.19031676618369697</v>
      </c>
      <c r="BN200" s="382">
        <f t="shared" si="384"/>
        <v>9.4843643047453963E-2</v>
      </c>
      <c r="BO200" s="382">
        <f t="shared" si="384"/>
        <v>1.7320137710065575E-2</v>
      </c>
      <c r="BP200" s="382">
        <f t="shared" si="384"/>
        <v>7.7324776343598689E-2</v>
      </c>
      <c r="BQ200" s="382">
        <f t="shared" si="384"/>
        <v>0.11282344935500022</v>
      </c>
      <c r="BR200" s="382">
        <f t="shared" si="384"/>
        <v>-5.8790102136843547E-2</v>
      </c>
      <c r="BS200" s="382">
        <f t="shared" si="384"/>
        <v>-4.0691420351858021E-2</v>
      </c>
      <c r="BT200" s="382">
        <f t="shared" si="384"/>
        <v>1.7918627671070553E-2</v>
      </c>
      <c r="BU200" s="382">
        <f t="shared" si="384"/>
        <v>6.401701102199997E-2</v>
      </c>
      <c r="BV200" s="382">
        <f t="shared" si="384"/>
        <v>4.1432165109979602E-2</v>
      </c>
      <c r="BW200" s="382">
        <f t="shared" si="384"/>
        <v>-4.0533036282973667E-2</v>
      </c>
      <c r="BX200" s="382">
        <f t="shared" si="384"/>
        <v>-0.10912679098815758</v>
      </c>
      <c r="BY200" s="382">
        <f t="shared" si="384"/>
        <v>-6.024574539838301E-2</v>
      </c>
      <c r="BZ200" s="382">
        <f t="shared" si="384"/>
        <v>-6.1048099706879189E-2</v>
      </c>
      <c r="CA200" s="382">
        <f t="shared" si="384"/>
        <v>-0.15887654168767318</v>
      </c>
      <c r="CB200" s="382">
        <f t="shared" si="384"/>
        <v>-0.14533899454714394</v>
      </c>
      <c r="CC200" s="382">
        <f t="shared" si="384"/>
        <v>-1.8903562842877308E-2</v>
      </c>
      <c r="CD200" s="382">
        <f t="shared" si="384"/>
        <v>-0.11909327073095222</v>
      </c>
      <c r="CE200" s="382">
        <f t="shared" si="384"/>
        <v>0.10705166609608585</v>
      </c>
      <c r="CF200" s="382">
        <f t="shared" si="384"/>
        <v>5.8443796607985377E-2</v>
      </c>
      <c r="CG200" s="382">
        <f t="shared" si="384"/>
        <v>0.11920152901289804</v>
      </c>
      <c r="CH200" s="382">
        <f t="shared" si="384"/>
        <v>-0.1271342914247644</v>
      </c>
      <c r="CI200" s="382">
        <f t="shared" si="384"/>
        <v>-0.10501507825740208</v>
      </c>
      <c r="CJ200" s="382">
        <f t="shared" si="384"/>
        <v>0.1471684715071897</v>
      </c>
      <c r="CK200" s="382">
        <f t="shared" si="384"/>
        <v>-0.40387544680515353</v>
      </c>
      <c r="CL200" s="382">
        <f t="shared" si="384"/>
        <v>-0.25885167464114833</v>
      </c>
      <c r="CM200" s="382">
        <f t="shared" si="384"/>
        <v>4.4242682307047865E-2</v>
      </c>
      <c r="CN200" s="382">
        <f t="shared" si="384"/>
        <v>0.12450015784489121</v>
      </c>
      <c r="CO200" s="382">
        <f t="shared" si="384"/>
        <v>6.3552035934447693E-2</v>
      </c>
      <c r="CP200" s="382">
        <f t="shared" si="384"/>
        <v>-0.19350102285475457</v>
      </c>
      <c r="CQ200" s="382">
        <f t="shared" ref="CQ200:EW200" si="385">CQ199/CP199-1</f>
        <v>-0.17491834689104513</v>
      </c>
      <c r="CR200" s="382">
        <f t="shared" si="385"/>
        <v>-2.2602558593104338E-2</v>
      </c>
      <c r="CS200" s="382">
        <f t="shared" si="385"/>
        <v>4.0746095764739643E-2</v>
      </c>
      <c r="CT200" s="382">
        <f t="shared" si="385"/>
        <v>0.66597881190692854</v>
      </c>
      <c r="CU200" s="382">
        <f t="shared" si="385"/>
        <v>5.3174161960772848E-2</v>
      </c>
      <c r="CV200" s="382">
        <f t="shared" si="385"/>
        <v>9.3306353777909301E-2</v>
      </c>
      <c r="CW200" s="382">
        <f t="shared" si="385"/>
        <v>4.7760220568616507E-2</v>
      </c>
      <c r="CX200" s="382">
        <f t="shared" si="385"/>
        <v>-8.380609473148104E-2</v>
      </c>
      <c r="CY200" s="382">
        <f t="shared" si="385"/>
        <v>-1.3181476511991863E-2</v>
      </c>
      <c r="CZ200" s="382">
        <f t="shared" si="385"/>
        <v>0.33155382083187046</v>
      </c>
      <c r="DA200" s="382">
        <f t="shared" si="385"/>
        <v>0.17564541552608337</v>
      </c>
      <c r="DB200" s="382">
        <f t="shared" si="385"/>
        <v>-4.8107736888240771E-2</v>
      </c>
      <c r="DC200" s="382">
        <f t="shared" si="385"/>
        <v>-5.2085196091657071E-2</v>
      </c>
      <c r="DD200" s="382">
        <f t="shared" si="385"/>
        <v>0.61855045198544722</v>
      </c>
      <c r="DE200" s="382">
        <f t="shared" si="385"/>
        <v>0.22451219991422788</v>
      </c>
      <c r="DF200" s="382">
        <f t="shared" si="385"/>
        <v>-0.22684502252282623</v>
      </c>
      <c r="DG200" s="382">
        <f t="shared" si="385"/>
        <v>-0.26493909331575127</v>
      </c>
      <c r="DH200" s="382">
        <f t="shared" si="385"/>
        <v>0.22977814620712911</v>
      </c>
      <c r="DI200" s="382">
        <f t="shared" si="385"/>
        <v>0.53338380956733356</v>
      </c>
      <c r="DJ200" s="383">
        <f t="shared" si="385"/>
        <v>-0.11515500802177459</v>
      </c>
      <c r="DK200" s="383">
        <f t="shared" si="385"/>
        <v>-9.8474748520270161E-2</v>
      </c>
      <c r="DL200" s="383">
        <f t="shared" si="385"/>
        <v>1.7176604497977754E-2</v>
      </c>
      <c r="DM200" s="383">
        <f t="shared" si="385"/>
        <v>0.1160502577610687</v>
      </c>
      <c r="DN200" s="383">
        <f t="shared" si="385"/>
        <v>-0.23393744874616673</v>
      </c>
      <c r="DO200" s="383">
        <f t="shared" si="385"/>
        <v>-1.1323369278176232E-2</v>
      </c>
      <c r="DP200" s="383">
        <f t="shared" si="385"/>
        <v>-0.14128615645469256</v>
      </c>
      <c r="DQ200" s="383">
        <f t="shared" si="385"/>
        <v>-7.6919721565457233E-2</v>
      </c>
      <c r="DR200" s="383">
        <f t="shared" si="385"/>
        <v>-0.18569128734876172</v>
      </c>
      <c r="DS200" s="383">
        <f t="shared" si="385"/>
        <v>0.27766378198978758</v>
      </c>
      <c r="DT200" s="383">
        <f t="shared" si="385"/>
        <v>0.2657932784705479</v>
      </c>
      <c r="DU200" s="383">
        <f t="shared" si="385"/>
        <v>9.6913601002212468E-2</v>
      </c>
      <c r="DV200" s="382">
        <f t="shared" si="385"/>
        <v>-2.867074921572299E-2</v>
      </c>
      <c r="DW200" s="382">
        <f t="shared" si="385"/>
        <v>-2.863082403878614E-2</v>
      </c>
      <c r="DX200" s="382">
        <f t="shared" si="385"/>
        <v>0.38913286324951257</v>
      </c>
      <c r="DY200" s="382">
        <f t="shared" si="385"/>
        <v>0.29148944394218312</v>
      </c>
      <c r="DZ200" s="382">
        <f t="shared" si="385"/>
        <v>0.13704052927881283</v>
      </c>
      <c r="EA200" s="382">
        <f t="shared" si="385"/>
        <v>0.18505977960844255</v>
      </c>
      <c r="EB200" s="382">
        <f t="shared" si="385"/>
        <v>0.10993868804775686</v>
      </c>
      <c r="EC200" s="382">
        <f t="shared" si="385"/>
        <v>0.1003320806974588</v>
      </c>
      <c r="ED200" s="382">
        <f t="shared" si="385"/>
        <v>-7.2999999999999954E-2</v>
      </c>
      <c r="EE200" s="384">
        <f t="shared" si="385"/>
        <v>2.0100000000000007E-2</v>
      </c>
      <c r="EF200" s="384">
        <f t="shared" si="385"/>
        <v>-4.1199999999999792E-2</v>
      </c>
      <c r="EG200" s="384">
        <f t="shared" si="385"/>
        <v>-3.0399999999999983E-2</v>
      </c>
      <c r="EH200" s="384">
        <f t="shared" si="385"/>
        <v>-1.0199999999999987E-2</v>
      </c>
      <c r="EI200" s="384">
        <f t="shared" si="385"/>
        <v>6.0000000000000053E-2</v>
      </c>
      <c r="EJ200" s="384">
        <f t="shared" si="385"/>
        <v>8.0699999999999994E-2</v>
      </c>
      <c r="EK200" s="384">
        <f t="shared" si="385"/>
        <v>6.0499999999999998E-2</v>
      </c>
      <c r="EL200" s="384">
        <f t="shared" si="385"/>
        <v>-0.10899999999999999</v>
      </c>
      <c r="EM200" s="384">
        <f t="shared" si="385"/>
        <v>2.0000000000000018E-2</v>
      </c>
      <c r="EN200" s="384">
        <f t="shared" si="385"/>
        <v>4.0300000000000225E-2</v>
      </c>
      <c r="EO200" s="384">
        <f t="shared" si="385"/>
        <v>5.0400000000000222E-2</v>
      </c>
      <c r="EP200" s="384">
        <f t="shared" si="385"/>
        <v>-9.000000000000008E-2</v>
      </c>
      <c r="EQ200" s="384">
        <f t="shared" si="385"/>
        <v>2.0000000000000018E-2</v>
      </c>
      <c r="ER200" s="384">
        <f t="shared" si="385"/>
        <v>4.0000000000000036E-2</v>
      </c>
      <c r="ES200" s="384">
        <f t="shared" si="385"/>
        <v>5.0000000000000044E-2</v>
      </c>
      <c r="ET200" s="384">
        <f t="shared" si="385"/>
        <v>-8.0899999999999861E-2</v>
      </c>
      <c r="EU200" s="384">
        <f t="shared" si="385"/>
        <v>2.0000000000000018E-2</v>
      </c>
      <c r="EV200" s="384">
        <f t="shared" si="385"/>
        <v>4.0000000000000036E-2</v>
      </c>
      <c r="EW200" s="384">
        <f t="shared" si="385"/>
        <v>4.9999999999999822E-2</v>
      </c>
      <c r="FZ200" s="386" t="s">
        <v>199</v>
      </c>
      <c r="GA200" s="386" t="s">
        <v>199</v>
      </c>
      <c r="GB200" s="386" t="s">
        <v>199</v>
      </c>
      <c r="GC200" s="386" t="s">
        <v>199</v>
      </c>
      <c r="GD200" s="386" t="s">
        <v>199</v>
      </c>
      <c r="GE200" s="386" t="s">
        <v>199</v>
      </c>
      <c r="GF200" s="386" t="s">
        <v>199</v>
      </c>
      <c r="GG200" s="386" t="s">
        <v>199</v>
      </c>
      <c r="GH200" s="386" t="s">
        <v>199</v>
      </c>
      <c r="GI200" s="386" t="s">
        <v>199</v>
      </c>
      <c r="GJ200" s="386" t="s">
        <v>199</v>
      </c>
      <c r="GK200" s="386" t="s">
        <v>199</v>
      </c>
      <c r="GN200" s="70"/>
    </row>
    <row r="201" spans="1:196" s="382" customFormat="1">
      <c r="A201" s="381" t="s">
        <v>200</v>
      </c>
      <c r="AH201" s="382">
        <f t="shared" ref="AH201:CS201" si="386">AH199/AD199-1</f>
        <v>0.25328857981453834</v>
      </c>
      <c r="AI201" s="382">
        <f t="shared" si="386"/>
        <v>-8.3572733036223479E-3</v>
      </c>
      <c r="AJ201" s="382">
        <f t="shared" si="386"/>
        <v>-0.2950756757088917</v>
      </c>
      <c r="AK201" s="382">
        <f t="shared" si="386"/>
        <v>0.1071537293650604</v>
      </c>
      <c r="AL201" s="382">
        <f t="shared" si="386"/>
        <v>-8.1343441885543211E-2</v>
      </c>
      <c r="AM201" s="382">
        <f t="shared" si="386"/>
        <v>-0.43725322660360755</v>
      </c>
      <c r="AN201" s="382">
        <f t="shared" si="386"/>
        <v>-0.55791726973464439</v>
      </c>
      <c r="AO201" s="382">
        <f t="shared" si="386"/>
        <v>-0.45692435689639133</v>
      </c>
      <c r="AP201" s="382">
        <f t="shared" si="386"/>
        <v>-0.30435446165189317</v>
      </c>
      <c r="AQ201" s="382">
        <f t="shared" si="386"/>
        <v>0.16277793689915265</v>
      </c>
      <c r="AR201" s="382">
        <f t="shared" si="386"/>
        <v>1.26273430801997</v>
      </c>
      <c r="AS201" s="382">
        <f t="shared" si="386"/>
        <v>0.39790793377860911</v>
      </c>
      <c r="AT201" s="382">
        <f t="shared" si="386"/>
        <v>0.16078068938153089</v>
      </c>
      <c r="AU201" s="382">
        <f t="shared" si="386"/>
        <v>0.20172887792988115</v>
      </c>
      <c r="AV201" s="382">
        <f t="shared" si="386"/>
        <v>0.24852862810113074</v>
      </c>
      <c r="AW201" s="382">
        <f t="shared" si="386"/>
        <v>0.14862876850564755</v>
      </c>
      <c r="AX201" s="382">
        <f t="shared" si="386"/>
        <v>0.19189548586649785</v>
      </c>
      <c r="AY201" s="382">
        <f t="shared" si="386"/>
        <v>0.16965797653806791</v>
      </c>
      <c r="AZ201" s="382">
        <f t="shared" si="386"/>
        <v>0.20686698535548986</v>
      </c>
      <c r="BA201" s="382">
        <f t="shared" si="386"/>
        <v>0.53663781697321666</v>
      </c>
      <c r="BB201" s="382">
        <f t="shared" si="386"/>
        <v>0.48663985310833247</v>
      </c>
      <c r="BC201" s="382">
        <f t="shared" si="386"/>
        <v>0.37501318702590214</v>
      </c>
      <c r="BD201" s="382">
        <f t="shared" si="386"/>
        <v>5.6130660848899394E-2</v>
      </c>
      <c r="BE201" s="382">
        <f t="shared" si="386"/>
        <v>-0.15434131959951181</v>
      </c>
      <c r="BF201" s="382">
        <f t="shared" si="386"/>
        <v>-0.53295653043340174</v>
      </c>
      <c r="BG201" s="382">
        <f t="shared" si="386"/>
        <v>-0.22937915373584317</v>
      </c>
      <c r="BH201" s="382">
        <f t="shared" si="386"/>
        <v>-0.10561031546769495</v>
      </c>
      <c r="BI201" s="382">
        <f t="shared" si="386"/>
        <v>-4.3241922345913619E-2</v>
      </c>
      <c r="BJ201" s="382">
        <f t="shared" si="386"/>
        <v>0.52576169248205518</v>
      </c>
      <c r="BK201" s="382">
        <f t="shared" si="386"/>
        <v>3.2178353475786237E-2</v>
      </c>
      <c r="BL201" s="382">
        <f t="shared" si="386"/>
        <v>-9.5679386848730674E-2</v>
      </c>
      <c r="BM201" s="382">
        <f t="shared" si="386"/>
        <v>-0.37561851895996867</v>
      </c>
      <c r="BN201" s="382">
        <f t="shared" si="386"/>
        <v>-0.20474930096165789</v>
      </c>
      <c r="BO201" s="382">
        <f t="shared" si="386"/>
        <v>-9.6433011542135461E-2</v>
      </c>
      <c r="BP201" s="382">
        <f t="shared" si="386"/>
        <v>-2.8435725943526946E-2</v>
      </c>
      <c r="BQ201" s="382">
        <f t="shared" si="386"/>
        <v>0.33531171397690551</v>
      </c>
      <c r="BR201" s="382">
        <f t="shared" si="386"/>
        <v>0.14793432825659236</v>
      </c>
      <c r="BS201" s="382">
        <f t="shared" si="386"/>
        <v>8.2474640134394317E-2</v>
      </c>
      <c r="BT201" s="382">
        <f t="shared" si="386"/>
        <v>2.2784516210653916E-2</v>
      </c>
      <c r="BU201" s="382">
        <f t="shared" si="386"/>
        <v>-2.2072976186110149E-2</v>
      </c>
      <c r="BV201" s="382">
        <f t="shared" si="386"/>
        <v>8.2059017911146892E-2</v>
      </c>
      <c r="BW201" s="382">
        <f t="shared" si="386"/>
        <v>8.2237668361758498E-2</v>
      </c>
      <c r="BX201" s="382">
        <f t="shared" si="386"/>
        <v>-5.2835346246866921E-2</v>
      </c>
      <c r="BY201" s="382">
        <f t="shared" si="386"/>
        <v>-0.1634513321193789</v>
      </c>
      <c r="BZ201" s="382">
        <f t="shared" si="386"/>
        <v>-0.24577040376774029</v>
      </c>
      <c r="CA201" s="382">
        <f t="shared" si="386"/>
        <v>-0.33879932260857859</v>
      </c>
      <c r="CB201" s="382">
        <f t="shared" si="386"/>
        <v>-0.36567579984555376</v>
      </c>
      <c r="CC201" s="382">
        <f t="shared" si="386"/>
        <v>-0.33777026310150637</v>
      </c>
      <c r="CD201" s="382">
        <f t="shared" si="386"/>
        <v>-0.37870871620384328</v>
      </c>
      <c r="CE201" s="382">
        <f t="shared" si="386"/>
        <v>-0.18228228679110703</v>
      </c>
      <c r="CF201" s="382">
        <f t="shared" si="386"/>
        <v>1.2691857239721438E-2</v>
      </c>
      <c r="CG201" s="382">
        <f t="shared" si="386"/>
        <v>0.15524451227835057</v>
      </c>
      <c r="CH201" s="382">
        <f t="shared" si="386"/>
        <v>0.14469930389136154</v>
      </c>
      <c r="CI201" s="382">
        <f t="shared" si="386"/>
        <v>-7.4579219482339254E-2</v>
      </c>
      <c r="CJ201" s="382">
        <f t="shared" si="386"/>
        <v>2.9947227142415045E-3</v>
      </c>
      <c r="CK201" s="382">
        <f t="shared" si="386"/>
        <v>-0.46577111857401188</v>
      </c>
      <c r="CL201" s="382">
        <f t="shared" si="386"/>
        <v>-0.54638744890838398</v>
      </c>
      <c r="CM201" s="382">
        <f t="shared" si="386"/>
        <v>-0.47073791348600513</v>
      </c>
      <c r="CN201" s="382">
        <f t="shared" si="386"/>
        <v>-0.48119625442253655</v>
      </c>
      <c r="CO201" s="382">
        <f t="shared" si="386"/>
        <v>-7.4396823780922383E-2</v>
      </c>
      <c r="CP201" s="382">
        <f t="shared" si="386"/>
        <v>7.2181091438541234E-3</v>
      </c>
      <c r="CQ201" s="382">
        <f t="shared" si="386"/>
        <v>-0.20417236662106697</v>
      </c>
      <c r="CR201" s="382">
        <f t="shared" si="386"/>
        <v>-0.30827942776263617</v>
      </c>
      <c r="CS201" s="382">
        <f t="shared" si="386"/>
        <v>-0.32311211807923279</v>
      </c>
      <c r="CT201" s="382">
        <f t="shared" ref="CT201:EW201" si="387">CT199/CP199-1</f>
        <v>0.3982421568694301</v>
      </c>
      <c r="CU201" s="382">
        <f t="shared" si="387"/>
        <v>0.78478397408350142</v>
      </c>
      <c r="CV201" s="382">
        <f t="shared" si="387"/>
        <v>0.99644031825753143</v>
      </c>
      <c r="CW201" s="382">
        <f t="shared" si="387"/>
        <v>1.0098953594176527</v>
      </c>
      <c r="CX201" s="382">
        <f t="shared" si="387"/>
        <v>0.10532851040173208</v>
      </c>
      <c r="CY201" s="382">
        <f t="shared" si="387"/>
        <v>3.5686867377272113E-2</v>
      </c>
      <c r="CZ201" s="382">
        <f t="shared" si="387"/>
        <v>0.26137820444948923</v>
      </c>
      <c r="DA201" s="382">
        <f t="shared" si="387"/>
        <v>0.41533670986361826</v>
      </c>
      <c r="DB201" s="382">
        <f t="shared" si="387"/>
        <v>0.47048354728181518</v>
      </c>
      <c r="DC201" s="382">
        <f t="shared" si="387"/>
        <v>0.41251211868746895</v>
      </c>
      <c r="DD201" s="382">
        <f t="shared" si="387"/>
        <v>0.7169581074148681</v>
      </c>
      <c r="DE201" s="382">
        <f t="shared" si="387"/>
        <v>0.78832505235461769</v>
      </c>
      <c r="DF201" s="382">
        <f t="shared" si="387"/>
        <v>0.45253036415610226</v>
      </c>
      <c r="DG201" s="382">
        <f t="shared" si="387"/>
        <v>0.1263652409064242</v>
      </c>
      <c r="DH201" s="382">
        <f t="shared" si="387"/>
        <v>-0.14418524537503685</v>
      </c>
      <c r="DI201" s="382">
        <f t="shared" si="387"/>
        <v>7.168592425839404E-2</v>
      </c>
      <c r="DJ201" s="383">
        <f t="shared" si="387"/>
        <v>0.22650173726857004</v>
      </c>
      <c r="DK201" s="383">
        <f t="shared" si="387"/>
        <v>0.50425941180727896</v>
      </c>
      <c r="DL201" s="383">
        <f t="shared" si="387"/>
        <v>0.24420610782958407</v>
      </c>
      <c r="DM201" s="383">
        <f t="shared" si="387"/>
        <v>-9.4423367008866554E-2</v>
      </c>
      <c r="DN201" s="383">
        <f t="shared" si="387"/>
        <v>-0.21598884311466449</v>
      </c>
      <c r="DO201" s="383">
        <f t="shared" si="387"/>
        <v>-0.1401976730375134</v>
      </c>
      <c r="DP201" s="383">
        <f t="shared" si="387"/>
        <v>-0.27414358764223434</v>
      </c>
      <c r="DQ201" s="383">
        <f t="shared" si="387"/>
        <v>-0.39964734153921255</v>
      </c>
      <c r="DR201" s="383">
        <f t="shared" si="387"/>
        <v>-0.36183749010077182</v>
      </c>
      <c r="DS201" s="383">
        <f t="shared" si="387"/>
        <v>-0.17530454287499608</v>
      </c>
      <c r="DT201" s="383">
        <f t="shared" si="387"/>
        <v>0.21564823283176504</v>
      </c>
      <c r="DU201" s="383">
        <f t="shared" si="387"/>
        <v>0.44457758634914368</v>
      </c>
      <c r="DV201" s="382">
        <f t="shared" si="387"/>
        <v>0.72313085055892712</v>
      </c>
      <c r="DW201" s="382">
        <f t="shared" si="387"/>
        <v>0.31004433089123085</v>
      </c>
      <c r="DX201" s="382">
        <f t="shared" si="387"/>
        <v>0.43769576226033857</v>
      </c>
      <c r="DY201" s="382">
        <f>DY199/DU199-1</f>
        <v>0.69272119414252065</v>
      </c>
      <c r="DZ201" s="382">
        <f>DZ199/DV199-1</f>
        <v>0.98150380105945323</v>
      </c>
      <c r="EA201" s="382">
        <f>EA199/DW199-1</f>
        <v>1.4174129835375475</v>
      </c>
      <c r="EB201" s="382">
        <f t="shared" si="387"/>
        <v>0.93155044157596434</v>
      </c>
      <c r="EC201" s="382">
        <f t="shared" si="387"/>
        <v>0.64565566239852501</v>
      </c>
      <c r="ED201" s="382">
        <f t="shared" si="387"/>
        <v>0.34166088170227438</v>
      </c>
      <c r="EE201" s="384">
        <f t="shared" si="387"/>
        <v>0.15490230026767127</v>
      </c>
      <c r="EF201" s="384">
        <f t="shared" si="387"/>
        <v>-2.3590154837460631E-3</v>
      </c>
      <c r="EG201" s="384">
        <f t="shared" si="387"/>
        <v>-0.12089021527590382</v>
      </c>
      <c r="EH201" s="384">
        <f t="shared" si="387"/>
        <v>-6.1334557799449407E-2</v>
      </c>
      <c r="EI201" s="384">
        <f t="shared" si="387"/>
        <v>-2.4619773813759793E-2</v>
      </c>
      <c r="EJ201" s="384">
        <f t="shared" si="387"/>
        <v>9.9388204463360053E-2</v>
      </c>
      <c r="EK201" s="384">
        <f t="shared" si="387"/>
        <v>0.2024558486318</v>
      </c>
      <c r="EL201" s="384">
        <f t="shared" si="387"/>
        <v>8.2428936281000009E-2</v>
      </c>
      <c r="EM201" s="384">
        <f t="shared" si="387"/>
        <v>4.1582561327000001E-2</v>
      </c>
      <c r="EN201" s="384">
        <f t="shared" si="387"/>
        <v>2.6448954830000648E-3</v>
      </c>
      <c r="EO201" s="384">
        <f t="shared" si="387"/>
        <v>-6.9041035215997582E-3</v>
      </c>
      <c r="EP201" s="384">
        <f t="shared" si="387"/>
        <v>1.4273025584000232E-2</v>
      </c>
      <c r="EQ201" s="384">
        <f t="shared" si="387"/>
        <v>1.4273025584000232E-2</v>
      </c>
      <c r="ER201" s="384">
        <f t="shared" si="387"/>
        <v>1.398053120000009E-2</v>
      </c>
      <c r="ES201" s="384">
        <f t="shared" si="387"/>
        <v>1.3594400000000118E-2</v>
      </c>
      <c r="ET201" s="384">
        <f t="shared" si="387"/>
        <v>2.3730344000000292E-2</v>
      </c>
      <c r="EU201" s="384">
        <f t="shared" si="387"/>
        <v>2.3730344000000292E-2</v>
      </c>
      <c r="EV201" s="384">
        <f t="shared" si="387"/>
        <v>2.3730344000000292E-2</v>
      </c>
      <c r="EW201" s="384">
        <f t="shared" si="387"/>
        <v>2.373034400000007E-2</v>
      </c>
      <c r="FH201" s="382">
        <f t="shared" ref="FH201:GK201" si="388">FH199/FG199-1</f>
        <v>5.5206224011572491E-3</v>
      </c>
      <c r="FI201" s="382">
        <f t="shared" si="388"/>
        <v>-0.36353060844853502</v>
      </c>
      <c r="FJ201" s="382">
        <f t="shared" si="388"/>
        <v>0.17022659060987033</v>
      </c>
      <c r="FK201" s="382">
        <f t="shared" si="388"/>
        <v>0.18783385259352614</v>
      </c>
      <c r="FL201" s="382">
        <f t="shared" si="388"/>
        <v>0.28894220325018516</v>
      </c>
      <c r="FM201" s="382">
        <f t="shared" si="388"/>
        <v>0.14195649311991532</v>
      </c>
      <c r="FN201" s="382">
        <f t="shared" si="388"/>
        <v>-0.24223711978051821</v>
      </c>
      <c r="FO201" s="382">
        <f t="shared" si="388"/>
        <v>-4.3330710965387653E-2</v>
      </c>
      <c r="FP201" s="382">
        <f t="shared" si="388"/>
        <v>-2.0758299314731943E-2</v>
      </c>
      <c r="FQ201" s="382">
        <f t="shared" si="388"/>
        <v>5.305585311240768E-2</v>
      </c>
      <c r="FR201" s="382">
        <f t="shared" si="388"/>
        <v>-1.5213518522830038E-2</v>
      </c>
      <c r="FS201" s="382">
        <f t="shared" si="388"/>
        <v>-0.31920497842258178</v>
      </c>
      <c r="FT201" s="382">
        <f t="shared" si="388"/>
        <v>-0.12660915098954295</v>
      </c>
      <c r="FU201" s="382">
        <f t="shared" si="388"/>
        <v>-0.11876949037193107</v>
      </c>
      <c r="FV201" s="382">
        <f t="shared" si="388"/>
        <v>-0.42653819943101323</v>
      </c>
      <c r="FW201" s="382">
        <f t="shared" si="388"/>
        <v>-0.21746843849734654</v>
      </c>
      <c r="FX201" s="382">
        <f t="shared" si="388"/>
        <v>0.77702753144289582</v>
      </c>
      <c r="FY201" s="382">
        <f t="shared" si="388"/>
        <v>0.21422367913379081</v>
      </c>
      <c r="FZ201" s="382">
        <f t="shared" si="388"/>
        <v>0.6268437906965878</v>
      </c>
      <c r="GA201" s="382">
        <f t="shared" si="388"/>
        <v>9.0614925411669267E-2</v>
      </c>
      <c r="GB201" s="382">
        <f t="shared" si="388"/>
        <v>0.17068559478382106</v>
      </c>
      <c r="GC201" s="382">
        <f t="shared" si="388"/>
        <v>-0.26100809656700563</v>
      </c>
      <c r="GD201" s="382">
        <f t="shared" si="388"/>
        <v>-1.0118898900162154E-3</v>
      </c>
      <c r="GE201" s="382">
        <f t="shared" si="388"/>
        <v>0.53908248934839031</v>
      </c>
      <c r="GF201" s="382">
        <f t="shared" si="388"/>
        <v>0.93622725154854236</v>
      </c>
      <c r="GG201" s="387">
        <f t="shared" si="388"/>
        <v>7.0165725171925653E-2</v>
      </c>
      <c r="GH201" s="387">
        <f t="shared" si="388"/>
        <v>5.1376095443535164E-2</v>
      </c>
      <c r="GI201" s="387">
        <f t="shared" si="388"/>
        <v>2.7406830193817955E-2</v>
      </c>
      <c r="GJ201" s="387">
        <f t="shared" si="388"/>
        <v>1.4018775745909595E-2</v>
      </c>
      <c r="GK201" s="387">
        <f t="shared" si="388"/>
        <v>2.3730344000000292E-2</v>
      </c>
      <c r="GN201" s="70"/>
    </row>
    <row r="202" spans="1:196" s="382" customFormat="1">
      <c r="A202" s="381" t="s">
        <v>281</v>
      </c>
      <c r="AD202" s="382">
        <f>AD199/AD4</f>
        <v>0.47257129499308165</v>
      </c>
      <c r="AE202" s="382">
        <f>AE199/AE4</f>
        <v>0.46457136265770832</v>
      </c>
      <c r="AF202" s="382">
        <f>AF199/AF4</f>
        <v>0.49627154225812631</v>
      </c>
      <c r="AG202" s="382">
        <f>AG199/AG4</f>
        <v>0.49961692204205005</v>
      </c>
      <c r="AH202" s="382">
        <f>AH199/AH4</f>
        <v>0.54408049652280921</v>
      </c>
      <c r="AI202" s="382">
        <f>AI199/AI4</f>
        <v>0.54727182968219679</v>
      </c>
      <c r="AJ202" s="382">
        <f>AJ199/AJ4</f>
        <v>0.55112711034509765</v>
      </c>
      <c r="AK202" s="382">
        <f>AK199/AK4</f>
        <v>0.68291632392136348</v>
      </c>
      <c r="AL202" s="382">
        <f>AL199/AL4</f>
        <v>0.65866424335946205</v>
      </c>
      <c r="AM202" s="382">
        <f>AM199/AM4</f>
        <v>0.50547665413402332</v>
      </c>
      <c r="AN202" s="382">
        <f>AN199/AN4</f>
        <v>0.36715770708758094</v>
      </c>
      <c r="AO202" s="382">
        <f>AO199/AO4</f>
        <v>0.51429295048293355</v>
      </c>
      <c r="AP202" s="382">
        <f>AP199/AP4</f>
        <v>0.57843972822246015</v>
      </c>
      <c r="AQ202" s="382">
        <f>AQ199/AQ4</f>
        <v>0.5468019917521747</v>
      </c>
      <c r="AR202" s="382">
        <f>AR199/AR4</f>
        <v>0.4426956914692286</v>
      </c>
      <c r="AS202" s="382">
        <f>AS199/AS4</f>
        <v>0.4093404656463665</v>
      </c>
      <c r="AT202" s="382">
        <f>AT199/AT4</f>
        <v>0.38803720055999796</v>
      </c>
      <c r="AU202" s="382">
        <f>AU199/AU4</f>
        <v>0.33602279850725569</v>
      </c>
      <c r="AV202" s="382">
        <f>AV199/AV4</f>
        <v>0.42531459289899864</v>
      </c>
      <c r="AW202" s="382">
        <f>AW199/AW4</f>
        <v>0.44855844634748909</v>
      </c>
      <c r="AX202" s="382">
        <f>AX199/AX4</f>
        <v>0.46619676055006087</v>
      </c>
      <c r="AY202" s="382">
        <f>AY199/AY4</f>
        <v>0.393630379119911</v>
      </c>
      <c r="AZ202" s="382">
        <f>AZ199/AZ4</f>
        <v>0.41780325791082606</v>
      </c>
      <c r="BA202" s="382">
        <f>BA199/BA4</f>
        <v>0.47383363542797707</v>
      </c>
      <c r="BB202" s="382">
        <f>BB199/BB4</f>
        <v>0.63816379138210333</v>
      </c>
      <c r="BC202" s="382">
        <f>BC199/BC4</f>
        <v>0.56062585551893462</v>
      </c>
      <c r="BD202" s="382">
        <f>BD199/BD4</f>
        <v>0.50611017292572735</v>
      </c>
      <c r="BE202" s="382">
        <f>BE199/BE4</f>
        <v>0.41545403271291598</v>
      </c>
      <c r="BF202" s="382">
        <f>BF199/BF4</f>
        <v>0.32201946472019466</v>
      </c>
      <c r="BG202" s="382">
        <f>BG199/BG4</f>
        <v>0.38135486211901304</v>
      </c>
      <c r="BH202" s="382">
        <f>BH199/BH4</f>
        <v>0.3682359068627451</v>
      </c>
      <c r="BI202" s="382">
        <f>BI199/BI4</f>
        <v>0.39816271186440683</v>
      </c>
      <c r="BJ202" s="382">
        <f>BJ199/BJ4</f>
        <v>0.40252736212624585</v>
      </c>
      <c r="BK202" s="382">
        <f>BK199/BK4</f>
        <v>0.40208817642698291</v>
      </c>
      <c r="BL202" s="382">
        <f>BL199/BL4</f>
        <v>0.33839440846824409</v>
      </c>
      <c r="BM202" s="382">
        <f>BM199/BM4</f>
        <v>0.37868468158347679</v>
      </c>
      <c r="BN202" s="382">
        <f>BN199/BN4</f>
        <v>0.4093167374681394</v>
      </c>
      <c r="BO202" s="382">
        <f>BO199/BO4</f>
        <v>0.41394429898648649</v>
      </c>
      <c r="BP202" s="382">
        <f>BP199/BP4</f>
        <v>0.37822901146131804</v>
      </c>
      <c r="BQ202" s="382">
        <f>BQ199/BQ4</f>
        <v>0.35697408869987857</v>
      </c>
      <c r="BR202" s="382">
        <f>BR199/BR4</f>
        <v>0.35135673443456161</v>
      </c>
      <c r="BS202" s="382">
        <f>BS199/BS4</f>
        <v>0.32095081669691472</v>
      </c>
      <c r="BT202" s="382">
        <f>BT199/BT4</f>
        <v>0.33376891223733007</v>
      </c>
      <c r="BU202" s="382">
        <f>BU199/BU4</f>
        <v>0.34845950576106732</v>
      </c>
      <c r="BV202" s="382">
        <f>BV199/BV4</f>
        <v>0.37099631122132676</v>
      </c>
      <c r="BW202" s="382">
        <f>BW199/BW4</f>
        <v>0.36477851969504443</v>
      </c>
      <c r="BX202" s="382">
        <f>BX199/BX4</f>
        <v>0.30266568047337272</v>
      </c>
      <c r="BY202" s="382">
        <f>BY199/BY4</f>
        <v>0.28426315789473683</v>
      </c>
      <c r="BZ202" s="382">
        <f>BZ199/BZ4</f>
        <v>0.28475952681388012</v>
      </c>
      <c r="CA202" s="382">
        <f>CA199/CA4</f>
        <v>0.26867367303609346</v>
      </c>
      <c r="CB202" s="382">
        <f>CB199/CB4</f>
        <v>0.25568163908589436</v>
      </c>
      <c r="CC202" s="382">
        <f>CC199/CC4</f>
        <v>0.27560740259740257</v>
      </c>
      <c r="CD202" s="382">
        <f>CD199/CD4</f>
        <v>0.25773529411764706</v>
      </c>
      <c r="CE202" s="382">
        <f>CE199/CE4</f>
        <v>0.26738587424633936</v>
      </c>
      <c r="CF202" s="382">
        <f>CF199/CF4</f>
        <v>0.22489938398357287</v>
      </c>
      <c r="CG202" s="382">
        <f>CG199/CG4</f>
        <v>0.23143171806167401</v>
      </c>
      <c r="CH202" s="382">
        <f>CH199/CH4</f>
        <v>0.22977236936292056</v>
      </c>
      <c r="CI202" s="382">
        <f>CI199/CI4</f>
        <v>0.19936363636363638</v>
      </c>
      <c r="CJ202" s="382">
        <f>CJ199/CJ4</f>
        <v>0.23062421273617917</v>
      </c>
      <c r="CK202" s="382">
        <f>CK199/CK4</f>
        <v>0.15856335754640841</v>
      </c>
      <c r="CL202" s="382">
        <f>CL199/CL4</f>
        <v>0.14136504854368931</v>
      </c>
      <c r="CM202" s="382">
        <f>CM199/CM4</f>
        <v>0.16140976645435245</v>
      </c>
      <c r="CN202" s="382">
        <f>CN199/CN4</f>
        <v>0.16114797360980207</v>
      </c>
      <c r="CO202" s="382">
        <f>CO199/CO4</f>
        <v>0.18981628392484343</v>
      </c>
      <c r="CP202" s="382">
        <f>CP199/CP4</f>
        <v>0.17627043269230772</v>
      </c>
      <c r="CQ202" s="382">
        <f>CQ199/CQ4</f>
        <v>0.11782278481012659</v>
      </c>
      <c r="CR202" s="382">
        <f>CR199/CR4</f>
        <v>9.0488905891354249E-2</v>
      </c>
      <c r="CS202" s="382">
        <f>CS199/CS4</f>
        <v>0.11129113924050632</v>
      </c>
      <c r="CT202" s="382">
        <f>CT199/CT4</f>
        <v>0.20839634146341465</v>
      </c>
      <c r="CU202" s="382">
        <f>CU199/CU4</f>
        <v>0.1767315875613748</v>
      </c>
      <c r="CV202" s="382">
        <f>CV199/CV4</f>
        <v>0.14371089470480827</v>
      </c>
      <c r="CW202" s="382">
        <f>CW199/CW4</f>
        <v>0.16715810810810811</v>
      </c>
      <c r="CX202" s="382">
        <f>CX199/CX4</f>
        <v>0.13762044626593806</v>
      </c>
      <c r="CY202" s="382">
        <f>CY199/CY4</f>
        <v>0.1273765091116173</v>
      </c>
      <c r="CZ202" s="382">
        <f>CZ199/CZ4</f>
        <v>0.18017715517241381</v>
      </c>
      <c r="DA202" s="382">
        <f>DA199/DA4</f>
        <v>0.24675532769556024</v>
      </c>
      <c r="DB202" s="382">
        <f>DB199/DB4</f>
        <v>0.26202915683962269</v>
      </c>
      <c r="DC202" s="382">
        <f>DC199/DC4</f>
        <v>0.20636253102547356</v>
      </c>
      <c r="DD202" s="382">
        <f>DD199/DD4</f>
        <v>0.2839347612437535</v>
      </c>
      <c r="DE202" s="382">
        <f>DE199/DE4</f>
        <v>0.2943932881993418</v>
      </c>
      <c r="DF202" s="382">
        <f>DF199/DF4</f>
        <v>0.27106940089585668</v>
      </c>
      <c r="DG202" s="382">
        <f>DG199/DG4</f>
        <v>0.18419513457556935</v>
      </c>
      <c r="DH202" s="382">
        <f>DH199/DH4</f>
        <v>0.15624241342377723</v>
      </c>
      <c r="DI202" s="382">
        <f>DI199/DI4</f>
        <v>0.20686264596177559</v>
      </c>
      <c r="DJ202" s="383">
        <f>DJ199/DJ4</f>
        <v>0.17236174883563019</v>
      </c>
      <c r="DK202" s="383">
        <f>DK199/DK4</f>
        <v>0.13904240924228503</v>
      </c>
      <c r="DL202" s="383">
        <f>DL199/DL4</f>
        <v>0.12624811963830282</v>
      </c>
      <c r="DM202" s="383">
        <f>DM199/DM4</f>
        <v>0.12592176750932452</v>
      </c>
      <c r="DN202" s="383">
        <f>DN199/DN4</f>
        <v>7.907848224902328E-2</v>
      </c>
      <c r="DO202" s="383">
        <f>DO199/DO4</f>
        <v>7.026925190839696E-2</v>
      </c>
      <c r="DP202" s="383">
        <f>DP199/DP4</f>
        <v>7.1021513926325247E-2</v>
      </c>
      <c r="DQ202" s="383">
        <f>DQ199/DQ4</f>
        <v>6.516045365243793E-2</v>
      </c>
      <c r="DR202" s="383">
        <f>DR199/DR4</f>
        <v>5.5499159349897249E-2</v>
      </c>
      <c r="DS202" s="383">
        <f>DS199/DS4</f>
        <v>7.0829874976674742E-2</v>
      </c>
      <c r="DT202" s="383">
        <f>DT199/DT4</f>
        <v>8.2839033620689423E-2</v>
      </c>
      <c r="DU202" s="383">
        <f>DU199/DU4</f>
        <v>8.5445869568741881E-2</v>
      </c>
      <c r="DV202" s="382">
        <f>DV199/DV4</f>
        <v>9.353549698520007E-2</v>
      </c>
      <c r="DW202" s="382">
        <f>DW199/DW4</f>
        <v>8.5220752356469573E-2</v>
      </c>
      <c r="DX202" s="382">
        <f>DX199/DX4</f>
        <v>0.10129997067018624</v>
      </c>
      <c r="DY202" s="382">
        <f>DY199/DY4</f>
        <v>0.11649452337424916</v>
      </c>
      <c r="DZ202" s="382">
        <f>DZ199/DZ4</f>
        <v>0.13637684592632429</v>
      </c>
      <c r="EA202" s="382">
        <f>EA199/EA4</f>
        <v>0.15642033181522447</v>
      </c>
      <c r="EB202" s="382">
        <f>EB199/EB4</f>
        <v>0.1443052644386762</v>
      </c>
      <c r="EC202" s="382">
        <f>EC199/EC4</f>
        <v>0.142951723466407</v>
      </c>
      <c r="ED202" s="382">
        <f>ED199/ED4</f>
        <v>0.13273596639032478</v>
      </c>
      <c r="EE202" s="384">
        <f>EE199/EE4</f>
        <v>0.12370639560651794</v>
      </c>
      <c r="EF202" s="384">
        <f>EF199/EF4</f>
        <v>0.11098392004519655</v>
      </c>
      <c r="EG202" s="384">
        <f>EG199/EG4</f>
        <v>7.9710189161608172E-2</v>
      </c>
      <c r="EH202" s="384">
        <f>EH199/EH4</f>
        <v>7.3271073941820086E-2</v>
      </c>
      <c r="EI202" s="384">
        <f>EI199/EI4</f>
        <v>7.048465096604975E-2</v>
      </c>
      <c r="EJ202" s="384">
        <f>EJ199/EJ4</f>
        <v>6.6109760734062301E-2</v>
      </c>
      <c r="EK202" s="384">
        <f>EK199/EK4</f>
        <v>6.3296260919187886E-2</v>
      </c>
      <c r="EL202" s="384">
        <f>EL199/EL4</f>
        <v>5.7756254036597003E-2</v>
      </c>
      <c r="EM202" s="384">
        <f>EM199/EM4</f>
        <v>5.6342426718305215E-2</v>
      </c>
      <c r="EN202" s="384">
        <f>EN199/EN4</f>
        <v>5.4602146797072398E-2</v>
      </c>
      <c r="EO202" s="384">
        <f>EO199/EO4</f>
        <v>5.3603597198406405E-2</v>
      </c>
      <c r="EP202" s="384">
        <f>EP199/EP4</f>
        <v>4.9775614320643216E-2</v>
      </c>
      <c r="EQ202" s="384">
        <f>EQ199/EQ4</f>
        <v>4.8694337911046104E-2</v>
      </c>
      <c r="ER202" s="384">
        <f>ER199/ER4</f>
        <v>4.6909198582273784E-2</v>
      </c>
      <c r="ES202" s="384">
        <f>ES199/ES4</f>
        <v>4.7175103621591524E-2</v>
      </c>
      <c r="ET202" s="384">
        <f>ET199/ET4</f>
        <v>4.5273564076516962E-2</v>
      </c>
      <c r="EU202" s="384">
        <f>EU199/EU4</f>
        <v>4.4305135613428574E-2</v>
      </c>
      <c r="EV202" s="384">
        <f>EV199/EV4</f>
        <v>4.1933321667637635E-2</v>
      </c>
      <c r="EW202" s="384">
        <f>EW199/EW4</f>
        <v>4.2088298051374852E-2</v>
      </c>
      <c r="FG202" s="382">
        <f>FG199/FG4</f>
        <v>0.48355607154599933</v>
      </c>
      <c r="FH202" s="382">
        <f>FH199/FH4</f>
        <v>0.58023262004741316</v>
      </c>
      <c r="FI202" s="382">
        <f>FI199/FI4</f>
        <v>0.53289227887427248</v>
      </c>
      <c r="FJ202" s="382">
        <f>FJ199/FJ4</f>
        <v>0.47791978103915478</v>
      </c>
      <c r="FK202" s="382">
        <f>FK199/FK4</f>
        <v>0.39944415952621593</v>
      </c>
      <c r="FL202" s="382">
        <f>FL199/FL4</f>
        <v>0.44036034070179836</v>
      </c>
      <c r="FM202" s="382">
        <f>FM199/FM4</f>
        <v>0.52053607208309505</v>
      </c>
      <c r="FN202" s="382">
        <f>FN199/FN4</f>
        <v>0.37057475469815399</v>
      </c>
      <c r="FO202" s="382">
        <f>FO199/FO4</f>
        <v>0.3791735414443258</v>
      </c>
      <c r="FP202" s="382">
        <f>FP199/FP4</f>
        <v>0.38635256339070884</v>
      </c>
      <c r="FQ202" s="382">
        <f>FQ199/FQ4</f>
        <v>0.33849938789651995</v>
      </c>
      <c r="FR202" s="382">
        <f>FR199/FR4</f>
        <v>0.32959385505481115</v>
      </c>
      <c r="FS202" s="382">
        <f>FS199/FS4</f>
        <v>0.2718123017336776</v>
      </c>
      <c r="FT202" s="382">
        <f>FT199/FT4</f>
        <v>0.24290885072655219</v>
      </c>
      <c r="FU202" s="382">
        <f>FU199/FU4</f>
        <v>0.20601107882310207</v>
      </c>
      <c r="FV202" s="382">
        <f>FV199/FV4</f>
        <v>0.16298571786519669</v>
      </c>
      <c r="FW202" s="382">
        <f>FW199/FW4</f>
        <v>0.11915215355805243</v>
      </c>
      <c r="FX202" s="382">
        <f>FX199/FX4</f>
        <v>0.16973897541752675</v>
      </c>
      <c r="FY202" s="382">
        <f>FY199/FY4</f>
        <v>0.16962357876447876</v>
      </c>
      <c r="FZ202" s="382">
        <f>FZ199/FZ4</f>
        <v>0.26545582402317636</v>
      </c>
      <c r="GA202" s="382">
        <f>GA199/GA4</f>
        <v>0.19959975145959233</v>
      </c>
      <c r="GB202" s="382">
        <f>GB199/GB4</f>
        <v>0.13881624013152877</v>
      </c>
      <c r="GC202" s="382">
        <f>GC199/GC4</f>
        <v>7.1432004152366432E-2</v>
      </c>
      <c r="GD202" s="382">
        <f>GD199/GD4</f>
        <v>7.4257531679894115E-2</v>
      </c>
      <c r="GE202" s="382">
        <f>GE199/GE4</f>
        <v>0.1005259811906147</v>
      </c>
      <c r="GF202" s="382">
        <f>GF199/GF4</f>
        <v>0.14488934163803804</v>
      </c>
      <c r="GG202" s="384">
        <f>GG199/GG4</f>
        <v>0.10815333054262639</v>
      </c>
      <c r="GH202" s="384">
        <f>GH199/GH4</f>
        <v>6.77894800807681E-2</v>
      </c>
      <c r="GI202" s="384">
        <f>GI199/GI4</f>
        <v>5.5466098900708055E-2</v>
      </c>
      <c r="GJ202" s="384">
        <f>GJ199/GJ4</f>
        <v>4.8069594707273712E-2</v>
      </c>
      <c r="GK202" s="384">
        <f>GK199/GK4</f>
        <v>4.3300951482446511E-2</v>
      </c>
      <c r="GN202" s="70"/>
    </row>
    <row r="203" spans="1:196" s="379" customFormat="1">
      <c r="A203" s="405" t="s">
        <v>263</v>
      </c>
      <c r="B203" s="376"/>
      <c r="C203" s="376"/>
      <c r="D203" s="376"/>
      <c r="E203" s="376"/>
      <c r="F203" s="376"/>
      <c r="G203" s="376"/>
      <c r="H203" s="376"/>
      <c r="I203" s="376"/>
      <c r="J203" s="376"/>
      <c r="K203" s="376"/>
      <c r="L203" s="376"/>
      <c r="M203" s="376"/>
      <c r="N203" s="376"/>
      <c r="O203" s="376"/>
      <c r="P203" s="376"/>
      <c r="Q203" s="376"/>
      <c r="R203" s="376"/>
      <c r="S203" s="376"/>
      <c r="T203" s="376"/>
      <c r="U203" s="376"/>
      <c r="V203" s="376"/>
      <c r="W203" s="376"/>
      <c r="X203" s="376"/>
      <c r="Y203" s="376"/>
      <c r="Z203" s="376"/>
      <c r="AA203" s="376"/>
      <c r="AB203" s="376"/>
      <c r="AC203" s="376"/>
      <c r="AD203" s="376">
        <f>AD216*AD228/1000</f>
        <v>46.735045200000002</v>
      </c>
      <c r="AE203" s="376">
        <f>AE216*AE228/1000</f>
        <v>46.177454399999995</v>
      </c>
      <c r="AF203" s="376">
        <f>AF216*AF228/1000</f>
        <v>38.554259999999999</v>
      </c>
      <c r="AG203" s="376">
        <f>AG216*AG228/1000</f>
        <v>9.4773604500000008</v>
      </c>
      <c r="AH203" s="376">
        <f>AH216*AH228/1000</f>
        <v>12.246376</v>
      </c>
      <c r="AI203" s="376">
        <f>AI216*AI228/1000</f>
        <v>81.625185999999999</v>
      </c>
      <c r="AJ203" s="376">
        <f>AJ216*AJ228/1000</f>
        <v>99.72993000000001</v>
      </c>
      <c r="AK203" s="376">
        <f>AK216*AK228/1000</f>
        <v>72.076359999999994</v>
      </c>
      <c r="AL203" s="376">
        <f>AL216*AL228/1000</f>
        <v>155.67671000000001</v>
      </c>
      <c r="AM203" s="376">
        <f>AM216*AM228/1000</f>
        <v>103.13095999999999</v>
      </c>
      <c r="AN203" s="376">
        <f>AN216*AN228/1000</f>
        <v>79.969059999999999</v>
      </c>
      <c r="AO203" s="376">
        <f>AO216*AO228/1000</f>
        <v>62.544600000000003</v>
      </c>
      <c r="AP203" s="376">
        <f>AP216*AP228/1000</f>
        <v>45.216999999999999</v>
      </c>
      <c r="AQ203" s="376">
        <f>AQ216*AQ228/1000</f>
        <v>39.054000000000002</v>
      </c>
      <c r="AR203" s="376">
        <f>AR216*AR228/1000</f>
        <v>66.165999999999997</v>
      </c>
      <c r="AS203" s="376">
        <f>AS216*AS228/1000</f>
        <v>64.543000000000006</v>
      </c>
      <c r="AT203" s="376">
        <f>AT216*AT228/1000</f>
        <v>48.387999999999998</v>
      </c>
      <c r="AU203" s="376">
        <f>AU216*AU228/1000</f>
        <v>66.430000000000007</v>
      </c>
      <c r="AV203" s="376">
        <f>AV216*AV228/1000</f>
        <v>76.823999999999984</v>
      </c>
      <c r="AW203" s="376">
        <f>AW216*AW228/1000</f>
        <v>81.239999999999995</v>
      </c>
      <c r="AX203" s="376">
        <f>AX216*AX228/1000</f>
        <v>87.605999999999995</v>
      </c>
      <c r="AY203" s="376">
        <f>AY216*AY228/1000</f>
        <v>96.064999999999998</v>
      </c>
      <c r="AZ203" s="376">
        <f>AZ216*AZ228/1000</f>
        <v>142.87899999999999</v>
      </c>
      <c r="BA203" s="376">
        <f>BA216*BA228/1000</f>
        <v>179.02600000000001</v>
      </c>
      <c r="BB203" s="376">
        <f>BB216*BB228/1000</f>
        <v>171.93700000000001</v>
      </c>
      <c r="BC203" s="376">
        <f>BC216*BC228/1000</f>
        <v>152.2603</v>
      </c>
      <c r="BD203" s="376">
        <f>BD216*BD228/1000</f>
        <v>238.11699999999999</v>
      </c>
      <c r="BE203" s="376">
        <f>BE216*BE228/1000</f>
        <v>335.42099999999999</v>
      </c>
      <c r="BF203" s="376">
        <f>BF216*BF228/1000</f>
        <v>222.38000000000002</v>
      </c>
      <c r="BG203" s="376">
        <f>BG216*BG228/1000</f>
        <v>256.92599999999999</v>
      </c>
      <c r="BH203" s="376">
        <f>BH216*BH228/1000</f>
        <v>365.01400000000001</v>
      </c>
      <c r="BI203" s="376">
        <f>BI216*BI228/1000</f>
        <v>376.37400000000002</v>
      </c>
      <c r="BJ203" s="376">
        <f>BJ216*BJ228/1000</f>
        <v>288.70783999999998</v>
      </c>
      <c r="BK203" s="376">
        <f>BK216*BK228/1000</f>
        <v>267.51749999999998</v>
      </c>
      <c r="BL203" s="376">
        <f>BL216*BL228/1000</f>
        <v>310.14754999999997</v>
      </c>
      <c r="BM203" s="376">
        <f>BM216*BM228/1000</f>
        <v>194.42595</v>
      </c>
      <c r="BN203" s="376">
        <f>BN216*BN228/1000</f>
        <v>224.77</v>
      </c>
      <c r="BO203" s="376">
        <f>BO216*BO228/1000</f>
        <v>179.54464999999999</v>
      </c>
      <c r="BP203" s="376">
        <f>BP216*BP228/1000</f>
        <v>222.61299000000002</v>
      </c>
      <c r="BQ203" s="376">
        <f>BQ216*BQ228/1000</f>
        <v>247.22222500000001</v>
      </c>
      <c r="BR203" s="376">
        <f>BR216*BR228/1000</f>
        <v>243.31945000000002</v>
      </c>
      <c r="BS203" s="376">
        <f>BS216*BS228/1000</f>
        <v>301.59340000000003</v>
      </c>
      <c r="BT203" s="376">
        <f>BT216*BT228/1000</f>
        <v>312.30455000000001</v>
      </c>
      <c r="BU203" s="376">
        <f>BU216*BU228/1000</f>
        <v>293.48295000000002</v>
      </c>
      <c r="BV203" s="376">
        <f>BV216*BV228/1000</f>
        <v>259.68775000000005</v>
      </c>
      <c r="BW203" s="376">
        <f>BW216*BW228/1000</f>
        <v>309.4665</v>
      </c>
      <c r="BX203" s="376">
        <f>BX216*BX228/1000</f>
        <v>431.36149999999998</v>
      </c>
      <c r="BY203" s="376">
        <f>BY216*BY228/1000</f>
        <v>435.67804999999998</v>
      </c>
      <c r="BZ203" s="376">
        <f>BZ216*BZ228/1000</f>
        <v>412.46533999999997</v>
      </c>
      <c r="CA203" s="376">
        <f>CA216*CA228/1000</f>
        <v>371.82817000000006</v>
      </c>
      <c r="CB203" s="376">
        <f>CB216*CB228/1000</f>
        <v>327.38015000000001</v>
      </c>
      <c r="CC203" s="376">
        <f>CC216*CC228/1000</f>
        <v>268.23069999999996</v>
      </c>
      <c r="CD203" s="376">
        <f>CD216*CD228/1000</f>
        <v>253.61600000000001</v>
      </c>
      <c r="CE203" s="376">
        <f>CE216*CE228/1000</f>
        <v>315.04199999999997</v>
      </c>
      <c r="CF203" s="376">
        <f>CF216*CF228/1000</f>
        <v>276.87099999999998</v>
      </c>
      <c r="CG203" s="376">
        <f>CG216*CG228/1000</f>
        <v>187.22</v>
      </c>
      <c r="CH203" s="376">
        <f>CH216*CH228/1000</f>
        <v>205.12</v>
      </c>
      <c r="CI203" s="376">
        <f>CI216*CI228/1000</f>
        <v>278.02600000000001</v>
      </c>
      <c r="CJ203" s="376">
        <f>CJ216*CJ228/1000</f>
        <v>262.87200000000001</v>
      </c>
      <c r="CK203" s="376">
        <f>CK216*CK228/1000</f>
        <v>300.84100000000001</v>
      </c>
      <c r="CL203" s="376">
        <f>CL216*CL228/1000</f>
        <v>242.08799999999999</v>
      </c>
      <c r="CM203" s="376">
        <f>CM216*CM228/1000</f>
        <v>105.462</v>
      </c>
      <c r="CN203" s="376">
        <f>CN216*CN228/1000</f>
        <v>98.2</v>
      </c>
      <c r="CO203" s="376">
        <f>CO216*CO228/1000</f>
        <v>132.977</v>
      </c>
      <c r="CP203" s="376">
        <f>CP216*CP228/1000</f>
        <v>140.30500000000001</v>
      </c>
      <c r="CQ203" s="376">
        <f>CQ216*CQ228/1000</f>
        <v>136.47499999999999</v>
      </c>
      <c r="CR203" s="376">
        <f>CR216*CR228/1000</f>
        <v>151.84</v>
      </c>
      <c r="CS203" s="376">
        <f>CS216*CS228/1000</f>
        <v>198.69200000000001</v>
      </c>
      <c r="CT203" s="376">
        <f>CT216*CT228/1000</f>
        <v>159.744</v>
      </c>
      <c r="CU203" s="376">
        <f>CU216*CU228/1000</f>
        <v>144.762</v>
      </c>
      <c r="CV203" s="376">
        <f>CV216*CV228/1000</f>
        <v>125.268</v>
      </c>
      <c r="CW203" s="376">
        <f>CW216*CW228/1000</f>
        <v>130.70400000000001</v>
      </c>
      <c r="CX203" s="376">
        <f>CX216*CX228/1000</f>
        <v>140.26935417723686</v>
      </c>
      <c r="CY203" s="376">
        <f>CY216*CY228/1000</f>
        <v>174.388195</v>
      </c>
      <c r="CZ203" s="376">
        <f>CZ216*CZ228/1000</f>
        <v>267.73436499999997</v>
      </c>
      <c r="DA203" s="376">
        <f>DA216*DA228/1000</f>
        <v>278.94629499999996</v>
      </c>
      <c r="DB203" s="376">
        <f>DB216*DB228/1000</f>
        <v>243.39178999999996</v>
      </c>
      <c r="DC203" s="376">
        <f>DC216*DC228/1000</f>
        <v>295.5703504</v>
      </c>
      <c r="DD203" s="376">
        <f>DD216*DD228/1000</f>
        <v>370.42193750000001</v>
      </c>
      <c r="DE203" s="376">
        <f>DE216*DE228/1000</f>
        <v>408.60581999999999</v>
      </c>
      <c r="DF203" s="376">
        <f>DF216*DF228/1000</f>
        <v>500.95084000000003</v>
      </c>
      <c r="DG203" s="376">
        <f>DG216*DG228/1000</f>
        <v>656.89</v>
      </c>
      <c r="DH203" s="376">
        <f>DH216*DH228/1000</f>
        <v>821.7799</v>
      </c>
      <c r="DI203" s="376">
        <f>DI216*DI228/1000</f>
        <v>859.31769999999995</v>
      </c>
      <c r="DJ203" s="397">
        <f>DJ216*DJ228/1000</f>
        <v>994.85963541877243</v>
      </c>
      <c r="DK203" s="397">
        <f>DK216*DK228/1000</f>
        <v>1110.8789199999999</v>
      </c>
      <c r="DL203" s="397">
        <f>DL216*DL228/1000</f>
        <v>1074.554795</v>
      </c>
      <c r="DM203" s="397">
        <f>DM216*DM228/1000</f>
        <v>1175.25055</v>
      </c>
      <c r="DN203" s="397">
        <f>DN216*DN228/1000</f>
        <v>1582.492</v>
      </c>
      <c r="DO203" s="397">
        <f>DO216*DO228/1000</f>
        <v>1644.3096880000001</v>
      </c>
      <c r="DP203" s="397">
        <f>DP216*DP228/1000</f>
        <v>560.12120299999992</v>
      </c>
      <c r="DQ203" s="397">
        <f>DQ216*DQ228/1000</f>
        <v>485.36032491346151</v>
      </c>
      <c r="DR203" s="397">
        <f>DR216*DR228/1000</f>
        <v>392.16490605959501</v>
      </c>
      <c r="DS203" s="397">
        <f>DS216*DS228/1000</f>
        <v>557.85241017651583</v>
      </c>
      <c r="DT203" s="397">
        <f>DT216*DT228/1000</f>
        <v>893.22413464516126</v>
      </c>
      <c r="DU203" s="397">
        <f>DU216*DU228/1000</f>
        <v>862.29581199999996</v>
      </c>
      <c r="DV203" s="376">
        <f>DV216*DV228/1000</f>
        <v>770.23468200000013</v>
      </c>
      <c r="DW203" s="376">
        <f>DW216*DW228/1000</f>
        <v>907.63209199999994</v>
      </c>
      <c r="DX203" s="376">
        <f>DX216*DX228/1000</f>
        <v>1097.8490983194595</v>
      </c>
      <c r="DY203" s="376">
        <f>DY216*DY228/1000</f>
        <v>1304.9091787725945</v>
      </c>
      <c r="DZ203" s="376">
        <f>DZ216*DZ228/1000</f>
        <v>1180.3330387538788</v>
      </c>
      <c r="EA203" s="376">
        <f>EA216*EA228/1000</f>
        <v>1192.1688642733288</v>
      </c>
      <c r="EB203" s="376">
        <f>EB216*EB228/1000</f>
        <v>1351.8204594126794</v>
      </c>
      <c r="EC203" s="376">
        <f>EC216*EC228/1000</f>
        <v>1547.7108618123164</v>
      </c>
      <c r="ED203" s="376">
        <f>ED216*ED228/1000</f>
        <v>1416.4649807306319</v>
      </c>
      <c r="EE203" s="380">
        <f>EE216*EE228/1000</f>
        <v>1444.9359268433179</v>
      </c>
      <c r="EF203" s="380">
        <f>EF216*EF228/1000</f>
        <v>1416.0372083064512</v>
      </c>
      <c r="EG203" s="380">
        <f>EG216*EG228/1000</f>
        <v>1430.1975803895157</v>
      </c>
      <c r="EH203" s="380">
        <f>EH216*EH228/1000</f>
        <v>1315.7817739583545</v>
      </c>
      <c r="EI203" s="380">
        <f>EI216*EI228/1000</f>
        <v>1408.6759671998145</v>
      </c>
      <c r="EJ203" s="380">
        <f>EJ216*EJ228/1000</f>
        <v>1550.8113722902758</v>
      </c>
      <c r="EK203" s="380">
        <f>EK216*EK228/1000</f>
        <v>1660.2986551739691</v>
      </c>
      <c r="EL203" s="380">
        <f>EL216*EL228/1000</f>
        <v>1477.6658031048328</v>
      </c>
      <c r="EM203" s="380">
        <f>EM216*EM228/1000</f>
        <v>1507.2191191669294</v>
      </c>
      <c r="EN203" s="380">
        <f>EN216*EN228/1000</f>
        <v>1567.9600496693567</v>
      </c>
      <c r="EO203" s="380">
        <f>EO216*EO228/1000</f>
        <v>1663.2920206892538</v>
      </c>
      <c r="EP203" s="380">
        <f>EP216*EP228/1000</f>
        <v>1513.5957388272211</v>
      </c>
      <c r="EQ203" s="380">
        <f>EQ216*EQ228/1000</f>
        <v>1574.5936471019584</v>
      </c>
      <c r="ER203" s="380">
        <f>ER216*ER228/1000</f>
        <v>1653.3233294570562</v>
      </c>
      <c r="ES203" s="380">
        <f>ES216*ES228/1000</f>
        <v>1735.989495929909</v>
      </c>
      <c r="ET203" s="380">
        <f>ET216*ET228/1000</f>
        <v>1562.3905463369183</v>
      </c>
      <c r="EU203" s="380">
        <f>EU216*EU228/1000</f>
        <v>1609.5747408362931</v>
      </c>
      <c r="EV203" s="380">
        <f>EV216*EV228/1000</f>
        <v>1690.6973077744426</v>
      </c>
      <c r="EW203" s="380">
        <f>EW216*EW228/1000</f>
        <v>1792.9844948947969</v>
      </c>
      <c r="EZ203" s="376"/>
      <c r="FA203" s="376"/>
      <c r="FB203" s="376"/>
      <c r="FC203" s="376"/>
      <c r="FD203" s="376"/>
      <c r="FE203" s="376"/>
      <c r="FF203" s="376"/>
      <c r="FG203" s="376">
        <f>AD203+AE203+AF203+AG203</f>
        <v>140.94412004999998</v>
      </c>
      <c r="FH203" s="376">
        <f>AH203+AI203+AJ203+AK203</f>
        <v>265.67785200000003</v>
      </c>
      <c r="FI203" s="376">
        <f>AL203+AM203+AN203+AO203</f>
        <v>401.32133000000005</v>
      </c>
      <c r="FJ203" s="376">
        <f>AP203+AQ203+AR203+AS203</f>
        <v>214.98000000000002</v>
      </c>
      <c r="FK203" s="376">
        <f>AT203+AU203+AV203+AW203</f>
        <v>272.88200000000001</v>
      </c>
      <c r="FL203" s="376">
        <f>AX203+AY203+AZ203+BA203</f>
        <v>505.57599999999996</v>
      </c>
      <c r="FM203" s="376">
        <f>BB203+BC203+BD203+BE203</f>
        <v>897.73530000000005</v>
      </c>
      <c r="FN203" s="376">
        <f>BF203+BG203+BH203+BI203</f>
        <v>1220.694</v>
      </c>
      <c r="FO203" s="376">
        <f>BJ203+BK203+BL203+BM203</f>
        <v>1060.7988399999999</v>
      </c>
      <c r="FP203" s="376">
        <f>BN203+BO203+BP203+BQ203</f>
        <v>874.14986500000009</v>
      </c>
      <c r="FQ203" s="376">
        <f>BR203+BS203+BT203+BU203</f>
        <v>1150.7003500000001</v>
      </c>
      <c r="FR203" s="376">
        <f>BV203+BW203+BX203+BY203</f>
        <v>1436.1938</v>
      </c>
      <c r="FS203" s="376">
        <f>BZ203+CA203+CB203+CC203</f>
        <v>1379.90436</v>
      </c>
      <c r="FT203" s="376">
        <f>CD203+CE203+CF203+CG203</f>
        <v>1032.749</v>
      </c>
      <c r="FU203" s="376">
        <f>CH203+CI203+CJ203+CK203</f>
        <v>1046.8589999999999</v>
      </c>
      <c r="FV203" s="376">
        <f>CL203+CM203+CN203+CO203</f>
        <v>578.72699999999998</v>
      </c>
      <c r="FW203" s="376">
        <f>CP203+CQ203+CR203+CS203</f>
        <v>627.31200000000001</v>
      </c>
      <c r="FX203" s="376">
        <f>CT203+CU203+CV203+CW203</f>
        <v>560.47800000000007</v>
      </c>
      <c r="FY203" s="376">
        <f>CX203+CY203+CZ203+DA203</f>
        <v>861.33820917723688</v>
      </c>
      <c r="FZ203" s="376">
        <f>DB203+DC203+DD203+DE203</f>
        <v>1317.9898979</v>
      </c>
      <c r="GA203" s="376">
        <f>SUM(DF203:DI203)</f>
        <v>2838.9384399999999</v>
      </c>
      <c r="GB203" s="376">
        <f>SUM(DJ203:DM203)</f>
        <v>4355.543900418772</v>
      </c>
      <c r="GC203" s="376">
        <f>SUM(DN203:DQ203)</f>
        <v>4272.2832159134614</v>
      </c>
      <c r="GD203" s="376">
        <f>SUM(DR203:DU203)</f>
        <v>2705.537262881272</v>
      </c>
      <c r="GE203" s="376">
        <f>SUM(DV203:DY203)</f>
        <v>4080.6250510920545</v>
      </c>
      <c r="GF203" s="376">
        <f>SUM(DZ203:EC203)</f>
        <v>5272.0332242522036</v>
      </c>
      <c r="GG203" s="380">
        <f>SUM(ED203:EG203)</f>
        <v>5707.6356962699165</v>
      </c>
      <c r="GH203" s="410">
        <f>SUM(EH203:EK203)</f>
        <v>5935.5677686224135</v>
      </c>
      <c r="GI203" s="410">
        <f>SUM(EL203:EO203)</f>
        <v>6216.1369926303732</v>
      </c>
      <c r="GJ203" s="410">
        <f>SUM(EP203:ES203)</f>
        <v>6477.5022113161449</v>
      </c>
      <c r="GK203" s="410">
        <f>SUM(ET203:EW203)</f>
        <v>6655.6470898424504</v>
      </c>
      <c r="GN203" s="70"/>
    </row>
    <row r="204" spans="1:196" s="382" customFormat="1">
      <c r="A204" s="381" t="s">
        <v>198</v>
      </c>
      <c r="AE204" s="382">
        <f t="shared" ref="AE204:CP204" si="389">AE203/AD203-1</f>
        <v>-1.1930892494354639E-2</v>
      </c>
      <c r="AF204" s="382">
        <f t="shared" si="389"/>
        <v>-0.16508476915955761</v>
      </c>
      <c r="AG204" s="382">
        <f t="shared" si="389"/>
        <v>-0.75418123833786455</v>
      </c>
      <c r="AH204" s="382">
        <f t="shared" si="389"/>
        <v>0.29217159826394479</v>
      </c>
      <c r="AI204" s="382">
        <f t="shared" si="389"/>
        <v>5.6652523162770763</v>
      </c>
      <c r="AJ204" s="382">
        <f t="shared" si="389"/>
        <v>0.22180340268994936</v>
      </c>
      <c r="AK204" s="382">
        <f t="shared" si="389"/>
        <v>-0.2772845624177217</v>
      </c>
      <c r="AL204" s="382">
        <f t="shared" si="389"/>
        <v>1.1598858488414234</v>
      </c>
      <c r="AM204" s="382">
        <f t="shared" si="389"/>
        <v>-0.3375312209514193</v>
      </c>
      <c r="AN204" s="382">
        <f t="shared" si="389"/>
        <v>-0.22458726264159656</v>
      </c>
      <c r="AO204" s="382">
        <f t="shared" si="389"/>
        <v>-0.21789001896483462</v>
      </c>
      <c r="AP204" s="382">
        <f t="shared" si="389"/>
        <v>-0.27704390147190971</v>
      </c>
      <c r="AQ204" s="382">
        <f t="shared" si="389"/>
        <v>-0.13629829488909029</v>
      </c>
      <c r="AR204" s="382">
        <f t="shared" si="389"/>
        <v>0.69421826189378799</v>
      </c>
      <c r="AS204" s="382">
        <f t="shared" si="389"/>
        <v>-2.4529214400144994E-2</v>
      </c>
      <c r="AT204" s="382">
        <f t="shared" si="389"/>
        <v>-0.25029825077855083</v>
      </c>
      <c r="AU204" s="382">
        <f t="shared" si="389"/>
        <v>0.37286103992725494</v>
      </c>
      <c r="AV204" s="382">
        <f t="shared" si="389"/>
        <v>0.15646545235586284</v>
      </c>
      <c r="AW204" s="382">
        <f t="shared" si="389"/>
        <v>5.7482036863480301E-2</v>
      </c>
      <c r="AX204" s="382">
        <f t="shared" si="389"/>
        <v>7.8360413589364741E-2</v>
      </c>
      <c r="AY204" s="382">
        <f t="shared" si="389"/>
        <v>9.6557313426021141E-2</v>
      </c>
      <c r="AZ204" s="382">
        <f t="shared" si="389"/>
        <v>0.48731587987300262</v>
      </c>
      <c r="BA204" s="382">
        <f t="shared" si="389"/>
        <v>0.25299029248524985</v>
      </c>
      <c r="BB204" s="382">
        <f t="shared" si="389"/>
        <v>-3.9597600348552753E-2</v>
      </c>
      <c r="BC204" s="382">
        <f t="shared" si="389"/>
        <v>-0.11444133607077012</v>
      </c>
      <c r="BD204" s="382">
        <f t="shared" si="389"/>
        <v>0.56388106420386652</v>
      </c>
      <c r="BE204" s="382">
        <f t="shared" si="389"/>
        <v>0.40863945035423765</v>
      </c>
      <c r="BF204" s="382">
        <f t="shared" si="389"/>
        <v>-0.33701229201510929</v>
      </c>
      <c r="BG204" s="382">
        <f t="shared" si="389"/>
        <v>0.15534670384027316</v>
      </c>
      <c r="BH204" s="382">
        <f t="shared" si="389"/>
        <v>0.42069701003401772</v>
      </c>
      <c r="BI204" s="382">
        <f t="shared" si="389"/>
        <v>3.1122093947081542E-2</v>
      </c>
      <c r="BJ204" s="382">
        <f t="shared" si="389"/>
        <v>-0.2329229968063683</v>
      </c>
      <c r="BK204" s="382">
        <f t="shared" si="389"/>
        <v>-7.3397175497554867E-2</v>
      </c>
      <c r="BL204" s="382">
        <f t="shared" si="389"/>
        <v>0.15935424785294416</v>
      </c>
      <c r="BM204" s="382">
        <f t="shared" si="389"/>
        <v>-0.37311789179053645</v>
      </c>
      <c r="BN204" s="382">
        <f t="shared" si="389"/>
        <v>0.15606995876836405</v>
      </c>
      <c r="BO204" s="382">
        <f t="shared" si="389"/>
        <v>-0.20120723406148511</v>
      </c>
      <c r="BP204" s="382">
        <f t="shared" si="389"/>
        <v>0.2398753736187631</v>
      </c>
      <c r="BQ204" s="382">
        <f t="shared" si="389"/>
        <v>0.11054716528446962</v>
      </c>
      <c r="BR204" s="382">
        <f t="shared" si="389"/>
        <v>-1.5786505440601006E-2</v>
      </c>
      <c r="BS204" s="382">
        <f t="shared" si="389"/>
        <v>0.2394956506765078</v>
      </c>
      <c r="BT204" s="382">
        <f t="shared" si="389"/>
        <v>3.5515200266318825E-2</v>
      </c>
      <c r="BU204" s="382">
        <f t="shared" si="389"/>
        <v>-6.0266813275695164E-2</v>
      </c>
      <c r="BV204" s="382">
        <f t="shared" si="389"/>
        <v>-0.11515217493895291</v>
      </c>
      <c r="BW204" s="382">
        <f t="shared" si="389"/>
        <v>0.19168693941088844</v>
      </c>
      <c r="BX204" s="382">
        <f t="shared" si="389"/>
        <v>0.39388754517855729</v>
      </c>
      <c r="BY204" s="382">
        <f t="shared" si="389"/>
        <v>1.0006804037912431E-2</v>
      </c>
      <c r="BZ204" s="382">
        <f t="shared" si="389"/>
        <v>-5.3279503064246669E-2</v>
      </c>
      <c r="CA204" s="382">
        <f t="shared" si="389"/>
        <v>-9.8522629804482231E-2</v>
      </c>
      <c r="CB204" s="382">
        <f t="shared" si="389"/>
        <v>-0.11953914088865303</v>
      </c>
      <c r="CC204" s="382">
        <f t="shared" si="389"/>
        <v>-0.18067512645467376</v>
      </c>
      <c r="CD204" s="382">
        <f t="shared" si="389"/>
        <v>-5.448556037768959E-2</v>
      </c>
      <c r="CE204" s="382">
        <f t="shared" si="389"/>
        <v>0.24220080752003015</v>
      </c>
      <c r="CF204" s="382">
        <f t="shared" si="389"/>
        <v>-0.1211616228947251</v>
      </c>
      <c r="CG204" s="382">
        <f t="shared" si="389"/>
        <v>-0.32380061472671384</v>
      </c>
      <c r="CH204" s="382">
        <f t="shared" si="389"/>
        <v>9.560944343553035E-2</v>
      </c>
      <c r="CI204" s="382">
        <f t="shared" si="389"/>
        <v>0.3554309672386895</v>
      </c>
      <c r="CJ204" s="382">
        <f t="shared" si="389"/>
        <v>-5.4505693712098902E-2</v>
      </c>
      <c r="CK204" s="382">
        <f t="shared" si="389"/>
        <v>0.14443911865851056</v>
      </c>
      <c r="CL204" s="382">
        <f t="shared" si="389"/>
        <v>-0.19529585395607651</v>
      </c>
      <c r="CM204" s="382">
        <f t="shared" si="389"/>
        <v>-0.5643650242886884</v>
      </c>
      <c r="CN204" s="382">
        <f t="shared" si="389"/>
        <v>-6.8858925489749812E-2</v>
      </c>
      <c r="CO204" s="382">
        <f t="shared" si="389"/>
        <v>0.35414460285132376</v>
      </c>
      <c r="CP204" s="382">
        <f t="shared" si="389"/>
        <v>5.5107274190273614E-2</v>
      </c>
      <c r="CQ204" s="382">
        <f t="shared" ref="CQ204:EH204" si="390">CQ203/CP203-1</f>
        <v>-2.7297672926838046E-2</v>
      </c>
      <c r="CR204" s="382">
        <f t="shared" si="390"/>
        <v>0.11258472247664408</v>
      </c>
      <c r="CS204" s="382">
        <f t="shared" si="390"/>
        <v>0.30856164383561646</v>
      </c>
      <c r="CT204" s="382">
        <f t="shared" si="390"/>
        <v>-0.19602198377388125</v>
      </c>
      <c r="CU204" s="382">
        <f t="shared" si="390"/>
        <v>-9.3787560096153855E-2</v>
      </c>
      <c r="CV204" s="382">
        <f t="shared" si="390"/>
        <v>-0.1346624114063083</v>
      </c>
      <c r="CW204" s="382">
        <f t="shared" si="390"/>
        <v>4.3394961203180538E-2</v>
      </c>
      <c r="CX204" s="382">
        <f t="shared" si="390"/>
        <v>7.3183331629000259E-2</v>
      </c>
      <c r="CY204" s="382">
        <f t="shared" si="390"/>
        <v>0.24323802603134825</v>
      </c>
      <c r="CZ204" s="382">
        <f t="shared" si="390"/>
        <v>0.53527803301135135</v>
      </c>
      <c r="DA204" s="382">
        <f t="shared" si="390"/>
        <v>4.1877067219219244E-2</v>
      </c>
      <c r="DB204" s="382">
        <f t="shared" si="390"/>
        <v>-0.12746003670706585</v>
      </c>
      <c r="DC204" s="382">
        <f t="shared" si="390"/>
        <v>0.21438093865039587</v>
      </c>
      <c r="DD204" s="382">
        <f t="shared" si="390"/>
        <v>0.2532445727343835</v>
      </c>
      <c r="DE204" s="382">
        <f t="shared" si="390"/>
        <v>0.10308213049611825</v>
      </c>
      <c r="DF204" s="382">
        <f t="shared" si="390"/>
        <v>0.22600025618822572</v>
      </c>
      <c r="DG204" s="382">
        <f t="shared" si="390"/>
        <v>0.31128635296828722</v>
      </c>
      <c r="DH204" s="382">
        <f t="shared" si="390"/>
        <v>0.25101599963464194</v>
      </c>
      <c r="DI204" s="382">
        <f t="shared" si="390"/>
        <v>4.56786543452814E-2</v>
      </c>
      <c r="DJ204" s="383">
        <f t="shared" si="390"/>
        <v>0.15773204184991485</v>
      </c>
      <c r="DK204" s="383">
        <f t="shared" si="390"/>
        <v>0.11661874746017897</v>
      </c>
      <c r="DL204" s="383">
        <f t="shared" si="390"/>
        <v>-3.269854558046692E-2</v>
      </c>
      <c r="DM204" s="383">
        <f t="shared" si="390"/>
        <v>9.3709278920485417E-2</v>
      </c>
      <c r="DN204" s="383">
        <f t="shared" si="390"/>
        <v>0.34651457938054153</v>
      </c>
      <c r="DO204" s="383">
        <f t="shared" si="390"/>
        <v>3.9063507430053379E-2</v>
      </c>
      <c r="DP204" s="383">
        <f t="shared" si="390"/>
        <v>-0.65935784050431268</v>
      </c>
      <c r="DQ204" s="383">
        <f t="shared" si="390"/>
        <v>-0.13347267999518742</v>
      </c>
      <c r="DR204" s="383">
        <f t="shared" si="390"/>
        <v>-0.19201284915589878</v>
      </c>
      <c r="DS204" s="383">
        <f t="shared" si="390"/>
        <v>0.4224944699456159</v>
      </c>
      <c r="DT204" s="383">
        <f t="shared" si="390"/>
        <v>0.60118360761859391</v>
      </c>
      <c r="DU204" s="383">
        <f t="shared" si="390"/>
        <v>-3.4625489219956784E-2</v>
      </c>
      <c r="DV204" s="382">
        <f t="shared" si="390"/>
        <v>-0.10676281702734258</v>
      </c>
      <c r="DW204" s="382">
        <f t="shared" si="390"/>
        <v>0.17838382665817143</v>
      </c>
      <c r="DX204" s="382">
        <f t="shared" si="390"/>
        <v>0.2095750117212245</v>
      </c>
      <c r="DY204" s="382">
        <f t="shared" si="390"/>
        <v>0.18860522886988185</v>
      </c>
      <c r="DZ204" s="382">
        <f t="shared" si="390"/>
        <v>-9.5467287720278571E-2</v>
      </c>
      <c r="EA204" s="382">
        <f t="shared" si="390"/>
        <v>1.002753047728433E-2</v>
      </c>
      <c r="EB204" s="382">
        <f t="shared" si="390"/>
        <v>0.13391693066624755</v>
      </c>
      <c r="EC204" s="382">
        <f t="shared" si="390"/>
        <v>0.14490859421135327</v>
      </c>
      <c r="ED204" s="382">
        <f t="shared" si="390"/>
        <v>-8.4800000000000098E-2</v>
      </c>
      <c r="EE204" s="384">
        <f t="shared" si="390"/>
        <v>2.0100000000000229E-2</v>
      </c>
      <c r="EF204" s="384">
        <f t="shared" si="390"/>
        <v>-2.000000000000024E-2</v>
      </c>
      <c r="EG204" s="384">
        <f t="shared" si="390"/>
        <v>1.0000000000000009E-2</v>
      </c>
      <c r="EH204" s="384">
        <f t="shared" si="390"/>
        <v>-7.999999999999996E-2</v>
      </c>
      <c r="EI204" s="384">
        <f>EI203/EH203-1</f>
        <v>7.0600000000000218E-2</v>
      </c>
      <c r="EJ204" s="384">
        <f>EJ203/EI203-1</f>
        <v>0.10089999999999999</v>
      </c>
      <c r="EK204" s="384">
        <f>EK203/EJ203-1</f>
        <v>7.0599999999999996E-2</v>
      </c>
      <c r="EL204" s="384">
        <f t="shared" ref="EL204" si="391">EL203/EK203-1</f>
        <v>-0.10999999999999988</v>
      </c>
      <c r="EM204" s="384">
        <f>EM203/EL203-1</f>
        <v>2.0000000000000018E-2</v>
      </c>
      <c r="EN204" s="384">
        <f>EN203/EM203-1</f>
        <v>4.0300000000000002E-2</v>
      </c>
      <c r="EO204" s="384">
        <f>EO203/EN203-1</f>
        <v>6.0800000000000187E-2</v>
      </c>
      <c r="EP204" s="384">
        <f t="shared" ref="EP204" si="392">EP203/EO203-1</f>
        <v>-8.9999999999999969E-2</v>
      </c>
      <c r="EQ204" s="384">
        <f>EQ203/EP203-1</f>
        <v>4.0300000000000225E-2</v>
      </c>
      <c r="ER204" s="384">
        <f>ER203/EQ203-1</f>
        <v>4.9999999999999822E-2</v>
      </c>
      <c r="ES204" s="384">
        <f>ES203/ER203-1</f>
        <v>5.0000000000000044E-2</v>
      </c>
      <c r="ET204" s="384">
        <f t="shared" ref="ET204" si="393">ET203/ES203-1</f>
        <v>-9.9999999999999867E-2</v>
      </c>
      <c r="EU204" s="384">
        <f>EU203/ET203-1</f>
        <v>3.0200000000000005E-2</v>
      </c>
      <c r="EV204" s="384">
        <f>EV203/EU203-1</f>
        <v>5.0400000000000222E-2</v>
      </c>
      <c r="EW204" s="384">
        <f>EW203/EV203-1</f>
        <v>6.050000000000022E-2</v>
      </c>
      <c r="FZ204" s="386" t="s">
        <v>199</v>
      </c>
      <c r="GA204" s="386" t="s">
        <v>199</v>
      </c>
      <c r="GB204" s="386" t="s">
        <v>199</v>
      </c>
      <c r="GC204" s="386" t="s">
        <v>199</v>
      </c>
      <c r="GD204" s="386" t="s">
        <v>199</v>
      </c>
      <c r="GE204" s="386" t="s">
        <v>199</v>
      </c>
      <c r="GF204" s="386" t="s">
        <v>199</v>
      </c>
      <c r="GG204" s="386" t="s">
        <v>199</v>
      </c>
      <c r="GH204" s="386" t="s">
        <v>199</v>
      </c>
      <c r="GI204" s="386" t="s">
        <v>199</v>
      </c>
      <c r="GJ204" s="386" t="s">
        <v>199</v>
      </c>
      <c r="GK204" s="386" t="s">
        <v>199</v>
      </c>
      <c r="GN204" s="70"/>
    </row>
    <row r="205" spans="1:196" s="382" customFormat="1">
      <c r="A205" s="381" t="s">
        <v>200</v>
      </c>
      <c r="AH205" s="382">
        <f t="shared" ref="AH205:CS205" si="394">AH203/AD203-1</f>
        <v>-0.73796161001680172</v>
      </c>
      <c r="AI205" s="382">
        <f t="shared" si="394"/>
        <v>0.76764152681400311</v>
      </c>
      <c r="AJ205" s="382">
        <f t="shared" si="394"/>
        <v>1.5867421654572027</v>
      </c>
      <c r="AK205" s="382">
        <f t="shared" si="394"/>
        <v>6.605109078657021</v>
      </c>
      <c r="AL205" s="382">
        <f t="shared" si="394"/>
        <v>11.712063552515456</v>
      </c>
      <c r="AM205" s="382">
        <f t="shared" si="394"/>
        <v>0.26346983148069025</v>
      </c>
      <c r="AN205" s="382">
        <f t="shared" si="394"/>
        <v>-0.19814382703366995</v>
      </c>
      <c r="AO205" s="382">
        <f t="shared" si="394"/>
        <v>-0.13224530206575347</v>
      </c>
      <c r="AP205" s="382">
        <f t="shared" si="394"/>
        <v>-0.70954550619678436</v>
      </c>
      <c r="AQ205" s="382">
        <f t="shared" si="394"/>
        <v>-0.62131643106977763</v>
      </c>
      <c r="AR205" s="382">
        <f t="shared" si="394"/>
        <v>-0.17260500498567821</v>
      </c>
      <c r="AS205" s="382">
        <f t="shared" si="394"/>
        <v>3.1951599338712056E-2</v>
      </c>
      <c r="AT205" s="382">
        <f t="shared" si="394"/>
        <v>7.0128491496560974E-2</v>
      </c>
      <c r="AU205" s="382">
        <f t="shared" si="394"/>
        <v>0.7009781328417064</v>
      </c>
      <c r="AV205" s="382">
        <f t="shared" si="394"/>
        <v>0.16107970861167353</v>
      </c>
      <c r="AW205" s="382">
        <f t="shared" si="394"/>
        <v>0.25869575321878413</v>
      </c>
      <c r="AX205" s="382">
        <f t="shared" si="394"/>
        <v>0.81049020418285522</v>
      </c>
      <c r="AY205" s="382">
        <f t="shared" si="394"/>
        <v>0.44610868583471297</v>
      </c>
      <c r="AZ205" s="382">
        <f t="shared" si="394"/>
        <v>0.85982245131729695</v>
      </c>
      <c r="BA205" s="382">
        <f t="shared" si="394"/>
        <v>1.2036681437715413</v>
      </c>
      <c r="BB205" s="382">
        <f t="shared" si="394"/>
        <v>0.96261671575006313</v>
      </c>
      <c r="BC205" s="382">
        <f t="shared" si="394"/>
        <v>0.58497163378962158</v>
      </c>
      <c r="BD205" s="382">
        <f t="shared" si="394"/>
        <v>0.66656401570559698</v>
      </c>
      <c r="BE205" s="382">
        <f t="shared" si="394"/>
        <v>0.8735881938936243</v>
      </c>
      <c r="BF205" s="382">
        <f t="shared" si="394"/>
        <v>0.29338071502934215</v>
      </c>
      <c r="BG205" s="382">
        <f t="shared" si="394"/>
        <v>0.68741293692446415</v>
      </c>
      <c r="BH205" s="382">
        <f t="shared" si="394"/>
        <v>0.5329186912316215</v>
      </c>
      <c r="BI205" s="382">
        <f t="shared" si="394"/>
        <v>0.1220943232534637</v>
      </c>
      <c r="BJ205" s="382">
        <f t="shared" si="394"/>
        <v>0.29826351290583664</v>
      </c>
      <c r="BK205" s="382">
        <f t="shared" si="394"/>
        <v>4.1223932182807399E-2</v>
      </c>
      <c r="BL205" s="382">
        <f t="shared" si="394"/>
        <v>-0.15031327565518049</v>
      </c>
      <c r="BM205" s="382">
        <f t="shared" si="394"/>
        <v>-0.48342353616349698</v>
      </c>
      <c r="BN205" s="382">
        <f t="shared" si="394"/>
        <v>-0.22146208429947722</v>
      </c>
      <c r="BO205" s="382">
        <f t="shared" si="394"/>
        <v>-0.32884895380676027</v>
      </c>
      <c r="BP205" s="382">
        <f t="shared" si="394"/>
        <v>-0.28223521352981817</v>
      </c>
      <c r="BQ205" s="382">
        <f t="shared" si="394"/>
        <v>0.27154952823941469</v>
      </c>
      <c r="BR205" s="382">
        <f t="shared" si="394"/>
        <v>8.2526360279396638E-2</v>
      </c>
      <c r="BS205" s="382">
        <f t="shared" si="394"/>
        <v>0.67976823592348778</v>
      </c>
      <c r="BT205" s="382">
        <f t="shared" si="394"/>
        <v>0.40290353226916342</v>
      </c>
      <c r="BU205" s="382">
        <f t="shared" si="394"/>
        <v>0.18712203160537055</v>
      </c>
      <c r="BV205" s="382">
        <f t="shared" si="394"/>
        <v>6.7270824424434661E-2</v>
      </c>
      <c r="BW205" s="382">
        <f t="shared" si="394"/>
        <v>2.6105014234396151E-2</v>
      </c>
      <c r="BX205" s="382">
        <f t="shared" si="394"/>
        <v>0.38122067065625509</v>
      </c>
      <c r="BY205" s="382">
        <f t="shared" si="394"/>
        <v>0.48450889566157063</v>
      </c>
      <c r="BZ205" s="382">
        <f t="shared" si="394"/>
        <v>0.58831265625737017</v>
      </c>
      <c r="CA205" s="382">
        <f t="shared" si="394"/>
        <v>0.20151347561044597</v>
      </c>
      <c r="CB205" s="382">
        <f t="shared" si="394"/>
        <v>-0.24105384926563911</v>
      </c>
      <c r="CC205" s="382">
        <f t="shared" si="394"/>
        <v>-0.38433735644933231</v>
      </c>
      <c r="CD205" s="382">
        <f t="shared" si="394"/>
        <v>-0.38512166864735831</v>
      </c>
      <c r="CE205" s="382">
        <f t="shared" si="394"/>
        <v>-0.15272153801579924</v>
      </c>
      <c r="CF205" s="382">
        <f t="shared" si="394"/>
        <v>-0.15428287267874985</v>
      </c>
      <c r="CG205" s="382">
        <f t="shared" si="394"/>
        <v>-0.30201874729477263</v>
      </c>
      <c r="CH205" s="382">
        <f t="shared" si="394"/>
        <v>-0.19121821967068331</v>
      </c>
      <c r="CI205" s="382">
        <f t="shared" si="394"/>
        <v>-0.11749544505177079</v>
      </c>
      <c r="CJ205" s="382">
        <f t="shared" si="394"/>
        <v>-5.0561452806541562E-2</v>
      </c>
      <c r="CK205" s="382">
        <f t="shared" si="394"/>
        <v>0.60688494818929617</v>
      </c>
      <c r="CL205" s="382">
        <f t="shared" si="394"/>
        <v>0.18022620904836195</v>
      </c>
      <c r="CM205" s="382">
        <f t="shared" si="394"/>
        <v>-0.62067576413716696</v>
      </c>
      <c r="CN205" s="382">
        <f t="shared" si="394"/>
        <v>-0.62643415806932645</v>
      </c>
      <c r="CO205" s="382">
        <f t="shared" si="394"/>
        <v>-0.5579824558487706</v>
      </c>
      <c r="CP205" s="382">
        <f t="shared" si="394"/>
        <v>-0.42043802253725915</v>
      </c>
      <c r="CQ205" s="382">
        <f t="shared" si="394"/>
        <v>0.29406800553753953</v>
      </c>
      <c r="CR205" s="382">
        <f t="shared" si="394"/>
        <v>0.54623217922606915</v>
      </c>
      <c r="CS205" s="382">
        <f t="shared" si="394"/>
        <v>0.49418320461433174</v>
      </c>
      <c r="CT205" s="382">
        <f t="shared" ref="CT205:EW205" si="395">CT203/CP203-1</f>
        <v>0.13854816293075789</v>
      </c>
      <c r="CU205" s="382">
        <f t="shared" si="395"/>
        <v>6.0721743909140979E-2</v>
      </c>
      <c r="CV205" s="382">
        <f t="shared" si="395"/>
        <v>-0.17500000000000004</v>
      </c>
      <c r="CW205" s="382">
        <f t="shared" si="395"/>
        <v>-0.3421778430938337</v>
      </c>
      <c r="CX205" s="382">
        <f t="shared" si="395"/>
        <v>-0.12191159494418025</v>
      </c>
      <c r="CY205" s="382">
        <f t="shared" si="395"/>
        <v>0.20465450187203826</v>
      </c>
      <c r="CZ205" s="382">
        <f t="shared" si="395"/>
        <v>1.1372925647411947</v>
      </c>
      <c r="DA205" s="382">
        <f t="shared" si="395"/>
        <v>1.1341833073203569</v>
      </c>
      <c r="DB205" s="382">
        <f t="shared" si="395"/>
        <v>0.73517438237052901</v>
      </c>
      <c r="DC205" s="382">
        <f t="shared" si="395"/>
        <v>0.69489884564720672</v>
      </c>
      <c r="DD205" s="382">
        <f t="shared" si="395"/>
        <v>0.38354274207571404</v>
      </c>
      <c r="DE205" s="382">
        <f t="shared" si="395"/>
        <v>0.46481895377029492</v>
      </c>
      <c r="DF205" s="382">
        <f t="shared" si="395"/>
        <v>1.058207633051222</v>
      </c>
      <c r="DG205" s="382">
        <f t="shared" si="395"/>
        <v>1.2224488995970688</v>
      </c>
      <c r="DH205" s="382">
        <f t="shared" si="395"/>
        <v>1.2184968459110226</v>
      </c>
      <c r="DI205" s="382">
        <f t="shared" si="395"/>
        <v>1.1030481161526282</v>
      </c>
      <c r="DJ205" s="383">
        <f t="shared" si="395"/>
        <v>0.98594264343138405</v>
      </c>
      <c r="DK205" s="383">
        <f t="shared" si="395"/>
        <v>0.69111863477903435</v>
      </c>
      <c r="DL205" s="383">
        <f t="shared" si="395"/>
        <v>0.30759439966832969</v>
      </c>
      <c r="DM205" s="383">
        <f t="shared" si="395"/>
        <v>0.36765546665686055</v>
      </c>
      <c r="DN205" s="383">
        <f t="shared" si="395"/>
        <v>0.59066861661733006</v>
      </c>
      <c r="DO205" s="383">
        <f t="shared" si="395"/>
        <v>0.48018803705447954</v>
      </c>
      <c r="DP205" s="383">
        <f t="shared" si="395"/>
        <v>-0.47874114414053692</v>
      </c>
      <c r="DQ205" s="383">
        <f t="shared" si="395"/>
        <v>-0.58701544541845863</v>
      </c>
      <c r="DR205" s="383">
        <f t="shared" si="395"/>
        <v>-0.75218522048794245</v>
      </c>
      <c r="DS205" s="383">
        <f t="shared" si="395"/>
        <v>-0.66073762488437282</v>
      </c>
      <c r="DT205" s="383">
        <f t="shared" si="395"/>
        <v>0.5946979508382606</v>
      </c>
      <c r="DU205" s="383">
        <f t="shared" si="395"/>
        <v>0.77660959855700007</v>
      </c>
      <c r="DV205" s="382">
        <f t="shared" si="395"/>
        <v>0.96405815537954354</v>
      </c>
      <c r="DW205" s="382">
        <f t="shared" si="395"/>
        <v>0.62701115105482241</v>
      </c>
      <c r="DX205" s="382">
        <f t="shared" si="395"/>
        <v>0.22908579799580386</v>
      </c>
      <c r="DY205" s="382">
        <f t="shared" si="395"/>
        <v>0.51329643564660454</v>
      </c>
      <c r="DZ205" s="382">
        <f t="shared" si="395"/>
        <v>0.5324329926159812</v>
      </c>
      <c r="EA205" s="382">
        <f t="shared" si="395"/>
        <v>0.31349351216343835</v>
      </c>
      <c r="EB205" s="382">
        <f t="shared" si="395"/>
        <v>0.23133540072309433</v>
      </c>
      <c r="EC205" s="382">
        <f t="shared" si="395"/>
        <v>0.18606787889108323</v>
      </c>
      <c r="ED205" s="382">
        <f t="shared" si="395"/>
        <v>0.20005535236567318</v>
      </c>
      <c r="EE205" s="384">
        <f t="shared" si="395"/>
        <v>0.21202286869323661</v>
      </c>
      <c r="EF205" s="384">
        <f t="shared" si="395"/>
        <v>4.7503903677912795E-2</v>
      </c>
      <c r="EG205" s="384">
        <f t="shared" si="395"/>
        <v>-7.59271543040001E-2</v>
      </c>
      <c r="EH205" s="384">
        <f t="shared" si="395"/>
        <v>-7.1080618400000017E-2</v>
      </c>
      <c r="EI205" s="384">
        <f t="shared" si="395"/>
        <v>-2.5094510400000103E-2</v>
      </c>
      <c r="EJ205" s="384">
        <f t="shared" si="395"/>
        <v>9.5176993368000229E-2</v>
      </c>
      <c r="EK205" s="384">
        <f t="shared" si="395"/>
        <v>0.16088761297008003</v>
      </c>
      <c r="EL205" s="384">
        <f t="shared" si="395"/>
        <v>0.12303258211236034</v>
      </c>
      <c r="EM205" s="384">
        <f t="shared" si="395"/>
        <v>6.9954449612000147E-2</v>
      </c>
      <c r="EN205" s="384">
        <f t="shared" si="395"/>
        <v>1.105787440400019E-2</v>
      </c>
      <c r="EO205" s="384">
        <f t="shared" si="395"/>
        <v>1.8029078720003255E-3</v>
      </c>
      <c r="EP205" s="384">
        <f t="shared" si="395"/>
        <v>2.4315332768000353E-2</v>
      </c>
      <c r="EQ205" s="384">
        <f t="shared" si="395"/>
        <v>4.4701216351520356E-2</v>
      </c>
      <c r="ER205" s="384">
        <f t="shared" si="395"/>
        <v>5.4442254320000272E-2</v>
      </c>
      <c r="ES205" s="384">
        <f t="shared" si="395"/>
        <v>4.3706982500000269E-2</v>
      </c>
      <c r="ET205" s="384">
        <f t="shared" si="395"/>
        <v>3.2237675000000188E-2</v>
      </c>
      <c r="EU205" s="384">
        <f t="shared" si="395"/>
        <v>2.2215950000000095E-2</v>
      </c>
      <c r="EV205" s="384">
        <f t="shared" si="395"/>
        <v>2.260536560000026E-2</v>
      </c>
      <c r="EW205" s="384">
        <f t="shared" si="395"/>
        <v>3.2831419256000416E-2</v>
      </c>
      <c r="FH205" s="382">
        <f t="shared" ref="FH205:GK205" si="396">FH203/FG203-1</f>
        <v>0.88498712756339692</v>
      </c>
      <c r="FI205" s="382">
        <f t="shared" si="396"/>
        <v>0.51055621301846421</v>
      </c>
      <c r="FJ205" s="382">
        <f t="shared" si="396"/>
        <v>-0.46431952669946552</v>
      </c>
      <c r="FK205" s="382">
        <f t="shared" si="396"/>
        <v>0.26933668248209131</v>
      </c>
      <c r="FL205" s="382">
        <f t="shared" si="396"/>
        <v>0.85272755256850941</v>
      </c>
      <c r="FM205" s="382">
        <f t="shared" si="396"/>
        <v>0.77566834659873107</v>
      </c>
      <c r="FN205" s="382">
        <f t="shared" si="396"/>
        <v>0.35974824650428694</v>
      </c>
      <c r="FO205" s="382">
        <f t="shared" si="396"/>
        <v>-0.13098709422672683</v>
      </c>
      <c r="FP205" s="382">
        <f t="shared" si="396"/>
        <v>-0.17595133776729988</v>
      </c>
      <c r="FQ205" s="382">
        <f t="shared" si="396"/>
        <v>0.31636507202343389</v>
      </c>
      <c r="FR205" s="382">
        <f t="shared" si="396"/>
        <v>0.24810407852921901</v>
      </c>
      <c r="FS205" s="382">
        <f t="shared" si="396"/>
        <v>-3.9193484890409636E-2</v>
      </c>
      <c r="FT205" s="382">
        <f t="shared" si="396"/>
        <v>-0.25157929061112605</v>
      </c>
      <c r="FU205" s="382">
        <f t="shared" si="396"/>
        <v>1.3662564669634003E-2</v>
      </c>
      <c r="FV205" s="382">
        <f t="shared" si="396"/>
        <v>-0.44717770014873059</v>
      </c>
      <c r="FW205" s="382">
        <f t="shared" si="396"/>
        <v>8.3951500448397942E-2</v>
      </c>
      <c r="FX205" s="382">
        <f t="shared" si="396"/>
        <v>-0.10654028617338729</v>
      </c>
      <c r="FY205" s="382">
        <f t="shared" si="396"/>
        <v>0.53679218306023935</v>
      </c>
      <c r="FZ205" s="382">
        <f t="shared" si="396"/>
        <v>0.53016536809502934</v>
      </c>
      <c r="GA205" s="382">
        <f t="shared" si="396"/>
        <v>1.1539910469142298</v>
      </c>
      <c r="GB205" s="382">
        <f t="shared" si="396"/>
        <v>0.53421569099567101</v>
      </c>
      <c r="GC205" s="382">
        <f t="shared" si="396"/>
        <v>-1.9116024636396278E-2</v>
      </c>
      <c r="GD205" s="382">
        <f t="shared" si="396"/>
        <v>-0.36672333594279327</v>
      </c>
      <c r="GE205" s="382">
        <f t="shared" si="396"/>
        <v>0.50824943610141871</v>
      </c>
      <c r="GF205" s="382">
        <f t="shared" si="396"/>
        <v>0.29196707814193945</v>
      </c>
      <c r="GG205" s="387">
        <f t="shared" si="396"/>
        <v>8.2625137871641385E-2</v>
      </c>
      <c r="GH205" s="387">
        <f t="shared" si="396"/>
        <v>3.9934586662820237E-2</v>
      </c>
      <c r="GI205" s="387">
        <f t="shared" si="396"/>
        <v>4.7269146768258885E-2</v>
      </c>
      <c r="GJ205" s="387">
        <f t="shared" si="396"/>
        <v>4.2046244958184875E-2</v>
      </c>
      <c r="GK205" s="387">
        <f t="shared" si="396"/>
        <v>2.7502094590579729E-2</v>
      </c>
      <c r="GN205" s="70"/>
    </row>
    <row r="206" spans="1:196" s="382" customFormat="1">
      <c r="A206" s="381" t="s">
        <v>281</v>
      </c>
      <c r="AD206" s="382">
        <f>AD203/AD4</f>
        <v>4.2796523901837774E-2</v>
      </c>
      <c r="AE206" s="382">
        <f>AE203/AE4</f>
        <v>3.9453173814566693E-2</v>
      </c>
      <c r="AF206" s="382">
        <f>AF203/AF4</f>
        <v>3.1954160170867489E-2</v>
      </c>
      <c r="AG206" s="382">
        <f>AG203/AG4</f>
        <v>8.0646581521683636E-3</v>
      </c>
      <c r="AH206" s="382">
        <f>AH203/AH4</f>
        <v>1.0301919584234492E-2</v>
      </c>
      <c r="AI206" s="382">
        <f>AI203/AI4</f>
        <v>8.2846004725636982E-2</v>
      </c>
      <c r="AJ206" s="382">
        <f>AJ203/AJ4</f>
        <v>0.13021783070233853</v>
      </c>
      <c r="AK206" s="382">
        <f>AK203/AK4</f>
        <v>7.5720563562576088E-2</v>
      </c>
      <c r="AL206" s="382">
        <f>AL203/AL4</f>
        <v>0.17257662073911981</v>
      </c>
      <c r="AM206" s="382">
        <f>AM203/AM4</f>
        <v>0.17179932000553055</v>
      </c>
      <c r="AN206" s="382">
        <f>AN203/AN4</f>
        <v>0.15734909794245486</v>
      </c>
      <c r="AO206" s="382">
        <f>AO203/AO4</f>
        <v>9.111577291202308E-2</v>
      </c>
      <c r="AP206" s="382">
        <f>AP203/AP4</f>
        <v>6.3279943461315089E-2</v>
      </c>
      <c r="AQ206" s="382">
        <f>AQ203/AQ4</f>
        <v>6.0524345962331527E-2</v>
      </c>
      <c r="AR206" s="382">
        <f>AR203/AR4</f>
        <v>6.9373919407313578E-2</v>
      </c>
      <c r="AS206" s="382">
        <f>AS203/AS4</f>
        <v>5.353630951739103E-2</v>
      </c>
      <c r="AT206" s="382">
        <f>AT203/AT4</f>
        <v>3.9135157343746084E-2</v>
      </c>
      <c r="AU206" s="382">
        <f>AU203/AU4</f>
        <v>5.2645468471759826E-2</v>
      </c>
      <c r="AV206" s="382">
        <f>AV203/AV4</f>
        <v>6.1981880804447734E-2</v>
      </c>
      <c r="AW206" s="382">
        <f>AW203/AW4</f>
        <v>6.4287104753795579E-2</v>
      </c>
      <c r="AX206" s="382">
        <f>AX203/AX4</f>
        <v>7.1420186071082678E-2</v>
      </c>
      <c r="AY206" s="382">
        <f>AY203/AY4</f>
        <v>7.6247025600078747E-2</v>
      </c>
      <c r="AZ206" s="382">
        <f>AZ203/AZ4</f>
        <v>9.3829276541531614E-2</v>
      </c>
      <c r="BA206" s="382">
        <f>BA203/BA4</f>
        <v>9.7387987440406124E-2</v>
      </c>
      <c r="BB206" s="382">
        <f>BB203/BB4</f>
        <v>0.12906652213926578</v>
      </c>
      <c r="BC206" s="382">
        <f>BC203/BC4</f>
        <v>0.12517628314480744</v>
      </c>
      <c r="BD206" s="382">
        <f>BD203/BD4</f>
        <v>0.17935602151817306</v>
      </c>
      <c r="BE206" s="382">
        <f>BE203/BE4</f>
        <v>0.18918274111675126</v>
      </c>
      <c r="BF206" s="382">
        <f>BF203/BF4</f>
        <v>0.18035685320356856</v>
      </c>
      <c r="BG206" s="382">
        <f>BG203/BG4</f>
        <v>0.18644847605224962</v>
      </c>
      <c r="BH206" s="382">
        <f>BH203/BH4</f>
        <v>0.22366053921568629</v>
      </c>
      <c r="BI206" s="382">
        <f>BI203/BI4</f>
        <v>0.2126406779661017</v>
      </c>
      <c r="BJ206" s="382">
        <f>BJ203/BJ4</f>
        <v>0.19183245182724251</v>
      </c>
      <c r="BK206" s="382">
        <f>BK203/BK4</f>
        <v>0.19830800593031875</v>
      </c>
      <c r="BL206" s="382">
        <f>BL203/BL4</f>
        <v>0.19311802615193024</v>
      </c>
      <c r="BM206" s="382">
        <f>BM203/BM4</f>
        <v>0.16732009466437178</v>
      </c>
      <c r="BN206" s="382">
        <f>BN203/BN4</f>
        <v>0.19096856414613425</v>
      </c>
      <c r="BO206" s="382">
        <f>BO203/BO4</f>
        <v>0.15164244087837836</v>
      </c>
      <c r="BP206" s="382">
        <f>BP203/BP4</f>
        <v>0.15946489255014329</v>
      </c>
      <c r="BQ206" s="382">
        <f>BQ203/BQ4</f>
        <v>0.150195762454435</v>
      </c>
      <c r="BR206" s="382">
        <f>BR203/BR4</f>
        <v>0.15458668996188057</v>
      </c>
      <c r="BS206" s="382">
        <f>BS203/BS4</f>
        <v>0.18245214761040535</v>
      </c>
      <c r="BT206" s="382">
        <f>BT203/BT4</f>
        <v>0.19301888133498146</v>
      </c>
      <c r="BU206" s="382">
        <f>BU203/BU4</f>
        <v>0.17797631898120073</v>
      </c>
      <c r="BV206" s="382">
        <f>BV203/BV4</f>
        <v>0.16099674519528831</v>
      </c>
      <c r="BW206" s="382">
        <f>BW203/BW4</f>
        <v>0.19661149936467598</v>
      </c>
      <c r="BX206" s="382">
        <f>BX203/BX4</f>
        <v>0.25524349112426037</v>
      </c>
      <c r="BY206" s="382">
        <f>BY203/BY4</f>
        <v>0.25764520993494971</v>
      </c>
      <c r="BZ206" s="382">
        <f>BZ203/BZ4</f>
        <v>0.2602304984227129</v>
      </c>
      <c r="CA206" s="382">
        <f>CA203/CA4</f>
        <v>0.26314803255484787</v>
      </c>
      <c r="CB206" s="382">
        <f>CB203/CB4</f>
        <v>0.25798278171788813</v>
      </c>
      <c r="CC206" s="382">
        <f>CC203/CC4</f>
        <v>0.23223437229437224</v>
      </c>
      <c r="CD206" s="382">
        <f>CD203/CD4</f>
        <v>0.2331029411764706</v>
      </c>
      <c r="CE206" s="382">
        <f>CE203/CE4</f>
        <v>0.27135400516795866</v>
      </c>
      <c r="CF206" s="382">
        <f>CF203/CF4</f>
        <v>0.18950787132101299</v>
      </c>
      <c r="CG206" s="382">
        <f>CG203/CG4</f>
        <v>0.11782252989301448</v>
      </c>
      <c r="CH206" s="382">
        <f>CH203/CH4</f>
        <v>0.14682891911238369</v>
      </c>
      <c r="CI206" s="382">
        <f>CI203/CI4</f>
        <v>0.19293962526023595</v>
      </c>
      <c r="CJ206" s="382">
        <f>CJ203/CJ4</f>
        <v>0.18395521343596921</v>
      </c>
      <c r="CK206" s="382">
        <f>CK203/CK4</f>
        <v>0.24280952380952381</v>
      </c>
      <c r="CL206" s="382">
        <f>CL203/CL4</f>
        <v>0.23503689320388349</v>
      </c>
      <c r="CM206" s="382">
        <f>CM203/CM4</f>
        <v>0.11195541401273885</v>
      </c>
      <c r="CN206" s="382">
        <f>CN203/CN4</f>
        <v>9.2554194156456174E-2</v>
      </c>
      <c r="CO206" s="382">
        <f>CO203/CO4</f>
        <v>0.13880688935281837</v>
      </c>
      <c r="CP206" s="382">
        <f>CP203/CP4</f>
        <v>0.16863581730769231</v>
      </c>
      <c r="CQ206" s="382">
        <f>CQ203/CQ4</f>
        <v>0.13288704965920156</v>
      </c>
      <c r="CR206" s="382">
        <f>CR203/CR4</f>
        <v>0.11617444529456772</v>
      </c>
      <c r="CS206" s="382">
        <f>CS203/CS4</f>
        <v>0.1796491862567812</v>
      </c>
      <c r="CT206" s="382">
        <f>CT203/CT4</f>
        <v>0.16234146341463415</v>
      </c>
      <c r="CU206" s="382">
        <f>CU203/CU4</f>
        <v>0.11846317512274959</v>
      </c>
      <c r="CV206" s="382">
        <f>CV203/CV4</f>
        <v>7.6243457090687763E-2</v>
      </c>
      <c r="CW206" s="382">
        <f>CW203/CW4</f>
        <v>8.831351351351352E-2</v>
      </c>
      <c r="CX206" s="382">
        <f>CX203/CX4</f>
        <v>8.5166578128255538E-2</v>
      </c>
      <c r="CY206" s="382">
        <f>CY203/CY4</f>
        <v>9.930990603644646E-2</v>
      </c>
      <c r="CZ206" s="382">
        <f>CZ203/CZ4</f>
        <v>0.16196876285541437</v>
      </c>
      <c r="DA206" s="382">
        <f>DA203/DA4</f>
        <v>0.19657948907681463</v>
      </c>
      <c r="DB206" s="382">
        <f>DB203/DB4</f>
        <v>0.19134574685534589</v>
      </c>
      <c r="DC206" s="382">
        <f>DC203/DC4</f>
        <v>0.19305705447419988</v>
      </c>
      <c r="DD206" s="382">
        <f>DD203/DD4</f>
        <v>0.20567570099944477</v>
      </c>
      <c r="DE206" s="382">
        <f>DE203/DE4</f>
        <v>0.19210428772919605</v>
      </c>
      <c r="DF206" s="382">
        <f>DF203/DF4</f>
        <v>0.28048759238521837</v>
      </c>
      <c r="DG206" s="382">
        <f>DG203/DG4</f>
        <v>0.34000517598343682</v>
      </c>
      <c r="DH206" s="382">
        <f>DH203/DH4</f>
        <v>0.29338803998571938</v>
      </c>
      <c r="DI206" s="382">
        <f>DI203/DI4</f>
        <v>0.26489448212083844</v>
      </c>
      <c r="DJ206" s="383">
        <f>DJ203/DJ4</f>
        <v>0.28878363872823581</v>
      </c>
      <c r="DK206" s="383">
        <f>DK203/DK4</f>
        <v>0.28853997922077917</v>
      </c>
      <c r="DL206" s="383">
        <f>DL203/DL4</f>
        <v>0.24914324020403431</v>
      </c>
      <c r="DM206" s="383">
        <f>DM203/DM4</f>
        <v>0.24352477206796519</v>
      </c>
      <c r="DN206" s="383">
        <f>DN203/DN4</f>
        <v>0.26881127908951929</v>
      </c>
      <c r="DO206" s="383">
        <f>DO203/DO4</f>
        <v>0.25103964702290077</v>
      </c>
      <c r="DP206" s="383">
        <f>DP203/DP4</f>
        <v>0.10065071033243485</v>
      </c>
      <c r="DQ206" s="383">
        <f>DQ203/DQ4</f>
        <v>8.6686966407119398E-2</v>
      </c>
      <c r="DR206" s="383">
        <f>DR203/DR4</f>
        <v>7.3260770793871666E-2</v>
      </c>
      <c r="DS206" s="383">
        <f>DS203/DS4</f>
        <v>0.10409636316038735</v>
      </c>
      <c r="DT206" s="383">
        <f>DT203/DT4</f>
        <v>0.15400416114571747</v>
      </c>
      <c r="DU206" s="383">
        <f>DU203/DU4</f>
        <v>0.13980152594033721</v>
      </c>
      <c r="DV206" s="382">
        <f>DV203/DV4</f>
        <v>0.1407335432121323</v>
      </c>
      <c r="DW206" s="382">
        <f>DW203/DW4</f>
        <v>0.15554963016281062</v>
      </c>
      <c r="DX206" s="382">
        <f>DX203/DX4</f>
        <v>0.16099854792776938</v>
      </c>
      <c r="DY206" s="382">
        <f>DY203/DY4</f>
        <v>0.17039816907450961</v>
      </c>
      <c r="DZ206" s="382">
        <f>DZ203/DZ4</f>
        <v>0.15868957229818215</v>
      </c>
      <c r="EA206" s="382">
        <f>EA203/EA4</f>
        <v>0.15512932521448652</v>
      </c>
      <c r="EB206" s="382">
        <f>EB203/EB4</f>
        <v>0.14620597657502482</v>
      </c>
      <c r="EC206" s="382">
        <f>EC203/EC4</f>
        <v>0.15070212870616517</v>
      </c>
      <c r="ED206" s="382">
        <f>ED203/ED4</f>
        <v>0.1381512709188171</v>
      </c>
      <c r="EE206" s="384">
        <f>EE203/EE4</f>
        <v>0.12875331561282208</v>
      </c>
      <c r="EF206" s="384">
        <f>EF203/EF4</f>
        <v>0.1180658720462852</v>
      </c>
      <c r="EG206" s="384">
        <f>EG203/EG4</f>
        <v>8.8329734599795207E-2</v>
      </c>
      <c r="EH206" s="384">
        <f>EH203/EH4</f>
        <v>7.5468552586945209E-2</v>
      </c>
      <c r="EI206" s="384">
        <f>EI203/EI4</f>
        <v>7.3324547394376383E-2</v>
      </c>
      <c r="EJ206" s="384">
        <f>EJ203/EJ4</f>
        <v>7.0058872397204847E-2</v>
      </c>
      <c r="EK206" s="384">
        <f>EK203/EK4</f>
        <v>6.7716137739387824E-2</v>
      </c>
      <c r="EL206" s="384">
        <f>EL203/EL4</f>
        <v>6.1719932784113335E-2</v>
      </c>
      <c r="EM206" s="384">
        <f>EM203/EM4</f>
        <v>6.0209077751894324E-2</v>
      </c>
      <c r="EN206" s="384">
        <f>EN203/EN4</f>
        <v>5.8349366426156818E-2</v>
      </c>
      <c r="EO206" s="384">
        <f>EO203/EO4</f>
        <v>5.7849440040349677E-2</v>
      </c>
      <c r="EP206" s="384">
        <f>EP203/EP4</f>
        <v>5.371824964387327E-2</v>
      </c>
      <c r="EQ206" s="384">
        <f>EQ203/EQ4</f>
        <v>5.3597201763817139E-2</v>
      </c>
      <c r="ER206" s="384">
        <f>ER203/ER4</f>
        <v>5.2128787596518615E-2</v>
      </c>
      <c r="ES206" s="384">
        <f>ES203/ES4</f>
        <v>5.2424279903664446E-2</v>
      </c>
      <c r="ET206" s="384">
        <f>ET203/ET4</f>
        <v>4.9265629808833762E-2</v>
      </c>
      <c r="EU206" s="384">
        <f>EU203/EU4</f>
        <v>4.8693926772211946E-2</v>
      </c>
      <c r="EV206" s="384">
        <f>EV203/EV4</f>
        <v>4.6548036632585714E-2</v>
      </c>
      <c r="EW206" s="384">
        <f>EW203/EW4</f>
        <v>4.7187268673272331E-2</v>
      </c>
      <c r="FG206" s="382">
        <f>FG203/FG4</f>
        <v>3.0348502342821247E-2</v>
      </c>
      <c r="FH206" s="382">
        <f>FH203/FH4</f>
        <v>6.8266866816350677E-2</v>
      </c>
      <c r="FI206" s="382">
        <f>FI203/FI4</f>
        <v>0.14880126613395708</v>
      </c>
      <c r="FJ206" s="382">
        <f>FJ203/FJ4</f>
        <v>6.1088302689726676E-2</v>
      </c>
      <c r="FK206" s="382">
        <f>FK203/FK4</f>
        <v>5.4560741067313678E-2</v>
      </c>
      <c r="FL206" s="382">
        <f>FL203/FL4</f>
        <v>8.6459058170589284E-2</v>
      </c>
      <c r="FM206" s="382">
        <f>FM203/FM4</f>
        <v>0.15891519551535835</v>
      </c>
      <c r="FN206" s="382">
        <f>FN203/FN4</f>
        <v>0.20300914684849491</v>
      </c>
      <c r="FO206" s="382">
        <f>FO203/FO4</f>
        <v>0.18868709356101029</v>
      </c>
      <c r="FP206" s="382">
        <f>FP203/FP4</f>
        <v>0.16178972145104573</v>
      </c>
      <c r="FQ206" s="382">
        <f>FQ203/FQ4</f>
        <v>0.1771943871265784</v>
      </c>
      <c r="FR206" s="382">
        <f>FR203/FR4</f>
        <v>0.21866531668696712</v>
      </c>
      <c r="FS206" s="382">
        <f>FS203/FS4</f>
        <v>0.25450098856510511</v>
      </c>
      <c r="FT206" s="382">
        <f>FT203/FT4</f>
        <v>0.19489507454236649</v>
      </c>
      <c r="FU206" s="382">
        <f>FU203/FU4</f>
        <v>0.19013058481656372</v>
      </c>
      <c r="FV206" s="382">
        <f>FV203/FV4</f>
        <v>0.14500801804059132</v>
      </c>
      <c r="FW206" s="382">
        <f>FW203/FW4</f>
        <v>0.14684269662921348</v>
      </c>
      <c r="FX206" s="382">
        <f>FX203/FX4</f>
        <v>0.10517507975229876</v>
      </c>
      <c r="FY206" s="382">
        <f>FY203/FY4</f>
        <v>0.13302520605053852</v>
      </c>
      <c r="FZ206" s="382">
        <f>FZ203/FZ4</f>
        <v>0.19580892852473628</v>
      </c>
      <c r="GA206" s="382">
        <f>GA203/GA4</f>
        <v>0.29078545938748335</v>
      </c>
      <c r="GB206" s="382">
        <f>GB203/GB4</f>
        <v>0.26503248755134307</v>
      </c>
      <c r="GC206" s="382">
        <f>GC203/GC4</f>
        <v>0.18102127943364524</v>
      </c>
      <c r="GD206" s="382">
        <f>GD203/GD4</f>
        <v>0.1192917664409732</v>
      </c>
      <c r="GE206" s="382">
        <f>GE203/GE4</f>
        <v>0.15825577083932729</v>
      </c>
      <c r="GF206" s="382">
        <f>GF203/GF4</f>
        <v>0.15219934825636433</v>
      </c>
      <c r="GG206" s="384">
        <f>GG203/GG4</f>
        <v>0.11493262372642347</v>
      </c>
      <c r="GH206" s="384">
        <f>GH203/GH4</f>
        <v>7.1254722018381234E-2</v>
      </c>
      <c r="GI206" s="384">
        <f>GI203/GI4</f>
        <v>5.942850830630983E-2</v>
      </c>
      <c r="GJ206" s="384">
        <f>GJ203/GJ4</f>
        <v>5.2927168957997831E-2</v>
      </c>
      <c r="GK206" s="384">
        <f>GK203/GK4</f>
        <v>4.785229629608221E-2</v>
      </c>
      <c r="GN206" s="70"/>
    </row>
    <row r="207" spans="1:196" s="418" customFormat="1">
      <c r="CR207" s="379"/>
      <c r="CT207" s="457"/>
      <c r="CU207" s="457"/>
      <c r="CV207" s="457"/>
      <c r="CW207" s="457"/>
      <c r="CX207" s="457"/>
      <c r="CY207" s="457"/>
      <c r="CZ207" s="94"/>
      <c r="DA207" s="457"/>
      <c r="DB207" s="94"/>
      <c r="DE207" s="95"/>
      <c r="DF207" s="379"/>
      <c r="DI207" s="379"/>
      <c r="DJ207" s="458"/>
      <c r="DK207" s="458"/>
      <c r="DL207" s="458"/>
      <c r="DM207" s="383">
        <f>GD214</f>
        <v>3.8323353293413076E-2</v>
      </c>
      <c r="DN207" s="383">
        <f>GE214</f>
        <v>0.36332179930795849</v>
      </c>
      <c r="DO207" s="458"/>
      <c r="DP207" s="96"/>
      <c r="DQ207" s="458"/>
      <c r="DR207" s="458"/>
      <c r="DS207" s="458"/>
      <c r="DT207" s="458"/>
      <c r="DU207" s="458"/>
      <c r="DV207" s="383"/>
      <c r="DW207" s="383"/>
      <c r="DX207" s="382"/>
      <c r="GN207" s="70"/>
    </row>
    <row r="208" spans="1:196">
      <c r="A208" s="82" t="s">
        <v>282</v>
      </c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  <c r="BP208" s="83"/>
      <c r="BQ208" s="83"/>
      <c r="BR208" s="83"/>
      <c r="BS208" s="83"/>
      <c r="BT208" s="83"/>
      <c r="BU208" s="83"/>
      <c r="BV208" s="83"/>
      <c r="BW208" s="83"/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  <c r="CN208" s="83"/>
      <c r="CO208" s="83"/>
      <c r="CP208" s="83"/>
      <c r="CQ208" s="83"/>
      <c r="CR208" s="84"/>
      <c r="CS208" s="83"/>
      <c r="CT208" s="85"/>
      <c r="CU208" s="85"/>
      <c r="CV208" s="85"/>
      <c r="CW208" s="85"/>
      <c r="CX208" s="85"/>
      <c r="CY208" s="85"/>
      <c r="CZ208" s="86"/>
      <c r="DA208" s="85"/>
      <c r="DB208" s="87"/>
      <c r="DC208" s="83"/>
      <c r="DD208" s="83"/>
      <c r="DE208" s="88"/>
      <c r="DF208" s="84"/>
      <c r="DG208" s="83"/>
      <c r="DH208" s="83"/>
      <c r="DI208" s="84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97"/>
      <c r="DU208" s="97"/>
      <c r="DV208" s="89"/>
      <c r="DW208" s="89"/>
      <c r="DX208" s="83"/>
      <c r="DY208" s="83"/>
      <c r="DZ208" s="83"/>
      <c r="EA208" s="83"/>
      <c r="EB208" s="83"/>
      <c r="EC208" s="83"/>
      <c r="ED208" s="83"/>
      <c r="EE208" s="83"/>
      <c r="EF208" s="83"/>
      <c r="EG208" s="83"/>
      <c r="EH208" s="83"/>
      <c r="EI208" s="83"/>
      <c r="EJ208" s="83"/>
      <c r="EK208" s="83"/>
      <c r="EL208" s="83"/>
      <c r="EM208" s="83"/>
      <c r="EN208" s="83"/>
      <c r="EO208" s="83"/>
      <c r="EP208" s="83"/>
      <c r="EQ208" s="83"/>
      <c r="ER208" s="83"/>
      <c r="ES208" s="83"/>
      <c r="ET208" s="83"/>
      <c r="EU208" s="83"/>
      <c r="EV208" s="83"/>
      <c r="EW208" s="83"/>
      <c r="EZ208" s="83"/>
      <c r="FA208" s="83"/>
      <c r="FB208" s="83"/>
      <c r="FC208" s="83"/>
      <c r="FD208" s="83"/>
      <c r="FE208" s="83"/>
      <c r="FF208" s="83"/>
      <c r="FG208" s="83"/>
      <c r="FH208" s="83"/>
      <c r="FI208" s="83"/>
      <c r="FJ208" s="83"/>
      <c r="FK208" s="83"/>
      <c r="FL208" s="83"/>
      <c r="FM208" s="83"/>
      <c r="FN208" s="83"/>
      <c r="FO208" s="83"/>
      <c r="FP208" s="83"/>
      <c r="FQ208" s="83"/>
      <c r="FR208" s="83"/>
      <c r="FS208" s="83"/>
      <c r="FT208" s="83"/>
      <c r="FU208" s="83"/>
      <c r="FV208" s="83"/>
      <c r="FW208" s="83"/>
      <c r="FX208" s="83"/>
      <c r="FY208" s="83"/>
      <c r="FZ208" s="83"/>
      <c r="GA208" s="83"/>
      <c r="GB208" s="83"/>
      <c r="GC208" s="83"/>
      <c r="GD208" s="83"/>
      <c r="GE208" s="83"/>
      <c r="GF208" s="83"/>
      <c r="GG208" s="83"/>
      <c r="GH208" s="83"/>
      <c r="GI208" s="83"/>
      <c r="GJ208" s="83"/>
      <c r="GK208" s="83"/>
      <c r="GN208" s="48"/>
    </row>
    <row r="209" spans="1:196" s="379" customFormat="1">
      <c r="A209" s="405" t="s">
        <v>280</v>
      </c>
      <c r="AD209" s="376">
        <f>AD212+AD216</f>
        <v>6490</v>
      </c>
      <c r="AE209" s="376">
        <f>AE212+AE216</f>
        <v>6350.4210000000003</v>
      </c>
      <c r="AF209" s="376">
        <f>AF212+AF216</f>
        <v>6864.0599999999995</v>
      </c>
      <c r="AG209" s="376">
        <f>AG212+AG216</f>
        <v>6969.0300000000007</v>
      </c>
      <c r="AH209" s="376">
        <f>AH212+AH216</f>
        <v>7382</v>
      </c>
      <c r="AI209" s="376">
        <f>AI212+AI216</f>
        <v>8195</v>
      </c>
      <c r="AJ209" s="376">
        <f>AJ212+AJ216</f>
        <v>8333</v>
      </c>
      <c r="AK209" s="376">
        <f>AK212+AK216</f>
        <v>8219</v>
      </c>
      <c r="AL209" s="376">
        <f>AL212+AL216</f>
        <v>8408</v>
      </c>
      <c r="AM209" s="376">
        <f>AM212+AM216</f>
        <v>6411</v>
      </c>
      <c r="AN209" s="376">
        <f>AN212+AN216</f>
        <v>4726</v>
      </c>
      <c r="AO209" s="376">
        <f>AO212+AO216</f>
        <v>6235</v>
      </c>
      <c r="AP209" s="376">
        <f>AP212+AP216</f>
        <v>7199</v>
      </c>
      <c r="AQ209" s="376">
        <f>AQ212+AQ216</f>
        <v>6653</v>
      </c>
      <c r="AR209" s="376">
        <f>AR212+AR216</f>
        <v>7258</v>
      </c>
      <c r="AS209" s="376">
        <f>AS212+AS216</f>
        <v>7730</v>
      </c>
      <c r="AT209" s="376">
        <f>AT212+AT216</f>
        <v>7168</v>
      </c>
      <c r="AU209" s="376">
        <f>AU212+AU216</f>
        <v>7175</v>
      </c>
      <c r="AV209" s="376">
        <f>AV212+AV216</f>
        <v>7695</v>
      </c>
      <c r="AW209" s="376">
        <f>AW212+AW216</f>
        <v>9030</v>
      </c>
      <c r="AX209" s="376">
        <f>AX212+AX216</f>
        <v>9095</v>
      </c>
      <c r="AY209" s="376">
        <f>AY212+AY216</f>
        <v>8611</v>
      </c>
      <c r="AZ209" s="376">
        <f>AZ212+AZ216</f>
        <v>10546</v>
      </c>
      <c r="BA209" s="376">
        <f>BA212+BA216</f>
        <v>13532</v>
      </c>
      <c r="BB209" s="376">
        <f>BB212+BB216</f>
        <v>12460</v>
      </c>
      <c r="BC209" s="376">
        <f>BC212+BC216</f>
        <v>11765</v>
      </c>
      <c r="BD209" s="376">
        <f>BD212+BD216</f>
        <v>14013</v>
      </c>
      <c r="BE209" s="376">
        <f>BE212+BE216</f>
        <v>16813</v>
      </c>
      <c r="BF209" s="376">
        <f>BF212+BF216</f>
        <v>10670</v>
      </c>
      <c r="BG209" s="376">
        <f>BG212+BG216</f>
        <v>14875</v>
      </c>
      <c r="BH209" s="376">
        <f>BH212+BH216</f>
        <v>17331</v>
      </c>
      <c r="BI209" s="376">
        <f>BI212+BI216</f>
        <v>18448</v>
      </c>
      <c r="BJ209" s="376">
        <f>BJ212+BJ216</f>
        <v>15177</v>
      </c>
      <c r="BK209" s="376">
        <f>BK212+BK216</f>
        <v>14723</v>
      </c>
      <c r="BL209" s="376">
        <f>BL212+BL216</f>
        <v>15798</v>
      </c>
      <c r="BM209" s="376">
        <f>BM212+BM216</f>
        <v>12505</v>
      </c>
      <c r="BN209" s="376">
        <f>BN212+BN216</f>
        <v>14222</v>
      </c>
      <c r="BO209" s="376">
        <f>BO212+BO216</f>
        <v>14440</v>
      </c>
      <c r="BP209" s="376">
        <f>BP212+BP216</f>
        <v>16200</v>
      </c>
      <c r="BQ209" s="376">
        <f>BQ212+BQ216</f>
        <v>18140</v>
      </c>
      <c r="BR209" s="376">
        <f>BR212+BR216</f>
        <v>16662</v>
      </c>
      <c r="BS209" s="376">
        <f>BS212+BS216</f>
        <v>17265</v>
      </c>
      <c r="BT209" s="376">
        <f>BT212+BT216</f>
        <v>18072</v>
      </c>
      <c r="BU209" s="376">
        <f>BU212+BU216</f>
        <v>17867</v>
      </c>
      <c r="BV209" s="376">
        <f>BV212+BV216</f>
        <v>18072</v>
      </c>
      <c r="BW209" s="376">
        <f>BW212+BW216</f>
        <v>18957</v>
      </c>
      <c r="BX209" s="376">
        <f>BX212+BX216</f>
        <v>19592</v>
      </c>
      <c r="BY209" s="376">
        <f>BY212+BY216</f>
        <v>18776</v>
      </c>
      <c r="BZ209" s="376">
        <f>BZ212+BZ216</f>
        <v>18582</v>
      </c>
      <c r="CA209" s="376">
        <f>CA212+CA216</f>
        <v>17126</v>
      </c>
      <c r="CB209" s="376">
        <f>CB212+CB216</f>
        <v>15191</v>
      </c>
      <c r="CC209" s="376">
        <f>CC212+CC216</f>
        <v>12981</v>
      </c>
      <c r="CD209" s="376">
        <f>CD212+CD216</f>
        <v>11606</v>
      </c>
      <c r="CE209" s="376">
        <f>CE212+CE216</f>
        <v>14683</v>
      </c>
      <c r="CF209" s="376">
        <f>CF212+CF216</f>
        <v>14626</v>
      </c>
      <c r="CG209" s="376">
        <f>CG212+CG216</f>
        <v>12565</v>
      </c>
      <c r="CH209" s="376">
        <f>CH212+CH216</f>
        <v>10860</v>
      </c>
      <c r="CI209" s="376">
        <f>CI212+CI216</f>
        <v>11307</v>
      </c>
      <c r="CJ209" s="376">
        <f>CJ212+CJ216</f>
        <v>11330</v>
      </c>
      <c r="CK209" s="376">
        <f>CK212+CK216</f>
        <v>9279</v>
      </c>
      <c r="CL209" s="376">
        <f>CL212+CL216</f>
        <v>7421</v>
      </c>
      <c r="CM209" s="376">
        <f>CM212+CM216</f>
        <v>4877</v>
      </c>
      <c r="CN209" s="376">
        <f>CN212+CN216</f>
        <v>5190</v>
      </c>
      <c r="CO209" s="376">
        <f>CO212+CO216</f>
        <v>6006</v>
      </c>
      <c r="CP209" s="376">
        <f>CP212+CP216</f>
        <v>5544</v>
      </c>
      <c r="CQ209" s="376">
        <f>CQ212+CQ216</f>
        <v>4902</v>
      </c>
      <c r="CR209" s="376">
        <f>CR212+CR216</f>
        <v>5239</v>
      </c>
      <c r="CS209" s="376">
        <f>CS212+CS216</f>
        <v>6333</v>
      </c>
      <c r="CT209" s="376">
        <f>CT212+CT216</f>
        <v>5701</v>
      </c>
      <c r="CU209" s="376">
        <f>CU212+CU216</f>
        <v>5749</v>
      </c>
      <c r="CV209" s="376">
        <f>CV212+CV216</f>
        <v>5865</v>
      </c>
      <c r="CW209" s="376">
        <f>CW212+CW216</f>
        <v>6129</v>
      </c>
      <c r="CX209" s="376">
        <f>CX212+CX216</f>
        <v>5920</v>
      </c>
      <c r="CY209" s="376">
        <f>CY212+CY216</f>
        <v>6605</v>
      </c>
      <c r="CZ209" s="376">
        <f>CZ212+CZ216</f>
        <v>8890</v>
      </c>
      <c r="DA209" s="376">
        <f>DA212+DA216</f>
        <v>9471</v>
      </c>
      <c r="DB209" s="376">
        <f>DB212+DB216</f>
        <v>8877</v>
      </c>
      <c r="DC209" s="376">
        <f>DC212+DC216</f>
        <v>9965</v>
      </c>
      <c r="DD209" s="376">
        <f>DD212+DD216</f>
        <v>11330</v>
      </c>
      <c r="DE209" s="376">
        <f>DE212+DE216</f>
        <v>12630</v>
      </c>
      <c r="DF209" s="376">
        <f>DF212+DF216</f>
        <v>12485</v>
      </c>
      <c r="DG209" s="376">
        <f>DG212+DG216</f>
        <v>14050</v>
      </c>
      <c r="DH209" s="376">
        <f>DH212+DH216</f>
        <v>16900</v>
      </c>
      <c r="DI209" s="376">
        <f>DI212+DI216</f>
        <v>19345</v>
      </c>
      <c r="DJ209" s="397">
        <f>DJ212+DJ216</f>
        <v>18165</v>
      </c>
      <c r="DK209" s="397">
        <f>DK212+DK216</f>
        <v>18325</v>
      </c>
      <c r="DL209" s="397">
        <f>DL212+DL216</f>
        <v>16215</v>
      </c>
      <c r="DM209" s="397">
        <f>DM212+DM216</f>
        <v>16726</v>
      </c>
      <c r="DN209" s="397">
        <f>DN212+DN216</f>
        <v>15390</v>
      </c>
      <c r="DO209" s="397">
        <f>DO212+DO216</f>
        <v>15735</v>
      </c>
      <c r="DP209" s="397">
        <f>DP212+DP216</f>
        <v>8925</v>
      </c>
      <c r="DQ209" s="397">
        <f>DQ212+DQ216</f>
        <v>7990</v>
      </c>
      <c r="DR209" s="397">
        <f>DR212+DR216</f>
        <v>7450</v>
      </c>
      <c r="DS209" s="397">
        <f>DS212+DS216</f>
        <v>9220</v>
      </c>
      <c r="DT209" s="397">
        <f>DT212+DT216</f>
        <v>11925</v>
      </c>
      <c r="DU209" s="397">
        <f>DU212+DU216</f>
        <v>13850</v>
      </c>
      <c r="DV209" s="376">
        <f>DV212+DV216</f>
        <v>12825</v>
      </c>
      <c r="DW209" s="376">
        <f>DW212+DW216</f>
        <v>13040</v>
      </c>
      <c r="DX209" s="376">
        <f>DX212+DX216</f>
        <v>14930</v>
      </c>
      <c r="DY209" s="376">
        <f>DY212+DY216</f>
        <v>16980</v>
      </c>
      <c r="DZ209" s="376">
        <f>DZ212+DZ216</f>
        <v>14895</v>
      </c>
      <c r="EA209" s="376">
        <f>EA212+EA216</f>
        <v>15040</v>
      </c>
      <c r="EB209" s="376">
        <f>EB212+EB216</f>
        <v>16570</v>
      </c>
      <c r="EC209" s="376">
        <f>EC212+EC216</f>
        <v>19480</v>
      </c>
      <c r="ED209" s="376">
        <f>ED212+ED216</f>
        <v>17293.8</v>
      </c>
      <c r="EE209" s="380">
        <f>EE212+EE216</f>
        <v>17466.738000000001</v>
      </c>
      <c r="EF209" s="380">
        <f>EF212+EF216</f>
        <v>17053.870200000001</v>
      </c>
      <c r="EG209" s="380">
        <f>EG212+EG216</f>
        <v>16795.139712</v>
      </c>
      <c r="EH209" s="380">
        <f>EH212+EH216</f>
        <v>15824.10043776</v>
      </c>
      <c r="EI209" s="380">
        <f>EI212+EI216</f>
        <v>16773.546464025603</v>
      </c>
      <c r="EJ209" s="380">
        <f>EJ212+EJ216</f>
        <v>18154.156414939396</v>
      </c>
      <c r="EK209" s="380">
        <f>EK212+EK216</f>
        <v>19174.385861331808</v>
      </c>
      <c r="EL209" s="380">
        <f>EL212+EL216</f>
        <v>17137.674352014459</v>
      </c>
      <c r="EM209" s="380">
        <f>EM212+EM216</f>
        <v>17480.427839054748</v>
      </c>
      <c r="EN209" s="380">
        <f>EN212+EN216</f>
        <v>18004.840674226391</v>
      </c>
      <c r="EO209" s="380">
        <f>EO212+EO216</f>
        <v>18725.03430119545</v>
      </c>
      <c r="EP209" s="380">
        <f>EP212+EP216</f>
        <v>17039.78121408786</v>
      </c>
      <c r="EQ209" s="380">
        <f>EQ212+EQ216</f>
        <v>17486.123377644926</v>
      </c>
      <c r="ER209" s="380">
        <f>ER212+ER216</f>
        <v>18294.281248204294</v>
      </c>
      <c r="ES209" s="380">
        <f>ES212+ES216</f>
        <v>19208.995310614511</v>
      </c>
      <c r="ET209" s="380">
        <f>ET212+ET216</f>
        <v>17360.329721321647</v>
      </c>
      <c r="EU209" s="380">
        <f>EU212+EU216</f>
        <v>17707.536315748079</v>
      </c>
      <c r="EV209" s="380">
        <f>EV212+EV216</f>
        <v>18415.837768378005</v>
      </c>
      <c r="EW209" s="380">
        <f>EW212+EW216</f>
        <v>19336.629656796904</v>
      </c>
      <c r="FG209" s="376">
        <f>AD209+AE209+AF209+AG209</f>
        <v>26673.510999999999</v>
      </c>
      <c r="FH209" s="376">
        <f>AH209+AI209+AJ209+AK209</f>
        <v>32129</v>
      </c>
      <c r="FI209" s="376">
        <f>AL209+AM209+AN209+AO209</f>
        <v>25780</v>
      </c>
      <c r="FJ209" s="376">
        <f>AP209+AQ209+AR209+AS209</f>
        <v>28840</v>
      </c>
      <c r="FK209" s="376">
        <f>AT209+AU209+AV209+AW209</f>
        <v>31068</v>
      </c>
      <c r="FL209" s="376">
        <f>AX209+AY209+AZ209+BA209</f>
        <v>41784</v>
      </c>
      <c r="FM209" s="376">
        <f>BB209+BC209+BD209+BE209</f>
        <v>55051</v>
      </c>
      <c r="FN209" s="376">
        <f>BF209+BG209+BH209+BI209</f>
        <v>61324</v>
      </c>
      <c r="FO209" s="376">
        <f>BJ209+BK209+BL209+BM209</f>
        <v>58203</v>
      </c>
      <c r="FP209" s="376">
        <f>BN209+BO209+BP209+BQ209</f>
        <v>63002</v>
      </c>
      <c r="FQ209" s="376">
        <f>BR209+BS209+BT209+BU209</f>
        <v>69866</v>
      </c>
      <c r="FR209" s="376">
        <f>BV209+BW209+BX209+BY209</f>
        <v>75397</v>
      </c>
      <c r="FS209" s="376">
        <f>BZ209+CA209+CB209+CC209</f>
        <v>63880</v>
      </c>
      <c r="FT209" s="376">
        <f>CD209+CE209+CF209+CG209</f>
        <v>53480</v>
      </c>
      <c r="FU209" s="376">
        <f>CH209+CI209+CJ209+CK209</f>
        <v>42776</v>
      </c>
      <c r="FV209" s="376">
        <f>CL209+CM209+CN209+CO209</f>
        <v>23494</v>
      </c>
      <c r="FW209" s="376">
        <f>CP209+CQ209+CR209+CS209</f>
        <v>22018</v>
      </c>
      <c r="FX209" s="376">
        <f>CT209+CU209+CV209+CW209</f>
        <v>23444</v>
      </c>
      <c r="FY209" s="376">
        <f>CX209+CY209+CZ209+DA209</f>
        <v>30886</v>
      </c>
      <c r="FZ209" s="376">
        <f>DB209+DC209+DD209+DE209</f>
        <v>42802</v>
      </c>
      <c r="GA209" s="376">
        <f>SUM(DF209:DI209)</f>
        <v>62780</v>
      </c>
      <c r="GB209" s="376">
        <f>SUM(DJ209:DM209)</f>
        <v>69431</v>
      </c>
      <c r="GC209" s="376">
        <f>SUM(DN209:DQ209)</f>
        <v>48040</v>
      </c>
      <c r="GD209" s="376">
        <f>SUM(DR209:DU209)</f>
        <v>42445</v>
      </c>
      <c r="GE209" s="376">
        <f>SUM(DV209:DY209)</f>
        <v>57775</v>
      </c>
      <c r="GF209" s="376">
        <f>SUM(DZ209:EC209)</f>
        <v>65985</v>
      </c>
      <c r="GG209" s="380">
        <f>SUM(ED209:EG209)</f>
        <v>68609.547912000009</v>
      </c>
      <c r="GH209" s="410">
        <f>SUM(EH209:EK209)</f>
        <v>69926.189178056811</v>
      </c>
      <c r="GI209" s="410">
        <f>SUM(EL209:EO209)</f>
        <v>71347.977166491051</v>
      </c>
      <c r="GJ209" s="410">
        <f>SUM(EP209:ES209)</f>
        <v>72029.181150551594</v>
      </c>
      <c r="GK209" s="410">
        <f>SUM(ET209:EW209)</f>
        <v>72820.333462244627</v>
      </c>
      <c r="GN209" s="70"/>
    </row>
    <row r="210" spans="1:196" s="382" customFormat="1">
      <c r="A210" s="381" t="s">
        <v>198</v>
      </c>
      <c r="AE210" s="382">
        <f t="shared" ref="AE210:CP210" si="397">AE209/AD209-1</f>
        <v>-2.1506779661016884E-2</v>
      </c>
      <c r="AF210" s="382">
        <f t="shared" si="397"/>
        <v>8.0882669038792709E-2</v>
      </c>
      <c r="AG210" s="382">
        <f t="shared" si="397"/>
        <v>1.5292698490398049E-2</v>
      </c>
      <c r="AH210" s="382">
        <f t="shared" si="397"/>
        <v>5.9257888113553703E-2</v>
      </c>
      <c r="AI210" s="382">
        <f t="shared" si="397"/>
        <v>0.11013275535085332</v>
      </c>
      <c r="AJ210" s="382">
        <f t="shared" si="397"/>
        <v>1.683953630262347E-2</v>
      </c>
      <c r="AK210" s="382">
        <f t="shared" si="397"/>
        <v>-1.3680547221888828E-2</v>
      </c>
      <c r="AL210" s="382">
        <f t="shared" si="397"/>
        <v>2.2995498235795164E-2</v>
      </c>
      <c r="AM210" s="382">
        <f t="shared" si="397"/>
        <v>-0.23751189343482393</v>
      </c>
      <c r="AN210" s="382">
        <f t="shared" si="397"/>
        <v>-0.26282951177663394</v>
      </c>
      <c r="AO210" s="382">
        <f t="shared" si="397"/>
        <v>0.31929750317393135</v>
      </c>
      <c r="AP210" s="382">
        <f t="shared" si="397"/>
        <v>0.15461106655974333</v>
      </c>
      <c r="AQ210" s="382">
        <f t="shared" si="397"/>
        <v>-7.5843867203778337E-2</v>
      </c>
      <c r="AR210" s="382">
        <f t="shared" si="397"/>
        <v>9.0936419660303525E-2</v>
      </c>
      <c r="AS210" s="382">
        <f t="shared" si="397"/>
        <v>6.503168917057045E-2</v>
      </c>
      <c r="AT210" s="382">
        <f t="shared" si="397"/>
        <v>-7.2703751617076318E-2</v>
      </c>
      <c r="AU210" s="382">
        <f t="shared" si="397"/>
        <v>9.765625E-4</v>
      </c>
      <c r="AV210" s="382">
        <f t="shared" si="397"/>
        <v>7.2473867595818753E-2</v>
      </c>
      <c r="AW210" s="382">
        <f t="shared" si="397"/>
        <v>0.17348927875243669</v>
      </c>
      <c r="AX210" s="382">
        <f t="shared" si="397"/>
        <v>7.1982281284606042E-3</v>
      </c>
      <c r="AY210" s="382">
        <f t="shared" si="397"/>
        <v>-5.3216052776250633E-2</v>
      </c>
      <c r="AZ210" s="382">
        <f t="shared" si="397"/>
        <v>0.22471257693647662</v>
      </c>
      <c r="BA210" s="382">
        <f t="shared" si="397"/>
        <v>0.28314052721410965</v>
      </c>
      <c r="BB210" s="382">
        <f t="shared" si="397"/>
        <v>-7.9219627549512284E-2</v>
      </c>
      <c r="BC210" s="382">
        <f t="shared" si="397"/>
        <v>-5.57784911717496E-2</v>
      </c>
      <c r="BD210" s="382">
        <f t="shared" si="397"/>
        <v>0.19107522311942193</v>
      </c>
      <c r="BE210" s="382">
        <f t="shared" si="397"/>
        <v>0.19981445800328257</v>
      </c>
      <c r="BF210" s="382">
        <f t="shared" si="397"/>
        <v>-0.36537203354547076</v>
      </c>
      <c r="BG210" s="382">
        <f t="shared" si="397"/>
        <v>0.39409559512652304</v>
      </c>
      <c r="BH210" s="382">
        <f t="shared" si="397"/>
        <v>0.16510924369747904</v>
      </c>
      <c r="BI210" s="382">
        <f t="shared" si="397"/>
        <v>6.4450983786279004E-2</v>
      </c>
      <c r="BJ210" s="382">
        <f t="shared" si="397"/>
        <v>-0.1773091934084996</v>
      </c>
      <c r="BK210" s="382">
        <f t="shared" si="397"/>
        <v>-2.9913685181524707E-2</v>
      </c>
      <c r="BL210" s="382">
        <f t="shared" si="397"/>
        <v>7.3015010527745616E-2</v>
      </c>
      <c r="BM210" s="382">
        <f t="shared" si="397"/>
        <v>-0.20844410684896819</v>
      </c>
      <c r="BN210" s="382">
        <f t="shared" si="397"/>
        <v>0.13730507796881253</v>
      </c>
      <c r="BO210" s="382">
        <f t="shared" si="397"/>
        <v>1.5328364505695413E-2</v>
      </c>
      <c r="BP210" s="382">
        <f t="shared" si="397"/>
        <v>0.12188365650969524</v>
      </c>
      <c r="BQ210" s="382">
        <f t="shared" si="397"/>
        <v>0.11975308641975313</v>
      </c>
      <c r="BR210" s="382">
        <f t="shared" si="397"/>
        <v>-8.147739801543552E-2</v>
      </c>
      <c r="BS210" s="382">
        <f t="shared" si="397"/>
        <v>3.6190133237306465E-2</v>
      </c>
      <c r="BT210" s="382">
        <f t="shared" si="397"/>
        <v>4.6741963509991269E-2</v>
      </c>
      <c r="BU210" s="382">
        <f t="shared" si="397"/>
        <v>-1.1343514829570633E-2</v>
      </c>
      <c r="BV210" s="382">
        <f t="shared" si="397"/>
        <v>1.147366653607218E-2</v>
      </c>
      <c r="BW210" s="382">
        <f t="shared" si="397"/>
        <v>4.8970783532536588E-2</v>
      </c>
      <c r="BX210" s="382">
        <f t="shared" si="397"/>
        <v>3.3496861317719118E-2</v>
      </c>
      <c r="BY210" s="382">
        <f t="shared" si="397"/>
        <v>-4.1649652919559021E-2</v>
      </c>
      <c r="BZ210" s="382">
        <f t="shared" si="397"/>
        <v>-1.0332339156369885E-2</v>
      </c>
      <c r="CA210" s="382">
        <f t="shared" si="397"/>
        <v>-7.835539769669575E-2</v>
      </c>
      <c r="CB210" s="382">
        <f t="shared" si="397"/>
        <v>-0.11298610300128464</v>
      </c>
      <c r="CC210" s="382">
        <f t="shared" si="397"/>
        <v>-0.14548087683496802</v>
      </c>
      <c r="CD210" s="382">
        <f t="shared" si="397"/>
        <v>-0.1059240428318311</v>
      </c>
      <c r="CE210" s="382">
        <f t="shared" si="397"/>
        <v>0.26512148888505949</v>
      </c>
      <c r="CF210" s="382">
        <f t="shared" si="397"/>
        <v>-3.8820404549478882E-3</v>
      </c>
      <c r="CG210" s="382">
        <f t="shared" si="397"/>
        <v>-0.14091344181594423</v>
      </c>
      <c r="CH210" s="382">
        <f t="shared" si="397"/>
        <v>-0.13569438917628329</v>
      </c>
      <c r="CI210" s="382">
        <f t="shared" si="397"/>
        <v>4.1160220994475027E-2</v>
      </c>
      <c r="CJ210" s="382">
        <f t="shared" si="397"/>
        <v>2.0341381445121431E-3</v>
      </c>
      <c r="CK210" s="382">
        <f t="shared" si="397"/>
        <v>-0.18102383053839366</v>
      </c>
      <c r="CL210" s="382">
        <f t="shared" si="397"/>
        <v>-0.20023709451449512</v>
      </c>
      <c r="CM210" s="382">
        <f t="shared" si="397"/>
        <v>-0.34281094192157391</v>
      </c>
      <c r="CN210" s="382">
        <f t="shared" si="397"/>
        <v>6.4178798441664853E-2</v>
      </c>
      <c r="CO210" s="382">
        <f t="shared" si="397"/>
        <v>0.15722543352601148</v>
      </c>
      <c r="CP210" s="382">
        <f t="shared" si="397"/>
        <v>-7.6923076923076872E-2</v>
      </c>
      <c r="CQ210" s="382">
        <f t="shared" ref="CQ210:EW210" si="398">CQ209/CP209-1</f>
        <v>-0.11580086580086579</v>
      </c>
      <c r="CR210" s="382">
        <f t="shared" si="398"/>
        <v>6.8747450020399947E-2</v>
      </c>
      <c r="CS210" s="382">
        <f t="shared" si="398"/>
        <v>0.20881847680855126</v>
      </c>
      <c r="CT210" s="382">
        <f t="shared" si="398"/>
        <v>-9.9794726038212489E-2</v>
      </c>
      <c r="CU210" s="382">
        <f t="shared" si="398"/>
        <v>8.4195755130678229E-3</v>
      </c>
      <c r="CV210" s="382">
        <f t="shared" si="398"/>
        <v>2.0177422160375658E-2</v>
      </c>
      <c r="CW210" s="382">
        <f t="shared" si="398"/>
        <v>4.5012787723785141E-2</v>
      </c>
      <c r="CX210" s="382">
        <f t="shared" si="398"/>
        <v>-3.4100179474628844E-2</v>
      </c>
      <c r="CY210" s="382">
        <f t="shared" si="398"/>
        <v>0.11570945945945943</v>
      </c>
      <c r="CZ210" s="382">
        <f t="shared" si="398"/>
        <v>0.34595003785011347</v>
      </c>
      <c r="DA210" s="382">
        <f t="shared" si="398"/>
        <v>6.5354330708661479E-2</v>
      </c>
      <c r="DB210" s="382">
        <f t="shared" si="398"/>
        <v>-6.2717770034843245E-2</v>
      </c>
      <c r="DC210" s="382">
        <f t="shared" si="398"/>
        <v>0.12256392925537907</v>
      </c>
      <c r="DD210" s="382">
        <f t="shared" si="398"/>
        <v>0.13697942799799301</v>
      </c>
      <c r="DE210" s="382">
        <f t="shared" si="398"/>
        <v>0.11473962930273607</v>
      </c>
      <c r="DF210" s="382">
        <f t="shared" si="398"/>
        <v>-1.1480601741884366E-2</v>
      </c>
      <c r="DG210" s="382">
        <f t="shared" si="398"/>
        <v>0.12535042050460543</v>
      </c>
      <c r="DH210" s="382">
        <f t="shared" si="398"/>
        <v>0.20284697508896787</v>
      </c>
      <c r="DI210" s="382">
        <f t="shared" si="398"/>
        <v>0.14467455621301784</v>
      </c>
      <c r="DJ210" s="383">
        <f t="shared" si="398"/>
        <v>-6.0997673817523856E-2</v>
      </c>
      <c r="DK210" s="383">
        <f t="shared" si="398"/>
        <v>8.8081475364711892E-3</v>
      </c>
      <c r="DL210" s="383">
        <f t="shared" si="398"/>
        <v>-0.11514324693042288</v>
      </c>
      <c r="DM210" s="383">
        <f t="shared" si="398"/>
        <v>3.1514030218933176E-2</v>
      </c>
      <c r="DN210" s="383">
        <f t="shared" si="398"/>
        <v>-7.9875642711945471E-2</v>
      </c>
      <c r="DO210" s="383">
        <f t="shared" si="398"/>
        <v>2.2417153996101336E-2</v>
      </c>
      <c r="DP210" s="383">
        <f t="shared" si="398"/>
        <v>-0.43279313632030503</v>
      </c>
      <c r="DQ210" s="383">
        <f t="shared" si="398"/>
        <v>-0.10476190476190472</v>
      </c>
      <c r="DR210" s="383">
        <f t="shared" si="398"/>
        <v>-6.7584480600750951E-2</v>
      </c>
      <c r="DS210" s="383">
        <f t="shared" si="398"/>
        <v>0.23758389261744961</v>
      </c>
      <c r="DT210" s="383">
        <f t="shared" si="398"/>
        <v>0.29338394793926237</v>
      </c>
      <c r="DU210" s="383">
        <f t="shared" si="398"/>
        <v>0.16142557651991618</v>
      </c>
      <c r="DV210" s="382">
        <f t="shared" si="398"/>
        <v>-7.4007220216606551E-2</v>
      </c>
      <c r="DW210" s="382">
        <f t="shared" si="398"/>
        <v>1.6764132553606315E-2</v>
      </c>
      <c r="DX210" s="382">
        <f t="shared" si="398"/>
        <v>0.14493865030674846</v>
      </c>
      <c r="DY210" s="382">
        <f t="shared" si="398"/>
        <v>0.13730743469524453</v>
      </c>
      <c r="DZ210" s="382">
        <f t="shared" si="398"/>
        <v>-0.12279151943462896</v>
      </c>
      <c r="EA210" s="382">
        <f t="shared" si="398"/>
        <v>9.7348103390400009E-3</v>
      </c>
      <c r="EB210" s="382">
        <f t="shared" si="398"/>
        <v>0.10172872340425543</v>
      </c>
      <c r="EC210" s="382">
        <f t="shared" si="398"/>
        <v>0.17561858780929396</v>
      </c>
      <c r="ED210" s="382">
        <f t="shared" si="398"/>
        <v>-0.11222792607802878</v>
      </c>
      <c r="EE210" s="384">
        <f t="shared" si="398"/>
        <v>1.0000000000000009E-2</v>
      </c>
      <c r="EF210" s="384">
        <f t="shared" si="398"/>
        <v>-2.3637372931339606E-2</v>
      </c>
      <c r="EG210" s="384">
        <f t="shared" si="398"/>
        <v>-1.5171364913988961E-2</v>
      </c>
      <c r="EH210" s="384">
        <f t="shared" si="398"/>
        <v>-5.7816683331678331E-2</v>
      </c>
      <c r="EI210" s="384">
        <f t="shared" si="398"/>
        <v>6.0000000000000275E-2</v>
      </c>
      <c r="EJ210" s="384">
        <f t="shared" si="398"/>
        <v>8.2308768385672026E-2</v>
      </c>
      <c r="EK210" s="384">
        <f t="shared" si="398"/>
        <v>5.6198119211578801E-2</v>
      </c>
      <c r="EL210" s="384">
        <f t="shared" si="398"/>
        <v>-0.10622042990303537</v>
      </c>
      <c r="EM210" s="384">
        <f t="shared" si="398"/>
        <v>2.0000000000000018E-2</v>
      </c>
      <c r="EN210" s="384">
        <f t="shared" si="398"/>
        <v>3.0000000000000027E-2</v>
      </c>
      <c r="EO210" s="384">
        <f t="shared" si="398"/>
        <v>4.0000000000000258E-2</v>
      </c>
      <c r="EP210" s="384">
        <f t="shared" si="398"/>
        <v>-8.9999999999999969E-2</v>
      </c>
      <c r="EQ210" s="384">
        <f t="shared" si="398"/>
        <v>2.6194125261892909E-2</v>
      </c>
      <c r="ER210" s="384">
        <f t="shared" si="398"/>
        <v>4.621709758679593E-2</v>
      </c>
      <c r="ES210" s="384">
        <f t="shared" si="398"/>
        <v>5.0000000000000266E-2</v>
      </c>
      <c r="ET210" s="384">
        <f t="shared" si="398"/>
        <v>-9.6239577312579594E-2</v>
      </c>
      <c r="EU210" s="384">
        <f t="shared" si="398"/>
        <v>2.0000000000000018E-2</v>
      </c>
      <c r="EV210" s="384">
        <f t="shared" si="398"/>
        <v>4.0000000000000258E-2</v>
      </c>
      <c r="EW210" s="384">
        <f t="shared" si="398"/>
        <v>4.9999999999999822E-2</v>
      </c>
      <c r="FZ210" s="386" t="s">
        <v>199</v>
      </c>
      <c r="GA210" s="386" t="s">
        <v>199</v>
      </c>
      <c r="GB210" s="386" t="s">
        <v>199</v>
      </c>
      <c r="GC210" s="386" t="s">
        <v>199</v>
      </c>
      <c r="GD210" s="386" t="s">
        <v>199</v>
      </c>
      <c r="GE210" s="386" t="s">
        <v>199</v>
      </c>
      <c r="GF210" s="386" t="s">
        <v>199</v>
      </c>
      <c r="GG210" s="386" t="s">
        <v>199</v>
      </c>
      <c r="GH210" s="386" t="s">
        <v>199</v>
      </c>
      <c r="GI210" s="386" t="s">
        <v>199</v>
      </c>
      <c r="GJ210" s="386" t="s">
        <v>199</v>
      </c>
      <c r="GK210" s="386" t="s">
        <v>199</v>
      </c>
      <c r="GN210" s="70"/>
    </row>
    <row r="211" spans="1:196" s="382" customFormat="1">
      <c r="A211" s="381" t="s">
        <v>200</v>
      </c>
      <c r="AH211" s="382">
        <f t="shared" ref="AH211:CS211" si="399">AH209/AD209-1</f>
        <v>0.13744221879815099</v>
      </c>
      <c r="AI211" s="382">
        <f t="shared" si="399"/>
        <v>0.29046562424758915</v>
      </c>
      <c r="AJ211" s="382">
        <f t="shared" si="399"/>
        <v>0.21400453958735799</v>
      </c>
      <c r="AK211" s="382">
        <f t="shared" si="399"/>
        <v>0.1793606857769301</v>
      </c>
      <c r="AL211" s="382">
        <f t="shared" si="399"/>
        <v>0.13898672446491456</v>
      </c>
      <c r="AM211" s="382">
        <f t="shared" si="399"/>
        <v>-0.21769371568029283</v>
      </c>
      <c r="AN211" s="382">
        <f t="shared" si="399"/>
        <v>-0.43285731429257168</v>
      </c>
      <c r="AO211" s="382">
        <f t="shared" si="399"/>
        <v>-0.24139189682443118</v>
      </c>
      <c r="AP211" s="382">
        <f t="shared" si="399"/>
        <v>-0.14379162702188397</v>
      </c>
      <c r="AQ211" s="382">
        <f t="shared" si="399"/>
        <v>3.7747621275932008E-2</v>
      </c>
      <c r="AR211" s="382">
        <f t="shared" si="399"/>
        <v>0.53575962759204399</v>
      </c>
      <c r="AS211" s="382">
        <f t="shared" si="399"/>
        <v>0.23977546110665604</v>
      </c>
      <c r="AT211" s="382">
        <f t="shared" si="399"/>
        <v>-4.3061536324489058E-3</v>
      </c>
      <c r="AU211" s="382">
        <f t="shared" si="399"/>
        <v>7.8460844731699897E-2</v>
      </c>
      <c r="AV211" s="382">
        <f t="shared" si="399"/>
        <v>6.0209424083769614E-2</v>
      </c>
      <c r="AW211" s="382">
        <f t="shared" si="399"/>
        <v>0.1681759379042691</v>
      </c>
      <c r="AX211" s="382">
        <f t="shared" si="399"/>
        <v>0.26883370535714279</v>
      </c>
      <c r="AY211" s="382">
        <f t="shared" si="399"/>
        <v>0.20013937282229954</v>
      </c>
      <c r="AZ211" s="382">
        <f t="shared" si="399"/>
        <v>0.3705003248862897</v>
      </c>
      <c r="BA211" s="382">
        <f t="shared" si="399"/>
        <v>0.49856035437430779</v>
      </c>
      <c r="BB211" s="382">
        <f t="shared" si="399"/>
        <v>0.3699835074216602</v>
      </c>
      <c r="BC211" s="382">
        <f t="shared" si="399"/>
        <v>0.36627569387992098</v>
      </c>
      <c r="BD211" s="382">
        <f t="shared" si="399"/>
        <v>0.32875023705670392</v>
      </c>
      <c r="BE211" s="382">
        <f t="shared" si="399"/>
        <v>0.24246231155778886</v>
      </c>
      <c r="BF211" s="382">
        <f t="shared" si="399"/>
        <v>-0.1436597110754414</v>
      </c>
      <c r="BG211" s="382">
        <f t="shared" si="399"/>
        <v>0.26434339141521468</v>
      </c>
      <c r="BH211" s="382">
        <f t="shared" si="399"/>
        <v>0.23678013273388987</v>
      </c>
      <c r="BI211" s="382">
        <f t="shared" si="399"/>
        <v>9.7246178552310658E-2</v>
      </c>
      <c r="BJ211" s="382">
        <f t="shared" si="399"/>
        <v>0.42239925023430169</v>
      </c>
      <c r="BK211" s="382">
        <f t="shared" si="399"/>
        <v>-1.0218487394958009E-2</v>
      </c>
      <c r="BL211" s="382">
        <f t="shared" si="399"/>
        <v>-8.8454214990479452E-2</v>
      </c>
      <c r="BM211" s="382">
        <f t="shared" si="399"/>
        <v>-0.32214874241110147</v>
      </c>
      <c r="BN211" s="382">
        <f t="shared" si="399"/>
        <v>-6.2924161560255598E-2</v>
      </c>
      <c r="BO211" s="382">
        <f t="shared" si="399"/>
        <v>-1.9221626027304262E-2</v>
      </c>
      <c r="BP211" s="382">
        <f t="shared" si="399"/>
        <v>2.5446259020129203E-2</v>
      </c>
      <c r="BQ211" s="382">
        <f t="shared" si="399"/>
        <v>0.45061975209916039</v>
      </c>
      <c r="BR211" s="382">
        <f t="shared" si="399"/>
        <v>0.17156518070594862</v>
      </c>
      <c r="BS211" s="382">
        <f t="shared" si="399"/>
        <v>0.19563711911357351</v>
      </c>
      <c r="BT211" s="382">
        <f t="shared" si="399"/>
        <v>0.11555555555555563</v>
      </c>
      <c r="BU211" s="382">
        <f t="shared" si="399"/>
        <v>-1.5049614112458642E-2</v>
      </c>
      <c r="BV211" s="382">
        <f t="shared" si="399"/>
        <v>8.4623694634497593E-2</v>
      </c>
      <c r="BW211" s="382">
        <f t="shared" si="399"/>
        <v>9.8001737619461293E-2</v>
      </c>
      <c r="BX211" s="382">
        <f t="shared" si="399"/>
        <v>8.4108012394864984E-2</v>
      </c>
      <c r="BY211" s="382">
        <f t="shared" si="399"/>
        <v>5.0875916494095286E-2</v>
      </c>
      <c r="BZ211" s="382">
        <f t="shared" si="399"/>
        <v>2.8220451527224411E-2</v>
      </c>
      <c r="CA211" s="382">
        <f t="shared" si="399"/>
        <v>-9.6587012712981979E-2</v>
      </c>
      <c r="CB211" s="382">
        <f t="shared" si="399"/>
        <v>-0.22463250306247451</v>
      </c>
      <c r="CC211" s="382">
        <f t="shared" si="399"/>
        <v>-0.30863868768640823</v>
      </c>
      <c r="CD211" s="382">
        <f t="shared" si="399"/>
        <v>-0.37541707028306959</v>
      </c>
      <c r="CE211" s="382">
        <f t="shared" si="399"/>
        <v>-0.14264860446105332</v>
      </c>
      <c r="CF211" s="382">
        <f t="shared" si="399"/>
        <v>-3.7193074846948893E-2</v>
      </c>
      <c r="CG211" s="382">
        <f t="shared" si="399"/>
        <v>-3.2046837685848595E-2</v>
      </c>
      <c r="CH211" s="382">
        <f t="shared" si="399"/>
        <v>-6.4277098052731296E-2</v>
      </c>
      <c r="CI211" s="382">
        <f t="shared" si="399"/>
        <v>-0.22992576448954571</v>
      </c>
      <c r="CJ211" s="382">
        <f t="shared" si="399"/>
        <v>-0.22535211267605637</v>
      </c>
      <c r="CK211" s="382">
        <f t="shared" si="399"/>
        <v>-0.2615200955033824</v>
      </c>
      <c r="CL211" s="382">
        <f t="shared" si="399"/>
        <v>-0.31666666666666665</v>
      </c>
      <c r="CM211" s="382">
        <f t="shared" si="399"/>
        <v>-0.56867427257451131</v>
      </c>
      <c r="CN211" s="382">
        <f t="shared" si="399"/>
        <v>-0.54192409532215358</v>
      </c>
      <c r="CO211" s="382">
        <f t="shared" si="399"/>
        <v>-0.35273197542838663</v>
      </c>
      <c r="CP211" s="382">
        <f t="shared" si="399"/>
        <v>-0.25293087185015495</v>
      </c>
      <c r="CQ211" s="382">
        <f t="shared" si="399"/>
        <v>5.1261021119539674E-3</v>
      </c>
      <c r="CR211" s="382">
        <f t="shared" si="399"/>
        <v>9.4412331406550365E-3</v>
      </c>
      <c r="CS211" s="382">
        <f t="shared" si="399"/>
        <v>5.4445554445554434E-2</v>
      </c>
      <c r="CT211" s="382">
        <f t="shared" ref="CT211:EW211" si="400">CT209/CP209-1</f>
        <v>2.8318903318903299E-2</v>
      </c>
      <c r="CU211" s="382">
        <f t="shared" si="400"/>
        <v>0.17278661770705828</v>
      </c>
      <c r="CV211" s="382">
        <f t="shared" si="400"/>
        <v>0.11948845199465552</v>
      </c>
      <c r="CW211" s="382">
        <f t="shared" si="400"/>
        <v>-3.2212221695878784E-2</v>
      </c>
      <c r="CX211" s="382">
        <f t="shared" si="400"/>
        <v>3.8414313278372303E-2</v>
      </c>
      <c r="CY211" s="382">
        <f t="shared" si="400"/>
        <v>0.14889546008001386</v>
      </c>
      <c r="CZ211" s="382">
        <f t="shared" si="400"/>
        <v>0.51577152600170506</v>
      </c>
      <c r="DA211" s="382">
        <f t="shared" si="400"/>
        <v>0.54527655408712672</v>
      </c>
      <c r="DB211" s="382">
        <f t="shared" si="400"/>
        <v>0.49949324324324329</v>
      </c>
      <c r="DC211" s="382">
        <f t="shared" si="400"/>
        <v>0.50870552611657827</v>
      </c>
      <c r="DD211" s="382">
        <f t="shared" si="400"/>
        <v>0.27446569178852642</v>
      </c>
      <c r="DE211" s="382">
        <f t="shared" si="400"/>
        <v>0.33354450427621152</v>
      </c>
      <c r="DF211" s="382">
        <f t="shared" si="400"/>
        <v>0.40644361833952902</v>
      </c>
      <c r="DG211" s="382">
        <f t="shared" si="400"/>
        <v>0.40993477170095338</v>
      </c>
      <c r="DH211" s="382">
        <f t="shared" si="400"/>
        <v>0.49161518093556933</v>
      </c>
      <c r="DI211" s="382">
        <f t="shared" si="400"/>
        <v>0.53167062549485355</v>
      </c>
      <c r="DJ211" s="383">
        <f t="shared" si="400"/>
        <v>0.45494593512214654</v>
      </c>
      <c r="DK211" s="383">
        <f t="shared" si="400"/>
        <v>0.30427046263345203</v>
      </c>
      <c r="DL211" s="383">
        <f t="shared" si="400"/>
        <v>-4.0532544378698243E-2</v>
      </c>
      <c r="DM211" s="383">
        <f t="shared" si="400"/>
        <v>-0.13538382010855521</v>
      </c>
      <c r="DN211" s="383">
        <f t="shared" si="400"/>
        <v>-0.15276630883567299</v>
      </c>
      <c r="DO211" s="383">
        <f t="shared" si="400"/>
        <v>-0.14133697135061396</v>
      </c>
      <c r="DP211" s="383">
        <f t="shared" si="400"/>
        <v>-0.44958371877890846</v>
      </c>
      <c r="DQ211" s="383">
        <f t="shared" si="400"/>
        <v>-0.52230060982900872</v>
      </c>
      <c r="DR211" s="383">
        <f t="shared" si="400"/>
        <v>-0.51591942820013004</v>
      </c>
      <c r="DS211" s="383">
        <f t="shared" si="400"/>
        <v>-0.41404512233873525</v>
      </c>
      <c r="DT211" s="383">
        <f t="shared" si="400"/>
        <v>0.33613445378151252</v>
      </c>
      <c r="DU211" s="383">
        <f t="shared" si="400"/>
        <v>0.73341677096370472</v>
      </c>
      <c r="DV211" s="382">
        <f t="shared" si="400"/>
        <v>0.72147651006711411</v>
      </c>
      <c r="DW211" s="382">
        <f t="shared" si="400"/>
        <v>0.41431670281995658</v>
      </c>
      <c r="DX211" s="382">
        <f t="shared" si="400"/>
        <v>0.25199161425576522</v>
      </c>
      <c r="DY211" s="382">
        <f>DY209/DU209-1</f>
        <v>0.2259927797833936</v>
      </c>
      <c r="DZ211" s="382">
        <f>DZ209/DV209-1</f>
        <v>0.16140350877192988</v>
      </c>
      <c r="EA211" s="382">
        <f>EA209/DW209-1</f>
        <v>0.15337423312883436</v>
      </c>
      <c r="EB211" s="382">
        <f t="shared" si="400"/>
        <v>0.10984594775619549</v>
      </c>
      <c r="EC211" s="382">
        <f t="shared" si="400"/>
        <v>0.14723203769140158</v>
      </c>
      <c r="ED211" s="382">
        <f t="shared" si="400"/>
        <v>0.16104733131923465</v>
      </c>
      <c r="EE211" s="384">
        <f t="shared" si="400"/>
        <v>0.161352260638298</v>
      </c>
      <c r="EF211" s="384">
        <f t="shared" si="400"/>
        <v>2.9201581170790636E-2</v>
      </c>
      <c r="EG211" s="384">
        <f t="shared" si="400"/>
        <v>-0.13782650349075976</v>
      </c>
      <c r="EH211" s="384">
        <f t="shared" si="400"/>
        <v>-8.4984188682649231E-2</v>
      </c>
      <c r="EI211" s="384">
        <f t="shared" si="400"/>
        <v>-3.9686376241196197E-2</v>
      </c>
      <c r="EJ211" s="384">
        <f t="shared" si="400"/>
        <v>6.4518270752371265E-2</v>
      </c>
      <c r="EK211" s="384">
        <f t="shared" si="400"/>
        <v>0.14166277804952432</v>
      </c>
      <c r="EL211" s="384">
        <f t="shared" si="400"/>
        <v>8.3010969212503616E-2</v>
      </c>
      <c r="EM211" s="384">
        <f t="shared" si="400"/>
        <v>4.2142630751654142E-2</v>
      </c>
      <c r="EN211" s="384">
        <f t="shared" si="400"/>
        <v>-8.2248790469895416E-3</v>
      </c>
      <c r="EO211" s="384">
        <f t="shared" si="400"/>
        <v>-2.3434991002374006E-2</v>
      </c>
      <c r="EP211" s="384">
        <f t="shared" si="400"/>
        <v>-5.7121599999998551E-3</v>
      </c>
      <c r="EQ211" s="384">
        <f t="shared" si="400"/>
        <v>3.258237522913987E-4</v>
      </c>
      <c r="ER211" s="384">
        <f t="shared" si="400"/>
        <v>1.6075708706061009E-2</v>
      </c>
      <c r="ES211" s="384">
        <f t="shared" si="400"/>
        <v>2.5845667443619158E-2</v>
      </c>
      <c r="ET211" s="384">
        <f t="shared" si="400"/>
        <v>1.8811773649345387E-2</v>
      </c>
      <c r="EU211" s="384">
        <f t="shared" si="400"/>
        <v>1.2662208387836049E-2</v>
      </c>
      <c r="EV211" s="384">
        <f t="shared" si="400"/>
        <v>6.644509206156668E-3</v>
      </c>
      <c r="EW211" s="384">
        <f t="shared" si="400"/>
        <v>6.6445092061564459E-3</v>
      </c>
      <c r="FH211" s="382">
        <f t="shared" ref="FH211:GK211" si="401">FH209/FG209-1</f>
        <v>0.20452834274423037</v>
      </c>
      <c r="FI211" s="382">
        <f t="shared" si="401"/>
        <v>-0.1976096361542532</v>
      </c>
      <c r="FJ211" s="382">
        <f t="shared" si="401"/>
        <v>0.1186966640806828</v>
      </c>
      <c r="FK211" s="382">
        <f t="shared" si="401"/>
        <v>7.7253814147018041E-2</v>
      </c>
      <c r="FL211" s="382">
        <f t="shared" si="401"/>
        <v>0.34492081884897652</v>
      </c>
      <c r="FM211" s="382">
        <f t="shared" si="401"/>
        <v>0.31751388091135357</v>
      </c>
      <c r="FN211" s="382">
        <f t="shared" si="401"/>
        <v>0.11394888376232948</v>
      </c>
      <c r="FO211" s="382">
        <f t="shared" si="401"/>
        <v>-5.089361424564609E-2</v>
      </c>
      <c r="FP211" s="382">
        <f t="shared" si="401"/>
        <v>8.2452794529491502E-2</v>
      </c>
      <c r="FQ211" s="382">
        <f t="shared" si="401"/>
        <v>0.10894892225643638</v>
      </c>
      <c r="FR211" s="382">
        <f t="shared" si="401"/>
        <v>7.9165831735035663E-2</v>
      </c>
      <c r="FS211" s="382">
        <f t="shared" si="401"/>
        <v>-0.15275143573351724</v>
      </c>
      <c r="FT211" s="382">
        <f t="shared" si="401"/>
        <v>-0.1628052598622417</v>
      </c>
      <c r="FU211" s="382">
        <f t="shared" si="401"/>
        <v>-0.20014958863126397</v>
      </c>
      <c r="FV211" s="382">
        <f t="shared" si="401"/>
        <v>-0.45076678511314761</v>
      </c>
      <c r="FW211" s="382">
        <f t="shared" si="401"/>
        <v>-6.2824550949178493E-2</v>
      </c>
      <c r="FX211" s="382">
        <f t="shared" si="401"/>
        <v>6.4765192115541881E-2</v>
      </c>
      <c r="FY211" s="382">
        <f t="shared" si="401"/>
        <v>0.31743729738952386</v>
      </c>
      <c r="FZ211" s="382">
        <f t="shared" si="401"/>
        <v>0.3858058667357378</v>
      </c>
      <c r="GA211" s="382">
        <f t="shared" si="401"/>
        <v>0.46675389000514</v>
      </c>
      <c r="GB211" s="382">
        <f t="shared" si="401"/>
        <v>0.10594138260592545</v>
      </c>
      <c r="GC211" s="382">
        <f t="shared" si="401"/>
        <v>-0.30809004623295067</v>
      </c>
      <c r="GD211" s="382">
        <f t="shared" si="401"/>
        <v>-0.1164654454621149</v>
      </c>
      <c r="GE211" s="382">
        <f t="shared" si="401"/>
        <v>0.36117328307221119</v>
      </c>
      <c r="GF211" s="382">
        <f t="shared" si="401"/>
        <v>0.14210298572046742</v>
      </c>
      <c r="GG211" s="387">
        <f t="shared" si="401"/>
        <v>3.9774917208456495E-2</v>
      </c>
      <c r="GH211" s="387">
        <f t="shared" si="401"/>
        <v>1.9190350412242152E-2</v>
      </c>
      <c r="GI211" s="387">
        <f t="shared" si="401"/>
        <v>2.0332696592600952E-2</v>
      </c>
      <c r="GJ211" s="387">
        <f t="shared" si="401"/>
        <v>9.5476285539384254E-3</v>
      </c>
      <c r="GK211" s="387">
        <f t="shared" si="401"/>
        <v>1.0983774895891196E-2</v>
      </c>
      <c r="GN211" s="70"/>
    </row>
    <row r="212" spans="1:196" s="379" customFormat="1">
      <c r="A212" s="405" t="s">
        <v>262</v>
      </c>
      <c r="AD212" s="376">
        <v>5546.62</v>
      </c>
      <c r="AE212" s="376">
        <v>5398.701</v>
      </c>
      <c r="AF212" s="376">
        <v>6056.8099999999995</v>
      </c>
      <c r="AG212" s="376">
        <v>6748.5750000000007</v>
      </c>
      <c r="AH212" s="376">
        <v>7179.2</v>
      </c>
      <c r="AI212" s="376">
        <v>7130.96</v>
      </c>
      <c r="AJ212" s="376">
        <v>6970</v>
      </c>
      <c r="AK212" s="376">
        <v>7066</v>
      </c>
      <c r="AL212" s="376">
        <v>7071</v>
      </c>
      <c r="AM212" s="376">
        <v>5260</v>
      </c>
      <c r="AN212" s="376">
        <v>3793</v>
      </c>
      <c r="AO212" s="376">
        <v>5267</v>
      </c>
      <c r="AP212" s="376">
        <v>6394</v>
      </c>
      <c r="AQ212" s="376">
        <v>5844</v>
      </c>
      <c r="AR212" s="376">
        <v>5936</v>
      </c>
      <c r="AS212" s="376">
        <v>6554</v>
      </c>
      <c r="AT212" s="376">
        <v>6407</v>
      </c>
      <c r="AU212" s="376">
        <v>6299</v>
      </c>
      <c r="AV212" s="376">
        <v>6560</v>
      </c>
      <c r="AW212" s="376">
        <v>7808</v>
      </c>
      <c r="AX212" s="376">
        <v>7796</v>
      </c>
      <c r="AY212" s="376">
        <v>7275</v>
      </c>
      <c r="AZ212" s="376">
        <v>8475</v>
      </c>
      <c r="BA212" s="376">
        <v>10793</v>
      </c>
      <c r="BB212" s="376">
        <v>9969</v>
      </c>
      <c r="BC212" s="376">
        <v>9522</v>
      </c>
      <c r="BD212" s="376">
        <v>10589</v>
      </c>
      <c r="BE212" s="376">
        <v>12007</v>
      </c>
      <c r="BF212" s="376">
        <v>7312</v>
      </c>
      <c r="BG212" s="376">
        <v>10812</v>
      </c>
      <c r="BH212" s="376">
        <v>11602</v>
      </c>
      <c r="BI212" s="376">
        <v>12498</v>
      </c>
      <c r="BJ212" s="376">
        <v>10630</v>
      </c>
      <c r="BK212" s="376">
        <v>10454</v>
      </c>
      <c r="BL212" s="376">
        <v>10822</v>
      </c>
      <c r="BM212" s="376">
        <v>8812</v>
      </c>
      <c r="BN212" s="376">
        <v>9772</v>
      </c>
      <c r="BO212" s="376">
        <v>10190</v>
      </c>
      <c r="BP212" s="376">
        <v>10753</v>
      </c>
      <c r="BQ212" s="376">
        <v>11662</v>
      </c>
      <c r="BR212" s="376">
        <v>10810</v>
      </c>
      <c r="BS212" s="376">
        <v>10179</v>
      </c>
      <c r="BT212" s="376">
        <v>10962</v>
      </c>
      <c r="BU212" s="376">
        <v>10861</v>
      </c>
      <c r="BV212" s="376">
        <v>11050</v>
      </c>
      <c r="BW212" s="376">
        <v>11231</v>
      </c>
      <c r="BX212" s="376">
        <v>9776</v>
      </c>
      <c r="BY212" s="376">
        <v>9654</v>
      </c>
      <c r="BZ212" s="376">
        <v>9654</v>
      </c>
      <c r="CA212" s="376">
        <v>8703</v>
      </c>
      <c r="CB212" s="376">
        <v>7418</v>
      </c>
      <c r="CC212" s="376">
        <v>6631</v>
      </c>
      <c r="CD212" s="376">
        <v>5842</v>
      </c>
      <c r="CE212" s="376">
        <v>6605</v>
      </c>
      <c r="CF212" s="376">
        <v>7143</v>
      </c>
      <c r="CG212" s="376">
        <v>7505</v>
      </c>
      <c r="CH212" s="376">
        <v>5732</v>
      </c>
      <c r="CI212" s="376">
        <v>5633</v>
      </c>
      <c r="CJ212" s="376">
        <v>6462</v>
      </c>
      <c r="CK212" s="376">
        <v>4180</v>
      </c>
      <c r="CL212" s="376">
        <v>3098</v>
      </c>
      <c r="CM212" s="376">
        <v>2924</v>
      </c>
      <c r="CN212" s="376">
        <v>3226</v>
      </c>
      <c r="CO212" s="376">
        <v>3497</v>
      </c>
      <c r="CP212" s="376">
        <v>2993</v>
      </c>
      <c r="CQ212" s="376">
        <v>2327</v>
      </c>
      <c r="CR212" s="376">
        <v>2319</v>
      </c>
      <c r="CS212" s="376">
        <v>2512</v>
      </c>
      <c r="CT212" s="376">
        <v>2629</v>
      </c>
      <c r="CU212" s="376">
        <v>2602</v>
      </c>
      <c r="CV212" s="376">
        <v>2653</v>
      </c>
      <c r="CW212" s="376">
        <v>3017</v>
      </c>
      <c r="CX212" s="376">
        <v>2655</v>
      </c>
      <c r="CY212" s="376">
        <v>2654</v>
      </c>
      <c r="CZ212" s="376">
        <v>3319</v>
      </c>
      <c r="DA212" s="376">
        <v>3820</v>
      </c>
      <c r="DB212" s="376">
        <v>3673</v>
      </c>
      <c r="DC212" s="376">
        <v>3480</v>
      </c>
      <c r="DD212" s="376">
        <v>4280</v>
      </c>
      <c r="DE212" s="376">
        <v>4840</v>
      </c>
      <c r="DF212" s="376">
        <v>3895</v>
      </c>
      <c r="DG212" s="376">
        <v>3455</v>
      </c>
      <c r="DH212" s="376">
        <v>4015</v>
      </c>
      <c r="DI212" s="376">
        <v>4785</v>
      </c>
      <c r="DJ212" s="397">
        <v>3905</v>
      </c>
      <c r="DK212" s="397">
        <v>3436</v>
      </c>
      <c r="DL212" s="397">
        <v>3805</v>
      </c>
      <c r="DM212" s="397">
        <v>4129</v>
      </c>
      <c r="DN212" s="397">
        <v>3230</v>
      </c>
      <c r="DO212" s="397">
        <v>3470</v>
      </c>
      <c r="DP212" s="397">
        <v>3055</v>
      </c>
      <c r="DQ212" s="397">
        <v>2770</v>
      </c>
      <c r="DR212" s="397">
        <v>2345</v>
      </c>
      <c r="DS212" s="397">
        <v>2845</v>
      </c>
      <c r="DT212" s="397">
        <v>3640</v>
      </c>
      <c r="DU212" s="397">
        <v>4175</v>
      </c>
      <c r="DV212" s="376">
        <v>4075</v>
      </c>
      <c r="DW212" s="376">
        <v>3885</v>
      </c>
      <c r="DX212" s="376">
        <v>4575</v>
      </c>
      <c r="DY212" s="376">
        <v>5195</v>
      </c>
      <c r="DZ212" s="376">
        <v>4955</v>
      </c>
      <c r="EA212" s="376">
        <v>5785</v>
      </c>
      <c r="EB212" s="376">
        <v>6475</v>
      </c>
      <c r="EC212" s="376">
        <v>7570</v>
      </c>
      <c r="ED212" s="376">
        <f t="shared" ref="ED212:EW212" si="402">EC212*(1+ED213)</f>
        <v>6813</v>
      </c>
      <c r="EE212" s="380">
        <f t="shared" si="402"/>
        <v>6881.13</v>
      </c>
      <c r="EF212" s="380">
        <f t="shared" si="402"/>
        <v>6468.2622000000001</v>
      </c>
      <c r="EG212" s="380">
        <f t="shared" si="402"/>
        <v>6209.531712</v>
      </c>
      <c r="EH212" s="380">
        <f t="shared" si="402"/>
        <v>6085.3410777600002</v>
      </c>
      <c r="EI212" s="380">
        <f t="shared" si="402"/>
        <v>6450.4615424256008</v>
      </c>
      <c r="EJ212" s="380">
        <f t="shared" si="402"/>
        <v>6901.9938503953936</v>
      </c>
      <c r="EK212" s="380">
        <f t="shared" si="402"/>
        <v>7247.0935429151632</v>
      </c>
      <c r="EL212" s="380">
        <f t="shared" si="402"/>
        <v>6522.3841886236469</v>
      </c>
      <c r="EM212" s="380">
        <f t="shared" si="402"/>
        <v>6652.8318723961202</v>
      </c>
      <c r="EN212" s="380">
        <f t="shared" si="402"/>
        <v>6852.4168285680043</v>
      </c>
      <c r="EO212" s="380">
        <f t="shared" si="402"/>
        <v>7126.513501710725</v>
      </c>
      <c r="EP212" s="380">
        <f t="shared" si="402"/>
        <v>6485.1272865567598</v>
      </c>
      <c r="EQ212" s="380">
        <f t="shared" si="402"/>
        <v>6614.8298322878954</v>
      </c>
      <c r="ER212" s="380">
        <f t="shared" si="402"/>
        <v>6879.4230255794118</v>
      </c>
      <c r="ES212" s="380">
        <f t="shared" si="402"/>
        <v>7223.3941768583827</v>
      </c>
      <c r="ET212" s="380">
        <f t="shared" si="402"/>
        <v>6573.2887009411288</v>
      </c>
      <c r="EU212" s="380">
        <f t="shared" si="402"/>
        <v>6704.7544749599519</v>
      </c>
      <c r="EV212" s="380">
        <f t="shared" si="402"/>
        <v>6972.9446539583505</v>
      </c>
      <c r="EW212" s="380">
        <f t="shared" si="402"/>
        <v>7321.5918866562679</v>
      </c>
      <c r="EZ212" s="376"/>
      <c r="FA212" s="376"/>
      <c r="FB212" s="376"/>
      <c r="FC212" s="376"/>
      <c r="FD212" s="376"/>
      <c r="FE212" s="376"/>
      <c r="FF212" s="376"/>
      <c r="FG212" s="376">
        <f>AD212+AE212+AF212+AG212</f>
        <v>23750.706000000002</v>
      </c>
      <c r="FH212" s="376">
        <f>AH212+AI212+AJ212+AK212</f>
        <v>28346.16</v>
      </c>
      <c r="FI212" s="376">
        <f>AL212+AM212+AN212+AO212</f>
        <v>21391</v>
      </c>
      <c r="FJ212" s="376">
        <f>AP212+AQ212+AR212+AS212</f>
        <v>24728</v>
      </c>
      <c r="FK212" s="376">
        <f>AT212+AU212+AV212+AW212</f>
        <v>27074</v>
      </c>
      <c r="FL212" s="376">
        <f>AX212+AY212+AZ212+BA212</f>
        <v>34339</v>
      </c>
      <c r="FM212" s="376">
        <f>BB212+BC212+BD212+BE212</f>
        <v>42087</v>
      </c>
      <c r="FN212" s="376">
        <f>BF212+BG212+BH212+BI212</f>
        <v>42224</v>
      </c>
      <c r="FO212" s="376">
        <f>BJ212+BK212+BL212+BM212</f>
        <v>40718</v>
      </c>
      <c r="FP212" s="376">
        <f>BN212+BO212+BP212+BQ212</f>
        <v>42377</v>
      </c>
      <c r="FQ212" s="376">
        <f>BR212+BS212+BT212+BU212</f>
        <v>42812</v>
      </c>
      <c r="FR212" s="376">
        <f>BV212+BW212+BX212+BY212</f>
        <v>41711</v>
      </c>
      <c r="FS212" s="376">
        <f>BZ212+CA212+CB212+CC212</f>
        <v>32406</v>
      </c>
      <c r="FT212" s="376">
        <f>CD212+CE212+CF212+CG212</f>
        <v>27095</v>
      </c>
      <c r="FU212" s="376">
        <f>CH212+CI212+CJ212+CK212</f>
        <v>22007</v>
      </c>
      <c r="FV212" s="376">
        <f>CL212+CM212+CN212+CO212</f>
        <v>12745</v>
      </c>
      <c r="FW212" s="376">
        <f>CP212+CQ212+CR212+CS212</f>
        <v>10151</v>
      </c>
      <c r="FX212" s="376">
        <f>CT212+CU212+CV212+CW212</f>
        <v>10901</v>
      </c>
      <c r="FY212" s="376">
        <f>CX212+CY212+CZ212+DA212</f>
        <v>12448</v>
      </c>
      <c r="FZ212" s="376">
        <f>DB212+DC212+DD212+DE212</f>
        <v>16273</v>
      </c>
      <c r="GA212" s="376">
        <f>SUM(DF212:DI212)</f>
        <v>16150</v>
      </c>
      <c r="GB212" s="376">
        <f>SUM(DJ212:DM212)</f>
        <v>15275</v>
      </c>
      <c r="GC212" s="376">
        <f>SUM(DN212:DQ212)</f>
        <v>12525</v>
      </c>
      <c r="GD212" s="376">
        <f>SUM(DR212:DU212)</f>
        <v>13005</v>
      </c>
      <c r="GE212" s="376">
        <f>SUM(DV212:DY212)</f>
        <v>17730</v>
      </c>
      <c r="GF212" s="376">
        <f>SUM(DZ212:EC212)</f>
        <v>24785</v>
      </c>
      <c r="GG212" s="380">
        <f>SUM(ED212:EG212)</f>
        <v>26371.923912000002</v>
      </c>
      <c r="GH212" s="410">
        <f>SUM(EH212:EK212)</f>
        <v>26684.890013496159</v>
      </c>
      <c r="GI212" s="410">
        <f>SUM(EL212:EO212)</f>
        <v>27154.146391298498</v>
      </c>
      <c r="GJ212" s="410">
        <f>SUM(EP212:ES212)</f>
        <v>27202.77432128245</v>
      </c>
      <c r="GK212" s="410">
        <f>SUM(ET212:EW212)</f>
        <v>27572.579716515698</v>
      </c>
      <c r="GN212" s="70"/>
    </row>
    <row r="213" spans="1:196" s="382" customFormat="1">
      <c r="A213" s="381" t="s">
        <v>198</v>
      </c>
      <c r="AE213" s="382">
        <f t="shared" ref="AE213:CP213" si="403">AE212/AD212-1</f>
        <v>-2.6668313315136083E-2</v>
      </c>
      <c r="AF213" s="382">
        <f t="shared" si="403"/>
        <v>0.12190136108667615</v>
      </c>
      <c r="AG213" s="382">
        <f t="shared" si="403"/>
        <v>0.11421276216358134</v>
      </c>
      <c r="AH213" s="382">
        <f t="shared" si="403"/>
        <v>6.3809767247159366E-2</v>
      </c>
      <c r="AI213" s="382">
        <f t="shared" si="403"/>
        <v>-6.7194116336081189E-3</v>
      </c>
      <c r="AJ213" s="382">
        <f t="shared" si="403"/>
        <v>-2.2571995916398357E-2</v>
      </c>
      <c r="AK213" s="382">
        <f t="shared" si="403"/>
        <v>1.377331420373018E-2</v>
      </c>
      <c r="AL213" s="382">
        <f t="shared" si="403"/>
        <v>7.0761392584195448E-4</v>
      </c>
      <c r="AM213" s="382">
        <f t="shared" si="403"/>
        <v>-0.2561165323150898</v>
      </c>
      <c r="AN213" s="382">
        <f t="shared" si="403"/>
        <v>-0.27889733840304187</v>
      </c>
      <c r="AO213" s="382">
        <f t="shared" si="403"/>
        <v>0.38861059847086743</v>
      </c>
      <c r="AP213" s="382">
        <f t="shared" si="403"/>
        <v>0.2139737991266375</v>
      </c>
      <c r="AQ213" s="382">
        <f t="shared" si="403"/>
        <v>-8.6018142008132625E-2</v>
      </c>
      <c r="AR213" s="382">
        <f t="shared" si="403"/>
        <v>1.5742642026009612E-2</v>
      </c>
      <c r="AS213" s="382">
        <f t="shared" si="403"/>
        <v>0.10411051212938016</v>
      </c>
      <c r="AT213" s="382">
        <f t="shared" si="403"/>
        <v>-2.2429050961245034E-2</v>
      </c>
      <c r="AU213" s="382">
        <f t="shared" si="403"/>
        <v>-1.6856563134072133E-2</v>
      </c>
      <c r="AV213" s="382">
        <f t="shared" si="403"/>
        <v>4.1435148436259617E-2</v>
      </c>
      <c r="AW213" s="382">
        <f t="shared" si="403"/>
        <v>0.19024390243902434</v>
      </c>
      <c r="AX213" s="382">
        <f t="shared" si="403"/>
        <v>-1.5368852459016757E-3</v>
      </c>
      <c r="AY213" s="382">
        <f t="shared" si="403"/>
        <v>-6.6829143150333503E-2</v>
      </c>
      <c r="AZ213" s="382">
        <f t="shared" si="403"/>
        <v>0.1649484536082475</v>
      </c>
      <c r="BA213" s="382">
        <f t="shared" si="403"/>
        <v>0.27351032448377577</v>
      </c>
      <c r="BB213" s="382">
        <f t="shared" si="403"/>
        <v>-7.6345779672009617E-2</v>
      </c>
      <c r="BC213" s="382">
        <f t="shared" si="403"/>
        <v>-4.4839000902798687E-2</v>
      </c>
      <c r="BD213" s="382">
        <f t="shared" si="403"/>
        <v>0.11205629069523204</v>
      </c>
      <c r="BE213" s="382">
        <f t="shared" si="403"/>
        <v>0.13391255076022279</v>
      </c>
      <c r="BF213" s="382">
        <f t="shared" si="403"/>
        <v>-0.39102190388939784</v>
      </c>
      <c r="BG213" s="382">
        <f t="shared" si="403"/>
        <v>0.47866520787746181</v>
      </c>
      <c r="BH213" s="382">
        <f t="shared" si="403"/>
        <v>7.3066962634110277E-2</v>
      </c>
      <c r="BI213" s="382">
        <f t="shared" si="403"/>
        <v>7.7228064126874774E-2</v>
      </c>
      <c r="BJ213" s="382">
        <f t="shared" si="403"/>
        <v>-0.14946391422627625</v>
      </c>
      <c r="BK213" s="382">
        <f t="shared" si="403"/>
        <v>-1.6556914393226707E-2</v>
      </c>
      <c r="BL213" s="382">
        <f t="shared" si="403"/>
        <v>3.5201836617562599E-2</v>
      </c>
      <c r="BM213" s="382">
        <f t="shared" si="403"/>
        <v>-0.18573276658658289</v>
      </c>
      <c r="BN213" s="382">
        <f t="shared" si="403"/>
        <v>0.10894235133908303</v>
      </c>
      <c r="BO213" s="382">
        <f t="shared" si="403"/>
        <v>4.2775276299631626E-2</v>
      </c>
      <c r="BP213" s="382">
        <f t="shared" si="403"/>
        <v>5.5250245338567261E-2</v>
      </c>
      <c r="BQ213" s="382">
        <f t="shared" si="403"/>
        <v>8.4534548498093498E-2</v>
      </c>
      <c r="BR213" s="382">
        <f t="shared" si="403"/>
        <v>-7.3057794546389943E-2</v>
      </c>
      <c r="BS213" s="382">
        <f t="shared" si="403"/>
        <v>-5.8371877890841861E-2</v>
      </c>
      <c r="BT213" s="382">
        <f t="shared" si="403"/>
        <v>7.6923076923076872E-2</v>
      </c>
      <c r="BU213" s="382">
        <f t="shared" si="403"/>
        <v>-9.213647144681647E-3</v>
      </c>
      <c r="BV213" s="382">
        <f t="shared" si="403"/>
        <v>1.7401712549488968E-2</v>
      </c>
      <c r="BW213" s="382">
        <f t="shared" si="403"/>
        <v>1.6380090497737587E-2</v>
      </c>
      <c r="BX213" s="382">
        <f t="shared" si="403"/>
        <v>-0.1295521324904283</v>
      </c>
      <c r="BY213" s="382">
        <f t="shared" si="403"/>
        <v>-1.2479541734860877E-2</v>
      </c>
      <c r="BZ213" s="382">
        <f t="shared" si="403"/>
        <v>0</v>
      </c>
      <c r="CA213" s="382">
        <f t="shared" si="403"/>
        <v>-9.8508390304536952E-2</v>
      </c>
      <c r="CB213" s="382">
        <f t="shared" si="403"/>
        <v>-0.14765023555095946</v>
      </c>
      <c r="CC213" s="382">
        <f t="shared" si="403"/>
        <v>-0.10609328660016182</v>
      </c>
      <c r="CD213" s="382">
        <f t="shared" si="403"/>
        <v>-0.11898657819333436</v>
      </c>
      <c r="CE213" s="382">
        <f t="shared" si="403"/>
        <v>0.1306059568640876</v>
      </c>
      <c r="CF213" s="382">
        <f t="shared" si="403"/>
        <v>8.1453444360332972E-2</v>
      </c>
      <c r="CG213" s="382">
        <f t="shared" si="403"/>
        <v>5.0678986420271688E-2</v>
      </c>
      <c r="CH213" s="382">
        <f t="shared" si="403"/>
        <v>-0.23624250499666888</v>
      </c>
      <c r="CI213" s="382">
        <f t="shared" si="403"/>
        <v>-1.7271458478716029E-2</v>
      </c>
      <c r="CJ213" s="382">
        <f t="shared" si="403"/>
        <v>0.1471684715071897</v>
      </c>
      <c r="CK213" s="382">
        <f t="shared" si="403"/>
        <v>-0.35314144227793254</v>
      </c>
      <c r="CL213" s="382">
        <f t="shared" si="403"/>
        <v>-0.25885167464114833</v>
      </c>
      <c r="CM213" s="382">
        <f t="shared" si="403"/>
        <v>-5.6165267914783712E-2</v>
      </c>
      <c r="CN213" s="382">
        <f t="shared" si="403"/>
        <v>0.10328317373461005</v>
      </c>
      <c r="CO213" s="382">
        <f t="shared" si="403"/>
        <v>8.4004959702417947E-2</v>
      </c>
      <c r="CP213" s="382">
        <f t="shared" si="403"/>
        <v>-0.14412353445810699</v>
      </c>
      <c r="CQ213" s="382">
        <f t="shared" ref="CQ213:DY213" si="404">CQ212/CP212-1</f>
        <v>-0.22251921149348475</v>
      </c>
      <c r="CR213" s="382">
        <f t="shared" si="404"/>
        <v>-3.437902879243615E-3</v>
      </c>
      <c r="CS213" s="382">
        <f t="shared" si="404"/>
        <v>8.3225528244933233E-2</v>
      </c>
      <c r="CT213" s="382">
        <f t="shared" si="404"/>
        <v>4.6576433121019001E-2</v>
      </c>
      <c r="CU213" s="382">
        <f t="shared" si="404"/>
        <v>-1.0270064663370104E-2</v>
      </c>
      <c r="CV213" s="382">
        <f t="shared" si="404"/>
        <v>1.9600307455803323E-2</v>
      </c>
      <c r="CW213" s="382">
        <f t="shared" si="404"/>
        <v>0.13720316622691286</v>
      </c>
      <c r="CX213" s="382">
        <f t="shared" si="404"/>
        <v>-0.11998674179648661</v>
      </c>
      <c r="CY213" s="382">
        <f t="shared" si="404"/>
        <v>-3.7664783427493465E-4</v>
      </c>
      <c r="CZ213" s="382">
        <f t="shared" si="404"/>
        <v>0.25056518462697808</v>
      </c>
      <c r="DA213" s="382">
        <f t="shared" si="404"/>
        <v>0.15094908104850857</v>
      </c>
      <c r="DB213" s="382">
        <f t="shared" si="404"/>
        <v>-3.8481675392670112E-2</v>
      </c>
      <c r="DC213" s="382">
        <f t="shared" si="404"/>
        <v>-5.2545603049278466E-2</v>
      </c>
      <c r="DD213" s="382">
        <f t="shared" si="404"/>
        <v>0.22988505747126431</v>
      </c>
      <c r="DE213" s="382">
        <f t="shared" si="404"/>
        <v>0.13084112149532712</v>
      </c>
      <c r="DF213" s="382">
        <f t="shared" si="404"/>
        <v>-0.19524793388429751</v>
      </c>
      <c r="DG213" s="382">
        <f t="shared" si="404"/>
        <v>-0.1129653401797176</v>
      </c>
      <c r="DH213" s="382">
        <f t="shared" si="404"/>
        <v>0.16208393632416795</v>
      </c>
      <c r="DI213" s="382">
        <f t="shared" si="404"/>
        <v>0.19178082191780832</v>
      </c>
      <c r="DJ213" s="383">
        <f t="shared" si="404"/>
        <v>-0.18390804597701149</v>
      </c>
      <c r="DK213" s="383">
        <f t="shared" si="404"/>
        <v>-0.12010243277848909</v>
      </c>
      <c r="DL213" s="383">
        <f t="shared" si="404"/>
        <v>0.10739231664726434</v>
      </c>
      <c r="DM213" s="383">
        <f t="shared" si="404"/>
        <v>8.5151116951379668E-2</v>
      </c>
      <c r="DN213" s="383">
        <f t="shared" si="404"/>
        <v>-0.21772826350205865</v>
      </c>
      <c r="DO213" s="383">
        <f t="shared" si="404"/>
        <v>7.4303405572755388E-2</v>
      </c>
      <c r="DP213" s="383">
        <f t="shared" si="404"/>
        <v>-0.1195965417867435</v>
      </c>
      <c r="DQ213" s="383">
        <f t="shared" si="404"/>
        <v>-9.3289689034369849E-2</v>
      </c>
      <c r="DR213" s="383">
        <f t="shared" si="404"/>
        <v>-0.1534296028880866</v>
      </c>
      <c r="DS213" s="383">
        <f t="shared" si="404"/>
        <v>0.21321961620469088</v>
      </c>
      <c r="DT213" s="383">
        <f t="shared" si="404"/>
        <v>0.27943760984182786</v>
      </c>
      <c r="DU213" s="383">
        <f t="shared" si="404"/>
        <v>0.1469780219780219</v>
      </c>
      <c r="DV213" s="382">
        <f t="shared" si="404"/>
        <v>-2.39520958083832E-2</v>
      </c>
      <c r="DW213" s="382">
        <f t="shared" si="404"/>
        <v>-4.6625766871165597E-2</v>
      </c>
      <c r="DX213" s="382">
        <f t="shared" si="404"/>
        <v>0.1776061776061777</v>
      </c>
      <c r="DY213" s="382">
        <f t="shared" si="404"/>
        <v>0.13551912568306013</v>
      </c>
      <c r="DZ213" s="382">
        <f>DZ212/DY212-1</f>
        <v>-4.6198267564966367E-2</v>
      </c>
      <c r="EA213" s="382">
        <f>EA212/DZ212-1</f>
        <v>0.16750756811301715</v>
      </c>
      <c r="EB213" s="382">
        <f>EB212/EA212-1</f>
        <v>0.11927398444252368</v>
      </c>
      <c r="EC213" s="382">
        <f>EC212/EB212-1</f>
        <v>0.16911196911196913</v>
      </c>
      <c r="ED213" s="382">
        <v>-0.1</v>
      </c>
      <c r="EE213" s="461">
        <v>0.01</v>
      </c>
      <c r="EF213" s="461">
        <v>-0.06</v>
      </c>
      <c r="EG213" s="461">
        <v>-0.04</v>
      </c>
      <c r="EH213" s="461">
        <v>-0.02</v>
      </c>
      <c r="EI213" s="461">
        <v>0.06</v>
      </c>
      <c r="EJ213" s="461">
        <v>7.0000000000000007E-2</v>
      </c>
      <c r="EK213" s="461">
        <v>0.05</v>
      </c>
      <c r="EL213" s="461">
        <v>-0.1</v>
      </c>
      <c r="EM213" s="461">
        <v>0.02</v>
      </c>
      <c r="EN213" s="461">
        <v>0.03</v>
      </c>
      <c r="EO213" s="461">
        <v>0.04</v>
      </c>
      <c r="EP213" s="461">
        <v>-0.09</v>
      </c>
      <c r="EQ213" s="461">
        <v>0.02</v>
      </c>
      <c r="ER213" s="461">
        <v>0.04</v>
      </c>
      <c r="ES213" s="461">
        <v>0.05</v>
      </c>
      <c r="ET213" s="461">
        <v>-0.09</v>
      </c>
      <c r="EU213" s="461">
        <v>0.02</v>
      </c>
      <c r="EV213" s="461">
        <v>0.04</v>
      </c>
      <c r="EW213" s="461">
        <v>0.05</v>
      </c>
      <c r="FZ213" s="386" t="s">
        <v>199</v>
      </c>
      <c r="GA213" s="386" t="s">
        <v>199</v>
      </c>
      <c r="GB213" s="386" t="s">
        <v>199</v>
      </c>
      <c r="GC213" s="386" t="s">
        <v>199</v>
      </c>
      <c r="GD213" s="386" t="s">
        <v>199</v>
      </c>
      <c r="GE213" s="386" t="s">
        <v>199</v>
      </c>
      <c r="GF213" s="386" t="s">
        <v>199</v>
      </c>
      <c r="GG213" s="386" t="s">
        <v>199</v>
      </c>
      <c r="GH213" s="386" t="s">
        <v>199</v>
      </c>
      <c r="GI213" s="386" t="s">
        <v>199</v>
      </c>
      <c r="GJ213" s="386" t="s">
        <v>199</v>
      </c>
      <c r="GK213" s="386" t="s">
        <v>199</v>
      </c>
      <c r="GN213" s="70"/>
    </row>
    <row r="214" spans="1:196" s="382" customFormat="1">
      <c r="A214" s="381" t="s">
        <v>200</v>
      </c>
      <c r="AH214" s="382">
        <f t="shared" ref="AH214:CS214" si="405">AH212/AD212-1</f>
        <v>0.29433781293833006</v>
      </c>
      <c r="AI214" s="382">
        <f t="shared" si="405"/>
        <v>0.32086588977607766</v>
      </c>
      <c r="AJ214" s="382">
        <f t="shared" si="405"/>
        <v>0.15077078528136112</v>
      </c>
      <c r="AK214" s="382">
        <f t="shared" si="405"/>
        <v>4.7035855717688424E-2</v>
      </c>
      <c r="AL214" s="382">
        <f t="shared" si="405"/>
        <v>-1.507131713839982E-2</v>
      </c>
      <c r="AM214" s="382">
        <f t="shared" si="405"/>
        <v>-0.26237140581352303</v>
      </c>
      <c r="AN214" s="382">
        <f t="shared" si="405"/>
        <v>-0.45581061692969871</v>
      </c>
      <c r="AO214" s="382">
        <f t="shared" si="405"/>
        <v>-0.25459949051797337</v>
      </c>
      <c r="AP214" s="382">
        <f t="shared" si="405"/>
        <v>-9.5743176354122439E-2</v>
      </c>
      <c r="AQ214" s="382">
        <f t="shared" si="405"/>
        <v>0.11102661596958185</v>
      </c>
      <c r="AR214" s="382">
        <f t="shared" si="405"/>
        <v>0.56498813604007392</v>
      </c>
      <c r="AS214" s="382">
        <f t="shared" si="405"/>
        <v>0.24435162331498006</v>
      </c>
      <c r="AT214" s="382">
        <f t="shared" si="405"/>
        <v>2.0331560838284801E-3</v>
      </c>
      <c r="AU214" s="382">
        <f t="shared" si="405"/>
        <v>7.7857631759069124E-2</v>
      </c>
      <c r="AV214" s="382">
        <f t="shared" si="405"/>
        <v>0.10512129380053903</v>
      </c>
      <c r="AW214" s="382">
        <f t="shared" si="405"/>
        <v>0.19133353677143727</v>
      </c>
      <c r="AX214" s="382">
        <f t="shared" si="405"/>
        <v>0.21679413141876069</v>
      </c>
      <c r="AY214" s="382">
        <f t="shared" si="405"/>
        <v>0.15494522940149236</v>
      </c>
      <c r="AZ214" s="382">
        <f t="shared" si="405"/>
        <v>0.29192073170731714</v>
      </c>
      <c r="BA214" s="382">
        <f t="shared" si="405"/>
        <v>0.38230020491803285</v>
      </c>
      <c r="BB214" s="382">
        <f t="shared" si="405"/>
        <v>0.27873268342739865</v>
      </c>
      <c r="BC214" s="382">
        <f t="shared" si="405"/>
        <v>0.30886597938144322</v>
      </c>
      <c r="BD214" s="382">
        <f t="shared" si="405"/>
        <v>0.24943952802359881</v>
      </c>
      <c r="BE214" s="382">
        <f t="shared" si="405"/>
        <v>0.11248031131288805</v>
      </c>
      <c r="BF214" s="382">
        <f t="shared" si="405"/>
        <v>-0.26652623131708297</v>
      </c>
      <c r="BG214" s="382">
        <f t="shared" si="405"/>
        <v>0.13547574039067434</v>
      </c>
      <c r="BH214" s="382">
        <f t="shared" si="405"/>
        <v>9.5665313060723456E-2</v>
      </c>
      <c r="BI214" s="382">
        <f t="shared" si="405"/>
        <v>4.089281252602639E-2</v>
      </c>
      <c r="BJ214" s="382">
        <f t="shared" si="405"/>
        <v>0.45377461706783362</v>
      </c>
      <c r="BK214" s="382">
        <f t="shared" si="405"/>
        <v>-3.3111357750647441E-2</v>
      </c>
      <c r="BL214" s="382">
        <f t="shared" si="405"/>
        <v>-6.7229787967591825E-2</v>
      </c>
      <c r="BM214" s="382">
        <f t="shared" si="405"/>
        <v>-0.29492718835013598</v>
      </c>
      <c r="BN214" s="382">
        <f t="shared" si="405"/>
        <v>-8.0714957666980225E-2</v>
      </c>
      <c r="BO214" s="382">
        <f t="shared" si="405"/>
        <v>-2.5253491486512347E-2</v>
      </c>
      <c r="BP214" s="382">
        <f t="shared" si="405"/>
        <v>-6.3759009425244928E-3</v>
      </c>
      <c r="BQ214" s="382">
        <f t="shared" si="405"/>
        <v>0.32342260553790281</v>
      </c>
      <c r="BR214" s="382">
        <f t="shared" si="405"/>
        <v>0.1062218583708554</v>
      </c>
      <c r="BS214" s="382">
        <f t="shared" si="405"/>
        <v>-1.0794896957802003E-3</v>
      </c>
      <c r="BT214" s="382">
        <f t="shared" si="405"/>
        <v>1.9436436343346131E-2</v>
      </c>
      <c r="BU214" s="382">
        <f t="shared" si="405"/>
        <v>-6.8684616703824419E-2</v>
      </c>
      <c r="BV214" s="382">
        <f t="shared" si="405"/>
        <v>2.2201665124884418E-2</v>
      </c>
      <c r="BW214" s="382">
        <f t="shared" si="405"/>
        <v>0.10335003438451706</v>
      </c>
      <c r="BX214" s="382">
        <f t="shared" si="405"/>
        <v>-0.10819193577814268</v>
      </c>
      <c r="BY214" s="382">
        <f t="shared" si="405"/>
        <v>-0.11113157167848264</v>
      </c>
      <c r="BZ214" s="382">
        <f t="shared" si="405"/>
        <v>-0.12633484162895925</v>
      </c>
      <c r="CA214" s="382">
        <f t="shared" si="405"/>
        <v>-0.2250912652479744</v>
      </c>
      <c r="CB214" s="382">
        <f t="shared" si="405"/>
        <v>-0.24120294599018</v>
      </c>
      <c r="CC214" s="382">
        <f t="shared" si="405"/>
        <v>-0.31313445204060497</v>
      </c>
      <c r="CD214" s="382">
        <f t="shared" si="405"/>
        <v>-0.39486223327118297</v>
      </c>
      <c r="CE214" s="382">
        <f t="shared" si="405"/>
        <v>-0.24106629897736409</v>
      </c>
      <c r="CF214" s="382">
        <f t="shared" si="405"/>
        <v>-3.7071987058506339E-2</v>
      </c>
      <c r="CG214" s="382">
        <f t="shared" si="405"/>
        <v>0.13180515759312317</v>
      </c>
      <c r="CH214" s="382">
        <f t="shared" si="405"/>
        <v>-1.8829168093118742E-2</v>
      </c>
      <c r="CI214" s="382">
        <f t="shared" si="405"/>
        <v>-0.14716124148372445</v>
      </c>
      <c r="CJ214" s="382">
        <f t="shared" si="405"/>
        <v>-9.5338093238135246E-2</v>
      </c>
      <c r="CK214" s="382">
        <f t="shared" si="405"/>
        <v>-0.44303797468354433</v>
      </c>
      <c r="CL214" s="382">
        <f t="shared" si="405"/>
        <v>-0.4595254710397767</v>
      </c>
      <c r="CM214" s="382">
        <f t="shared" si="405"/>
        <v>-0.48091603053435117</v>
      </c>
      <c r="CN214" s="382">
        <f t="shared" si="405"/>
        <v>-0.50077375425564841</v>
      </c>
      <c r="CO214" s="382">
        <f t="shared" si="405"/>
        <v>-0.16339712918660287</v>
      </c>
      <c r="CP214" s="382">
        <f t="shared" si="405"/>
        <v>-3.3892834086507451E-2</v>
      </c>
      <c r="CQ214" s="382">
        <f t="shared" si="405"/>
        <v>-0.20417236662106708</v>
      </c>
      <c r="CR214" s="382">
        <f t="shared" si="405"/>
        <v>-0.28115313081215132</v>
      </c>
      <c r="CS214" s="382">
        <f t="shared" si="405"/>
        <v>-0.28167000285959398</v>
      </c>
      <c r="CT214" s="382">
        <f t="shared" ref="CT214:EW214" si="406">CT212/CP212-1</f>
        <v>-0.12161710658202474</v>
      </c>
      <c r="CU214" s="382">
        <f t="shared" si="406"/>
        <v>0.11817791147400092</v>
      </c>
      <c r="CV214" s="382">
        <f t="shared" si="406"/>
        <v>0.14402759810263044</v>
      </c>
      <c r="CW214" s="382">
        <f t="shared" si="406"/>
        <v>0.20103503184713367</v>
      </c>
      <c r="CX214" s="382">
        <f t="shared" si="406"/>
        <v>9.8896918980599935E-3</v>
      </c>
      <c r="CY214" s="382">
        <f t="shared" si="406"/>
        <v>1.9984627209838512E-2</v>
      </c>
      <c r="CZ214" s="382">
        <f t="shared" si="406"/>
        <v>0.25103656238220884</v>
      </c>
      <c r="DA214" s="382">
        <f t="shared" si="406"/>
        <v>0.26615843553198548</v>
      </c>
      <c r="DB214" s="382">
        <f t="shared" si="406"/>
        <v>0.38342749529190212</v>
      </c>
      <c r="DC214" s="382">
        <f t="shared" si="406"/>
        <v>0.31122833458929922</v>
      </c>
      <c r="DD214" s="382">
        <f t="shared" si="406"/>
        <v>0.28954504368785772</v>
      </c>
      <c r="DE214" s="382">
        <f t="shared" si="406"/>
        <v>0.26701570680628262</v>
      </c>
      <c r="DF214" s="382">
        <f t="shared" si="406"/>
        <v>6.0441056357201095E-2</v>
      </c>
      <c r="DG214" s="382">
        <f t="shared" si="406"/>
        <v>-7.1839080459770166E-3</v>
      </c>
      <c r="DH214" s="382">
        <f t="shared" si="406"/>
        <v>-6.191588785046731E-2</v>
      </c>
      <c r="DI214" s="382">
        <f t="shared" si="406"/>
        <v>-1.1363636363636354E-2</v>
      </c>
      <c r="DJ214" s="383">
        <f t="shared" si="406"/>
        <v>2.5673940949935137E-3</v>
      </c>
      <c r="DK214" s="383">
        <f t="shared" si="406"/>
        <v>-5.4992764109985659E-3</v>
      </c>
      <c r="DL214" s="383">
        <f t="shared" si="406"/>
        <v>-5.2303860523038592E-2</v>
      </c>
      <c r="DM214" s="383">
        <f t="shared" si="406"/>
        <v>-0.13709508881922672</v>
      </c>
      <c r="DN214" s="383">
        <f t="shared" si="406"/>
        <v>-0.17285531370038409</v>
      </c>
      <c r="DO214" s="383">
        <f t="shared" si="406"/>
        <v>9.8952270081489324E-3</v>
      </c>
      <c r="DP214" s="383">
        <f t="shared" si="406"/>
        <v>-0.19710906701708275</v>
      </c>
      <c r="DQ214" s="383">
        <f t="shared" si="406"/>
        <v>-0.32913538387018648</v>
      </c>
      <c r="DR214" s="383">
        <f t="shared" si="406"/>
        <v>-0.27399380804953566</v>
      </c>
      <c r="DS214" s="383">
        <f t="shared" si="406"/>
        <v>-0.18011527377521619</v>
      </c>
      <c r="DT214" s="383">
        <f t="shared" si="406"/>
        <v>0.1914893617021276</v>
      </c>
      <c r="DU214" s="383">
        <f t="shared" si="406"/>
        <v>0.5072202166064983</v>
      </c>
      <c r="DV214" s="382">
        <f t="shared" si="406"/>
        <v>0.73773987206823022</v>
      </c>
      <c r="DW214" s="382">
        <f t="shared" si="406"/>
        <v>0.36555360281195082</v>
      </c>
      <c r="DX214" s="382">
        <f t="shared" si="406"/>
        <v>0.25686813186813184</v>
      </c>
      <c r="DY214" s="382">
        <f t="shared" si="406"/>
        <v>0.244311377245509</v>
      </c>
      <c r="DZ214" s="382">
        <f t="shared" si="406"/>
        <v>0.21595092024539886</v>
      </c>
      <c r="EA214" s="382">
        <f t="shared" si="406"/>
        <v>0.48906048906048905</v>
      </c>
      <c r="EB214" s="382">
        <f t="shared" si="406"/>
        <v>0.41530054644808745</v>
      </c>
      <c r="EC214" s="382">
        <f t="shared" si="406"/>
        <v>0.4571703561116458</v>
      </c>
      <c r="ED214" s="382">
        <f t="shared" si="406"/>
        <v>0.37497477295660953</v>
      </c>
      <c r="EE214" s="384">
        <f t="shared" si="406"/>
        <v>0.18947796024200514</v>
      </c>
      <c r="EF214" s="384">
        <f t="shared" si="406"/>
        <v>-1.0405868725869016E-3</v>
      </c>
      <c r="EG214" s="384">
        <f t="shared" si="406"/>
        <v>-0.17971840000000006</v>
      </c>
      <c r="EH214" s="384">
        <f t="shared" si="406"/>
        <v>-0.10680447999999998</v>
      </c>
      <c r="EI214" s="384">
        <f t="shared" si="406"/>
        <v>-6.25868799999999E-2</v>
      </c>
      <c r="EJ214" s="384">
        <f t="shared" si="406"/>
        <v>6.7055360000000119E-2</v>
      </c>
      <c r="EK214" s="384">
        <f t="shared" si="406"/>
        <v>0.16709180000000035</v>
      </c>
      <c r="EL214" s="384">
        <f t="shared" si="406"/>
        <v>7.1819000000000299E-2</v>
      </c>
      <c r="EM214" s="384">
        <f t="shared" si="406"/>
        <v>3.1373000000000095E-2</v>
      </c>
      <c r="EN214" s="384">
        <f t="shared" si="406"/>
        <v>-7.1829999999998284E-3</v>
      </c>
      <c r="EO214" s="384">
        <f t="shared" si="406"/>
        <v>-1.6638399999999831E-2</v>
      </c>
      <c r="EP214" s="384">
        <f t="shared" si="406"/>
        <v>-5.7121599999997441E-3</v>
      </c>
      <c r="EQ214" s="384">
        <f t="shared" si="406"/>
        <v>-5.7121599999997441E-3</v>
      </c>
      <c r="ER214" s="384">
        <f t="shared" si="406"/>
        <v>3.9411200000001312E-3</v>
      </c>
      <c r="ES214" s="384">
        <f t="shared" si="406"/>
        <v>1.3594400000000118E-2</v>
      </c>
      <c r="ET214" s="384">
        <f t="shared" si="406"/>
        <v>1.359440000000034E-2</v>
      </c>
      <c r="EU214" s="384">
        <f t="shared" si="406"/>
        <v>1.359440000000034E-2</v>
      </c>
      <c r="EV214" s="384">
        <f t="shared" si="406"/>
        <v>1.359440000000034E-2</v>
      </c>
      <c r="EW214" s="384">
        <f t="shared" si="406"/>
        <v>1.3594400000000118E-2</v>
      </c>
      <c r="FH214" s="382">
        <f t="shared" ref="FH214:GK214" si="407">FH212/FG212-1</f>
        <v>0.19348704834289965</v>
      </c>
      <c r="FI214" s="382">
        <f t="shared" si="407"/>
        <v>-0.24536515704419926</v>
      </c>
      <c r="FJ214" s="382">
        <f t="shared" si="407"/>
        <v>0.15600018699453044</v>
      </c>
      <c r="FK214" s="382">
        <f t="shared" si="407"/>
        <v>9.4872209640892935E-2</v>
      </c>
      <c r="FL214" s="382">
        <f t="shared" si="407"/>
        <v>0.26833862746546511</v>
      </c>
      <c r="FM214" s="382">
        <f t="shared" si="407"/>
        <v>0.22563266257025538</v>
      </c>
      <c r="FN214" s="382">
        <f t="shared" si="407"/>
        <v>3.2551619264855614E-3</v>
      </c>
      <c r="FO214" s="382">
        <f t="shared" si="407"/>
        <v>-3.56669192876089E-2</v>
      </c>
      <c r="FP214" s="382">
        <f t="shared" si="407"/>
        <v>4.0743651456358387E-2</v>
      </c>
      <c r="FQ214" s="382">
        <f t="shared" si="407"/>
        <v>1.0265002241782062E-2</v>
      </c>
      <c r="FR214" s="382">
        <f t="shared" si="407"/>
        <v>-2.5717088666728949E-2</v>
      </c>
      <c r="FS214" s="382">
        <f t="shared" si="407"/>
        <v>-0.22308264007096446</v>
      </c>
      <c r="FT214" s="382">
        <f t="shared" si="407"/>
        <v>-0.16388940319693879</v>
      </c>
      <c r="FU214" s="382">
        <f t="shared" si="407"/>
        <v>-0.1877837239343052</v>
      </c>
      <c r="FV214" s="382">
        <f t="shared" si="407"/>
        <v>-0.42086608806288905</v>
      </c>
      <c r="FW214" s="382">
        <f t="shared" si="407"/>
        <v>-0.20353079639074145</v>
      </c>
      <c r="FX214" s="382">
        <f t="shared" si="407"/>
        <v>7.3884346369815779E-2</v>
      </c>
      <c r="FY214" s="382">
        <f t="shared" si="407"/>
        <v>0.1419135859095495</v>
      </c>
      <c r="FZ214" s="382">
        <f t="shared" si="407"/>
        <v>0.30727827763496141</v>
      </c>
      <c r="GA214" s="382">
        <f t="shared" si="407"/>
        <v>-7.5585325385607582E-3</v>
      </c>
      <c r="GB214" s="382">
        <f t="shared" si="407"/>
        <v>-5.4179566563467452E-2</v>
      </c>
      <c r="GC214" s="382">
        <f t="shared" si="407"/>
        <v>-0.18003273322422264</v>
      </c>
      <c r="GD214" s="382">
        <f t="shared" si="407"/>
        <v>3.8323353293413076E-2</v>
      </c>
      <c r="GE214" s="382">
        <f t="shared" si="407"/>
        <v>0.36332179930795849</v>
      </c>
      <c r="GF214" s="382">
        <f t="shared" si="407"/>
        <v>0.39791314156796398</v>
      </c>
      <c r="GG214" s="387">
        <f t="shared" si="407"/>
        <v>6.4027593786564641E-2</v>
      </c>
      <c r="GH214" s="387">
        <f t="shared" si="407"/>
        <v>1.1867397408717117E-2</v>
      </c>
      <c r="GI214" s="387">
        <f t="shared" si="407"/>
        <v>1.7585096943064427E-2</v>
      </c>
      <c r="GJ214" s="387">
        <f t="shared" si="407"/>
        <v>1.7908104818766812E-3</v>
      </c>
      <c r="GK214" s="387">
        <f t="shared" si="407"/>
        <v>1.359440000000034E-2</v>
      </c>
      <c r="GN214" s="70"/>
    </row>
    <row r="215" spans="1:196" s="382" customFormat="1">
      <c r="A215" s="381" t="s">
        <v>281</v>
      </c>
      <c r="AD215" s="382">
        <f>AD212/AD209</f>
        <v>0.85464098613251149</v>
      </c>
      <c r="AE215" s="382">
        <f>AE212/AE209</f>
        <v>0.85013277072496451</v>
      </c>
      <c r="AF215" s="382">
        <f>AF212/AF209</f>
        <v>0.88239467603721411</v>
      </c>
      <c r="AG215" s="382">
        <f>AG212/AG209</f>
        <v>0.96836647280898491</v>
      </c>
      <c r="AH215" s="382">
        <f>AH212/AH209</f>
        <v>0.97252777025196424</v>
      </c>
      <c r="AI215" s="382">
        <f>AI212/AI209</f>
        <v>0.87015985356924952</v>
      </c>
      <c r="AJ215" s="382">
        <f>AJ212/AJ209</f>
        <v>0.83643345733829355</v>
      </c>
      <c r="AK215" s="382">
        <f>AK212/AK209</f>
        <v>0.85971529383136636</v>
      </c>
      <c r="AL215" s="382">
        <f>AL212/AL209</f>
        <v>0.84098477640342528</v>
      </c>
      <c r="AM215" s="382">
        <f>AM212/AM209</f>
        <v>0.82046482608017468</v>
      </c>
      <c r="AN215" s="382">
        <f>AN212/AN209</f>
        <v>0.80258146424037236</v>
      </c>
      <c r="AO215" s="382">
        <f>AO212/AO209</f>
        <v>0.84474739374498797</v>
      </c>
      <c r="AP215" s="382">
        <f>AP212/AP209</f>
        <v>0.88817891373801916</v>
      </c>
      <c r="AQ215" s="382">
        <f>AQ212/AQ209</f>
        <v>0.87840072147903203</v>
      </c>
      <c r="AR215" s="382">
        <f>AR212/AR209</f>
        <v>0.81785615872141082</v>
      </c>
      <c r="AS215" s="382">
        <f>AS212/AS209</f>
        <v>0.8478654592496766</v>
      </c>
      <c r="AT215" s="382">
        <f>AT212/AT209</f>
        <v>0.8938337053571429</v>
      </c>
      <c r="AU215" s="382">
        <f>AU212/AU209</f>
        <v>0.87790940766550518</v>
      </c>
      <c r="AV215" s="382">
        <f>AV212/AV209</f>
        <v>0.85250162443144895</v>
      </c>
      <c r="AW215" s="382">
        <f>AW212/AW209</f>
        <v>0.86467331118493906</v>
      </c>
      <c r="AX215" s="382">
        <f>AX212/AX209</f>
        <v>0.85717427157779003</v>
      </c>
      <c r="AY215" s="382">
        <f>AY212/AY209</f>
        <v>0.84484961096272215</v>
      </c>
      <c r="AZ215" s="382">
        <f>AZ212/AZ209</f>
        <v>0.80362222643656367</v>
      </c>
      <c r="BA215" s="382">
        <f>BA212/BA209</f>
        <v>0.79759089565474428</v>
      </c>
      <c r="BB215" s="382">
        <f>BB212/BB209</f>
        <v>0.80008025682182982</v>
      </c>
      <c r="BC215" s="382">
        <f>BC212/BC209</f>
        <v>0.80934976625584365</v>
      </c>
      <c r="BD215" s="382">
        <f>BD212/BD209</f>
        <v>0.7556554627845572</v>
      </c>
      <c r="BE215" s="382">
        <f>BE212/BE209</f>
        <v>0.71414976506274908</v>
      </c>
      <c r="BF215" s="382">
        <f>BF212/BF209</f>
        <v>0.68528584817244609</v>
      </c>
      <c r="BG215" s="382">
        <f>BG212/BG209</f>
        <v>0.72685714285714287</v>
      </c>
      <c r="BH215" s="382">
        <f>BH212/BH209</f>
        <v>0.66943627026715136</v>
      </c>
      <c r="BI215" s="382">
        <f>BI212/BI209</f>
        <v>0.67747181266261924</v>
      </c>
      <c r="BJ215" s="382">
        <f>BJ212/BJ209</f>
        <v>0.70040192396389278</v>
      </c>
      <c r="BK215" s="382">
        <f>BK212/BK209</f>
        <v>0.71004550702981728</v>
      </c>
      <c r="BL215" s="382">
        <f>BL212/BL209</f>
        <v>0.68502342068616284</v>
      </c>
      <c r="BM215" s="382">
        <f>BM212/BM209</f>
        <v>0.70467812874850055</v>
      </c>
      <c r="BN215" s="382">
        <f>BN212/BN209</f>
        <v>0.68710448600759388</v>
      </c>
      <c r="BO215" s="382">
        <f>BO212/BO209</f>
        <v>0.70567867036011078</v>
      </c>
      <c r="BP215" s="382">
        <f>BP212/BP209</f>
        <v>0.66376543209876548</v>
      </c>
      <c r="BQ215" s="382">
        <f>BQ212/BQ209</f>
        <v>0.64288864388092615</v>
      </c>
      <c r="BR215" s="382">
        <f>BR212/BR209</f>
        <v>0.64878165886448202</v>
      </c>
      <c r="BS215" s="382">
        <f>BS212/BS209</f>
        <v>0.58957428323197225</v>
      </c>
      <c r="BT215" s="382">
        <f>BT212/BT209</f>
        <v>0.60657370517928288</v>
      </c>
      <c r="BU215" s="382">
        <f>BU212/BU209</f>
        <v>0.60788044999160462</v>
      </c>
      <c r="BV215" s="382">
        <f>BV212/BV209</f>
        <v>0.61144311642319615</v>
      </c>
      <c r="BW215" s="382">
        <f>BW212/BW209</f>
        <v>0.59244606214063411</v>
      </c>
      <c r="BX215" s="382">
        <f>BX212/BX209</f>
        <v>0.49897917517354023</v>
      </c>
      <c r="BY215" s="382">
        <f>BY212/BY209</f>
        <v>0.51416702172986795</v>
      </c>
      <c r="BZ215" s="382">
        <f>BZ212/BZ209</f>
        <v>0.51953503390377787</v>
      </c>
      <c r="CA215" s="382">
        <f>CA212/CA209</f>
        <v>0.50817470512670793</v>
      </c>
      <c r="CB215" s="382">
        <f>CB212/CB209</f>
        <v>0.48831544993746295</v>
      </c>
      <c r="CC215" s="382">
        <f>CC212/CC209</f>
        <v>0.51082351128572534</v>
      </c>
      <c r="CD215" s="382">
        <f>CD212/CD209</f>
        <v>0.50336033086334653</v>
      </c>
      <c r="CE215" s="382">
        <f>CE212/CE209</f>
        <v>0.4498399509636995</v>
      </c>
      <c r="CF215" s="382">
        <f>CF212/CF209</f>
        <v>0.48837686312047041</v>
      </c>
      <c r="CG215" s="382">
        <f>CG212/CG209</f>
        <v>0.59729407083167529</v>
      </c>
      <c r="CH215" s="382">
        <f>CH212/CH209</f>
        <v>0.5278084714548803</v>
      </c>
      <c r="CI215" s="382">
        <f>CI212/CI209</f>
        <v>0.49818696382771732</v>
      </c>
      <c r="CJ215" s="382">
        <f>CJ212/CJ209</f>
        <v>0.57034421888790821</v>
      </c>
      <c r="CK215" s="382">
        <f>CK212/CK209</f>
        <v>0.45047957754068324</v>
      </c>
      <c r="CL215" s="382">
        <f>CL212/CL209</f>
        <v>0.41746395364506134</v>
      </c>
      <c r="CM215" s="382">
        <f>CM212/CM209</f>
        <v>0.59954890301414809</v>
      </c>
      <c r="CN215" s="382">
        <f>CN212/CN209</f>
        <v>0.62157996146435457</v>
      </c>
      <c r="CO215" s="382">
        <f>CO212/CO209</f>
        <v>0.58225108225108224</v>
      </c>
      <c r="CP215" s="382">
        <f>CP212/CP209</f>
        <v>0.53986291486291482</v>
      </c>
      <c r="CQ215" s="382">
        <f>CQ212/CQ209</f>
        <v>0.47470420236638106</v>
      </c>
      <c r="CR215" s="382">
        <f>CR212/CR209</f>
        <v>0.44264172552013742</v>
      </c>
      <c r="CS215" s="382">
        <f>CS212/CS209</f>
        <v>0.39665245539238908</v>
      </c>
      <c r="CT215" s="382">
        <f>CT212/CT209</f>
        <v>0.4611471671636555</v>
      </c>
      <c r="CU215" s="382">
        <f>CU212/CU209</f>
        <v>0.45260045225256568</v>
      </c>
      <c r="CV215" s="382">
        <f>CV212/CV209</f>
        <v>0.45234441602728048</v>
      </c>
      <c r="CW215" s="382">
        <f>CW212/CW209</f>
        <v>0.49224995921031162</v>
      </c>
      <c r="CX215" s="382">
        <f>CX212/CX209</f>
        <v>0.44847972972972971</v>
      </c>
      <c r="CY215" s="382">
        <f>CY212/CY209</f>
        <v>0.40181680545041637</v>
      </c>
      <c r="CZ215" s="382">
        <f>CZ212/CZ209</f>
        <v>0.37334083239595051</v>
      </c>
      <c r="DA215" s="382">
        <f>DA212/DA209</f>
        <v>0.40333650089747652</v>
      </c>
      <c r="DB215" s="382">
        <f>DB212/DB209</f>
        <v>0.41376591190717582</v>
      </c>
      <c r="DC215" s="382">
        <f>DC212/DC209</f>
        <v>0.34922227797290517</v>
      </c>
      <c r="DD215" s="382">
        <f>DD212/DD209</f>
        <v>0.37775816416593117</v>
      </c>
      <c r="DE215" s="382">
        <f>DE212/DE209</f>
        <v>0.38321456848772761</v>
      </c>
      <c r="DF215" s="382">
        <f>DF212/DF209</f>
        <v>0.31197436924309169</v>
      </c>
      <c r="DG215" s="382">
        <f>DG212/DG209</f>
        <v>0.24590747330960855</v>
      </c>
      <c r="DH215" s="382">
        <f>DH212/DH209</f>
        <v>0.23757396449704141</v>
      </c>
      <c r="DI215" s="382">
        <f>DI212/DI209</f>
        <v>0.24735073662445076</v>
      </c>
      <c r="DJ215" s="383">
        <f>DJ212/DJ209</f>
        <v>0.2149738508120011</v>
      </c>
      <c r="DK215" s="383">
        <f>DK212/DK209</f>
        <v>0.18750341064120055</v>
      </c>
      <c r="DL215" s="383">
        <f>DL212/DL209</f>
        <v>0.23465926611162505</v>
      </c>
      <c r="DM215" s="383">
        <f>DM212/DM209</f>
        <v>0.2468611742197776</v>
      </c>
      <c r="DN215" s="383">
        <f>DN212/DN209</f>
        <v>0.20987654320987653</v>
      </c>
      <c r="DO215" s="383">
        <f>DO212/DO209</f>
        <v>0.22052748649507467</v>
      </c>
      <c r="DP215" s="383">
        <f>DP212/DP209</f>
        <v>0.34229691876750701</v>
      </c>
      <c r="DQ215" s="383">
        <f>DQ212/DQ209</f>
        <v>0.34668335419274093</v>
      </c>
      <c r="DR215" s="383">
        <f>DR212/DR209</f>
        <v>0.31476510067114094</v>
      </c>
      <c r="DS215" s="383">
        <f>DS212/DS209</f>
        <v>0.30856832971800435</v>
      </c>
      <c r="DT215" s="383">
        <f>DT212/DT209</f>
        <v>0.30524109014675055</v>
      </c>
      <c r="DU215" s="383">
        <f>DU212/DU209</f>
        <v>0.30144404332129965</v>
      </c>
      <c r="DV215" s="382">
        <f>DV212/DV209</f>
        <v>0.31773879142300193</v>
      </c>
      <c r="DW215" s="382">
        <f>DW212/DW209</f>
        <v>0.29792944785276071</v>
      </c>
      <c r="DX215" s="382">
        <f>DX212/DX209</f>
        <v>0.30643000669792364</v>
      </c>
      <c r="DY215" s="382">
        <f>DY212/DY209</f>
        <v>0.30594817432273264</v>
      </c>
      <c r="DZ215" s="382">
        <f>DZ212/DZ209</f>
        <v>0.33266196710305473</v>
      </c>
      <c r="EA215" s="382">
        <f>EA212/EA209</f>
        <v>0.38464095744680848</v>
      </c>
      <c r="EB215" s="382">
        <f>EB212/EB209</f>
        <v>0.39076644538322269</v>
      </c>
      <c r="EC215" s="382">
        <f>EC212/EC209</f>
        <v>0.3886036960985626</v>
      </c>
      <c r="ED215" s="382">
        <f>ED212/ED209</f>
        <v>0.39395621552232596</v>
      </c>
      <c r="EE215" s="384">
        <f>EE212/EE209</f>
        <v>0.3939562155223259</v>
      </c>
      <c r="EF215" s="384">
        <f>EF212/EF209</f>
        <v>0.37928412284972124</v>
      </c>
      <c r="EG215" s="384">
        <f>EG212/EG209</f>
        <v>0.369721944472027</v>
      </c>
      <c r="EH215" s="384">
        <f>EH212/EH209</f>
        <v>0.38456158071639601</v>
      </c>
      <c r="EI215" s="384">
        <f>EI212/EI209</f>
        <v>0.38456158071639601</v>
      </c>
      <c r="EJ215" s="384">
        <f>EJ212/EJ209</f>
        <v>0.38018807884213301</v>
      </c>
      <c r="EK215" s="384">
        <f>EK212/EK209</f>
        <v>0.37795700969646584</v>
      </c>
      <c r="EL215" s="384">
        <f>EL212/EL209</f>
        <v>0.38058747381070229</v>
      </c>
      <c r="EM215" s="384">
        <f>EM212/EM209</f>
        <v>0.38058747381070229</v>
      </c>
      <c r="EN215" s="384">
        <f>EN212/EN209</f>
        <v>0.38058747381070235</v>
      </c>
      <c r="EO215" s="384">
        <f>EO212/EO209</f>
        <v>0.38058747381070229</v>
      </c>
      <c r="EP215" s="384">
        <f>EP212/EP209</f>
        <v>0.38058747381070229</v>
      </c>
      <c r="EQ215" s="384">
        <f>EQ212/EQ209</f>
        <v>0.37829024132041761</v>
      </c>
      <c r="ER215" s="384">
        <f>ER212/ER209</f>
        <v>0.37604226874202412</v>
      </c>
      <c r="ES215" s="384">
        <f>ES212/ES209</f>
        <v>0.37604226874202412</v>
      </c>
      <c r="ET215" s="384">
        <f>ET212/ET209</f>
        <v>0.37863847095415087</v>
      </c>
      <c r="EU215" s="384">
        <f>EU212/EU209</f>
        <v>0.37863847095415093</v>
      </c>
      <c r="EV215" s="384">
        <f>EV212/EV209</f>
        <v>0.37863847095415087</v>
      </c>
      <c r="EW215" s="384">
        <f>EW212/EW209</f>
        <v>0.37863847095415093</v>
      </c>
      <c r="FZ215" s="382">
        <f>FZ212/FZ209</f>
        <v>0.38019251436848744</v>
      </c>
      <c r="GA215" s="382">
        <f>GA212/GA209</f>
        <v>0.25724753106084741</v>
      </c>
      <c r="GB215" s="382">
        <f>GB212/GB209</f>
        <v>0.22000259250190837</v>
      </c>
      <c r="GC215" s="382">
        <f>GC212/GC209</f>
        <v>0.26072023313905079</v>
      </c>
      <c r="GD215" s="382">
        <f>GD212/GD209</f>
        <v>0.30639651313464483</v>
      </c>
      <c r="GE215" s="382">
        <f>GE212/GE209</f>
        <v>0.30688013846819556</v>
      </c>
      <c r="GF215" s="382">
        <f>GF212/GF209</f>
        <v>0.37561567022808212</v>
      </c>
      <c r="GG215" s="384">
        <f>GG212/GG209</f>
        <v>0.38437687923297736</v>
      </c>
      <c r="GH215" s="384">
        <f>GH212/GH209</f>
        <v>0.38161510482927918</v>
      </c>
      <c r="GI215" s="384">
        <f>GI212/GI209</f>
        <v>0.38058747381070229</v>
      </c>
      <c r="GJ215" s="384">
        <f>GJ212/GJ209</f>
        <v>0.37766324546192809</v>
      </c>
      <c r="GK215" s="384">
        <f>GK212/GK209</f>
        <v>0.37863847095415093</v>
      </c>
      <c r="GN215" s="70"/>
    </row>
    <row r="216" spans="1:196" s="379" customFormat="1">
      <c r="A216" s="405" t="s">
        <v>263</v>
      </c>
      <c r="AD216" s="376">
        <v>943.38</v>
      </c>
      <c r="AE216" s="376">
        <v>951.72</v>
      </c>
      <c r="AF216" s="376">
        <v>807.25</v>
      </c>
      <c r="AG216" s="376">
        <v>220.45500000000001</v>
      </c>
      <c r="AH216" s="376">
        <v>202.8</v>
      </c>
      <c r="AI216" s="376">
        <v>1064.04</v>
      </c>
      <c r="AJ216" s="376">
        <v>1363</v>
      </c>
      <c r="AK216" s="376">
        <v>1153</v>
      </c>
      <c r="AL216" s="376">
        <v>1337</v>
      </c>
      <c r="AM216" s="376">
        <v>1151</v>
      </c>
      <c r="AN216" s="376">
        <v>933</v>
      </c>
      <c r="AO216" s="376">
        <v>968</v>
      </c>
      <c r="AP216" s="376">
        <v>805</v>
      </c>
      <c r="AQ216" s="376">
        <v>809</v>
      </c>
      <c r="AR216" s="376">
        <v>1322</v>
      </c>
      <c r="AS216" s="376">
        <v>1176</v>
      </c>
      <c r="AT216" s="376">
        <v>761</v>
      </c>
      <c r="AU216" s="376">
        <v>876</v>
      </c>
      <c r="AV216" s="376">
        <v>1135</v>
      </c>
      <c r="AW216" s="376">
        <v>1222</v>
      </c>
      <c r="AX216" s="376">
        <v>1299</v>
      </c>
      <c r="AY216" s="376">
        <v>1336</v>
      </c>
      <c r="AZ216" s="376">
        <v>2071</v>
      </c>
      <c r="BA216" s="376">
        <v>2739</v>
      </c>
      <c r="BB216" s="376">
        <v>2491</v>
      </c>
      <c r="BC216" s="376">
        <v>2243</v>
      </c>
      <c r="BD216" s="376">
        <v>3424</v>
      </c>
      <c r="BE216" s="376">
        <v>4806</v>
      </c>
      <c r="BF216" s="376">
        <v>3358</v>
      </c>
      <c r="BG216" s="376">
        <v>4063</v>
      </c>
      <c r="BH216" s="376">
        <v>5729</v>
      </c>
      <c r="BI216" s="376">
        <v>5950</v>
      </c>
      <c r="BJ216" s="376">
        <v>4547</v>
      </c>
      <c r="BK216" s="376">
        <v>4269</v>
      </c>
      <c r="BL216" s="376">
        <v>4976</v>
      </c>
      <c r="BM216" s="376">
        <v>3693</v>
      </c>
      <c r="BN216" s="376">
        <v>4450</v>
      </c>
      <c r="BO216" s="376">
        <v>4250</v>
      </c>
      <c r="BP216" s="376">
        <v>5447</v>
      </c>
      <c r="BQ216" s="376">
        <v>6478</v>
      </c>
      <c r="BR216" s="376">
        <v>5852</v>
      </c>
      <c r="BS216" s="376">
        <v>7086</v>
      </c>
      <c r="BT216" s="376">
        <v>7110</v>
      </c>
      <c r="BU216" s="376">
        <v>7006</v>
      </c>
      <c r="BV216" s="376">
        <v>7022</v>
      </c>
      <c r="BW216" s="376">
        <v>7726</v>
      </c>
      <c r="BX216" s="376">
        <v>9816</v>
      </c>
      <c r="BY216" s="376">
        <v>9122</v>
      </c>
      <c r="BZ216" s="376">
        <v>8928</v>
      </c>
      <c r="CA216" s="376">
        <v>8423</v>
      </c>
      <c r="CB216" s="376">
        <v>7773</v>
      </c>
      <c r="CC216" s="376">
        <v>6350</v>
      </c>
      <c r="CD216" s="376">
        <v>5764</v>
      </c>
      <c r="CE216" s="376">
        <v>8078</v>
      </c>
      <c r="CF216" s="376">
        <v>7483</v>
      </c>
      <c r="CG216" s="376">
        <v>5060</v>
      </c>
      <c r="CH216" s="376">
        <v>5128</v>
      </c>
      <c r="CI216" s="376">
        <v>5674</v>
      </c>
      <c r="CJ216" s="376">
        <v>4868</v>
      </c>
      <c r="CK216" s="376">
        <v>5099</v>
      </c>
      <c r="CL216" s="376">
        <v>4323</v>
      </c>
      <c r="CM216" s="376">
        <v>1953</v>
      </c>
      <c r="CN216" s="376">
        <v>1964</v>
      </c>
      <c r="CO216" s="376">
        <v>2509</v>
      </c>
      <c r="CP216" s="376">
        <v>2551</v>
      </c>
      <c r="CQ216" s="376">
        <v>2575</v>
      </c>
      <c r="CR216" s="376">
        <v>2920</v>
      </c>
      <c r="CS216" s="376">
        <v>3821</v>
      </c>
      <c r="CT216" s="376">
        <v>3072</v>
      </c>
      <c r="CU216" s="376">
        <v>3147</v>
      </c>
      <c r="CV216" s="376">
        <v>3212</v>
      </c>
      <c r="CW216" s="376">
        <v>3112</v>
      </c>
      <c r="CX216" s="376">
        <v>3265</v>
      </c>
      <c r="CY216" s="376">
        <v>3951</v>
      </c>
      <c r="CZ216" s="376">
        <v>5571</v>
      </c>
      <c r="DA216" s="376">
        <v>5651</v>
      </c>
      <c r="DB216" s="376">
        <v>5204</v>
      </c>
      <c r="DC216" s="376">
        <v>6485</v>
      </c>
      <c r="DD216" s="376">
        <v>7050</v>
      </c>
      <c r="DE216" s="376">
        <v>7790</v>
      </c>
      <c r="DF216" s="376">
        <v>8590</v>
      </c>
      <c r="DG216" s="376">
        <v>10595</v>
      </c>
      <c r="DH216" s="376">
        <v>12885</v>
      </c>
      <c r="DI216" s="376">
        <v>14560</v>
      </c>
      <c r="DJ216" s="397">
        <v>14260</v>
      </c>
      <c r="DK216" s="397">
        <v>14889</v>
      </c>
      <c r="DL216" s="397">
        <v>12410</v>
      </c>
      <c r="DM216" s="397">
        <v>12597</v>
      </c>
      <c r="DN216" s="397">
        <v>12160</v>
      </c>
      <c r="DO216" s="397">
        <v>12265</v>
      </c>
      <c r="DP216" s="397">
        <v>5870</v>
      </c>
      <c r="DQ216" s="397">
        <v>5220</v>
      </c>
      <c r="DR216" s="397">
        <v>5105</v>
      </c>
      <c r="DS216" s="397">
        <v>6375</v>
      </c>
      <c r="DT216" s="397">
        <v>8285</v>
      </c>
      <c r="DU216" s="397">
        <v>9675</v>
      </c>
      <c r="DV216" s="376">
        <v>8750</v>
      </c>
      <c r="DW216" s="376">
        <v>9155</v>
      </c>
      <c r="DX216" s="376">
        <v>10355</v>
      </c>
      <c r="DY216" s="376">
        <v>11785</v>
      </c>
      <c r="DZ216" s="376">
        <v>9940</v>
      </c>
      <c r="EA216" s="376">
        <v>9255</v>
      </c>
      <c r="EB216" s="376">
        <v>10095</v>
      </c>
      <c r="EC216" s="376">
        <v>11910</v>
      </c>
      <c r="ED216" s="376">
        <f t="shared" ref="ED216:EH216" si="408">EC216*(1+ED217)</f>
        <v>10480.799999999999</v>
      </c>
      <c r="EE216" s="380">
        <f t="shared" si="408"/>
        <v>10585.608</v>
      </c>
      <c r="EF216" s="380">
        <f t="shared" si="408"/>
        <v>10585.608</v>
      </c>
      <c r="EG216" s="380">
        <f t="shared" si="408"/>
        <v>10585.608</v>
      </c>
      <c r="EH216" s="380">
        <f t="shared" si="408"/>
        <v>9738.75936</v>
      </c>
      <c r="EI216" s="380">
        <f>EH216*(1+EI217)</f>
        <v>10323.084921600001</v>
      </c>
      <c r="EJ216" s="380">
        <f>EI216*(1+EJ217)</f>
        <v>11252.162564544002</v>
      </c>
      <c r="EK216" s="380">
        <f>EJ216*(1+EK217)</f>
        <v>11927.292318416643</v>
      </c>
      <c r="EL216" s="380">
        <f t="shared" ref="EL216" si="409">EK216*(1+EL217)</f>
        <v>10615.290163390813</v>
      </c>
      <c r="EM216" s="380">
        <f>EL216*(1+EM217)</f>
        <v>10827.59596665863</v>
      </c>
      <c r="EN216" s="380">
        <f>EM216*(1+EN217)</f>
        <v>11152.423845658388</v>
      </c>
      <c r="EO216" s="380">
        <f>EN216*(1+EO217)</f>
        <v>11598.520799484724</v>
      </c>
      <c r="EP216" s="380">
        <f t="shared" ref="EP216" si="410">EO216*(1+EP217)</f>
        <v>10554.653927531099</v>
      </c>
      <c r="EQ216" s="380">
        <f>EP216*(1+EQ217)</f>
        <v>10871.293545357032</v>
      </c>
      <c r="ER216" s="380">
        <f>EQ216*(1+ER217)</f>
        <v>11414.858222624884</v>
      </c>
      <c r="ES216" s="380">
        <f>ER216*(1+ES217)</f>
        <v>11985.601133756129</v>
      </c>
      <c r="ET216" s="380">
        <f t="shared" ref="ET216" si="411">ES216*(1+ET217)</f>
        <v>10787.041020380517</v>
      </c>
      <c r="EU216" s="380">
        <f>ET216*(1+EU217)</f>
        <v>11002.781840788128</v>
      </c>
      <c r="EV216" s="380">
        <f>EU216*(1+EV217)</f>
        <v>11442.893114419654</v>
      </c>
      <c r="EW216" s="380">
        <f>EV216*(1+EW217)</f>
        <v>12015.037770140638</v>
      </c>
      <c r="EZ216" s="376"/>
      <c r="FA216" s="376"/>
      <c r="FB216" s="376"/>
      <c r="FC216" s="376"/>
      <c r="FD216" s="376"/>
      <c r="FE216" s="376"/>
      <c r="FF216" s="376"/>
      <c r="FG216" s="376">
        <f>AD216+AE216+AF216+AG216</f>
        <v>2922.8049999999998</v>
      </c>
      <c r="FH216" s="376">
        <f>AH216+AI216+AJ216+AK216</f>
        <v>3782.84</v>
      </c>
      <c r="FI216" s="376">
        <f>AL216+AM216+AN216+AO216</f>
        <v>4389</v>
      </c>
      <c r="FJ216" s="376">
        <f>AP216+AQ216+AR216+AS216</f>
        <v>4112</v>
      </c>
      <c r="FK216" s="376">
        <f>AT216+AU216+AV216+AW216</f>
        <v>3994</v>
      </c>
      <c r="FL216" s="376">
        <f>AX216+AY216+AZ216+BA216</f>
        <v>7445</v>
      </c>
      <c r="FM216" s="376">
        <f>BB216+BC216+BD216+BE216</f>
        <v>12964</v>
      </c>
      <c r="FN216" s="376">
        <f>BF216+BG216+BH216+BI216</f>
        <v>19100</v>
      </c>
      <c r="FO216" s="376">
        <f>BJ216+BK216+BL216+BM216</f>
        <v>17485</v>
      </c>
      <c r="FP216" s="376">
        <f>BN216+BO216+BP216+BQ216</f>
        <v>20625</v>
      </c>
      <c r="FQ216" s="376">
        <f>BR216+BS216+BT216+BU216</f>
        <v>27054</v>
      </c>
      <c r="FR216" s="376">
        <f>BV216+BW216+BX216+BY216</f>
        <v>33686</v>
      </c>
      <c r="FS216" s="376">
        <f>BZ216+CA216+CB216+CC216</f>
        <v>31474</v>
      </c>
      <c r="FT216" s="376">
        <f>CD216+CE216+CF216+CG216</f>
        <v>26385</v>
      </c>
      <c r="FU216" s="376">
        <f>CH216+CI216+CJ216+CK216</f>
        <v>20769</v>
      </c>
      <c r="FV216" s="376">
        <f>CL216+CM216+CN216+CO216</f>
        <v>10749</v>
      </c>
      <c r="FW216" s="376">
        <f>CP216+CQ216+CR216+CS216</f>
        <v>11867</v>
      </c>
      <c r="FX216" s="376">
        <f>CT216+CU216+CV216+CW216</f>
        <v>12543</v>
      </c>
      <c r="FY216" s="376">
        <f>CX216+CY216+CZ216+DA216</f>
        <v>18438</v>
      </c>
      <c r="FZ216" s="376">
        <f>DB216+DC216+DD216+DE216</f>
        <v>26529</v>
      </c>
      <c r="GA216" s="376">
        <f>SUM(DF216:DI216)</f>
        <v>46630</v>
      </c>
      <c r="GB216" s="376">
        <f>SUM(DJ216:DM216)</f>
        <v>54156</v>
      </c>
      <c r="GC216" s="376">
        <f>SUM(DN216:DQ216)</f>
        <v>35515</v>
      </c>
      <c r="GD216" s="376">
        <f>SUM(DR216:DU216)</f>
        <v>29440</v>
      </c>
      <c r="GE216" s="376">
        <f>SUM(DV216:DY216)</f>
        <v>40045</v>
      </c>
      <c r="GF216" s="376">
        <f>SUM(DZ216:EC216)</f>
        <v>41200</v>
      </c>
      <c r="GG216" s="380">
        <f>SUM(ED216:EG216)</f>
        <v>42237.623999999996</v>
      </c>
      <c r="GH216" s="410">
        <f>SUM(EH216:EK216)</f>
        <v>43241.299164560645</v>
      </c>
      <c r="GI216" s="410">
        <f>SUM(EL216:EO216)</f>
        <v>44193.830775192553</v>
      </c>
      <c r="GJ216" s="410">
        <f>SUM(EP216:ES216)</f>
        <v>44826.406829269145</v>
      </c>
      <c r="GK216" s="410">
        <f>SUM(ET216:EW216)</f>
        <v>45247.753745728936</v>
      </c>
      <c r="GN216" s="70"/>
    </row>
    <row r="217" spans="1:196" s="382" customFormat="1">
      <c r="A217" s="381" t="s">
        <v>198</v>
      </c>
      <c r="AE217" s="382">
        <f t="shared" ref="AE217:CP217" si="412">AE216/AD216-1</f>
        <v>8.8405520574954544E-3</v>
      </c>
      <c r="AF217" s="382">
        <f t="shared" si="412"/>
        <v>-0.15179884840079017</v>
      </c>
      <c r="AG217" s="382">
        <f t="shared" si="412"/>
        <v>-0.72690616289873022</v>
      </c>
      <c r="AH217" s="382">
        <f t="shared" si="412"/>
        <v>-8.0084370960059825E-2</v>
      </c>
      <c r="AI217" s="382">
        <f t="shared" si="412"/>
        <v>4.2467455621301768</v>
      </c>
      <c r="AJ217" s="382">
        <f t="shared" si="412"/>
        <v>0.28096688094432554</v>
      </c>
      <c r="AK217" s="382">
        <f t="shared" si="412"/>
        <v>-0.15407190022010275</v>
      </c>
      <c r="AL217" s="382">
        <f t="shared" si="412"/>
        <v>0.15958369470945355</v>
      </c>
      <c r="AM217" s="382">
        <f t="shared" si="412"/>
        <v>-0.13911742707554231</v>
      </c>
      <c r="AN217" s="382">
        <f t="shared" si="412"/>
        <v>-0.1894005212858384</v>
      </c>
      <c r="AO217" s="382">
        <f t="shared" si="412"/>
        <v>3.7513397642015001E-2</v>
      </c>
      <c r="AP217" s="382">
        <f t="shared" si="412"/>
        <v>-0.16838842975206614</v>
      </c>
      <c r="AQ217" s="382">
        <f t="shared" si="412"/>
        <v>4.9689440993789802E-3</v>
      </c>
      <c r="AR217" s="382">
        <f t="shared" si="412"/>
        <v>0.63411619283065512</v>
      </c>
      <c r="AS217" s="382">
        <f t="shared" si="412"/>
        <v>-0.11043872919818454</v>
      </c>
      <c r="AT217" s="382">
        <f t="shared" si="412"/>
        <v>-0.35289115646258506</v>
      </c>
      <c r="AU217" s="382">
        <f t="shared" si="412"/>
        <v>0.15111695137976344</v>
      </c>
      <c r="AV217" s="382">
        <f t="shared" si="412"/>
        <v>0.29566210045662111</v>
      </c>
      <c r="AW217" s="382">
        <f t="shared" si="412"/>
        <v>7.6651982378854733E-2</v>
      </c>
      <c r="AX217" s="382">
        <f t="shared" si="412"/>
        <v>6.3011456628477847E-2</v>
      </c>
      <c r="AY217" s="382">
        <f t="shared" si="412"/>
        <v>2.8483448806774447E-2</v>
      </c>
      <c r="AZ217" s="382">
        <f t="shared" si="412"/>
        <v>0.5501497005988023</v>
      </c>
      <c r="BA217" s="382">
        <f t="shared" si="412"/>
        <v>0.32254949299855151</v>
      </c>
      <c r="BB217" s="382">
        <f t="shared" si="412"/>
        <v>-9.0543994158451935E-2</v>
      </c>
      <c r="BC217" s="382">
        <f t="shared" si="412"/>
        <v>-9.9558410276997189E-2</v>
      </c>
      <c r="BD217" s="382">
        <f t="shared" si="412"/>
        <v>0.52652697280428007</v>
      </c>
      <c r="BE217" s="382">
        <f t="shared" si="412"/>
        <v>0.4036214953271029</v>
      </c>
      <c r="BF217" s="382">
        <f t="shared" si="412"/>
        <v>-0.30129005409904286</v>
      </c>
      <c r="BG217" s="382">
        <f t="shared" si="412"/>
        <v>0.20994639666468129</v>
      </c>
      <c r="BH217" s="382">
        <f t="shared" si="412"/>
        <v>0.41004184100418417</v>
      </c>
      <c r="BI217" s="382">
        <f t="shared" si="412"/>
        <v>3.8575667655786461E-2</v>
      </c>
      <c r="BJ217" s="382">
        <f t="shared" si="412"/>
        <v>-0.2357983193277311</v>
      </c>
      <c r="BK217" s="382">
        <f t="shared" si="412"/>
        <v>-6.1139212667692955E-2</v>
      </c>
      <c r="BL217" s="382">
        <f t="shared" si="412"/>
        <v>0.16561255563363786</v>
      </c>
      <c r="BM217" s="382">
        <f t="shared" si="412"/>
        <v>-0.25783762057877813</v>
      </c>
      <c r="BN217" s="382">
        <f t="shared" si="412"/>
        <v>0.20498239913349581</v>
      </c>
      <c r="BO217" s="382">
        <f t="shared" si="412"/>
        <v>-4.49438202247191E-2</v>
      </c>
      <c r="BP217" s="382">
        <f t="shared" si="412"/>
        <v>0.28164705882352936</v>
      </c>
      <c r="BQ217" s="382">
        <f t="shared" si="412"/>
        <v>0.1892785019276666</v>
      </c>
      <c r="BR217" s="382">
        <f t="shared" si="412"/>
        <v>-9.6634763815992564E-2</v>
      </c>
      <c r="BS217" s="382">
        <f t="shared" si="412"/>
        <v>0.21086807928913198</v>
      </c>
      <c r="BT217" s="382">
        <f t="shared" si="412"/>
        <v>3.3869602032177148E-3</v>
      </c>
      <c r="BU217" s="382">
        <f t="shared" si="412"/>
        <v>-1.4627285513361454E-2</v>
      </c>
      <c r="BV217" s="382">
        <f t="shared" si="412"/>
        <v>2.2837567799030012E-3</v>
      </c>
      <c r="BW217" s="382">
        <f t="shared" si="412"/>
        <v>0.10025633722586158</v>
      </c>
      <c r="BX217" s="382">
        <f t="shared" si="412"/>
        <v>0.27051514367072227</v>
      </c>
      <c r="BY217" s="382">
        <f t="shared" si="412"/>
        <v>-7.0700896495517473E-2</v>
      </c>
      <c r="BZ217" s="382">
        <f t="shared" si="412"/>
        <v>-2.1267265950449477E-2</v>
      </c>
      <c r="CA217" s="382">
        <f t="shared" si="412"/>
        <v>-5.6563620071684584E-2</v>
      </c>
      <c r="CB217" s="382">
        <f t="shared" si="412"/>
        <v>-7.7169654517392883E-2</v>
      </c>
      <c r="CC217" s="382">
        <f t="shared" si="412"/>
        <v>-0.1830695998970796</v>
      </c>
      <c r="CD217" s="382">
        <f t="shared" si="412"/>
        <v>-9.2283464566929152E-2</v>
      </c>
      <c r="CE217" s="382">
        <f t="shared" si="412"/>
        <v>0.40145732130464951</v>
      </c>
      <c r="CF217" s="382">
        <f t="shared" si="412"/>
        <v>-7.3656845753899525E-2</v>
      </c>
      <c r="CG217" s="382">
        <f t="shared" si="412"/>
        <v>-0.32380061472671384</v>
      </c>
      <c r="CH217" s="382">
        <f t="shared" si="412"/>
        <v>1.3438735177865535E-2</v>
      </c>
      <c r="CI217" s="382">
        <f t="shared" si="412"/>
        <v>0.10647425897035889</v>
      </c>
      <c r="CJ217" s="382">
        <f t="shared" si="412"/>
        <v>-0.14205146281283043</v>
      </c>
      <c r="CK217" s="382">
        <f t="shared" si="412"/>
        <v>4.7452752670501308E-2</v>
      </c>
      <c r="CL217" s="382">
        <f t="shared" si="412"/>
        <v>-0.15218670327515194</v>
      </c>
      <c r="CM217" s="382">
        <f t="shared" si="412"/>
        <v>-0.54823039555863984</v>
      </c>
      <c r="CN217" s="382">
        <f t="shared" si="412"/>
        <v>5.6323604710701858E-3</v>
      </c>
      <c r="CO217" s="382">
        <f t="shared" si="412"/>
        <v>0.27749490835030555</v>
      </c>
      <c r="CP217" s="382">
        <f t="shared" si="412"/>
        <v>1.6739736946990824E-2</v>
      </c>
      <c r="CQ217" s="382">
        <f t="shared" ref="CQ217:DY217" si="413">CQ216/CP216-1</f>
        <v>9.4080752646021892E-3</v>
      </c>
      <c r="CR217" s="382">
        <f t="shared" si="413"/>
        <v>0.13398058252427192</v>
      </c>
      <c r="CS217" s="382">
        <f t="shared" si="413"/>
        <v>0.30856164383561646</v>
      </c>
      <c r="CT217" s="382">
        <f t="shared" si="413"/>
        <v>-0.19602198377388114</v>
      </c>
      <c r="CU217" s="382">
        <f t="shared" si="413"/>
        <v>2.44140625E-2</v>
      </c>
      <c r="CV217" s="382">
        <f t="shared" si="413"/>
        <v>2.0654591674610812E-2</v>
      </c>
      <c r="CW217" s="382">
        <f t="shared" si="413"/>
        <v>-3.1133250311332517E-2</v>
      </c>
      <c r="CX217" s="382">
        <f t="shared" si="413"/>
        <v>4.9164524421593914E-2</v>
      </c>
      <c r="CY217" s="382">
        <f t="shared" si="413"/>
        <v>0.21010719754977036</v>
      </c>
      <c r="CZ217" s="382">
        <f t="shared" si="413"/>
        <v>0.41002277904328022</v>
      </c>
      <c r="DA217" s="382">
        <f t="shared" si="413"/>
        <v>1.4360078980434343E-2</v>
      </c>
      <c r="DB217" s="382">
        <f t="shared" si="413"/>
        <v>-7.9101044062997672E-2</v>
      </c>
      <c r="DC217" s="382">
        <f t="shared" si="413"/>
        <v>0.24615680245964633</v>
      </c>
      <c r="DD217" s="382">
        <f t="shared" si="413"/>
        <v>8.7124132613723981E-2</v>
      </c>
      <c r="DE217" s="382">
        <f t="shared" si="413"/>
        <v>0.10496453900709213</v>
      </c>
      <c r="DF217" s="382">
        <f t="shared" si="413"/>
        <v>0.10269576379974321</v>
      </c>
      <c r="DG217" s="382">
        <f t="shared" si="413"/>
        <v>0.23341094295692666</v>
      </c>
      <c r="DH217" s="382">
        <f t="shared" si="413"/>
        <v>0.21613968853232657</v>
      </c>
      <c r="DI217" s="382">
        <f t="shared" si="413"/>
        <v>0.1299961195188204</v>
      </c>
      <c r="DJ217" s="383">
        <f t="shared" si="413"/>
        <v>-2.0604395604395642E-2</v>
      </c>
      <c r="DK217" s="383">
        <f t="shared" si="413"/>
        <v>4.4109396914445931E-2</v>
      </c>
      <c r="DL217" s="383">
        <f t="shared" si="413"/>
        <v>-0.16649875747195919</v>
      </c>
      <c r="DM217" s="383">
        <f t="shared" si="413"/>
        <v>1.5068493150685036E-2</v>
      </c>
      <c r="DN217" s="383">
        <f t="shared" si="413"/>
        <v>-3.4690799396681737E-2</v>
      </c>
      <c r="DO217" s="383">
        <f t="shared" si="413"/>
        <v>8.634868421052655E-3</v>
      </c>
      <c r="DP217" s="383">
        <f t="shared" si="413"/>
        <v>-0.52140236445169186</v>
      </c>
      <c r="DQ217" s="383">
        <f t="shared" si="413"/>
        <v>-0.11073253833049401</v>
      </c>
      <c r="DR217" s="383">
        <f t="shared" si="413"/>
        <v>-2.2030651340996132E-2</v>
      </c>
      <c r="DS217" s="383">
        <f t="shared" si="413"/>
        <v>0.24877571008814892</v>
      </c>
      <c r="DT217" s="383">
        <f t="shared" si="413"/>
        <v>0.29960784313725486</v>
      </c>
      <c r="DU217" s="383">
        <f t="shared" si="413"/>
        <v>0.16777308388654188</v>
      </c>
      <c r="DV217" s="382">
        <f t="shared" si="413"/>
        <v>-9.5607235142118885E-2</v>
      </c>
      <c r="DW217" s="382">
        <f t="shared" si="413"/>
        <v>4.6285714285714263E-2</v>
      </c>
      <c r="DX217" s="382">
        <f t="shared" si="413"/>
        <v>0.13107591480065528</v>
      </c>
      <c r="DY217" s="382">
        <f t="shared" si="413"/>
        <v>0.13809753742153541</v>
      </c>
      <c r="DZ217" s="382">
        <f>DZ216/DY216-1</f>
        <v>-0.15655494272380144</v>
      </c>
      <c r="EA217" s="382">
        <f>EA216/DZ216-1</f>
        <v>-6.8913480885311906E-2</v>
      </c>
      <c r="EB217" s="382">
        <f>EB216/EA216-1</f>
        <v>9.0761750405186303E-2</v>
      </c>
      <c r="EC217" s="382">
        <f>EC216/EB216-1</f>
        <v>0.17979197622585441</v>
      </c>
      <c r="ED217" s="382">
        <v>-0.12</v>
      </c>
      <c r="EE217" s="462">
        <v>0.01</v>
      </c>
      <c r="EF217" s="462">
        <v>0</v>
      </c>
      <c r="EG217" s="462">
        <v>0</v>
      </c>
      <c r="EH217" s="462">
        <v>-0.08</v>
      </c>
      <c r="EI217" s="462">
        <v>0.06</v>
      </c>
      <c r="EJ217" s="462">
        <v>0.09</v>
      </c>
      <c r="EK217" s="462">
        <v>0.06</v>
      </c>
      <c r="EL217" s="462">
        <v>-0.11</v>
      </c>
      <c r="EM217" s="462">
        <v>0.02</v>
      </c>
      <c r="EN217" s="462">
        <v>0.03</v>
      </c>
      <c r="EO217" s="462">
        <v>0.04</v>
      </c>
      <c r="EP217" s="462">
        <v>-0.09</v>
      </c>
      <c r="EQ217" s="462">
        <v>0.03</v>
      </c>
      <c r="ER217" s="462">
        <v>0.05</v>
      </c>
      <c r="ES217" s="462">
        <v>0.05</v>
      </c>
      <c r="ET217" s="462">
        <v>-0.1</v>
      </c>
      <c r="EU217" s="462">
        <v>0.02</v>
      </c>
      <c r="EV217" s="462">
        <v>0.04</v>
      </c>
      <c r="EW217" s="462">
        <v>0.05</v>
      </c>
      <c r="FZ217" s="386" t="s">
        <v>199</v>
      </c>
      <c r="GA217" s="386" t="s">
        <v>199</v>
      </c>
      <c r="GB217" s="386" t="s">
        <v>199</v>
      </c>
      <c r="GC217" s="386" t="s">
        <v>199</v>
      </c>
      <c r="GD217" s="386" t="s">
        <v>199</v>
      </c>
      <c r="GE217" s="386" t="s">
        <v>199</v>
      </c>
      <c r="GF217" s="386" t="s">
        <v>199</v>
      </c>
      <c r="GG217" s="386" t="s">
        <v>199</v>
      </c>
      <c r="GH217" s="386" t="s">
        <v>199</v>
      </c>
      <c r="GI217" s="386" t="s">
        <v>199</v>
      </c>
      <c r="GJ217" s="386" t="s">
        <v>199</v>
      </c>
      <c r="GK217" s="386" t="s">
        <v>199</v>
      </c>
      <c r="GN217" s="70"/>
    </row>
    <row r="218" spans="1:196" s="382" customFormat="1">
      <c r="A218" s="381" t="s">
        <v>200</v>
      </c>
      <c r="AH218" s="382">
        <f t="shared" ref="AH218:CS218" si="414">AH216/AD216-1</f>
        <v>-0.78502830248680278</v>
      </c>
      <c r="AI218" s="382">
        <f t="shared" si="414"/>
        <v>0.11801790442567128</v>
      </c>
      <c r="AJ218" s="382">
        <f t="shared" si="414"/>
        <v>0.68844843604831207</v>
      </c>
      <c r="AK218" s="382">
        <f t="shared" si="414"/>
        <v>4.2300923090880218</v>
      </c>
      <c r="AL218" s="382">
        <f t="shared" si="414"/>
        <v>5.5927021696252464</v>
      </c>
      <c r="AM218" s="382">
        <f t="shared" si="414"/>
        <v>8.1726250892823593E-2</v>
      </c>
      <c r="AN218" s="382">
        <f t="shared" si="414"/>
        <v>-0.31548055759354365</v>
      </c>
      <c r="AO218" s="382">
        <f t="shared" si="414"/>
        <v>-0.16045099739809199</v>
      </c>
      <c r="AP218" s="382">
        <f t="shared" si="414"/>
        <v>-0.39790575916230364</v>
      </c>
      <c r="AQ218" s="382">
        <f t="shared" si="414"/>
        <v>-0.29713292788879231</v>
      </c>
      <c r="AR218" s="382">
        <f t="shared" si="414"/>
        <v>0.41693461950696675</v>
      </c>
      <c r="AS218" s="382">
        <f t="shared" si="414"/>
        <v>0.21487603305785119</v>
      </c>
      <c r="AT218" s="382">
        <f t="shared" si="414"/>
        <v>-5.4658385093167672E-2</v>
      </c>
      <c r="AU218" s="382">
        <f t="shared" si="414"/>
        <v>8.2818294190358577E-2</v>
      </c>
      <c r="AV218" s="382">
        <f t="shared" si="414"/>
        <v>-0.14145234493192138</v>
      </c>
      <c r="AW218" s="382">
        <f t="shared" si="414"/>
        <v>3.9115646258503389E-2</v>
      </c>
      <c r="AX218" s="382">
        <f t="shared" si="414"/>
        <v>0.70696452036793689</v>
      </c>
      <c r="AY218" s="382">
        <f t="shared" si="414"/>
        <v>0.52511415525114158</v>
      </c>
      <c r="AZ218" s="382">
        <f t="shared" si="414"/>
        <v>0.82466960352422913</v>
      </c>
      <c r="BA218" s="382">
        <f t="shared" si="414"/>
        <v>1.2414075286415711</v>
      </c>
      <c r="BB218" s="382">
        <f t="shared" si="414"/>
        <v>0.91762894534257122</v>
      </c>
      <c r="BC218" s="382">
        <f t="shared" si="414"/>
        <v>0.67889221556886237</v>
      </c>
      <c r="BD218" s="382">
        <f t="shared" si="414"/>
        <v>0.65330758087880247</v>
      </c>
      <c r="BE218" s="382">
        <f t="shared" si="414"/>
        <v>0.7546549835706462</v>
      </c>
      <c r="BF218" s="382">
        <f t="shared" si="414"/>
        <v>0.34805299076676044</v>
      </c>
      <c r="BG218" s="382">
        <f t="shared" si="414"/>
        <v>0.81141328577797589</v>
      </c>
      <c r="BH218" s="382">
        <f t="shared" si="414"/>
        <v>0.67318925233644866</v>
      </c>
      <c r="BI218" s="382">
        <f t="shared" si="414"/>
        <v>0.23803578859758634</v>
      </c>
      <c r="BJ218" s="382">
        <f t="shared" si="414"/>
        <v>0.35407980941036321</v>
      </c>
      <c r="BK218" s="382">
        <f t="shared" si="414"/>
        <v>5.0701452128968816E-2</v>
      </c>
      <c r="BL218" s="382">
        <f t="shared" si="414"/>
        <v>-0.13143655088148021</v>
      </c>
      <c r="BM218" s="382">
        <f t="shared" si="414"/>
        <v>-0.379327731092437</v>
      </c>
      <c r="BN218" s="382">
        <f t="shared" si="414"/>
        <v>-2.1332746866065566E-2</v>
      </c>
      <c r="BO218" s="382">
        <f t="shared" si="414"/>
        <v>-4.4506910283438339E-3</v>
      </c>
      <c r="BP218" s="382">
        <f t="shared" si="414"/>
        <v>9.4654340836012762E-2</v>
      </c>
      <c r="BQ218" s="382">
        <f t="shared" si="414"/>
        <v>0.75412943406444621</v>
      </c>
      <c r="BR218" s="382">
        <f t="shared" si="414"/>
        <v>0.31505617977528089</v>
      </c>
      <c r="BS218" s="382">
        <f t="shared" si="414"/>
        <v>0.66729411764705882</v>
      </c>
      <c r="BT218" s="382">
        <f t="shared" si="414"/>
        <v>0.30530567284743904</v>
      </c>
      <c r="BU218" s="382">
        <f t="shared" si="414"/>
        <v>8.1506637851188612E-2</v>
      </c>
      <c r="BV218" s="382">
        <f t="shared" si="414"/>
        <v>0.19993164730006829</v>
      </c>
      <c r="BW218" s="382">
        <f t="shared" si="414"/>
        <v>9.0318938752469657E-2</v>
      </c>
      <c r="BX218" s="382">
        <f t="shared" si="414"/>
        <v>0.38059071729957816</v>
      </c>
      <c r="BY218" s="382">
        <f t="shared" si="414"/>
        <v>0.30202683414216391</v>
      </c>
      <c r="BZ218" s="382">
        <f t="shared" si="414"/>
        <v>0.2714326402734264</v>
      </c>
      <c r="CA218" s="382">
        <f t="shared" si="414"/>
        <v>9.0214858917939456E-2</v>
      </c>
      <c r="CB218" s="382">
        <f t="shared" si="414"/>
        <v>-0.20812958435207829</v>
      </c>
      <c r="CC218" s="382">
        <f t="shared" si="414"/>
        <v>-0.30388072791054588</v>
      </c>
      <c r="CD218" s="382">
        <f t="shared" si="414"/>
        <v>-0.35439068100358428</v>
      </c>
      <c r="CE218" s="382">
        <f t="shared" si="414"/>
        <v>-4.0959278166923907E-2</v>
      </c>
      <c r="CF218" s="382">
        <f t="shared" si="414"/>
        <v>-3.7308632445645196E-2</v>
      </c>
      <c r="CG218" s="382">
        <f t="shared" si="414"/>
        <v>-0.20314960629921264</v>
      </c>
      <c r="CH218" s="382">
        <f t="shared" si="414"/>
        <v>-0.11034004163775157</v>
      </c>
      <c r="CI218" s="382">
        <f t="shared" si="414"/>
        <v>-0.2975984154493686</v>
      </c>
      <c r="CJ218" s="382">
        <f t="shared" si="414"/>
        <v>-0.34945877321929708</v>
      </c>
      <c r="CK218" s="382">
        <f t="shared" si="414"/>
        <v>7.7075098814229914E-3</v>
      </c>
      <c r="CL218" s="382">
        <f t="shared" si="414"/>
        <v>-0.15698127925117</v>
      </c>
      <c r="CM218" s="382">
        <f t="shared" si="414"/>
        <v>-0.65579837856891077</v>
      </c>
      <c r="CN218" s="382">
        <f t="shared" si="414"/>
        <v>-0.5965488907148726</v>
      </c>
      <c r="CO218" s="382">
        <f t="shared" si="414"/>
        <v>-0.50794273386938615</v>
      </c>
      <c r="CP218" s="382">
        <f t="shared" si="414"/>
        <v>-0.40990053203793664</v>
      </c>
      <c r="CQ218" s="382">
        <f t="shared" si="414"/>
        <v>0.31848438300051196</v>
      </c>
      <c r="CR218" s="382">
        <f t="shared" si="414"/>
        <v>0.48676171079429742</v>
      </c>
      <c r="CS218" s="382">
        <f t="shared" si="414"/>
        <v>0.52291749701076129</v>
      </c>
      <c r="CT218" s="382">
        <f t="shared" ref="CT218:EW218" si="415">CT216/CP216-1</f>
        <v>0.2042336338690709</v>
      </c>
      <c r="CU218" s="382">
        <f t="shared" si="415"/>
        <v>0.22213592233009716</v>
      </c>
      <c r="CV218" s="382">
        <f t="shared" si="415"/>
        <v>0.10000000000000009</v>
      </c>
      <c r="CW218" s="382">
        <f t="shared" si="415"/>
        <v>-0.18555352002093695</v>
      </c>
      <c r="CX218" s="382">
        <f t="shared" si="415"/>
        <v>6.2825520833333259E-2</v>
      </c>
      <c r="CY218" s="382">
        <f t="shared" si="415"/>
        <v>0.25548141086749276</v>
      </c>
      <c r="CZ218" s="382">
        <f t="shared" si="415"/>
        <v>0.73443337484433369</v>
      </c>
      <c r="DA218" s="382">
        <f t="shared" si="415"/>
        <v>0.81587403598971719</v>
      </c>
      <c r="DB218" s="382">
        <f t="shared" si="415"/>
        <v>0.593874425727412</v>
      </c>
      <c r="DC218" s="382">
        <f t="shared" si="415"/>
        <v>0.6413566185775752</v>
      </c>
      <c r="DD218" s="382">
        <f t="shared" si="415"/>
        <v>0.26548196015078074</v>
      </c>
      <c r="DE218" s="382">
        <f t="shared" si="415"/>
        <v>0.37851707662360634</v>
      </c>
      <c r="DF218" s="382">
        <f t="shared" si="415"/>
        <v>0.65065334358186</v>
      </c>
      <c r="DG218" s="382">
        <f t="shared" si="415"/>
        <v>0.63377023901310725</v>
      </c>
      <c r="DH218" s="382">
        <f t="shared" si="415"/>
        <v>0.82765957446808502</v>
      </c>
      <c r="DI218" s="382">
        <f t="shared" si="415"/>
        <v>0.86906290115532725</v>
      </c>
      <c r="DJ218" s="383">
        <f t="shared" si="415"/>
        <v>0.66006984866123397</v>
      </c>
      <c r="DK218" s="383">
        <f t="shared" si="415"/>
        <v>0.40528551203397822</v>
      </c>
      <c r="DL218" s="383">
        <f t="shared" si="415"/>
        <v>-3.6864571206829622E-2</v>
      </c>
      <c r="DM218" s="383">
        <f t="shared" si="415"/>
        <v>-0.13482142857142854</v>
      </c>
      <c r="DN218" s="383">
        <f t="shared" si="415"/>
        <v>-0.14726507713884995</v>
      </c>
      <c r="DO218" s="383">
        <f t="shared" si="415"/>
        <v>-0.17623749076499429</v>
      </c>
      <c r="DP218" s="383">
        <f t="shared" si="415"/>
        <v>-0.52699435938759065</v>
      </c>
      <c r="DQ218" s="383">
        <f t="shared" si="415"/>
        <v>-0.58561562276732548</v>
      </c>
      <c r="DR218" s="383">
        <f t="shared" si="415"/>
        <v>-0.58018092105263164</v>
      </c>
      <c r="DS218" s="383">
        <f t="shared" si="415"/>
        <v>-0.48022829188748473</v>
      </c>
      <c r="DT218" s="383">
        <f t="shared" si="415"/>
        <v>0.4114139693356047</v>
      </c>
      <c r="DU218" s="383">
        <f t="shared" si="415"/>
        <v>0.85344827586206895</v>
      </c>
      <c r="DV218" s="382">
        <f t="shared" si="415"/>
        <v>0.71400587659157688</v>
      </c>
      <c r="DW218" s="382">
        <f t="shared" si="415"/>
        <v>0.43607843137254898</v>
      </c>
      <c r="DX218" s="382">
        <f t="shared" si="415"/>
        <v>0.24984912492456246</v>
      </c>
      <c r="DY218" s="382">
        <f t="shared" si="415"/>
        <v>0.21808785529715768</v>
      </c>
      <c r="DZ218" s="382">
        <f t="shared" si="415"/>
        <v>0.1359999999999999</v>
      </c>
      <c r="EA218" s="382">
        <f t="shared" si="415"/>
        <v>1.0922992900054718E-2</v>
      </c>
      <c r="EB218" s="382">
        <f t="shared" si="415"/>
        <v>-2.5108643167551903E-2</v>
      </c>
      <c r="EC218" s="382">
        <f t="shared" si="415"/>
        <v>1.0606703436571996E-2</v>
      </c>
      <c r="ED218" s="382">
        <f t="shared" si="415"/>
        <v>5.4406438631790621E-2</v>
      </c>
      <c r="EE218" s="384">
        <f t="shared" si="415"/>
        <v>0.14377179902755266</v>
      </c>
      <c r="EF218" s="384">
        <f t="shared" si="415"/>
        <v>4.8599108469539409E-2</v>
      </c>
      <c r="EG218" s="384">
        <f t="shared" si="415"/>
        <v>-0.11119999999999997</v>
      </c>
      <c r="EH218" s="384">
        <f t="shared" si="415"/>
        <v>-7.0799999999999974E-2</v>
      </c>
      <c r="EI218" s="384">
        <f t="shared" si="415"/>
        <v>-2.4799999999999933E-2</v>
      </c>
      <c r="EJ218" s="384">
        <f t="shared" si="415"/>
        <v>6.2968000000000135E-2</v>
      </c>
      <c r="EK218" s="384">
        <f t="shared" si="415"/>
        <v>0.12674608000000021</v>
      </c>
      <c r="EL218" s="384">
        <f t="shared" si="415"/>
        <v>9.000436000000045E-2</v>
      </c>
      <c r="EM218" s="384">
        <f t="shared" si="415"/>
        <v>4.8872120000000407E-2</v>
      </c>
      <c r="EN218" s="384">
        <f t="shared" si="415"/>
        <v>-8.863959999999893E-3</v>
      </c>
      <c r="EO218" s="384">
        <f t="shared" si="415"/>
        <v>-2.7564639999999918E-2</v>
      </c>
      <c r="EP218" s="384">
        <f t="shared" si="415"/>
        <v>-5.7121599999999662E-3</v>
      </c>
      <c r="EQ218" s="384">
        <f t="shared" si="415"/>
        <v>4.0357600000000549E-3</v>
      </c>
      <c r="ER218" s="384">
        <f t="shared" si="415"/>
        <v>2.3531600000000097E-2</v>
      </c>
      <c r="ES218" s="384">
        <f t="shared" si="415"/>
        <v>3.3373250000000132E-2</v>
      </c>
      <c r="ET218" s="384">
        <f t="shared" si="415"/>
        <v>2.2017500000000245E-2</v>
      </c>
      <c r="EU218" s="384">
        <f t="shared" si="415"/>
        <v>1.2095000000000189E-2</v>
      </c>
      <c r="EV218" s="384">
        <f t="shared" si="415"/>
        <v>2.4560000000002358E-3</v>
      </c>
      <c r="EW218" s="384">
        <f t="shared" si="415"/>
        <v>2.4560000000004578E-3</v>
      </c>
      <c r="FH218" s="382">
        <f t="shared" ref="FH218:GK218" si="416">FH216/FG216-1</f>
        <v>0.29424987298160521</v>
      </c>
      <c r="FI218" s="382">
        <f t="shared" si="416"/>
        <v>0.16023939685527266</v>
      </c>
      <c r="FJ218" s="382">
        <f t="shared" si="416"/>
        <v>-6.3112326270221009E-2</v>
      </c>
      <c r="FK218" s="382">
        <f t="shared" si="416"/>
        <v>-2.8696498054474717E-2</v>
      </c>
      <c r="FL218" s="382">
        <f t="shared" si="416"/>
        <v>0.86404606910365556</v>
      </c>
      <c r="FM218" s="382">
        <f t="shared" si="416"/>
        <v>0.74130288784419074</v>
      </c>
      <c r="FN218" s="382">
        <f t="shared" si="416"/>
        <v>0.47331070657204566</v>
      </c>
      <c r="FO218" s="382">
        <f t="shared" si="416"/>
        <v>-8.455497382198951E-2</v>
      </c>
      <c r="FP218" s="382">
        <f t="shared" si="416"/>
        <v>0.17958249928510162</v>
      </c>
      <c r="FQ218" s="382">
        <f t="shared" si="416"/>
        <v>0.31170909090909094</v>
      </c>
      <c r="FR218" s="382">
        <f t="shared" si="416"/>
        <v>0.24513935092777417</v>
      </c>
      <c r="FS218" s="382">
        <f t="shared" si="416"/>
        <v>-6.5665261532981023E-2</v>
      </c>
      <c r="FT218" s="382">
        <f t="shared" si="416"/>
        <v>-0.1616890131537142</v>
      </c>
      <c r="FU218" s="382">
        <f t="shared" si="416"/>
        <v>-0.21284820920977832</v>
      </c>
      <c r="FV218" s="382">
        <f t="shared" si="416"/>
        <v>-0.4824498049978333</v>
      </c>
      <c r="FW218" s="382">
        <f t="shared" si="416"/>
        <v>0.10400967531863436</v>
      </c>
      <c r="FX218" s="382">
        <f t="shared" si="416"/>
        <v>5.6964692003033557E-2</v>
      </c>
      <c r="FY218" s="382">
        <f t="shared" si="416"/>
        <v>0.46998325759387716</v>
      </c>
      <c r="FZ218" s="382">
        <f t="shared" si="416"/>
        <v>0.43882199804751054</v>
      </c>
      <c r="GA218" s="382">
        <f t="shared" si="416"/>
        <v>0.75769912171585818</v>
      </c>
      <c r="GB218" s="382">
        <f t="shared" si="416"/>
        <v>0.1613982414754449</v>
      </c>
      <c r="GC218" s="382">
        <f t="shared" si="416"/>
        <v>-0.34420932122017878</v>
      </c>
      <c r="GD218" s="382">
        <f t="shared" si="416"/>
        <v>-0.17105448402083623</v>
      </c>
      <c r="GE218" s="382">
        <f t="shared" si="416"/>
        <v>0.36022418478260865</v>
      </c>
      <c r="GF218" s="382">
        <f t="shared" si="416"/>
        <v>2.8842552128855115E-2</v>
      </c>
      <c r="GG218" s="387">
        <f t="shared" si="416"/>
        <v>2.5185048543689303E-2</v>
      </c>
      <c r="GH218" s="387">
        <f t="shared" si="416"/>
        <v>2.3762585806451852E-2</v>
      </c>
      <c r="GI218" s="387">
        <f t="shared" si="416"/>
        <v>2.202828381744304E-2</v>
      </c>
      <c r="GJ218" s="387">
        <f t="shared" si="416"/>
        <v>1.4313673265719196E-2</v>
      </c>
      <c r="GK218" s="387">
        <f t="shared" si="416"/>
        <v>9.3995246610905081E-3</v>
      </c>
      <c r="GN218" s="70"/>
    </row>
    <row r="219" spans="1:196" s="382" customFormat="1">
      <c r="A219" s="381" t="s">
        <v>281</v>
      </c>
      <c r="AD219" s="382">
        <f>AD216/AD209</f>
        <v>0.14535901386748845</v>
      </c>
      <c r="AE219" s="382">
        <f>AE216/AE209</f>
        <v>0.14986722927503546</v>
      </c>
      <c r="AF219" s="382">
        <f>AF216/AF209</f>
        <v>0.11760532396278588</v>
      </c>
      <c r="AG219" s="382">
        <f>AG216/AG209</f>
        <v>3.1633527191015101E-2</v>
      </c>
      <c r="AH219" s="382">
        <f>AH216/AH209</f>
        <v>2.7472229748035763E-2</v>
      </c>
      <c r="AI219" s="382">
        <f>AI216/AI209</f>
        <v>0.12984014643075045</v>
      </c>
      <c r="AJ219" s="382">
        <f>AJ216/AJ209</f>
        <v>0.16356654266170648</v>
      </c>
      <c r="AK219" s="382">
        <f>AK216/AK209</f>
        <v>0.14028470616863364</v>
      </c>
      <c r="AL219" s="382">
        <f>AL216/AL209</f>
        <v>0.15901522359657469</v>
      </c>
      <c r="AM219" s="382">
        <f>AM216/AM209</f>
        <v>0.17953517391982529</v>
      </c>
      <c r="AN219" s="382">
        <f>AN216/AN209</f>
        <v>0.19741853575962759</v>
      </c>
      <c r="AO219" s="382">
        <f>AO216/AO209</f>
        <v>0.15525260625501203</v>
      </c>
      <c r="AP219" s="382">
        <f>AP216/AP209</f>
        <v>0.11182108626198083</v>
      </c>
      <c r="AQ219" s="382">
        <f>AQ216/AQ209</f>
        <v>0.12159927852096798</v>
      </c>
      <c r="AR219" s="382">
        <f>AR216/AR209</f>
        <v>0.18214384127858915</v>
      </c>
      <c r="AS219" s="382">
        <f>AS216/AS209</f>
        <v>0.15213454075032343</v>
      </c>
      <c r="AT219" s="382">
        <f>AT216/AT209</f>
        <v>0.10616629464285714</v>
      </c>
      <c r="AU219" s="382">
        <f>AU216/AU209</f>
        <v>0.12209059233449478</v>
      </c>
      <c r="AV219" s="382">
        <f>AV216/AV209</f>
        <v>0.147498375568551</v>
      </c>
      <c r="AW219" s="382">
        <f>AW216/AW209</f>
        <v>0.13532668881506091</v>
      </c>
      <c r="AX219" s="382">
        <f>AX216/AX209</f>
        <v>0.14282572842221</v>
      </c>
      <c r="AY219" s="382">
        <f>AY216/AY209</f>
        <v>0.1551503890372779</v>
      </c>
      <c r="AZ219" s="382">
        <f>AZ216/AZ209</f>
        <v>0.19637777356343639</v>
      </c>
      <c r="BA219" s="382">
        <f>BA216/BA209</f>
        <v>0.20240910434525569</v>
      </c>
      <c r="BB219" s="382">
        <f>BB216/BB209</f>
        <v>0.19991974317817016</v>
      </c>
      <c r="BC219" s="382">
        <f>BC216/BC209</f>
        <v>0.19065023374415641</v>
      </c>
      <c r="BD219" s="382">
        <f>BD216/BD209</f>
        <v>0.2443445372154428</v>
      </c>
      <c r="BE219" s="382">
        <f>BE216/BE209</f>
        <v>0.28585023493725092</v>
      </c>
      <c r="BF219" s="382">
        <f>BF216/BF209</f>
        <v>0.31471415182755391</v>
      </c>
      <c r="BG219" s="382">
        <f>BG216/BG209</f>
        <v>0.27314285714285713</v>
      </c>
      <c r="BH219" s="382">
        <f>BH216/BH209</f>
        <v>0.33056372973284864</v>
      </c>
      <c r="BI219" s="382">
        <f>BI216/BI209</f>
        <v>0.32252818733738076</v>
      </c>
      <c r="BJ219" s="382">
        <f>BJ216/BJ209</f>
        <v>0.29959807603610727</v>
      </c>
      <c r="BK219" s="382">
        <f>BK216/BK209</f>
        <v>0.28995449297018272</v>
      </c>
      <c r="BL219" s="382">
        <f>BL216/BL209</f>
        <v>0.31497657931383721</v>
      </c>
      <c r="BM219" s="382">
        <f>BM216/BM209</f>
        <v>0.29532187125149939</v>
      </c>
      <c r="BN219" s="382">
        <f>BN216/BN209</f>
        <v>0.31289551399240612</v>
      </c>
      <c r="BO219" s="382">
        <f>BO216/BO209</f>
        <v>0.29432132963988922</v>
      </c>
      <c r="BP219" s="382">
        <f>BP216/BP209</f>
        <v>0.33623456790123457</v>
      </c>
      <c r="BQ219" s="382">
        <f>BQ216/BQ209</f>
        <v>0.35711135611907385</v>
      </c>
      <c r="BR219" s="382">
        <f>BR216/BR209</f>
        <v>0.35121834113551792</v>
      </c>
      <c r="BS219" s="382">
        <f>BS216/BS209</f>
        <v>0.4104257167680278</v>
      </c>
      <c r="BT219" s="382">
        <f>BT216/BT209</f>
        <v>0.39342629482071712</v>
      </c>
      <c r="BU219" s="382">
        <f>BU216/BU209</f>
        <v>0.39211955000839538</v>
      </c>
      <c r="BV219" s="382">
        <f>BV216/BV209</f>
        <v>0.3885568835768039</v>
      </c>
      <c r="BW219" s="382">
        <f>BW216/BW209</f>
        <v>0.40755393785936594</v>
      </c>
      <c r="BX219" s="382">
        <f>BX216/BX209</f>
        <v>0.50102082482645982</v>
      </c>
      <c r="BY219" s="382">
        <f>BY216/BY209</f>
        <v>0.48583297827013211</v>
      </c>
      <c r="BZ219" s="382">
        <f>BZ216/BZ209</f>
        <v>0.48046496609622213</v>
      </c>
      <c r="CA219" s="382">
        <f>CA216/CA209</f>
        <v>0.49182529487329207</v>
      </c>
      <c r="CB219" s="382">
        <f>CB216/CB209</f>
        <v>0.51168455006253699</v>
      </c>
      <c r="CC219" s="382">
        <f>CC216/CC209</f>
        <v>0.48917648871427472</v>
      </c>
      <c r="CD219" s="382">
        <f>CD216/CD209</f>
        <v>0.49663966913665347</v>
      </c>
      <c r="CE219" s="382">
        <f>CE216/CE209</f>
        <v>0.55016004903630045</v>
      </c>
      <c r="CF219" s="382">
        <f>CF216/CF209</f>
        <v>0.51162313687952965</v>
      </c>
      <c r="CG219" s="382">
        <f>CG216/CG209</f>
        <v>0.40270592916832471</v>
      </c>
      <c r="CH219" s="382">
        <f>CH216/CH209</f>
        <v>0.4721915285451197</v>
      </c>
      <c r="CI219" s="382">
        <f>CI216/CI209</f>
        <v>0.50181303617228268</v>
      </c>
      <c r="CJ219" s="382">
        <f>CJ216/CJ209</f>
        <v>0.42965578111209179</v>
      </c>
      <c r="CK219" s="382">
        <f>CK216/CK209</f>
        <v>0.54952042245931676</v>
      </c>
      <c r="CL219" s="382">
        <f>CL216/CL209</f>
        <v>0.58253604635493872</v>
      </c>
      <c r="CM219" s="382">
        <f>CM216/CM209</f>
        <v>0.40045109698585196</v>
      </c>
      <c r="CN219" s="382">
        <f>CN216/CN209</f>
        <v>0.37842003853564549</v>
      </c>
      <c r="CO219" s="382">
        <f>CO216/CO209</f>
        <v>0.41774891774891776</v>
      </c>
      <c r="CP219" s="382">
        <f>CP216/CP209</f>
        <v>0.46013708513708512</v>
      </c>
      <c r="CQ219" s="382">
        <f>CQ216/CQ209</f>
        <v>0.52529579763361889</v>
      </c>
      <c r="CR219" s="382">
        <f>CR216/CR209</f>
        <v>0.55735827447986253</v>
      </c>
      <c r="CS219" s="382">
        <f>CS216/CS209</f>
        <v>0.60334754460761097</v>
      </c>
      <c r="CT219" s="382">
        <f>CT216/CT209</f>
        <v>0.53885283283634455</v>
      </c>
      <c r="CU219" s="382">
        <f>CU216/CU209</f>
        <v>0.54739954774743438</v>
      </c>
      <c r="CV219" s="382">
        <f>CV216/CV209</f>
        <v>0.54765558397271952</v>
      </c>
      <c r="CW219" s="382">
        <f>CW216/CW209</f>
        <v>0.50775004078968833</v>
      </c>
      <c r="CX219" s="382">
        <f>CX216/CX209</f>
        <v>0.55152027027027029</v>
      </c>
      <c r="CY219" s="382">
        <f>CY216/CY209</f>
        <v>0.59818319454958369</v>
      </c>
      <c r="CZ219" s="382">
        <f>CZ216/CZ209</f>
        <v>0.62665916760404949</v>
      </c>
      <c r="DA219" s="382">
        <f>DA216/DA209</f>
        <v>0.59666349910252348</v>
      </c>
      <c r="DB219" s="382">
        <f>DB216/DB209</f>
        <v>0.58623408809282418</v>
      </c>
      <c r="DC219" s="382">
        <f>DC216/DC209</f>
        <v>0.65077772202709483</v>
      </c>
      <c r="DD219" s="382">
        <f>DD216/DD209</f>
        <v>0.62224183583406889</v>
      </c>
      <c r="DE219" s="382">
        <f>DE216/DE209</f>
        <v>0.61678543151227239</v>
      </c>
      <c r="DF219" s="382">
        <f>DF216/DF209</f>
        <v>0.68802563075690826</v>
      </c>
      <c r="DG219" s="382">
        <f>DG216/DG209</f>
        <v>0.75409252669039151</v>
      </c>
      <c r="DH219" s="382">
        <f>DH216/DH209</f>
        <v>0.76242603550295862</v>
      </c>
      <c r="DI219" s="382">
        <f>DI216/DI209</f>
        <v>0.75264926337554927</v>
      </c>
      <c r="DJ219" s="383">
        <f>DJ216/DJ209</f>
        <v>0.78502614918799885</v>
      </c>
      <c r="DK219" s="383">
        <f>DK216/DK209</f>
        <v>0.81249658935879943</v>
      </c>
      <c r="DL219" s="383">
        <f>DL216/DL209</f>
        <v>0.76534073388837498</v>
      </c>
      <c r="DM219" s="383">
        <f>DM216/DM209</f>
        <v>0.7531388257802224</v>
      </c>
      <c r="DN219" s="383">
        <f>DN216/DN209</f>
        <v>0.79012345679012341</v>
      </c>
      <c r="DO219" s="383">
        <f>DO216/DO209</f>
        <v>0.7794725135049253</v>
      </c>
      <c r="DP219" s="383">
        <f>DP216/DP209</f>
        <v>0.65770308123249299</v>
      </c>
      <c r="DQ219" s="383">
        <f>DQ216/DQ209</f>
        <v>0.65331664580725912</v>
      </c>
      <c r="DR219" s="383">
        <f>DR216/DR209</f>
        <v>0.68523489932885906</v>
      </c>
      <c r="DS219" s="383">
        <f>DS216/DS209</f>
        <v>0.6914316702819957</v>
      </c>
      <c r="DT219" s="383">
        <f>DT216/DT209</f>
        <v>0.69475890985324951</v>
      </c>
      <c r="DU219" s="383">
        <f>DU216/DU209</f>
        <v>0.69855595667870041</v>
      </c>
      <c r="DV219" s="382">
        <f>DV216/DV209</f>
        <v>0.68226120857699801</v>
      </c>
      <c r="DW219" s="382">
        <f>DW216/DW209</f>
        <v>0.70207055214723924</v>
      </c>
      <c r="DX219" s="382">
        <f>DX216/DX209</f>
        <v>0.69356999330207636</v>
      </c>
      <c r="DY219" s="382">
        <f>DY216/DY209</f>
        <v>0.69405182567726742</v>
      </c>
      <c r="DZ219" s="382">
        <f>DZ216/DZ209</f>
        <v>0.66733803289694527</v>
      </c>
      <c r="EA219" s="382">
        <f>EA216/EA209</f>
        <v>0.61535904255319152</v>
      </c>
      <c r="EB219" s="382">
        <f>EB216/EB209</f>
        <v>0.60923355461677731</v>
      </c>
      <c r="EC219" s="382">
        <f>EC216/EC209</f>
        <v>0.6113963039014374</v>
      </c>
      <c r="ED219" s="382">
        <f>ED216/ED209</f>
        <v>0.60604378447767404</v>
      </c>
      <c r="EE219" s="384">
        <f>EE216/EE209</f>
        <v>0.60604378447767404</v>
      </c>
      <c r="EF219" s="384">
        <f>EF216/EF209</f>
        <v>0.62071587715027876</v>
      </c>
      <c r="EG219" s="384">
        <f>EG216/EG209</f>
        <v>0.630278055527973</v>
      </c>
      <c r="EH219" s="384">
        <f>EH216/EH209</f>
        <v>0.61543841928360399</v>
      </c>
      <c r="EI219" s="384">
        <f>EI216/EI209</f>
        <v>0.61543841928360388</v>
      </c>
      <c r="EJ219" s="384">
        <f>EJ216/EJ209</f>
        <v>0.61981192115786699</v>
      </c>
      <c r="EK219" s="384">
        <f>EK216/EK209</f>
        <v>0.62204299030353405</v>
      </c>
      <c r="EL219" s="384">
        <f>EL216/EL209</f>
        <v>0.61941252618929776</v>
      </c>
      <c r="EM219" s="384">
        <f>EM216/EM209</f>
        <v>0.61941252618929776</v>
      </c>
      <c r="EN219" s="384">
        <f>EN216/EN209</f>
        <v>0.61941252618929776</v>
      </c>
      <c r="EO219" s="384">
        <f>EO216/EO209</f>
        <v>0.61941252618929765</v>
      </c>
      <c r="EP219" s="384">
        <f>EP216/EP209</f>
        <v>0.61941252618929765</v>
      </c>
      <c r="EQ219" s="384">
        <f>EQ216/EQ209</f>
        <v>0.62170975867958245</v>
      </c>
      <c r="ER219" s="384">
        <f>ER216/ER209</f>
        <v>0.62395773125797593</v>
      </c>
      <c r="ES219" s="384">
        <f>ES216/ES209</f>
        <v>0.62395773125797593</v>
      </c>
      <c r="ET219" s="384">
        <f>ET216/ET209</f>
        <v>0.62136152904584907</v>
      </c>
      <c r="EU219" s="384">
        <f>EU216/EU209</f>
        <v>0.62136152904584907</v>
      </c>
      <c r="EV219" s="384">
        <f>EV216/EV209</f>
        <v>0.62136152904584907</v>
      </c>
      <c r="EW219" s="384">
        <f>EW216/EW209</f>
        <v>0.62136152904584918</v>
      </c>
      <c r="FG219" s="382">
        <f>FG216/FG209</f>
        <v>0.10957706317702233</v>
      </c>
      <c r="FH219" s="382">
        <f>FH216/FH209</f>
        <v>0.11773911419589779</v>
      </c>
      <c r="FI219" s="382">
        <f>FI216/FI209</f>
        <v>0.17024825446082234</v>
      </c>
      <c r="FJ219" s="382">
        <f>FJ216/FJ209</f>
        <v>0.14257975034674064</v>
      </c>
      <c r="FK219" s="382">
        <f>FK216/FK209</f>
        <v>0.12855671430410712</v>
      </c>
      <c r="FL219" s="382">
        <f>FL216/FL209</f>
        <v>0.17817825004786522</v>
      </c>
      <c r="FM219" s="382">
        <f>FM216/FM209</f>
        <v>0.23549072678062161</v>
      </c>
      <c r="FN219" s="382">
        <f>FN216/FN209</f>
        <v>0.31146043963211795</v>
      </c>
      <c r="FO219" s="382">
        <f>FO216/FO209</f>
        <v>0.30041406800336751</v>
      </c>
      <c r="FP219" s="382">
        <f>FP216/FP209</f>
        <v>0.32737055966477252</v>
      </c>
      <c r="FQ219" s="382">
        <f>FQ216/FQ209</f>
        <v>0.38722697735665418</v>
      </c>
      <c r="FR219" s="382">
        <f>FR216/FR209</f>
        <v>0.44678170218974228</v>
      </c>
      <c r="FS219" s="382">
        <f>FS216/FS209</f>
        <v>0.49270507201001879</v>
      </c>
      <c r="FT219" s="382">
        <f>FT216/FT209</f>
        <v>0.49336200448765893</v>
      </c>
      <c r="FU219" s="382">
        <f>FU216/FU209</f>
        <v>0.48552926874883112</v>
      </c>
      <c r="FV219" s="382">
        <f>FV216/FV209</f>
        <v>0.4575210692091598</v>
      </c>
      <c r="FW219" s="382">
        <f>FW216/FW209</f>
        <v>0.53896811699518576</v>
      </c>
      <c r="FX219" s="382">
        <f>FX216/FX209</f>
        <v>0.53501962122504687</v>
      </c>
      <c r="FY219" s="382">
        <f>FY216/FY209</f>
        <v>0.59696950074467392</v>
      </c>
      <c r="FZ219" s="382">
        <f>FZ216/FZ209</f>
        <v>0.61980748563151256</v>
      </c>
      <c r="GA219" s="382">
        <f>GA216/GA209</f>
        <v>0.74275246893915259</v>
      </c>
      <c r="GB219" s="382">
        <f>GB216/GB209</f>
        <v>0.77999740749809165</v>
      </c>
      <c r="GC219" s="382">
        <f>GC216/GC209</f>
        <v>0.73927976686094921</v>
      </c>
      <c r="GD219" s="382">
        <f>GD216/GD209</f>
        <v>0.69360348686535511</v>
      </c>
      <c r="GE219" s="382">
        <f>GE216/GE209</f>
        <v>0.69311986153180438</v>
      </c>
      <c r="GF219" s="382">
        <f>GF216/GF209</f>
        <v>0.62438432977191782</v>
      </c>
      <c r="GG219" s="384">
        <f>GG216/GG209</f>
        <v>0.61562312076702252</v>
      </c>
      <c r="GH219" s="384">
        <f>GH216/GH209</f>
        <v>0.61838489517072071</v>
      </c>
      <c r="GI219" s="384">
        <f>GI216/GI209</f>
        <v>0.61941252618929765</v>
      </c>
      <c r="GJ219" s="384">
        <f>GJ216/GJ209</f>
        <v>0.62233675453807191</v>
      </c>
      <c r="GK219" s="384">
        <f>GK216/GK209</f>
        <v>0.62136152904584918</v>
      </c>
      <c r="GN219" s="70"/>
    </row>
    <row r="220" spans="1:196" s="418" customFormat="1">
      <c r="A220" s="455"/>
      <c r="CR220" s="379"/>
      <c r="CT220" s="457"/>
      <c r="CU220" s="457"/>
      <c r="CV220" s="457"/>
      <c r="CW220" s="457"/>
      <c r="CX220" s="457"/>
      <c r="CY220" s="457"/>
      <c r="CZ220" s="94"/>
      <c r="DA220" s="457"/>
      <c r="DB220" s="94"/>
      <c r="DE220" s="95"/>
      <c r="DF220" s="379"/>
      <c r="DI220" s="379"/>
      <c r="DJ220" s="458"/>
      <c r="DK220" s="458"/>
      <c r="DL220" s="458"/>
      <c r="DM220" s="458"/>
      <c r="DN220" s="458"/>
      <c r="DO220" s="458"/>
      <c r="DP220" s="458"/>
      <c r="DQ220" s="458"/>
      <c r="DR220" s="458"/>
      <c r="DS220" s="458"/>
      <c r="DT220" s="458"/>
      <c r="DU220" s="458"/>
      <c r="DV220" s="458"/>
      <c r="DW220" s="458"/>
      <c r="GN220" s="70"/>
    </row>
    <row r="221" spans="1:196">
      <c r="A221" s="82" t="s">
        <v>283</v>
      </c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  <c r="BP221" s="83"/>
      <c r="BQ221" s="83"/>
      <c r="BR221" s="83"/>
      <c r="BS221" s="83"/>
      <c r="BT221" s="83"/>
      <c r="BU221" s="83"/>
      <c r="BV221" s="83"/>
      <c r="BW221" s="83"/>
      <c r="BX221" s="83"/>
      <c r="BY221" s="83"/>
      <c r="BZ221" s="83"/>
      <c r="CA221" s="83"/>
      <c r="CB221" s="83"/>
      <c r="CC221" s="83"/>
      <c r="CD221" s="83"/>
      <c r="CE221" s="83"/>
      <c r="CF221" s="83"/>
      <c r="CG221" s="83"/>
      <c r="CH221" s="83"/>
      <c r="CI221" s="83"/>
      <c r="CJ221" s="83"/>
      <c r="CK221" s="83"/>
      <c r="CL221" s="83"/>
      <c r="CM221" s="83"/>
      <c r="CN221" s="83"/>
      <c r="CO221" s="83"/>
      <c r="CP221" s="83"/>
      <c r="CQ221" s="83"/>
      <c r="CR221" s="84"/>
      <c r="CS221" s="83"/>
      <c r="CT221" s="85"/>
      <c r="CU221" s="85"/>
      <c r="CV221" s="85"/>
      <c r="CW221" s="85"/>
      <c r="CX221" s="85"/>
      <c r="CY221" s="85"/>
      <c r="CZ221" s="86"/>
      <c r="DA221" s="85"/>
      <c r="DB221" s="87"/>
      <c r="DC221" s="83"/>
      <c r="DD221" s="83"/>
      <c r="DE221" s="88"/>
      <c r="DF221" s="84"/>
      <c r="DG221" s="83"/>
      <c r="DH221" s="83"/>
      <c r="DI221" s="84"/>
      <c r="DJ221" s="89"/>
      <c r="DK221" s="89"/>
      <c r="DL221" s="89"/>
      <c r="DM221" s="89"/>
      <c r="DN221" s="89"/>
      <c r="DO221" s="89"/>
      <c r="DP221" s="89"/>
      <c r="DQ221" s="89"/>
      <c r="DR221" s="89"/>
      <c r="DS221" s="89"/>
      <c r="DT221" s="89"/>
      <c r="DU221" s="89"/>
      <c r="DV221" s="89"/>
      <c r="DW221" s="98"/>
      <c r="DX221" s="83"/>
      <c r="DY221" s="83"/>
      <c r="DZ221" s="83"/>
      <c r="EA221" s="83"/>
      <c r="EB221" s="83"/>
      <c r="EC221" s="83"/>
      <c r="ED221" s="83"/>
      <c r="EE221" s="83"/>
      <c r="EF221" s="83"/>
      <c r="EG221" s="83"/>
      <c r="EH221" s="83"/>
      <c r="EI221" s="83"/>
      <c r="EJ221" s="83"/>
      <c r="EK221" s="83"/>
      <c r="EL221" s="83"/>
      <c r="EM221" s="83"/>
      <c r="EN221" s="83"/>
      <c r="EO221" s="83"/>
      <c r="EP221" s="83"/>
      <c r="EQ221" s="83"/>
      <c r="ER221" s="83"/>
      <c r="ES221" s="83"/>
      <c r="ET221" s="83"/>
      <c r="EU221" s="83"/>
      <c r="EV221" s="83"/>
      <c r="EW221" s="83"/>
      <c r="EZ221" s="83"/>
      <c r="FA221" s="83"/>
      <c r="FB221" s="83"/>
      <c r="FC221" s="83"/>
      <c r="FD221" s="83"/>
      <c r="FE221" s="83"/>
      <c r="FF221" s="83"/>
      <c r="FG221" s="83"/>
      <c r="FH221" s="83"/>
      <c r="FI221" s="83"/>
      <c r="FJ221" s="83"/>
      <c r="FK221" s="83"/>
      <c r="FL221" s="83"/>
      <c r="FM221" s="83"/>
      <c r="FN221" s="83"/>
      <c r="FO221" s="83"/>
      <c r="FP221" s="83"/>
      <c r="FQ221" s="83"/>
      <c r="FR221" s="83"/>
      <c r="FS221" s="83"/>
      <c r="FT221" s="83"/>
      <c r="FU221" s="83"/>
      <c r="FV221" s="83"/>
      <c r="FW221" s="83"/>
      <c r="FX221" s="83"/>
      <c r="FY221" s="83"/>
      <c r="FZ221" s="83"/>
      <c r="GA221" s="83"/>
      <c r="GB221" s="83"/>
      <c r="GC221" s="83"/>
      <c r="GD221" s="83"/>
      <c r="GE221" s="83"/>
      <c r="GF221" s="83"/>
      <c r="GG221" s="83"/>
      <c r="GH221" s="83"/>
      <c r="GI221" s="83"/>
      <c r="GJ221" s="83"/>
      <c r="GK221" s="83"/>
      <c r="GN221" s="48"/>
    </row>
    <row r="222" spans="1:196" s="379" customFormat="1">
      <c r="A222" s="405" t="s">
        <v>280</v>
      </c>
      <c r="AD222" s="376">
        <f>AD195/AD209*1000</f>
        <v>86.717504453004636</v>
      </c>
      <c r="AE222" s="376">
        <f>AE195/AE209*1000</f>
        <v>92.896040497944952</v>
      </c>
      <c r="AF222" s="376">
        <f>AF195/AF209*1000</f>
        <v>92.850323720946506</v>
      </c>
      <c r="AG222" s="376">
        <f>AG195/AG209*1000</f>
        <v>85.609213615094205</v>
      </c>
      <c r="AH222" s="376">
        <f>AH195/AH209*1000</f>
        <v>89.273968301273371</v>
      </c>
      <c r="AI222" s="376">
        <f>AI195/AI209*1000</f>
        <v>75.757464063453327</v>
      </c>
      <c r="AJ222" s="376">
        <f>AJ195/AJ209*1000</f>
        <v>62.621102844113764</v>
      </c>
      <c r="AK222" s="376">
        <f>AK195/AK209*1000</f>
        <v>87.860563328872132</v>
      </c>
      <c r="AL222" s="376">
        <f>AL195/AL209*1000</f>
        <v>89.181724548049488</v>
      </c>
      <c r="AM222" s="376">
        <f>AM195/AM209*1000</f>
        <v>63.417265637186084</v>
      </c>
      <c r="AN222" s="376">
        <f>AN195/AN209*1000</f>
        <v>56.404680490901391</v>
      </c>
      <c r="AO222" s="376">
        <f>AO195/AO209*1000</f>
        <v>66.651276663993585</v>
      </c>
      <c r="AP222" s="376">
        <f>AP195/AP209*1000</f>
        <v>63.69551326573135</v>
      </c>
      <c r="AQ222" s="376">
        <f>AQ195/AQ209*1000</f>
        <v>58.903351871336241</v>
      </c>
      <c r="AR222" s="376">
        <f>AR195/AR209*1000</f>
        <v>67.290024800220451</v>
      </c>
      <c r="AS222" s="376">
        <f>AS195/AS209*1000</f>
        <v>72.191591203104778</v>
      </c>
      <c r="AT222" s="376">
        <f>AT195/AT209*1000</f>
        <v>73.684430803571431</v>
      </c>
      <c r="AU222" s="376">
        <f>AU195/AU209*1000</f>
        <v>68.353449477351916</v>
      </c>
      <c r="AV222" s="376">
        <f>AV195/AV209*1000</f>
        <v>78.490448343079919</v>
      </c>
      <c r="AW222" s="376">
        <f>AW195/AW209*1000</f>
        <v>71.770321151716502</v>
      </c>
      <c r="AX222" s="376">
        <f>AX195/AX209*1000</f>
        <v>72.507531610775146</v>
      </c>
      <c r="AY222" s="376">
        <f>AY195/AY209*1000</f>
        <v>68.750087097898032</v>
      </c>
      <c r="AZ222" s="376">
        <f>AZ195/AZ209*1000</f>
        <v>73.875497819078333</v>
      </c>
      <c r="BA222" s="376">
        <f>BA195/BA209*1000</f>
        <v>77.598507242092836</v>
      </c>
      <c r="BB222" s="376">
        <f>BB195/BB209*1000</f>
        <v>82.028250401284112</v>
      </c>
      <c r="BC222" s="376">
        <f>BC195/BC209*1000</f>
        <v>70.904130046748833</v>
      </c>
      <c r="BD222" s="376">
        <f>BD195/BD209*1000</f>
        <v>64.94255334332405</v>
      </c>
      <c r="BE222" s="376">
        <f>BE195/BE209*1000</f>
        <v>63.761434604175342</v>
      </c>
      <c r="BF222" s="376">
        <f>BF195/BF209*1000</f>
        <v>58.05342080599813</v>
      </c>
      <c r="BG222" s="376">
        <f>BG195/BG209*1000</f>
        <v>52.600537815126053</v>
      </c>
      <c r="BH222" s="376">
        <f>BH195/BH209*1000</f>
        <v>55.736829957878946</v>
      </c>
      <c r="BI222" s="376">
        <f>BI195/BI209*1000</f>
        <v>58.603751084128369</v>
      </c>
      <c r="BJ222" s="376">
        <f>BJ195/BJ209*1000</f>
        <v>58.938625551821836</v>
      </c>
      <c r="BK222" s="376">
        <f>BK195/BK209*1000</f>
        <v>55.011509203287375</v>
      </c>
      <c r="BL222" s="376">
        <f>BL195/BL209*1000</f>
        <v>54.032723762501583</v>
      </c>
      <c r="BM222" s="376">
        <f>BM195/BM209*1000</f>
        <v>50.73630947620952</v>
      </c>
      <c r="BN222" s="376">
        <f>BN195/BN209*1000</f>
        <v>49.679074673041775</v>
      </c>
      <c r="BO222" s="376">
        <f>BO195/BO209*1000</f>
        <v>46.374979224376737</v>
      </c>
      <c r="BP222" s="376">
        <f>BP195/BP209*1000</f>
        <v>46.334610493827157</v>
      </c>
      <c r="BQ222" s="376">
        <f>BQ195/BQ209*1000</f>
        <v>46.019932469680263</v>
      </c>
      <c r="BR222" s="376">
        <f>BR195/BR209*1000</f>
        <v>47.794679510262867</v>
      </c>
      <c r="BS222" s="376">
        <f>BS195/BS209*1000</f>
        <v>48.197225600926728</v>
      </c>
      <c r="BT222" s="376">
        <f>BT195/BT209*1000</f>
        <v>47.163714586100049</v>
      </c>
      <c r="BU222" s="376">
        <f>BU195/BU209*1000</f>
        <v>48.586370123691729</v>
      </c>
      <c r="BV222" s="376">
        <f>BV195/BV209*1000</f>
        <v>47.482558654271806</v>
      </c>
      <c r="BW222" s="376">
        <f>BW195/BW209*1000</f>
        <v>46.612221870549135</v>
      </c>
      <c r="BX222" s="376">
        <f>BX195/BX209*1000</f>
        <v>48.125076561861974</v>
      </c>
      <c r="BY222" s="376">
        <f>BY195/BY209*1000</f>
        <v>48.805232743928421</v>
      </c>
      <c r="BZ222" s="376">
        <f>BZ195/BZ209*1000</f>
        <v>46.486341082768263</v>
      </c>
      <c r="CA222" s="376">
        <f>CA195/CA209*1000</f>
        <v>43.878551325470049</v>
      </c>
      <c r="CB222" s="376">
        <f>CB195/CB209*1000</f>
        <v>42.909627410967019</v>
      </c>
      <c r="CC222" s="376">
        <f>CC195/CC209*1000</f>
        <v>45.185829288960782</v>
      </c>
      <c r="CD222" s="376">
        <f>CD195/CD209*1000</f>
        <v>46.013441323453392</v>
      </c>
      <c r="CE222" s="376">
        <f>CE195/CE209*1000</f>
        <v>42.59871960770959</v>
      </c>
      <c r="CF222" s="376">
        <f>CF195/CF209*1000</f>
        <v>41.395391768084231</v>
      </c>
      <c r="CG222" s="376">
        <f>CG195/CG209*1000</f>
        <v>44.167528849980101</v>
      </c>
      <c r="CH222" s="376">
        <f>CH195/CH209*1000</f>
        <v>48.444935543278092</v>
      </c>
      <c r="CI222" s="376">
        <f>CI195/CI209*1000</f>
        <v>49.996373927655434</v>
      </c>
      <c r="CJ222" s="376">
        <f>CJ195/CJ209*1000</f>
        <v>52.288967343336274</v>
      </c>
      <c r="CK222" s="376">
        <f>CK195/CK209*1000</f>
        <v>53.594245069511807</v>
      </c>
      <c r="CL222" s="376">
        <f>CL195/CL209*1000</f>
        <v>52.242824417194448</v>
      </c>
      <c r="CM222" s="376">
        <f>CM195/CM209*1000</f>
        <v>52.800902193971702</v>
      </c>
      <c r="CN222" s="376">
        <f>CN195/CN209*1000</f>
        <v>51.864739884393067</v>
      </c>
      <c r="CO222" s="376">
        <f>CO195/CO209*1000</f>
        <v>52.417748917748924</v>
      </c>
      <c r="CP222" s="376">
        <f>CP195/CP209*1000</f>
        <v>51.760822510822507</v>
      </c>
      <c r="CQ222" s="376">
        <f>CQ195/CQ209*1000</f>
        <v>52.525295797633618</v>
      </c>
      <c r="CR222" s="376">
        <f>CR195/CR209*1000</f>
        <v>51.557358274479867</v>
      </c>
      <c r="CS222" s="376">
        <f>CS195/CS209*1000</f>
        <v>50.810042633822825</v>
      </c>
      <c r="CT222" s="376">
        <f>CT195/CT209*1000</f>
        <v>63.98982634625505</v>
      </c>
      <c r="CU222" s="376">
        <f>CU195/CU209*1000</f>
        <v>62.746216733344937</v>
      </c>
      <c r="CV222" s="376">
        <f>CV195/CV209*1000</f>
        <v>61.617220801364027</v>
      </c>
      <c r="CW222" s="376">
        <f>CW195/CW209*1000</f>
        <v>61.689998368412468</v>
      </c>
      <c r="CX222" s="376">
        <f>CX195/CX209*1000</f>
        <v>61.981457631290006</v>
      </c>
      <c r="CY222" s="376">
        <f>CY195/CY209*1000</f>
        <v>60.266668433005293</v>
      </c>
      <c r="CZ222" s="376">
        <f>CZ195/CZ209*1000</f>
        <v>63.618357986501685</v>
      </c>
      <c r="DA222" s="376">
        <f>DA195/DA209*1000</f>
        <v>66.422986485059653</v>
      </c>
      <c r="DB222" s="376">
        <f>DB195/DB209*1000</f>
        <v>64.964839191168195</v>
      </c>
      <c r="DC222" s="376">
        <f>DC195/DC209*1000</f>
        <v>61.365919257400904</v>
      </c>
      <c r="DD222" s="376">
        <f>DD195/DD209*1000</f>
        <v>77.827753089143854</v>
      </c>
      <c r="DE222" s="376">
        <f>DE195/DE209*1000</f>
        <v>81.930351860649239</v>
      </c>
      <c r="DF222" s="376">
        <f>DF195/DF209*1000</f>
        <v>78.901144573488182</v>
      </c>
      <c r="DG222" s="376">
        <f>DG195/DG209*1000</f>
        <v>72.082206405693952</v>
      </c>
      <c r="DH222" s="376">
        <f>DH195/DH209*1000</f>
        <v>74.521591715976328</v>
      </c>
      <c r="DI222" s="376">
        <f>DI195/DI209*1000</f>
        <v>79.109853889894026</v>
      </c>
      <c r="DJ222" s="397">
        <f>DJ195/DJ209*1000</f>
        <v>87.456419496697947</v>
      </c>
      <c r="DK222" s="397">
        <f>DK195/DK209*1000</f>
        <v>89.833134820343631</v>
      </c>
      <c r="DL222" s="397">
        <f>DL195/DL209*1000</f>
        <v>99.849703052728941</v>
      </c>
      <c r="DM222" s="397">
        <f>DM195/DM209*1000</f>
        <v>106.59745306708119</v>
      </c>
      <c r="DN222" s="397">
        <f>DN195/DN209*1000</f>
        <v>133.07518031189085</v>
      </c>
      <c r="DO222" s="397">
        <f>DO195/DO209*1000</f>
        <v>133.75108280902447</v>
      </c>
      <c r="DP222" s="397">
        <f>DP195/DP209*1000</f>
        <v>107.04268100840336</v>
      </c>
      <c r="DQ222" s="397">
        <f>DQ195/DQ209*1000</f>
        <v>106.40722214186</v>
      </c>
      <c r="DR222" s="397">
        <f>DR195/DR209*1000</f>
        <v>92.517034370415445</v>
      </c>
      <c r="DS222" s="397">
        <f>DS195/DS209*1000</f>
        <v>101.67350435753967</v>
      </c>
      <c r="DT222" s="397">
        <f>DT195/DT209*1000</f>
        <v>115.19417439372413</v>
      </c>
      <c r="DU222" s="397">
        <f>DU195/DU209*1000</f>
        <v>100.3123419133574</v>
      </c>
      <c r="DV222" s="376">
        <f>DV195/DV209*1000</f>
        <v>99.973057076023395</v>
      </c>
      <c r="DW222" s="376">
        <f>DW195/DW209*1000</f>
        <v>107.73736058282209</v>
      </c>
      <c r="DX222" s="376">
        <f>DX195/DX209*1000</f>
        <v>119.79997309574409</v>
      </c>
      <c r="DY222" s="376">
        <f>DY195/DY209*1000</f>
        <v>129.38894221275586</v>
      </c>
      <c r="DZ222" s="376">
        <f>DZ195/DZ209*1000</f>
        <v>147.34501636481227</v>
      </c>
      <c r="EA222" s="376">
        <f>EA195/EA209*1000</f>
        <v>159.19276025753518</v>
      </c>
      <c r="EB222" s="376">
        <f>EB195/EB209*1000</f>
        <v>162.10422054391549</v>
      </c>
      <c r="EC222" s="376">
        <f>EC195/EC209*1000</f>
        <v>154.81648161254191</v>
      </c>
      <c r="ED222" s="376">
        <f>ED195/ED209*1000</f>
        <v>160.60130475260681</v>
      </c>
      <c r="EE222" s="380">
        <f>EE195/EE209*1000</f>
        <v>162.20731780013293</v>
      </c>
      <c r="EF222" s="380">
        <f>EF195/EF209*1000</f>
        <v>161.08579126002687</v>
      </c>
      <c r="EG222" s="380">
        <f>EG195/EG209*1000</f>
        <v>162.0011018281611</v>
      </c>
      <c r="EH222" s="380">
        <f>EH195/EH209*1000</f>
        <v>163.87982875714405</v>
      </c>
      <c r="EI222" s="380">
        <f>EI195/EI209*1000</f>
        <v>164.71133370059005</v>
      </c>
      <c r="EJ222" s="380">
        <f>EJ195/EJ209*1000</f>
        <v>166.03392669901342</v>
      </c>
      <c r="EK222" s="380">
        <f>EK195/EK209*1000</f>
        <v>167.52706183331489</v>
      </c>
      <c r="EL222" s="380">
        <f>EL195/EL209*1000</f>
        <v>166.9091884397246</v>
      </c>
      <c r="EM222" s="380">
        <f>EM195/EM209*1000</f>
        <v>166.9091884397246</v>
      </c>
      <c r="EN222" s="380">
        <f>EN195/EN209*1000</f>
        <v>168.57828032412186</v>
      </c>
      <c r="EO222" s="380">
        <f>EO195/EO209*1000</f>
        <v>171.1349178480682</v>
      </c>
      <c r="EP222" s="380">
        <f>EP195/EP209*1000</f>
        <v>171.1349178480682</v>
      </c>
      <c r="EQ222" s="380">
        <f>EQ195/EQ209*1000</f>
        <v>171.85910896216924</v>
      </c>
      <c r="ER222" s="380">
        <f>ER195/ER209*1000</f>
        <v>171.69854666902197</v>
      </c>
      <c r="ES222" s="380">
        <f>ES195/ES209*1000</f>
        <v>171.69854666902197</v>
      </c>
      <c r="ET222" s="380">
        <f>ET195/ET209*1000</f>
        <v>172.70284374873421</v>
      </c>
      <c r="EU222" s="380">
        <f>EU195/EU209*1000</f>
        <v>173.6028212096565</v>
      </c>
      <c r="EV222" s="380">
        <f>EV195/EV209*1000</f>
        <v>174.51179844518805</v>
      </c>
      <c r="EW222" s="380">
        <f>EW195/EW209*1000</f>
        <v>175.42986545307494</v>
      </c>
      <c r="FG222" s="376">
        <f>FG195/FG209*1000</f>
        <v>89.477119877282007</v>
      </c>
      <c r="FH222" s="376">
        <f>FH195/FH209*1000</f>
        <v>78.552101590463437</v>
      </c>
      <c r="FI222" s="376">
        <f>FI195/FI209*1000</f>
        <v>71.316806051202477</v>
      </c>
      <c r="FJ222" s="376">
        <f>FJ195/FJ209*1000</f>
        <v>65.771844660194176</v>
      </c>
      <c r="FK222" s="376">
        <f>FK195/FK209*1000</f>
        <v>73.0872923908845</v>
      </c>
      <c r="FL222" s="376">
        <f>FL195/FL209*1000</f>
        <v>73.727192226689652</v>
      </c>
      <c r="FM222" s="376">
        <f>FM195/FM209*1000</f>
        <v>69.722985776825126</v>
      </c>
      <c r="FN222" s="376">
        <f>FN195/FN209*1000</f>
        <v>56.241601982910446</v>
      </c>
      <c r="FO222" s="376">
        <f>FO195/FO209*1000</f>
        <v>54.851339106231642</v>
      </c>
      <c r="FP222" s="376">
        <f>FP195/FP209*1000</f>
        <v>47.008234103679257</v>
      </c>
      <c r="FQ222" s="376">
        <f>FQ195/FQ209*1000</f>
        <v>47.933406449489013</v>
      </c>
      <c r="FR222" s="376">
        <f>FR195/FR209*1000</f>
        <v>47.760073212462032</v>
      </c>
      <c r="FS222" s="376">
        <f>FS195/FS209*1000</f>
        <v>44.672364746399495</v>
      </c>
      <c r="FT222" s="376">
        <f>FT195/FT209*1000</f>
        <v>43.379263275991029</v>
      </c>
      <c r="FU222" s="376">
        <f>FU195/FU209*1000</f>
        <v>50.990181410136522</v>
      </c>
      <c r="FV222" s="376">
        <f>FV195/FV209*1000</f>
        <v>52.319868902698559</v>
      </c>
      <c r="FW222" s="376">
        <f>FW195/FW209*1000</f>
        <v>51.609137978017984</v>
      </c>
      <c r="FX222" s="376">
        <f>FX195/FX209*1000</f>
        <v>62.490061422965361</v>
      </c>
      <c r="FY222" s="376">
        <f>FY195/FY209*1000</f>
        <v>63.447868991686754</v>
      </c>
      <c r="FZ222" s="376">
        <f>FZ195/FZ209*1000</f>
        <v>72.538036759964484</v>
      </c>
      <c r="GA222" s="376">
        <f>GA195/GA209*1000</f>
        <v>76.260446216948068</v>
      </c>
      <c r="GB222" s="376">
        <f>GB195/GB209*1000</f>
        <v>95.589145925311698</v>
      </c>
      <c r="GC222" s="376">
        <f>GC195/GC209*1000</f>
        <v>124.02476989828187</v>
      </c>
      <c r="GD222" s="376">
        <f>GD195/GD209*1000</f>
        <v>103.42085242976252</v>
      </c>
      <c r="GE222" s="376">
        <f>GE195/GE209*1000</f>
        <v>115.49437431574303</v>
      </c>
      <c r="GF222" s="376">
        <f>GF195/GF209*1000</f>
        <v>155.95749229752525</v>
      </c>
      <c r="GG222" s="380">
        <f>GG195/GG209*1000</f>
        <v>161.47325287659135</v>
      </c>
      <c r="GH222" s="380">
        <f>GH195/GH209*1000</f>
        <v>165.63863434269223</v>
      </c>
      <c r="GI222" s="380">
        <f>GI195/GI209*1000</f>
        <v>168.43941628785618</v>
      </c>
      <c r="GJ222" s="380">
        <f>GJ195/GJ209*1000</f>
        <v>171.604189082018</v>
      </c>
      <c r="GK222" s="380">
        <f>GK195/GK209*1000</f>
        <v>174.10329337189663</v>
      </c>
      <c r="GN222" s="70"/>
    </row>
    <row r="223" spans="1:196" s="382" customFormat="1">
      <c r="A223" s="381" t="s">
        <v>198</v>
      </c>
      <c r="AE223" s="382">
        <f t="shared" ref="AE223:CP223" si="417">AE222/AD222-1</f>
        <v>7.1249006575006879E-2</v>
      </c>
      <c r="AF223" s="382">
        <f t="shared" si="417"/>
        <v>-4.9212837009404709E-4</v>
      </c>
      <c r="AG223" s="382">
        <f t="shared" si="417"/>
        <v>-7.7986912868659664E-2</v>
      </c>
      <c r="AH223" s="382">
        <f t="shared" si="417"/>
        <v>4.2807947082146969E-2</v>
      </c>
      <c r="AI223" s="382">
        <f t="shared" si="417"/>
        <v>-0.15140476552140958</v>
      </c>
      <c r="AJ223" s="382">
        <f t="shared" si="417"/>
        <v>-0.17340022375005504</v>
      </c>
      <c r="AK223" s="382">
        <f t="shared" si="417"/>
        <v>0.40305039896196626</v>
      </c>
      <c r="AL223" s="382">
        <f t="shared" si="417"/>
        <v>1.5037021948426377E-2</v>
      </c>
      <c r="AM223" s="382">
        <f t="shared" si="417"/>
        <v>-0.28889841547055961</v>
      </c>
      <c r="AN223" s="382">
        <f t="shared" si="417"/>
        <v>-0.11057848483099386</v>
      </c>
      <c r="AO223" s="382">
        <f t="shared" si="417"/>
        <v>0.18166216143614289</v>
      </c>
      <c r="AP223" s="382">
        <f t="shared" si="417"/>
        <v>-4.4346688408730794E-2</v>
      </c>
      <c r="AQ223" s="382">
        <f t="shared" si="417"/>
        <v>-7.5235462416366583E-2</v>
      </c>
      <c r="AR223" s="382">
        <f t="shared" si="417"/>
        <v>0.14238023240516751</v>
      </c>
      <c r="AS223" s="382">
        <f t="shared" si="417"/>
        <v>7.2842392575076964E-2</v>
      </c>
      <c r="AT223" s="382">
        <f t="shared" si="417"/>
        <v>2.0678857129865502E-2</v>
      </c>
      <c r="AU223" s="382">
        <f t="shared" si="417"/>
        <v>-7.2348815999283334E-2</v>
      </c>
      <c r="AV223" s="382">
        <f t="shared" si="417"/>
        <v>0.14830266714025564</v>
      </c>
      <c r="AW223" s="382">
        <f t="shared" si="417"/>
        <v>-8.5617133463041228E-2</v>
      </c>
      <c r="AX223" s="382">
        <f t="shared" si="417"/>
        <v>1.0271801034584138E-2</v>
      </c>
      <c r="AY223" s="382">
        <f t="shared" si="417"/>
        <v>-5.1821437434214523E-2</v>
      </c>
      <c r="AZ223" s="382">
        <f t="shared" si="417"/>
        <v>7.4551334224229659E-2</v>
      </c>
      <c r="BA223" s="382">
        <f t="shared" si="417"/>
        <v>5.0395727039730831E-2</v>
      </c>
      <c r="BB223" s="382">
        <f t="shared" si="417"/>
        <v>5.7085417189422172E-2</v>
      </c>
      <c r="BC223" s="382">
        <f t="shared" si="417"/>
        <v>-0.13561328323005573</v>
      </c>
      <c r="BD223" s="382">
        <f t="shared" si="417"/>
        <v>-8.4079399881137662E-2</v>
      </c>
      <c r="BE223" s="382">
        <f t="shared" si="417"/>
        <v>-1.8187131215870567E-2</v>
      </c>
      <c r="BF223" s="382">
        <f t="shared" si="417"/>
        <v>-8.9521414215536277E-2</v>
      </c>
      <c r="BG223" s="382">
        <f t="shared" si="417"/>
        <v>-9.3928711093432704E-2</v>
      </c>
      <c r="BH223" s="382">
        <f t="shared" si="417"/>
        <v>5.9624716267653977E-2</v>
      </c>
      <c r="BI223" s="382">
        <f t="shared" si="417"/>
        <v>5.1436745297785968E-2</v>
      </c>
      <c r="BJ223" s="382">
        <f t="shared" si="417"/>
        <v>5.7142155834486452E-3</v>
      </c>
      <c r="BK223" s="382">
        <f t="shared" si="417"/>
        <v>-6.6630606190189123E-2</v>
      </c>
      <c r="BL223" s="382">
        <f t="shared" si="417"/>
        <v>-1.7792375722120779E-2</v>
      </c>
      <c r="BM223" s="382">
        <f t="shared" si="417"/>
        <v>-6.1007738584145876E-2</v>
      </c>
      <c r="BN223" s="382">
        <f t="shared" si="417"/>
        <v>-2.0837834168121461E-2</v>
      </c>
      <c r="BO223" s="382">
        <f t="shared" si="417"/>
        <v>-6.6508796116083846E-2</v>
      </c>
      <c r="BP223" s="382">
        <f t="shared" si="417"/>
        <v>-8.7048514575638336E-4</v>
      </c>
      <c r="BQ223" s="382">
        <f t="shared" si="417"/>
        <v>-6.7914248289367984E-3</v>
      </c>
      <c r="BR223" s="382">
        <f t="shared" si="417"/>
        <v>3.8564746737772326E-2</v>
      </c>
      <c r="BS223" s="382">
        <f t="shared" si="417"/>
        <v>8.4224038070477292E-3</v>
      </c>
      <c r="BT223" s="382">
        <f t="shared" si="417"/>
        <v>-2.1443371520679544E-2</v>
      </c>
      <c r="BU223" s="382">
        <f t="shared" si="417"/>
        <v>3.0164196142662636E-2</v>
      </c>
      <c r="BV223" s="382">
        <f t="shared" si="417"/>
        <v>-2.271854157060571E-2</v>
      </c>
      <c r="BW223" s="382">
        <f t="shared" si="417"/>
        <v>-1.8329610037650546E-2</v>
      </c>
      <c r="BX223" s="382">
        <f t="shared" si="417"/>
        <v>3.2456180602467688E-2</v>
      </c>
      <c r="BY223" s="382">
        <f t="shared" si="417"/>
        <v>1.4133092987231866E-2</v>
      </c>
      <c r="BZ223" s="382">
        <f t="shared" si="417"/>
        <v>-4.7513176985077288E-2</v>
      </c>
      <c r="CA223" s="382">
        <f t="shared" si="417"/>
        <v>-5.6097978385846292E-2</v>
      </c>
      <c r="CB223" s="382">
        <f t="shared" si="417"/>
        <v>-2.2081948588412059E-2</v>
      </c>
      <c r="CC223" s="382">
        <f t="shared" si="417"/>
        <v>5.3046414414029686E-2</v>
      </c>
      <c r="CD223" s="382">
        <f t="shared" si="417"/>
        <v>1.8315742955608449E-2</v>
      </c>
      <c r="CE223" s="382">
        <f t="shared" si="417"/>
        <v>-7.421139600795934E-2</v>
      </c>
      <c r="CF223" s="382">
        <f t="shared" si="417"/>
        <v>-2.8247981411337553E-2</v>
      </c>
      <c r="CG223" s="382">
        <f t="shared" si="417"/>
        <v>6.6967287021382438E-2</v>
      </c>
      <c r="CH223" s="382">
        <f t="shared" si="417"/>
        <v>9.6845053474163612E-2</v>
      </c>
      <c r="CI223" s="382">
        <f t="shared" si="417"/>
        <v>3.202477961791006E-2</v>
      </c>
      <c r="CJ223" s="382">
        <f t="shared" si="417"/>
        <v>4.5855193798618687E-2</v>
      </c>
      <c r="CK223" s="382">
        <f t="shared" si="417"/>
        <v>2.4962774988553704E-2</v>
      </c>
      <c r="CL223" s="382">
        <f t="shared" si="417"/>
        <v>-2.5215779242054093E-2</v>
      </c>
      <c r="CM223" s="382">
        <f t="shared" si="417"/>
        <v>1.0682381417984166E-2</v>
      </c>
      <c r="CN223" s="382">
        <f t="shared" si="417"/>
        <v>-1.7730043818939056E-2</v>
      </c>
      <c r="CO223" s="382">
        <f t="shared" si="417"/>
        <v>1.0662523991993744E-2</v>
      </c>
      <c r="CP223" s="382">
        <f t="shared" si="417"/>
        <v>-1.2532518478754806E-2</v>
      </c>
      <c r="CQ223" s="382">
        <f t="shared" ref="CQ223:EW223" si="418">CQ222/CP222-1</f>
        <v>1.4769341941026415E-2</v>
      </c>
      <c r="CR223" s="382">
        <f t="shared" si="418"/>
        <v>-1.8428026124459373E-2</v>
      </c>
      <c r="CS223" s="382">
        <f t="shared" si="418"/>
        <v>-1.4494839644003887E-2</v>
      </c>
      <c r="CT223" s="382">
        <f t="shared" si="418"/>
        <v>0.25939328190326716</v>
      </c>
      <c r="CU223" s="382">
        <f t="shared" si="418"/>
        <v>-1.9434489573089686E-2</v>
      </c>
      <c r="CV223" s="382">
        <f t="shared" si="418"/>
        <v>-1.7993051864446996E-2</v>
      </c>
      <c r="CW223" s="382">
        <f t="shared" si="418"/>
        <v>1.1811238173669025E-3</v>
      </c>
      <c r="CX223" s="382">
        <f t="shared" si="418"/>
        <v>4.7245788715528647E-3</v>
      </c>
      <c r="CY223" s="382">
        <f t="shared" si="418"/>
        <v>-2.7666164427521234E-2</v>
      </c>
      <c r="CZ223" s="382">
        <f t="shared" si="418"/>
        <v>5.5614316182455825E-2</v>
      </c>
      <c r="DA223" s="382">
        <f t="shared" si="418"/>
        <v>4.4085207278582228E-2</v>
      </c>
      <c r="DB223" s="382">
        <f t="shared" si="418"/>
        <v>-2.1952450063645323E-2</v>
      </c>
      <c r="DC223" s="382">
        <f t="shared" si="418"/>
        <v>-5.5397965708449792E-2</v>
      </c>
      <c r="DD223" s="382">
        <f t="shared" si="418"/>
        <v>0.26825694181640736</v>
      </c>
      <c r="DE223" s="382">
        <f t="shared" si="418"/>
        <v>5.2713827762781218E-2</v>
      </c>
      <c r="DF223" s="382">
        <f t="shared" si="418"/>
        <v>-3.6972955911543814E-2</v>
      </c>
      <c r="DG223" s="382">
        <f t="shared" si="418"/>
        <v>-8.6423818116391216E-2</v>
      </c>
      <c r="DH223" s="382">
        <f t="shared" si="418"/>
        <v>3.3841712565692017E-2</v>
      </c>
      <c r="DI223" s="382">
        <f t="shared" si="418"/>
        <v>6.156956753426468E-2</v>
      </c>
      <c r="DJ223" s="383">
        <f t="shared" si="418"/>
        <v>0.10550601722031705</v>
      </c>
      <c r="DK223" s="383">
        <f t="shared" si="418"/>
        <v>2.7175996197002172E-2</v>
      </c>
      <c r="DL223" s="383">
        <f t="shared" si="418"/>
        <v>0.11150193358405391</v>
      </c>
      <c r="DM223" s="383">
        <f t="shared" si="418"/>
        <v>6.7579069421857652E-2</v>
      </c>
      <c r="DN223" s="383">
        <f t="shared" si="418"/>
        <v>0.24838986751538394</v>
      </c>
      <c r="DO223" s="383">
        <f t="shared" si="418"/>
        <v>5.0791026211611801E-3</v>
      </c>
      <c r="DP223" s="383">
        <f t="shared" si="418"/>
        <v>-0.19968736880251281</v>
      </c>
      <c r="DQ223" s="383">
        <f t="shared" si="418"/>
        <v>-5.9364999134641216E-3</v>
      </c>
      <c r="DR223" s="383">
        <f t="shared" si="418"/>
        <v>-0.13053801698653911</v>
      </c>
      <c r="DS223" s="383">
        <f t="shared" si="418"/>
        <v>9.8970638752469808E-2</v>
      </c>
      <c r="DT223" s="383">
        <f t="shared" si="418"/>
        <v>0.13298125329327082</v>
      </c>
      <c r="DU223" s="383">
        <f t="shared" si="418"/>
        <v>-0.12918910664268368</v>
      </c>
      <c r="DV223" s="382">
        <f t="shared" si="418"/>
        <v>-3.3822840825215028E-3</v>
      </c>
      <c r="DW223" s="382">
        <f t="shared" si="418"/>
        <v>7.7663960009689559E-2</v>
      </c>
      <c r="DX223" s="382">
        <f>DX222/DW222-1</f>
        <v>0.11196313375107225</v>
      </c>
      <c r="DY223" s="382">
        <f t="shared" si="418"/>
        <v>8.0041496414596569E-2</v>
      </c>
      <c r="DZ223" s="382">
        <f t="shared" si="418"/>
        <v>0.13877595600504256</v>
      </c>
      <c r="EA223" s="382">
        <f t="shared" si="418"/>
        <v>8.0408175213670052E-2</v>
      </c>
      <c r="EB223" s="382">
        <f t="shared" si="418"/>
        <v>1.828889882724738E-2</v>
      </c>
      <c r="EC223" s="382">
        <f t="shared" si="418"/>
        <v>-4.4957120221303937E-2</v>
      </c>
      <c r="ED223" s="382">
        <f t="shared" si="418"/>
        <v>3.7365680189933137E-2</v>
      </c>
      <c r="EE223" s="384">
        <f t="shared" si="418"/>
        <v>1.0000000000000231E-2</v>
      </c>
      <c r="EF223" s="384">
        <f t="shared" si="418"/>
        <v>-6.9141550166557098E-3</v>
      </c>
      <c r="EG223" s="384">
        <f t="shared" si="418"/>
        <v>5.6821309997274749E-3</v>
      </c>
      <c r="EH223" s="384">
        <f t="shared" si="418"/>
        <v>1.159700093259719E-2</v>
      </c>
      <c r="EI223" s="384">
        <f t="shared" si="418"/>
        <v>5.073869979924206E-3</v>
      </c>
      <c r="EJ223" s="384">
        <f t="shared" si="418"/>
        <v>8.0297631541710324E-3</v>
      </c>
      <c r="EK223" s="384">
        <f t="shared" si="418"/>
        <v>8.992952006779964E-3</v>
      </c>
      <c r="EL223" s="384">
        <f t="shared" si="418"/>
        <v>-3.6882005022272901E-3</v>
      </c>
      <c r="EM223" s="384">
        <f t="shared" si="418"/>
        <v>0</v>
      </c>
      <c r="EN223" s="384">
        <f t="shared" si="418"/>
        <v>1.0000000000000009E-2</v>
      </c>
      <c r="EO223" s="384">
        <f t="shared" si="418"/>
        <v>1.5165877354014645E-2</v>
      </c>
      <c r="EP223" s="384">
        <f t="shared" si="418"/>
        <v>0</v>
      </c>
      <c r="EQ223" s="384">
        <f t="shared" si="418"/>
        <v>4.2316969745705979E-3</v>
      </c>
      <c r="ER223" s="384">
        <f t="shared" si="418"/>
        <v>-9.3426699414944636E-4</v>
      </c>
      <c r="ES223" s="384">
        <f t="shared" si="418"/>
        <v>0</v>
      </c>
      <c r="ET223" s="384">
        <f t="shared" si="418"/>
        <v>5.8491880053486156E-3</v>
      </c>
      <c r="EU223" s="384">
        <f t="shared" si="418"/>
        <v>5.2111328417479008E-3</v>
      </c>
      <c r="EV223" s="384">
        <f t="shared" si="418"/>
        <v>5.2359588928212464E-3</v>
      </c>
      <c r="EW223" s="384">
        <f t="shared" si="418"/>
        <v>5.2607732890634917E-3</v>
      </c>
      <c r="FZ223" s="386" t="s">
        <v>199</v>
      </c>
      <c r="GA223" s="386" t="s">
        <v>199</v>
      </c>
      <c r="GB223" s="386" t="s">
        <v>199</v>
      </c>
      <c r="GC223" s="386" t="s">
        <v>199</v>
      </c>
      <c r="GD223" s="386" t="s">
        <v>199</v>
      </c>
      <c r="GE223" s="386" t="s">
        <v>199</v>
      </c>
      <c r="GF223" s="386" t="s">
        <v>199</v>
      </c>
      <c r="GG223" s="386" t="s">
        <v>199</v>
      </c>
      <c r="GH223" s="386" t="s">
        <v>199</v>
      </c>
      <c r="GI223" s="386" t="s">
        <v>199</v>
      </c>
      <c r="GJ223" s="386" t="s">
        <v>199</v>
      </c>
      <c r="GK223" s="386" t="s">
        <v>199</v>
      </c>
      <c r="GN223" s="70"/>
    </row>
    <row r="224" spans="1:196" s="382" customFormat="1">
      <c r="A224" s="381" t="s">
        <v>200</v>
      </c>
      <c r="AH224" s="382">
        <f t="shared" ref="AH224:CS224" si="419">AH222/AD222-1</f>
        <v>2.948036690394118E-2</v>
      </c>
      <c r="AI224" s="382">
        <f t="shared" si="419"/>
        <v>-0.18449200140958388</v>
      </c>
      <c r="AJ224" s="382">
        <f t="shared" si="419"/>
        <v>-0.3255693643856753</v>
      </c>
      <c r="AK224" s="382">
        <f t="shared" si="419"/>
        <v>2.6297983811651049E-2</v>
      </c>
      <c r="AL224" s="382">
        <f t="shared" si="419"/>
        <v>-1.0332659674384681E-3</v>
      </c>
      <c r="AM224" s="382">
        <f t="shared" si="419"/>
        <v>-0.16289085938688863</v>
      </c>
      <c r="AN224" s="382">
        <f t="shared" si="419"/>
        <v>-9.9270406793812938E-2</v>
      </c>
      <c r="AO224" s="382">
        <f t="shared" si="419"/>
        <v>-0.24139711676431852</v>
      </c>
      <c r="AP224" s="382">
        <f t="shared" si="419"/>
        <v>-0.28577840820499756</v>
      </c>
      <c r="AQ224" s="382">
        <f t="shared" si="419"/>
        <v>-7.1177994202307748E-2</v>
      </c>
      <c r="AR224" s="382">
        <f t="shared" si="419"/>
        <v>0.19298654321913888</v>
      </c>
      <c r="AS224" s="382">
        <f t="shared" si="419"/>
        <v>8.3123907243988215E-2</v>
      </c>
      <c r="AT224" s="382">
        <f t="shared" si="419"/>
        <v>0.15682293815841164</v>
      </c>
      <c r="AU224" s="382">
        <f t="shared" si="419"/>
        <v>0.16043395334543464</v>
      </c>
      <c r="AV224" s="382">
        <f t="shared" si="419"/>
        <v>0.16644998387372834</v>
      </c>
      <c r="AW224" s="382">
        <f t="shared" si="419"/>
        <v>-5.8354448817047322E-3</v>
      </c>
      <c r="AX224" s="382">
        <f t="shared" si="419"/>
        <v>-1.5972155582414271E-2</v>
      </c>
      <c r="AY224" s="382">
        <f t="shared" si="419"/>
        <v>5.8027447565398571E-3</v>
      </c>
      <c r="AZ224" s="382">
        <f t="shared" si="419"/>
        <v>-5.8796332820392982E-2</v>
      </c>
      <c r="BA224" s="382">
        <f t="shared" si="419"/>
        <v>8.1206075113639642E-2</v>
      </c>
      <c r="BB224" s="382">
        <f t="shared" si="419"/>
        <v>0.13130661848505287</v>
      </c>
      <c r="BC224" s="382">
        <f t="shared" si="419"/>
        <v>3.1331494108269409E-2</v>
      </c>
      <c r="BD224" s="382">
        <f t="shared" si="419"/>
        <v>-0.12091890734369237</v>
      </c>
      <c r="BE224" s="382">
        <f t="shared" si="419"/>
        <v>-0.17831622191839869</v>
      </c>
      <c r="BF224" s="382">
        <f t="shared" si="419"/>
        <v>-0.29227527684670285</v>
      </c>
      <c r="BG224" s="382">
        <f t="shared" si="419"/>
        <v>-0.25814564284978569</v>
      </c>
      <c r="BH224" s="382">
        <f t="shared" si="419"/>
        <v>-0.14175179310826147</v>
      </c>
      <c r="BI224" s="382">
        <f t="shared" si="419"/>
        <v>-8.0890330527620069E-2</v>
      </c>
      <c r="BJ224" s="382">
        <f t="shared" si="419"/>
        <v>1.5248106546242424E-2</v>
      </c>
      <c r="BK224" s="382">
        <f t="shared" si="419"/>
        <v>4.5835489299274945E-2</v>
      </c>
      <c r="BL224" s="382">
        <f t="shared" si="419"/>
        <v>-3.0574149923222715E-2</v>
      </c>
      <c r="BM224" s="382">
        <f t="shared" si="419"/>
        <v>-0.13424808928399101</v>
      </c>
      <c r="BN224" s="382">
        <f t="shared" si="419"/>
        <v>-0.15710496795753393</v>
      </c>
      <c r="BO224" s="382">
        <f t="shared" si="419"/>
        <v>-0.15699496530799661</v>
      </c>
      <c r="BP224" s="382">
        <f t="shared" si="419"/>
        <v>-0.14247131613262987</v>
      </c>
      <c r="BQ224" s="382">
        <f t="shared" si="419"/>
        <v>-9.2958613963453285E-2</v>
      </c>
      <c r="BR224" s="382">
        <f t="shared" si="419"/>
        <v>-3.7931365976135445E-2</v>
      </c>
      <c r="BS224" s="382">
        <f t="shared" si="419"/>
        <v>3.9293740008667033E-2</v>
      </c>
      <c r="BT224" s="382">
        <f t="shared" si="419"/>
        <v>1.7893839689951507E-2</v>
      </c>
      <c r="BU224" s="382">
        <f t="shared" si="419"/>
        <v>5.5767957845273664E-2</v>
      </c>
      <c r="BV224" s="382">
        <f t="shared" si="419"/>
        <v>-6.5304519078120959E-3</v>
      </c>
      <c r="BW224" s="382">
        <f t="shared" si="419"/>
        <v>-3.2885787731879668E-2</v>
      </c>
      <c r="BX224" s="382">
        <f t="shared" si="419"/>
        <v>2.038350847041337E-2</v>
      </c>
      <c r="BY224" s="382">
        <f t="shared" si="419"/>
        <v>4.5046094137000114E-3</v>
      </c>
      <c r="BZ224" s="382">
        <f t="shared" si="419"/>
        <v>-2.0980705331344218E-2</v>
      </c>
      <c r="CA224" s="382">
        <f t="shared" si="419"/>
        <v>-5.8647076568694834E-2</v>
      </c>
      <c r="CB224" s="382">
        <f t="shared" si="419"/>
        <v>-0.10837279695941471</v>
      </c>
      <c r="CC224" s="382">
        <f t="shared" si="419"/>
        <v>-7.416015151403843E-2</v>
      </c>
      <c r="CD224" s="382">
        <f t="shared" si="419"/>
        <v>-1.017287547911927E-2</v>
      </c>
      <c r="CE224" s="382">
        <f t="shared" si="419"/>
        <v>-2.9167592801031206E-2</v>
      </c>
      <c r="CF224" s="382">
        <f t="shared" si="419"/>
        <v>-3.5288948756888372E-2</v>
      </c>
      <c r="CG224" s="382">
        <f t="shared" si="419"/>
        <v>-2.2535836013293231E-2</v>
      </c>
      <c r="CH224" s="382">
        <f t="shared" si="419"/>
        <v>5.284312909204969E-2</v>
      </c>
      <c r="CI224" s="382">
        <f t="shared" si="419"/>
        <v>0.17365907680020976</v>
      </c>
      <c r="CJ224" s="382">
        <f t="shared" si="419"/>
        <v>0.2631591370431472</v>
      </c>
      <c r="CK224" s="382">
        <f t="shared" si="419"/>
        <v>0.2134309178027729</v>
      </c>
      <c r="CL224" s="382">
        <f t="shared" si="419"/>
        <v>7.839599395324881E-2</v>
      </c>
      <c r="CM224" s="382">
        <f t="shared" si="419"/>
        <v>5.6094633390301629E-2</v>
      </c>
      <c r="CN224" s="382">
        <f t="shared" si="419"/>
        <v>-8.1131351506269489E-3</v>
      </c>
      <c r="CO224" s="382">
        <f t="shared" si="419"/>
        <v>-2.1951912005420904E-2</v>
      </c>
      <c r="CP224" s="382">
        <f t="shared" si="419"/>
        <v>-9.2261839161457138E-3</v>
      </c>
      <c r="CQ224" s="382">
        <f t="shared" si="419"/>
        <v>-5.219728922918887E-3</v>
      </c>
      <c r="CR224" s="382">
        <f t="shared" si="419"/>
        <v>-5.9266008197159659E-3</v>
      </c>
      <c r="CS224" s="382">
        <f t="shared" si="419"/>
        <v>-3.0671028747320417E-2</v>
      </c>
      <c r="CT224" s="382">
        <f t="shared" ref="CT224:EW224" si="420">CT222/CP222-1</f>
        <v>0.23625984368535913</v>
      </c>
      <c r="CU224" s="382">
        <f t="shared" si="420"/>
        <v>0.19459044981088502</v>
      </c>
      <c r="CV224" s="382">
        <f t="shared" si="420"/>
        <v>0.19511982117717697</v>
      </c>
      <c r="CW224" s="382">
        <f t="shared" si="420"/>
        <v>0.21413002569195161</v>
      </c>
      <c r="CX224" s="382">
        <f t="shared" si="420"/>
        <v>-3.1385750355026332E-2</v>
      </c>
      <c r="CY224" s="382">
        <f t="shared" si="420"/>
        <v>-3.95170964789332E-2</v>
      </c>
      <c r="CZ224" s="382">
        <f t="shared" si="420"/>
        <v>3.247691406901887E-2</v>
      </c>
      <c r="DA224" s="382">
        <f t="shared" si="420"/>
        <v>7.6722130682866929E-2</v>
      </c>
      <c r="DB224" s="382">
        <f t="shared" si="420"/>
        <v>4.8133452711381475E-2</v>
      </c>
      <c r="DC224" s="382">
        <f t="shared" si="420"/>
        <v>1.823978084366118E-2</v>
      </c>
      <c r="DD224" s="382">
        <f t="shared" si="420"/>
        <v>0.22335369148724449</v>
      </c>
      <c r="DE224" s="382">
        <f t="shared" si="420"/>
        <v>0.23346383829154704</v>
      </c>
      <c r="DF224" s="382">
        <f t="shared" si="420"/>
        <v>0.21452074007772803</v>
      </c>
      <c r="DG224" s="382">
        <f t="shared" si="420"/>
        <v>0.17462929388123904</v>
      </c>
      <c r="DH224" s="382">
        <f t="shared" si="420"/>
        <v>-4.2480493679171949E-2</v>
      </c>
      <c r="DI224" s="382">
        <f t="shared" si="420"/>
        <v>-3.442555666735625E-2</v>
      </c>
      <c r="DJ224" s="383">
        <f t="shared" si="420"/>
        <v>0.10843030186008806</v>
      </c>
      <c r="DK224" s="383">
        <f t="shared" si="420"/>
        <v>0.24625950424913023</v>
      </c>
      <c r="DL224" s="383">
        <f t="shared" si="420"/>
        <v>0.33987614533631394</v>
      </c>
      <c r="DM224" s="383">
        <f t="shared" si="420"/>
        <v>0.34746112937390472</v>
      </c>
      <c r="DN224" s="383">
        <f t="shared" si="420"/>
        <v>0.52161706456454349</v>
      </c>
      <c r="DO224" s="383">
        <f t="shared" si="420"/>
        <v>0.48888361823854742</v>
      </c>
      <c r="DP224" s="383">
        <f t="shared" si="420"/>
        <v>7.2038050547590826E-2</v>
      </c>
      <c r="DQ224" s="383">
        <f t="shared" si="420"/>
        <v>-1.784572893139158E-3</v>
      </c>
      <c r="DR224" s="383">
        <f t="shared" si="420"/>
        <v>-0.30477618626116831</v>
      </c>
      <c r="DS224" s="383">
        <f t="shared" si="420"/>
        <v>-0.23983042064254945</v>
      </c>
      <c r="DT224" s="383">
        <f t="shared" si="420"/>
        <v>7.6151805135381778E-2</v>
      </c>
      <c r="DU224" s="383">
        <f t="shared" si="420"/>
        <v>-5.7278820984322243E-2</v>
      </c>
      <c r="DV224" s="382">
        <f t="shared" si="420"/>
        <v>8.0590809642209882E-2</v>
      </c>
      <c r="DW224" s="382">
        <f t="shared" si="420"/>
        <v>5.9640476283364663E-2</v>
      </c>
      <c r="DX224" s="382">
        <f>DX222/DT222-1</f>
        <v>3.9982913426487521E-2</v>
      </c>
      <c r="DY224" s="382">
        <f>DY222/DU222-1</f>
        <v>0.28986064670399925</v>
      </c>
      <c r="DZ224" s="382">
        <f>DZ222/DV222-1</f>
        <v>0.47384726119523779</v>
      </c>
      <c r="EA224" s="382">
        <f>EA222/DW222-1</f>
        <v>0.47760033656251699</v>
      </c>
      <c r="EB224" s="382">
        <f t="shared" si="420"/>
        <v>0.35312401459691367</v>
      </c>
      <c r="EC224" s="382">
        <f t="shared" si="420"/>
        <v>0.1965201891671331</v>
      </c>
      <c r="ED224" s="382">
        <f t="shared" si="420"/>
        <v>8.9967673931863557E-2</v>
      </c>
      <c r="EE224" s="384">
        <f t="shared" si="420"/>
        <v>1.8936524109016695E-2</v>
      </c>
      <c r="EF224" s="384">
        <f t="shared" si="420"/>
        <v>-6.282558717295883E-3</v>
      </c>
      <c r="EG224" s="384">
        <f t="shared" si="420"/>
        <v>4.6407334288865343E-2</v>
      </c>
      <c r="EH224" s="384">
        <f t="shared" si="420"/>
        <v>2.0414055848347878E-2</v>
      </c>
      <c r="EI224" s="384">
        <f t="shared" si="420"/>
        <v>1.5437132765751649E-2</v>
      </c>
      <c r="EJ224" s="384">
        <f t="shared" si="420"/>
        <v>3.0717392268317489E-2</v>
      </c>
      <c r="EK224" s="384">
        <f t="shared" si="420"/>
        <v>3.4110632229003679E-2</v>
      </c>
      <c r="EL224" s="384">
        <f t="shared" si="420"/>
        <v>1.8485250476248716E-2</v>
      </c>
      <c r="EM224" s="384">
        <f t="shared" si="420"/>
        <v>1.3343676417129746E-2</v>
      </c>
      <c r="EN224" s="384">
        <f t="shared" si="420"/>
        <v>1.5324299531389363E-2</v>
      </c>
      <c r="EO224" s="384">
        <f t="shared" si="420"/>
        <v>2.1535959475866839E-2</v>
      </c>
      <c r="EP224" s="384">
        <f t="shared" si="420"/>
        <v>2.5317536127554829E-2</v>
      </c>
      <c r="EQ224" s="384">
        <f t="shared" si="420"/>
        <v>2.9656369243159952E-2</v>
      </c>
      <c r="ER224" s="384">
        <f t="shared" si="420"/>
        <v>1.8509302259465565E-2</v>
      </c>
      <c r="ES224" s="384">
        <f t="shared" si="420"/>
        <v>3.2934764456085119E-3</v>
      </c>
      <c r="ET224" s="384">
        <f t="shared" si="420"/>
        <v>9.161928613878878E-3</v>
      </c>
      <c r="EU224" s="384">
        <f t="shared" si="420"/>
        <v>1.0146172978652501E-2</v>
      </c>
      <c r="EV224" s="384">
        <f t="shared" si="420"/>
        <v>1.6384831617643814E-2</v>
      </c>
      <c r="EW224" s="384">
        <f t="shared" si="420"/>
        <v>2.1731801791227356E-2</v>
      </c>
      <c r="FH224" s="382">
        <f t="shared" ref="FH224:GK224" si="421">FH222/FG222-1</f>
        <v>-0.12209845714527079</v>
      </c>
      <c r="FI224" s="382">
        <f t="shared" si="421"/>
        <v>-9.2108236352257622E-2</v>
      </c>
      <c r="FJ224" s="382">
        <f t="shared" si="421"/>
        <v>-7.7751117836478145E-2</v>
      </c>
      <c r="FK224" s="382">
        <f t="shared" si="421"/>
        <v>0.11122460938240519</v>
      </c>
      <c r="FL224" s="382">
        <f t="shared" si="421"/>
        <v>8.7552817305482922E-3</v>
      </c>
      <c r="FM224" s="382">
        <f t="shared" si="421"/>
        <v>-5.4311120889464437E-2</v>
      </c>
      <c r="FN224" s="382">
        <f t="shared" si="421"/>
        <v>-0.1933563751424382</v>
      </c>
      <c r="FO224" s="382">
        <f t="shared" si="421"/>
        <v>-2.4719475044492012E-2</v>
      </c>
      <c r="FP224" s="382">
        <f t="shared" si="421"/>
        <v>-0.14298839609662939</v>
      </c>
      <c r="FQ224" s="382">
        <f t="shared" si="421"/>
        <v>1.9681069996571932E-2</v>
      </c>
      <c r="FR224" s="382">
        <f t="shared" si="421"/>
        <v>-3.6161259936665635E-3</v>
      </c>
      <c r="FS224" s="382">
        <f t="shared" si="421"/>
        <v>-6.4650413166805198E-2</v>
      </c>
      <c r="FT224" s="382">
        <f t="shared" si="421"/>
        <v>-2.8946340265380455E-2</v>
      </c>
      <c r="FU224" s="382">
        <f t="shared" si="421"/>
        <v>0.17545060840989168</v>
      </c>
      <c r="FV224" s="382">
        <f t="shared" si="421"/>
        <v>2.6077324217907316E-2</v>
      </c>
      <c r="FW224" s="382">
        <f t="shared" si="421"/>
        <v>-1.3584340702427089E-2</v>
      </c>
      <c r="FX224" s="382">
        <f t="shared" si="421"/>
        <v>0.21083327238641192</v>
      </c>
      <c r="FY224" s="382">
        <f t="shared" si="421"/>
        <v>1.5327358413659509E-2</v>
      </c>
      <c r="FZ224" s="382">
        <f t="shared" si="421"/>
        <v>0.14326986725856417</v>
      </c>
      <c r="GA224" s="382">
        <f t="shared" si="421"/>
        <v>5.1316655691984181E-2</v>
      </c>
      <c r="GB224" s="382">
        <f t="shared" si="421"/>
        <v>0.25345642029652904</v>
      </c>
      <c r="GC224" s="382">
        <f t="shared" si="421"/>
        <v>0.29747753992057069</v>
      </c>
      <c r="GD224" s="382">
        <f t="shared" si="421"/>
        <v>-0.16612743958660459</v>
      </c>
      <c r="GE224" s="382">
        <f t="shared" si="421"/>
        <v>0.11674165898197519</v>
      </c>
      <c r="GF224" s="382">
        <f t="shared" si="421"/>
        <v>0.35034709025014998</v>
      </c>
      <c r="GG224" s="387">
        <f t="shared" si="421"/>
        <v>3.536707661689964E-2</v>
      </c>
      <c r="GH224" s="387">
        <f t="shared" si="421"/>
        <v>2.5796107973896643E-2</v>
      </c>
      <c r="GI224" s="387">
        <f t="shared" si="421"/>
        <v>1.6908989598219959E-2</v>
      </c>
      <c r="GJ224" s="387">
        <f t="shared" si="421"/>
        <v>1.878878984449428E-2</v>
      </c>
      <c r="GK224" s="387">
        <f t="shared" si="421"/>
        <v>1.4563189297693624E-2</v>
      </c>
      <c r="GN224" s="70"/>
    </row>
    <row r="225" spans="1:196" s="376" customFormat="1">
      <c r="A225" s="405" t="s">
        <v>262</v>
      </c>
      <c r="AD225" s="376">
        <v>93.040727271743862</v>
      </c>
      <c r="AE225" s="376">
        <v>100.71895294719972</v>
      </c>
      <c r="AF225" s="376">
        <v>98.859949881208109</v>
      </c>
      <c r="AG225" s="376">
        <v>87.001451048554699</v>
      </c>
      <c r="AH225" s="376">
        <v>90.089990249609983</v>
      </c>
      <c r="AI225" s="376">
        <v>75.614956751966062</v>
      </c>
      <c r="AJ225" s="376">
        <v>60.558352941176466</v>
      </c>
      <c r="AK225" s="376">
        <v>91.996831304840072</v>
      </c>
      <c r="AL225" s="376">
        <v>84.028175647008908</v>
      </c>
      <c r="AM225" s="376">
        <v>57.687667300380227</v>
      </c>
      <c r="AN225" s="376">
        <v>49.195744793039808</v>
      </c>
      <c r="AO225" s="376">
        <v>67.026031896715409</v>
      </c>
      <c r="AP225" s="376">
        <v>64.642946512355337</v>
      </c>
      <c r="AQ225" s="376">
        <v>60.374743326488705</v>
      </c>
      <c r="AR225" s="376">
        <v>71.12954851752022</v>
      </c>
      <c r="AS225" s="376">
        <v>75.297223069880985</v>
      </c>
      <c r="AT225" s="376">
        <v>74.884033088809119</v>
      </c>
      <c r="AU225" s="376">
        <v>67.313224321320845</v>
      </c>
      <c r="AV225" s="376">
        <v>80.359756097560975</v>
      </c>
      <c r="AW225" s="376">
        <v>72.598104508196727</v>
      </c>
      <c r="AX225" s="376">
        <v>73.351718830169318</v>
      </c>
      <c r="AY225" s="376">
        <v>68.170721649484534</v>
      </c>
      <c r="AZ225" s="376">
        <v>75.069262536873154</v>
      </c>
      <c r="BA225" s="376">
        <v>80.703882145835266</v>
      </c>
      <c r="BB225" s="376">
        <v>85.277861370247763</v>
      </c>
      <c r="BC225" s="376">
        <v>71.615919974795219</v>
      </c>
      <c r="BD225" s="376">
        <v>63.454811596940218</v>
      </c>
      <c r="BE225" s="376">
        <v>61.347547264095944</v>
      </c>
      <c r="BF225" s="376">
        <v>54.301148796498907</v>
      </c>
      <c r="BG225" s="376">
        <v>48.604051054384016</v>
      </c>
      <c r="BH225" s="376">
        <v>51.798052059989658</v>
      </c>
      <c r="BI225" s="376">
        <v>56.388862217954873</v>
      </c>
      <c r="BJ225" s="376">
        <v>56.989998118532448</v>
      </c>
      <c r="BK225" s="376">
        <v>51.88606753395829</v>
      </c>
      <c r="BL225" s="376">
        <v>50.218205507299935</v>
      </c>
      <c r="BM225" s="376">
        <v>49.935497049477988</v>
      </c>
      <c r="BN225" s="376">
        <v>49.300634465820714</v>
      </c>
      <c r="BO225" s="376">
        <v>48.097158979391558</v>
      </c>
      <c r="BP225" s="376">
        <v>49.103292104528961</v>
      </c>
      <c r="BQ225" s="376">
        <v>50.384097924884244</v>
      </c>
      <c r="BR225" s="376">
        <v>51.15962072155412</v>
      </c>
      <c r="BS225" s="376">
        <v>52.120218096080158</v>
      </c>
      <c r="BT225" s="376">
        <v>49.26455938697319</v>
      </c>
      <c r="BU225" s="376">
        <v>52.905784458153022</v>
      </c>
      <c r="BV225" s="376">
        <v>54.155389140271495</v>
      </c>
      <c r="BW225" s="376">
        <v>51.12290891283056</v>
      </c>
      <c r="BX225" s="376">
        <v>52.322524549918164</v>
      </c>
      <c r="BY225" s="376">
        <v>49.791692562668324</v>
      </c>
      <c r="BZ225" s="376">
        <v>46.752004350528274</v>
      </c>
      <c r="CA225" s="376">
        <v>43.621268528093765</v>
      </c>
      <c r="CB225" s="376">
        <v>43.739552440010783</v>
      </c>
      <c r="CC225" s="376">
        <v>48.005813602774843</v>
      </c>
      <c r="CD225" s="376">
        <v>48</v>
      </c>
      <c r="CE225" s="376">
        <v>47</v>
      </c>
      <c r="CF225" s="376">
        <v>46</v>
      </c>
      <c r="CG225" s="376">
        <v>49</v>
      </c>
      <c r="CH225" s="376">
        <v>56</v>
      </c>
      <c r="CI225" s="376">
        <v>51</v>
      </c>
      <c r="CJ225" s="376">
        <v>51</v>
      </c>
      <c r="CK225" s="376">
        <v>47</v>
      </c>
      <c r="CL225" s="376">
        <v>47</v>
      </c>
      <c r="CM225" s="376">
        <v>52</v>
      </c>
      <c r="CN225" s="376">
        <v>53</v>
      </c>
      <c r="CO225" s="376">
        <v>52</v>
      </c>
      <c r="CP225" s="376">
        <v>49</v>
      </c>
      <c r="CQ225" s="376">
        <v>52</v>
      </c>
      <c r="CR225" s="376">
        <v>51</v>
      </c>
      <c r="CS225" s="376">
        <v>49</v>
      </c>
      <c r="CT225" s="376">
        <v>78</v>
      </c>
      <c r="CU225" s="376">
        <v>83</v>
      </c>
      <c r="CV225" s="376">
        <v>89</v>
      </c>
      <c r="CW225" s="376">
        <v>82</v>
      </c>
      <c r="CX225" s="376">
        <v>85.371327683615803</v>
      </c>
      <c r="CY225" s="376">
        <v>84.277750565184618</v>
      </c>
      <c r="CZ225" s="376">
        <v>89.7357148237421</v>
      </c>
      <c r="DA225" s="376">
        <v>91.661206806282721</v>
      </c>
      <c r="DB225" s="376">
        <v>90.743557718486258</v>
      </c>
      <c r="DC225" s="376">
        <v>90.787653735632176</v>
      </c>
      <c r="DD225" s="376">
        <v>119.47815537383178</v>
      </c>
      <c r="DE225" s="376">
        <v>129.37490165289256</v>
      </c>
      <c r="DF225" s="376">
        <v>124.29523748395378</v>
      </c>
      <c r="DG225" s="376">
        <v>103</v>
      </c>
      <c r="DH225" s="376">
        <v>109</v>
      </c>
      <c r="DI225" s="376">
        <v>140.24293072100315</v>
      </c>
      <c r="DJ225" s="397">
        <v>152.0579320713818</v>
      </c>
      <c r="DK225" s="397">
        <v>155.7954818343415</v>
      </c>
      <c r="DL225" s="397">
        <v>143.10332194480947</v>
      </c>
      <c r="DM225" s="397">
        <v>147.17811818842335</v>
      </c>
      <c r="DN225" s="397">
        <v>144.12849071207432</v>
      </c>
      <c r="DO225" s="397">
        <v>132.64080691642653</v>
      </c>
      <c r="DP225" s="397">
        <v>129.37306873977087</v>
      </c>
      <c r="DQ225" s="397">
        <v>131.70880144404333</v>
      </c>
      <c r="DR225" s="397">
        <v>126.68955223880597</v>
      </c>
      <c r="DS225" s="397">
        <v>133.41908611599297</v>
      </c>
      <c r="DT225" s="397">
        <v>131.996262362637</v>
      </c>
      <c r="DU225" s="397">
        <v>126.23476011976048</v>
      </c>
      <c r="DV225" s="376">
        <v>125.62448466257668</v>
      </c>
      <c r="DW225" s="376">
        <v>127.99564736164736</v>
      </c>
      <c r="DX225" s="376">
        <v>150.98677595628416</v>
      </c>
      <c r="DY225" s="376">
        <v>171.72570933589992</v>
      </c>
      <c r="DZ225" s="376">
        <v>204.71664581231079</v>
      </c>
      <c r="EA225" s="376">
        <v>207.79433880726015</v>
      </c>
      <c r="EB225" s="376">
        <v>206.06123166023167</v>
      </c>
      <c r="EC225" s="376">
        <v>193.9384676354029</v>
      </c>
      <c r="ED225" s="376">
        <f t="shared" ref="ED225:EW225" si="422">EC225*(1+ED226)</f>
        <v>199.756621664465</v>
      </c>
      <c r="EE225" s="380">
        <f t="shared" si="422"/>
        <v>201.75418788110966</v>
      </c>
      <c r="EF225" s="380">
        <f t="shared" si="422"/>
        <v>205.78927163873186</v>
      </c>
      <c r="EG225" s="380">
        <f t="shared" si="422"/>
        <v>207.84716435511919</v>
      </c>
      <c r="EH225" s="380">
        <f t="shared" si="422"/>
        <v>209.92563599867037</v>
      </c>
      <c r="EI225" s="380">
        <f t="shared" si="422"/>
        <v>209.92563599867037</v>
      </c>
      <c r="EJ225" s="380">
        <f t="shared" si="422"/>
        <v>212.02489235865707</v>
      </c>
      <c r="EK225" s="380">
        <f t="shared" si="422"/>
        <v>214.14514128224363</v>
      </c>
      <c r="EL225" s="380">
        <f t="shared" si="422"/>
        <v>212.00368986942118</v>
      </c>
      <c r="EM225" s="380">
        <f t="shared" si="422"/>
        <v>212.00368986942118</v>
      </c>
      <c r="EN225" s="380">
        <f t="shared" si="422"/>
        <v>214.1237267681154</v>
      </c>
      <c r="EO225" s="380">
        <f t="shared" si="422"/>
        <v>216.26496403579657</v>
      </c>
      <c r="EP225" s="380">
        <f t="shared" si="422"/>
        <v>216.26496403579657</v>
      </c>
      <c r="EQ225" s="380">
        <f t="shared" si="422"/>
        <v>216.26496403579657</v>
      </c>
      <c r="ER225" s="380">
        <f t="shared" si="422"/>
        <v>216.26496403579657</v>
      </c>
      <c r="ES225" s="380">
        <f t="shared" si="422"/>
        <v>216.26496403579657</v>
      </c>
      <c r="ET225" s="380">
        <f t="shared" si="422"/>
        <v>218.42761367615452</v>
      </c>
      <c r="EU225" s="380">
        <f t="shared" si="422"/>
        <v>218.42761367615452</v>
      </c>
      <c r="EV225" s="380">
        <f t="shared" si="422"/>
        <v>218.42761367615452</v>
      </c>
      <c r="EW225" s="380">
        <f t="shared" si="422"/>
        <v>218.42761367615452</v>
      </c>
      <c r="FG225" s="376">
        <f>FG199/FG212*1000</f>
        <v>94.554023835965111</v>
      </c>
      <c r="FH225" s="376">
        <f>FH199/FH212*1000</f>
        <v>79.66238178292933</v>
      </c>
      <c r="FI225" s="376">
        <f>FI199/FI212*1000</f>
        <v>67.188346968351169</v>
      </c>
      <c r="FJ225" s="376">
        <f>FJ199/FJ212*1000</f>
        <v>68.015205435134277</v>
      </c>
      <c r="FK225" s="376">
        <f>FK199/FK212*1000</f>
        <v>73.790130752751722</v>
      </c>
      <c r="FL225" s="376">
        <f>FL199/FL212*1000</f>
        <v>74.988817379655785</v>
      </c>
      <c r="FM225" s="376">
        <f>FM199/FM212*1000</f>
        <v>69.869194525625488</v>
      </c>
      <c r="FN225" s="376">
        <f>FN199/FN212*1000</f>
        <v>52.772499052671463</v>
      </c>
      <c r="FO225" s="376">
        <f>FO199/FO212*1000</f>
        <v>52.353103050248038</v>
      </c>
      <c r="FP225" s="376">
        <f>FP199/FP212*1000</f>
        <v>49.259336432498763</v>
      </c>
      <c r="FQ225" s="376">
        <f>FQ199/FQ212*1000</f>
        <v>51.345768125759143</v>
      </c>
      <c r="FR225" s="376">
        <f>FR199/FR212*1000</f>
        <v>51.899317685982112</v>
      </c>
      <c r="FS225" s="376">
        <f>FS199/FS212*1000</f>
        <v>45.478192310066035</v>
      </c>
      <c r="FT225" s="376">
        <f>FT199/FT212*1000</f>
        <v>47.50596050931906</v>
      </c>
      <c r="FU225" s="376">
        <f>FU199/FU212*1000</f>
        <v>51.542554641704918</v>
      </c>
      <c r="FV225" s="376">
        <f>FV199/FV212*1000</f>
        <v>51.037740290309927</v>
      </c>
      <c r="FW225" s="376">
        <f>FW199/FW212*1000</f>
        <v>50.144616293961192</v>
      </c>
      <c r="FX225" s="376">
        <f>FX199/FX212*1000</f>
        <v>82.977616732409871</v>
      </c>
      <c r="FY225" s="376">
        <f>FY199/FY212*1000</f>
        <v>88.232059166131094</v>
      </c>
      <c r="FZ225" s="376">
        <f>FZ199/FZ212*1000</f>
        <v>109.80047634117864</v>
      </c>
      <c r="GA225" s="376">
        <f>GA199/GA212*1000</f>
        <v>120.66206647058823</v>
      </c>
      <c r="GB225" s="376">
        <f>GB199/GB212*1000</f>
        <v>149.34900754969192</v>
      </c>
      <c r="GC225" s="376">
        <f>GC199/GC212*1000</f>
        <v>134.60013812375252</v>
      </c>
      <c r="GD225" s="376">
        <f>GD199/GD212*1000</f>
        <v>129.50102410611291</v>
      </c>
      <c r="GE225" s="376">
        <f>GE199/GE212*1000</f>
        <v>146.19641426959956</v>
      </c>
      <c r="GF225" s="376">
        <f>GF199/GF212*1000</f>
        <v>202.49432741577567</v>
      </c>
      <c r="GG225" s="380">
        <f>GG199/GG212*1000</f>
        <v>203.66247079262655</v>
      </c>
      <c r="GH225" s="380">
        <f>GH199/GH212*1000</f>
        <v>211.61453949271205</v>
      </c>
      <c r="GI225" s="380">
        <f>GI199/GI212*1000</f>
        <v>213.65704342198762</v>
      </c>
      <c r="GJ225" s="380">
        <f>GJ199/GJ212*1000</f>
        <v>216.26496403579657</v>
      </c>
      <c r="GK225" s="380">
        <f>GK199/GK212*1000</f>
        <v>218.42761367615455</v>
      </c>
      <c r="GN225" s="70"/>
    </row>
    <row r="226" spans="1:196" s="382" customFormat="1">
      <c r="A226" s="381" t="s">
        <v>198</v>
      </c>
      <c r="AE226" s="382">
        <f t="shared" ref="AE226:CP226" si="423">AE225/AD225-1</f>
        <v>8.2525426236513377E-2</v>
      </c>
      <c r="AF226" s="382">
        <f t="shared" si="423"/>
        <v>-1.8457331133755583E-2</v>
      </c>
      <c r="AG226" s="382">
        <f t="shared" si="423"/>
        <v>-0.11995250702537064</v>
      </c>
      <c r="AH226" s="382">
        <f t="shared" si="423"/>
        <v>3.5499858494677294E-2</v>
      </c>
      <c r="AI226" s="382">
        <f t="shared" si="423"/>
        <v>-0.16067304988643383</v>
      </c>
      <c r="AJ226" s="382">
        <f t="shared" si="423"/>
        <v>-0.19912203163956854</v>
      </c>
      <c r="AK226" s="382">
        <f t="shared" si="423"/>
        <v>0.51914355058833039</v>
      </c>
      <c r="AL226" s="382">
        <f t="shared" si="423"/>
        <v>-8.6618805721974113E-2</v>
      </c>
      <c r="AM226" s="382">
        <f t="shared" si="423"/>
        <v>-0.31347233405710984</v>
      </c>
      <c r="AN226" s="382">
        <f t="shared" si="423"/>
        <v>-0.14720516368122316</v>
      </c>
      <c r="AO226" s="382">
        <f t="shared" si="423"/>
        <v>0.36243555573119868</v>
      </c>
      <c r="AP226" s="382">
        <f t="shared" si="423"/>
        <v>-3.5554624329131035E-2</v>
      </c>
      <c r="AQ226" s="382">
        <f t="shared" si="423"/>
        <v>-6.6027361315450617E-2</v>
      </c>
      <c r="AR226" s="382">
        <f t="shared" si="423"/>
        <v>0.17813417661873476</v>
      </c>
      <c r="AS226" s="382">
        <f t="shared" si="423"/>
        <v>5.8592731701849754E-2</v>
      </c>
      <c r="AT226" s="382">
        <f t="shared" si="423"/>
        <v>-5.4874531121605896E-3</v>
      </c>
      <c r="AU226" s="382">
        <f t="shared" si="423"/>
        <v>-0.10110044097798032</v>
      </c>
      <c r="AV226" s="382">
        <f t="shared" si="423"/>
        <v>0.19381825648348516</v>
      </c>
      <c r="AW226" s="382">
        <f t="shared" si="423"/>
        <v>-9.6586300983059203E-2</v>
      </c>
      <c r="AX226" s="382">
        <f t="shared" si="423"/>
        <v>1.0380633586480226E-2</v>
      </c>
      <c r="AY226" s="382">
        <f t="shared" si="423"/>
        <v>-7.0632253249311105E-2</v>
      </c>
      <c r="AZ226" s="382">
        <f t="shared" si="423"/>
        <v>0.10119506909225717</v>
      </c>
      <c r="BA226" s="382">
        <f t="shared" si="423"/>
        <v>7.5058944480698164E-2</v>
      </c>
      <c r="BB226" s="382">
        <f t="shared" si="423"/>
        <v>5.6676074344814475E-2</v>
      </c>
      <c r="BC226" s="382">
        <f t="shared" si="423"/>
        <v>-0.16020501893377692</v>
      </c>
      <c r="BD226" s="382">
        <f t="shared" si="423"/>
        <v>-0.11395662278341534</v>
      </c>
      <c r="BE226" s="382">
        <f t="shared" si="423"/>
        <v>-3.320889747856226E-2</v>
      </c>
      <c r="BF226" s="382">
        <f t="shared" si="423"/>
        <v>-0.11486031278908171</v>
      </c>
      <c r="BG226" s="382">
        <f t="shared" si="423"/>
        <v>-0.10491670744325421</v>
      </c>
      <c r="BH226" s="382">
        <f t="shared" si="423"/>
        <v>6.5714707649200177E-2</v>
      </c>
      <c r="BI226" s="382">
        <f t="shared" si="423"/>
        <v>8.862901162090786E-2</v>
      </c>
      <c r="BJ226" s="382">
        <f t="shared" si="423"/>
        <v>1.0660543180567528E-2</v>
      </c>
      <c r="BK226" s="382">
        <f t="shared" si="423"/>
        <v>-8.9558356783212889E-2</v>
      </c>
      <c r="BL226" s="382">
        <f t="shared" si="423"/>
        <v>-3.2144699067177873E-2</v>
      </c>
      <c r="BM226" s="382">
        <f t="shared" si="423"/>
        <v>-5.6296009577812001E-3</v>
      </c>
      <c r="BN226" s="382">
        <f t="shared" si="423"/>
        <v>-1.2713653035799966E-2</v>
      </c>
      <c r="BO226" s="382">
        <f t="shared" si="423"/>
        <v>-2.4410953316706396E-2</v>
      </c>
      <c r="BP226" s="382">
        <f t="shared" si="423"/>
        <v>2.0918764153377678E-2</v>
      </c>
      <c r="BQ226" s="382">
        <f t="shared" si="423"/>
        <v>2.608390935639826E-2</v>
      </c>
      <c r="BR226" s="382">
        <f t="shared" si="423"/>
        <v>1.5392213587431369E-2</v>
      </c>
      <c r="BS226" s="382">
        <f t="shared" si="423"/>
        <v>1.8776475684881833E-2</v>
      </c>
      <c r="BT226" s="382">
        <f t="shared" si="423"/>
        <v>-5.4789845734005804E-2</v>
      </c>
      <c r="BU226" s="382">
        <f t="shared" si="423"/>
        <v>7.3911654067135846E-2</v>
      </c>
      <c r="BV226" s="382">
        <f t="shared" si="423"/>
        <v>2.3619433960134772E-2</v>
      </c>
      <c r="BW226" s="382">
        <f t="shared" si="423"/>
        <v>-5.5995908728239452E-2</v>
      </c>
      <c r="BX226" s="382">
        <f t="shared" si="423"/>
        <v>2.3465324305646629E-2</v>
      </c>
      <c r="BY226" s="382">
        <f t="shared" si="423"/>
        <v>-4.8369837063869214E-2</v>
      </c>
      <c r="BZ226" s="382">
        <f t="shared" si="423"/>
        <v>-6.1048099706879189E-2</v>
      </c>
      <c r="CA226" s="382">
        <f t="shared" si="423"/>
        <v>-6.6964740141651991E-2</v>
      </c>
      <c r="CB226" s="382">
        <f t="shared" si="423"/>
        <v>2.7116110078466704E-3</v>
      </c>
      <c r="CC226" s="382">
        <f t="shared" si="423"/>
        <v>9.7537833031448473E-2</v>
      </c>
      <c r="CD226" s="382">
        <f t="shared" si="423"/>
        <v>-1.2110205699145116E-4</v>
      </c>
      <c r="CE226" s="382">
        <f t="shared" si="423"/>
        <v>-2.083333333333337E-2</v>
      </c>
      <c r="CF226" s="382">
        <f t="shared" si="423"/>
        <v>-2.1276595744680882E-2</v>
      </c>
      <c r="CG226" s="382">
        <f t="shared" si="423"/>
        <v>6.5217391304347894E-2</v>
      </c>
      <c r="CH226" s="382">
        <f t="shared" si="423"/>
        <v>0.14285714285714279</v>
      </c>
      <c r="CI226" s="382">
        <f t="shared" si="423"/>
        <v>-8.9285714285714302E-2</v>
      </c>
      <c r="CJ226" s="382">
        <f t="shared" si="423"/>
        <v>0</v>
      </c>
      <c r="CK226" s="382">
        <f t="shared" si="423"/>
        <v>-7.8431372549019662E-2</v>
      </c>
      <c r="CL226" s="382">
        <f t="shared" si="423"/>
        <v>0</v>
      </c>
      <c r="CM226" s="382">
        <f t="shared" si="423"/>
        <v>0.1063829787234043</v>
      </c>
      <c r="CN226" s="382">
        <f t="shared" si="423"/>
        <v>1.9230769230769162E-2</v>
      </c>
      <c r="CO226" s="382">
        <f t="shared" si="423"/>
        <v>-1.8867924528301883E-2</v>
      </c>
      <c r="CP226" s="382">
        <f t="shared" si="423"/>
        <v>-5.7692307692307709E-2</v>
      </c>
      <c r="CQ226" s="382">
        <f t="shared" ref="CQ226:DY226" si="424">CQ225/CP225-1</f>
        <v>6.1224489795918435E-2</v>
      </c>
      <c r="CR226" s="382">
        <f t="shared" si="424"/>
        <v>-1.9230769230769273E-2</v>
      </c>
      <c r="CS226" s="382">
        <f t="shared" si="424"/>
        <v>-3.9215686274509776E-2</v>
      </c>
      <c r="CT226" s="382">
        <f t="shared" si="424"/>
        <v>0.59183673469387754</v>
      </c>
      <c r="CU226" s="382">
        <f t="shared" si="424"/>
        <v>6.4102564102564097E-2</v>
      </c>
      <c r="CV226" s="382">
        <f t="shared" si="424"/>
        <v>7.2289156626506035E-2</v>
      </c>
      <c r="CW226" s="382">
        <f t="shared" si="424"/>
        <v>-7.8651685393258397E-2</v>
      </c>
      <c r="CX226" s="382">
        <f t="shared" si="424"/>
        <v>4.1113752239217094E-2</v>
      </c>
      <c r="CY226" s="382">
        <f t="shared" si="424"/>
        <v>-1.2809653405929877E-2</v>
      </c>
      <c r="CZ226" s="382">
        <f t="shared" si="424"/>
        <v>6.4761627143050227E-2</v>
      </c>
      <c r="DA226" s="382">
        <f t="shared" si="424"/>
        <v>2.1457364955777658E-2</v>
      </c>
      <c r="DB226" s="382">
        <f t="shared" si="424"/>
        <v>-1.001131361641161E-2</v>
      </c>
      <c r="DC226" s="382">
        <f t="shared" si="424"/>
        <v>4.8594102165044895E-4</v>
      </c>
      <c r="DD226" s="382">
        <f t="shared" si="424"/>
        <v>0.31601765722181252</v>
      </c>
      <c r="DE226" s="382">
        <f t="shared" si="424"/>
        <v>8.2833102403490733E-2</v>
      </c>
      <c r="DF226" s="382">
        <f t="shared" si="424"/>
        <v>-3.9263134534140987E-2</v>
      </c>
      <c r="DG226" s="382">
        <f t="shared" si="424"/>
        <v>-0.17132786352094098</v>
      </c>
      <c r="DH226" s="382">
        <f t="shared" si="424"/>
        <v>5.8252427184465994E-2</v>
      </c>
      <c r="DI226" s="382">
        <f t="shared" si="424"/>
        <v>0.28663239193580869</v>
      </c>
      <c r="DJ226" s="383">
        <f t="shared" si="424"/>
        <v>8.4246680311346411E-2</v>
      </c>
      <c r="DK226" s="383">
        <f t="shared" si="424"/>
        <v>2.4579775037353313E-2</v>
      </c>
      <c r="DL226" s="383">
        <f t="shared" si="424"/>
        <v>-8.1466803402089005E-2</v>
      </c>
      <c r="DM226" s="383">
        <f t="shared" si="424"/>
        <v>2.8474504911810694E-2</v>
      </c>
      <c r="DN226" s="383">
        <f t="shared" si="424"/>
        <v>-2.0720658164991468E-2</v>
      </c>
      <c r="DO226" s="383">
        <f t="shared" si="424"/>
        <v>-7.9704461892942113E-2</v>
      </c>
      <c r="DP226" s="383">
        <f t="shared" si="424"/>
        <v>-2.4635994401893013E-2</v>
      </c>
      <c r="DQ226" s="383">
        <f t="shared" si="424"/>
        <v>1.8054242100190798E-2</v>
      </c>
      <c r="DR226" s="383">
        <f t="shared" si="424"/>
        <v>-3.8108684842673934E-2</v>
      </c>
      <c r="DS226" s="383">
        <f t="shared" si="424"/>
        <v>5.3118301850984651E-2</v>
      </c>
      <c r="DT226" s="383">
        <f t="shared" si="424"/>
        <v>-1.0664319437167946E-2</v>
      </c>
      <c r="DU226" s="383">
        <f t="shared" si="424"/>
        <v>-4.364898020405894E-2</v>
      </c>
      <c r="DV226" s="382">
        <f t="shared" si="424"/>
        <v>-4.8344485829800998E-3</v>
      </c>
      <c r="DW226" s="382">
        <f t="shared" si="424"/>
        <v>1.8875004386601502E-2</v>
      </c>
      <c r="DX226" s="382">
        <f t="shared" si="424"/>
        <v>0.17962430026761877</v>
      </c>
      <c r="DY226" s="382">
        <f t="shared" si="424"/>
        <v>0.1373559588133757</v>
      </c>
      <c r="DZ226" s="382">
        <f>DZ225/DY225-1</f>
        <v>0.1921141371550823</v>
      </c>
      <c r="EA226" s="382">
        <f>EA225/DZ225-1</f>
        <v>1.5033916674128456E-2</v>
      </c>
      <c r="EB226" s="382">
        <f>EB225/EA225-1</f>
        <v>-8.3404926090696607E-3</v>
      </c>
      <c r="EC226" s="382">
        <f>EC225/EB225-1</f>
        <v>-5.8830882098276693E-2</v>
      </c>
      <c r="ED226" s="382">
        <v>0.03</v>
      </c>
      <c r="EE226" s="463">
        <v>0.01</v>
      </c>
      <c r="EF226" s="463">
        <v>0.02</v>
      </c>
      <c r="EG226" s="463">
        <v>0.01</v>
      </c>
      <c r="EH226" s="463">
        <v>0.01</v>
      </c>
      <c r="EI226" s="463">
        <v>0</v>
      </c>
      <c r="EJ226" s="463">
        <v>0.01</v>
      </c>
      <c r="EK226" s="463">
        <v>0.01</v>
      </c>
      <c r="EL226" s="463">
        <v>-0.01</v>
      </c>
      <c r="EM226" s="463">
        <v>0</v>
      </c>
      <c r="EN226" s="463">
        <v>0.01</v>
      </c>
      <c r="EO226" s="463">
        <v>0.01</v>
      </c>
      <c r="EP226" s="463">
        <v>0</v>
      </c>
      <c r="EQ226" s="463">
        <v>0</v>
      </c>
      <c r="ER226" s="463">
        <v>0</v>
      </c>
      <c r="ES226" s="463">
        <v>0</v>
      </c>
      <c r="ET226" s="463">
        <v>0.01</v>
      </c>
      <c r="EU226" s="463">
        <v>0</v>
      </c>
      <c r="EV226" s="463">
        <v>0</v>
      </c>
      <c r="EW226" s="463">
        <v>0</v>
      </c>
      <c r="FZ226" s="386" t="s">
        <v>199</v>
      </c>
      <c r="GA226" s="386" t="s">
        <v>199</v>
      </c>
      <c r="GB226" s="386" t="s">
        <v>199</v>
      </c>
      <c r="GC226" s="386" t="s">
        <v>199</v>
      </c>
      <c r="GD226" s="386" t="s">
        <v>199</v>
      </c>
      <c r="GE226" s="386" t="s">
        <v>199</v>
      </c>
      <c r="GF226" s="386" t="s">
        <v>199</v>
      </c>
      <c r="GG226" s="386" t="s">
        <v>199</v>
      </c>
      <c r="GH226" s="386" t="s">
        <v>199</v>
      </c>
      <c r="GI226" s="386" t="s">
        <v>199</v>
      </c>
      <c r="GJ226" s="386" t="s">
        <v>199</v>
      </c>
      <c r="GK226" s="386" t="s">
        <v>199</v>
      </c>
      <c r="GN226" s="70"/>
    </row>
    <row r="227" spans="1:196" s="382" customFormat="1">
      <c r="A227" s="381" t="s">
        <v>200</v>
      </c>
      <c r="AH227" s="382">
        <f t="shared" ref="AH227:CS227" si="425">AH225/AD225-1</f>
        <v>-3.1714466434851318E-2</v>
      </c>
      <c r="AI227" s="382">
        <f t="shared" si="425"/>
        <v>-0.24924798620964639</v>
      </c>
      <c r="AJ227" s="382">
        <f t="shared" si="425"/>
        <v>-0.38743289862128727</v>
      </c>
      <c r="AK227" s="382">
        <f t="shared" si="425"/>
        <v>5.7417206219899652E-2</v>
      </c>
      <c r="AL227" s="382">
        <f t="shared" si="425"/>
        <v>-6.7286216657430731E-2</v>
      </c>
      <c r="AM227" s="382">
        <f t="shared" si="425"/>
        <v>-0.23708655300023973</v>
      </c>
      <c r="AN227" s="382">
        <f t="shared" si="425"/>
        <v>-0.1876307329423863</v>
      </c>
      <c r="AO227" s="382">
        <f t="shared" si="425"/>
        <v>-0.27143108141824568</v>
      </c>
      <c r="AP227" s="382">
        <f t="shared" si="425"/>
        <v>-0.23069915519870765</v>
      </c>
      <c r="AQ227" s="382">
        <f t="shared" si="425"/>
        <v>4.6579731021482385E-2</v>
      </c>
      <c r="AR227" s="382">
        <f t="shared" si="425"/>
        <v>0.4458475792317631</v>
      </c>
      <c r="AS227" s="382">
        <f t="shared" si="425"/>
        <v>0.12340266817392931</v>
      </c>
      <c r="AT227" s="382">
        <f t="shared" si="425"/>
        <v>0.15842542967153239</v>
      </c>
      <c r="AU227" s="382">
        <f t="shared" si="425"/>
        <v>0.11492356923674008</v>
      </c>
      <c r="AV227" s="382">
        <f t="shared" si="425"/>
        <v>0.12976614884273063</v>
      </c>
      <c r="AW227" s="382">
        <f t="shared" si="425"/>
        <v>-3.5846189960807573E-2</v>
      </c>
      <c r="AX227" s="382">
        <f t="shared" si="425"/>
        <v>-2.0462496415257769E-2</v>
      </c>
      <c r="AY227" s="382">
        <f t="shared" si="425"/>
        <v>1.2738913293922849E-2</v>
      </c>
      <c r="AZ227" s="382">
        <f t="shared" si="425"/>
        <v>-6.5835112220411496E-2</v>
      </c>
      <c r="BA227" s="382">
        <f t="shared" si="425"/>
        <v>0.11165274482783993</v>
      </c>
      <c r="BB227" s="382">
        <f t="shared" si="425"/>
        <v>0.16258845368969399</v>
      </c>
      <c r="BC227" s="382">
        <f t="shared" si="425"/>
        <v>5.0537800421491363E-2</v>
      </c>
      <c r="BD227" s="382">
        <f t="shared" si="425"/>
        <v>-0.15471646513415593</v>
      </c>
      <c r="BE227" s="382">
        <f t="shared" si="425"/>
        <v>-0.2398439129205906</v>
      </c>
      <c r="BF227" s="382">
        <f t="shared" si="425"/>
        <v>-0.36324448193251935</v>
      </c>
      <c r="BG227" s="382">
        <f t="shared" si="425"/>
        <v>-0.32132337235226593</v>
      </c>
      <c r="BH227" s="382">
        <f t="shared" si="425"/>
        <v>-0.18370174370689718</v>
      </c>
      <c r="BI227" s="382">
        <f t="shared" si="425"/>
        <v>-8.0829393631571822E-2</v>
      </c>
      <c r="BJ227" s="382">
        <f t="shared" si="425"/>
        <v>4.9517356108070176E-2</v>
      </c>
      <c r="BK227" s="382">
        <f t="shared" si="425"/>
        <v>6.7525574687220313E-2</v>
      </c>
      <c r="BL227" s="382">
        <f t="shared" si="425"/>
        <v>-3.0500115156068652E-2</v>
      </c>
      <c r="BM227" s="382">
        <f t="shared" si="425"/>
        <v>-0.11444396844776306</v>
      </c>
      <c r="BN227" s="382">
        <f t="shared" si="425"/>
        <v>-0.13492479218403841</v>
      </c>
      <c r="BO227" s="382">
        <f t="shared" si="425"/>
        <v>-7.3023621458438215E-2</v>
      </c>
      <c r="BP227" s="382">
        <f t="shared" si="425"/>
        <v>-2.2201378792973903E-2</v>
      </c>
      <c r="BQ227" s="382">
        <f t="shared" si="425"/>
        <v>8.9836068911413047E-3</v>
      </c>
      <c r="BR227" s="382">
        <f t="shared" si="425"/>
        <v>3.7707146690418636E-2</v>
      </c>
      <c r="BS227" s="382">
        <f t="shared" si="425"/>
        <v>8.3644423123045097E-2</v>
      </c>
      <c r="BT227" s="382">
        <f t="shared" si="425"/>
        <v>3.2842458322535073E-3</v>
      </c>
      <c r="BU227" s="382">
        <f t="shared" si="425"/>
        <v>5.0049254370461593E-2</v>
      </c>
      <c r="BV227" s="382">
        <f t="shared" si="425"/>
        <v>5.8557283585474851E-2</v>
      </c>
      <c r="BW227" s="382">
        <f t="shared" si="425"/>
        <v>-1.91347853036824E-2</v>
      </c>
      <c r="BX227" s="382">
        <f t="shared" si="425"/>
        <v>6.2072313261236189E-2</v>
      </c>
      <c r="BY227" s="382">
        <f t="shared" si="425"/>
        <v>-5.8861085368611343E-2</v>
      </c>
      <c r="BZ227" s="382">
        <f t="shared" si="425"/>
        <v>-0.13670633536705312</v>
      </c>
      <c r="CA227" s="382">
        <f t="shared" si="425"/>
        <v>-0.14673735404078447</v>
      </c>
      <c r="CB227" s="382">
        <f t="shared" si="425"/>
        <v>-0.16403971680913099</v>
      </c>
      <c r="CC227" s="382">
        <f t="shared" si="425"/>
        <v>-3.5867006481969943E-2</v>
      </c>
      <c r="CD227" s="382">
        <f t="shared" si="425"/>
        <v>2.6693949635073322E-2</v>
      </c>
      <c r="CE227" s="382">
        <f t="shared" si="425"/>
        <v>7.7456057238000753E-2</v>
      </c>
      <c r="CF227" s="382">
        <f t="shared" si="425"/>
        <v>5.1679713986315656E-2</v>
      </c>
      <c r="CG227" s="382">
        <f t="shared" si="425"/>
        <v>2.0709708316821285E-2</v>
      </c>
      <c r="CH227" s="382">
        <f t="shared" si="425"/>
        <v>0.16666666666666674</v>
      </c>
      <c r="CI227" s="382">
        <f t="shared" si="425"/>
        <v>8.5106382978723305E-2</v>
      </c>
      <c r="CJ227" s="382">
        <f t="shared" si="425"/>
        <v>0.10869565217391308</v>
      </c>
      <c r="CK227" s="382">
        <f t="shared" si="425"/>
        <v>-4.081632653061229E-2</v>
      </c>
      <c r="CL227" s="382">
        <f t="shared" si="425"/>
        <v>-0.1607142857142857</v>
      </c>
      <c r="CM227" s="382">
        <f t="shared" si="425"/>
        <v>1.9607843137254832E-2</v>
      </c>
      <c r="CN227" s="382">
        <f t="shared" si="425"/>
        <v>3.9215686274509887E-2</v>
      </c>
      <c r="CO227" s="382">
        <f t="shared" si="425"/>
        <v>0.1063829787234043</v>
      </c>
      <c r="CP227" s="382">
        <f t="shared" si="425"/>
        <v>4.2553191489361764E-2</v>
      </c>
      <c r="CQ227" s="382">
        <f t="shared" si="425"/>
        <v>0</v>
      </c>
      <c r="CR227" s="382">
        <f t="shared" si="425"/>
        <v>-3.7735849056603765E-2</v>
      </c>
      <c r="CS227" s="382">
        <f t="shared" si="425"/>
        <v>-5.7692307692307709E-2</v>
      </c>
      <c r="CT227" s="382">
        <f t="shared" ref="CT227:EW227" si="426">CT225/CP225-1</f>
        <v>0.59183673469387754</v>
      </c>
      <c r="CU227" s="382">
        <f t="shared" si="426"/>
        <v>0.59615384615384626</v>
      </c>
      <c r="CV227" s="382">
        <f t="shared" si="426"/>
        <v>0.74509803921568629</v>
      </c>
      <c r="CW227" s="382">
        <f t="shared" si="426"/>
        <v>0.67346938775510212</v>
      </c>
      <c r="CX227" s="382">
        <f t="shared" si="426"/>
        <v>9.4504201071997418E-2</v>
      </c>
      <c r="CY227" s="382">
        <f t="shared" si="426"/>
        <v>1.5394585122706195E-2</v>
      </c>
      <c r="CZ227" s="382">
        <f t="shared" si="426"/>
        <v>8.2664586937315487E-3</v>
      </c>
      <c r="DA227" s="382">
        <f t="shared" si="426"/>
        <v>0.11781959519856966</v>
      </c>
      <c r="DB227" s="382">
        <f t="shared" si="426"/>
        <v>6.2927802350454476E-2</v>
      </c>
      <c r="DC227" s="382">
        <f t="shared" si="426"/>
        <v>7.7243437642684487E-2</v>
      </c>
      <c r="DD227" s="382">
        <f t="shared" si="426"/>
        <v>0.33144485011914671</v>
      </c>
      <c r="DE227" s="382">
        <f t="shared" si="426"/>
        <v>0.41144663223029743</v>
      </c>
      <c r="DF227" s="382">
        <f t="shared" si="426"/>
        <v>0.36974172722602416</v>
      </c>
      <c r="DG227" s="382">
        <f t="shared" si="426"/>
        <v>0.1345154959057473</v>
      </c>
      <c r="DH227" s="382">
        <f t="shared" si="426"/>
        <v>-8.7699340026191286E-2</v>
      </c>
      <c r="DI227" s="382">
        <f t="shared" si="426"/>
        <v>8.4004153272858595E-2</v>
      </c>
      <c r="DJ227" s="383">
        <f t="shared" si="426"/>
        <v>0.22336088774931628</v>
      </c>
      <c r="DK227" s="383">
        <f t="shared" si="426"/>
        <v>0.5125774935372962</v>
      </c>
      <c r="DL227" s="383">
        <f t="shared" si="426"/>
        <v>0.31287451325513271</v>
      </c>
      <c r="DM227" s="383">
        <f t="shared" si="426"/>
        <v>4.9451244578002651E-2</v>
      </c>
      <c r="DN227" s="383">
        <f t="shared" si="426"/>
        <v>-5.2147502279493718E-2</v>
      </c>
      <c r="DO227" s="383">
        <f t="shared" si="426"/>
        <v>-0.1486222491518433</v>
      </c>
      <c r="DP227" s="383">
        <f t="shared" si="426"/>
        <v>-9.5946432398920312E-2</v>
      </c>
      <c r="DQ227" s="383">
        <f t="shared" si="426"/>
        <v>-0.10510609141350469</v>
      </c>
      <c r="DR227" s="383">
        <f t="shared" si="426"/>
        <v>-0.12099577527739569</v>
      </c>
      <c r="DS227" s="383">
        <f t="shared" si="426"/>
        <v>5.867569850180443E-3</v>
      </c>
      <c r="DT227" s="383">
        <f t="shared" si="426"/>
        <v>2.0276195412374243E-2</v>
      </c>
      <c r="DU227" s="383">
        <f t="shared" si="426"/>
        <v>-4.1561697200687919E-2</v>
      </c>
      <c r="DV227" s="382">
        <f t="shared" si="426"/>
        <v>-8.4069093102616677E-3</v>
      </c>
      <c r="DW227" s="382">
        <f t="shared" si="426"/>
        <v>-4.0649647005005951E-2</v>
      </c>
      <c r="DX227" s="382">
        <f>DX225/DT225-1</f>
        <v>0.14387160101150442</v>
      </c>
      <c r="DY227" s="382">
        <f>DY225/DU225-1</f>
        <v>0.36036785092300727</v>
      </c>
      <c r="DZ227" s="382">
        <f>DZ225/DV225-1</f>
        <v>0.62959192519016582</v>
      </c>
      <c r="EA227" s="382">
        <f>EA225/DW225-1</f>
        <v>0.62344847727629582</v>
      </c>
      <c r="EB227" s="382">
        <f t="shared" si="426"/>
        <v>0.36476343941467726</v>
      </c>
      <c r="EC227" s="382">
        <f t="shared" si="426"/>
        <v>0.12935022010044084</v>
      </c>
      <c r="ED227" s="382">
        <f t="shared" si="426"/>
        <v>-2.4228729071661625E-2</v>
      </c>
      <c r="EE227" s="384">
        <f t="shared" si="426"/>
        <v>-2.906792822567239E-2</v>
      </c>
      <c r="EF227" s="384">
        <f t="shared" si="426"/>
        <v>-1.3198019797738825E-3</v>
      </c>
      <c r="EG227" s="384">
        <f t="shared" si="426"/>
        <v>7.171706000000011E-2</v>
      </c>
      <c r="EH227" s="384">
        <f t="shared" si="426"/>
        <v>5.0907020000000136E-2</v>
      </c>
      <c r="EI227" s="384">
        <f t="shared" si="426"/>
        <v>4.0502000000000038E-2</v>
      </c>
      <c r="EJ227" s="384">
        <f t="shared" si="426"/>
        <v>3.0300999999999911E-2</v>
      </c>
      <c r="EK227" s="384">
        <f t="shared" si="426"/>
        <v>3.0300999999999911E-2</v>
      </c>
      <c r="EL227" s="384">
        <f t="shared" si="426"/>
        <v>9.8989999999998801E-3</v>
      </c>
      <c r="EM227" s="384">
        <f t="shared" si="426"/>
        <v>9.8989999999998801E-3</v>
      </c>
      <c r="EN227" s="384">
        <f t="shared" si="426"/>
        <v>9.8989999999998801E-3</v>
      </c>
      <c r="EO227" s="384">
        <f t="shared" si="426"/>
        <v>9.8990000000001022E-3</v>
      </c>
      <c r="EP227" s="384">
        <f t="shared" si="426"/>
        <v>2.0100000000000007E-2</v>
      </c>
      <c r="EQ227" s="384">
        <f t="shared" si="426"/>
        <v>2.0100000000000007E-2</v>
      </c>
      <c r="ER227" s="384">
        <f t="shared" si="426"/>
        <v>1.0000000000000009E-2</v>
      </c>
      <c r="ES227" s="384">
        <f t="shared" si="426"/>
        <v>0</v>
      </c>
      <c r="ET227" s="384">
        <f t="shared" si="426"/>
        <v>1.0000000000000009E-2</v>
      </c>
      <c r="EU227" s="384">
        <f t="shared" si="426"/>
        <v>1.0000000000000009E-2</v>
      </c>
      <c r="EV227" s="384">
        <f t="shared" si="426"/>
        <v>1.0000000000000009E-2</v>
      </c>
      <c r="EW227" s="384">
        <f t="shared" si="426"/>
        <v>1.0000000000000009E-2</v>
      </c>
      <c r="FH227" s="382">
        <f t="shared" ref="FH227:GK227" si="427">FH225/FG225-1</f>
        <v>-0.15749347779075173</v>
      </c>
      <c r="FI227" s="382">
        <f t="shared" si="427"/>
        <v>-0.15658626487679528</v>
      </c>
      <c r="FJ227" s="382">
        <f t="shared" si="427"/>
        <v>1.2306575531209285E-2</v>
      </c>
      <c r="FK227" s="382">
        <f t="shared" si="427"/>
        <v>8.4906386456848448E-2</v>
      </c>
      <c r="FL227" s="382">
        <f t="shared" si="427"/>
        <v>1.6244538594470059E-2</v>
      </c>
      <c r="FM227" s="382">
        <f t="shared" si="427"/>
        <v>-6.8271817491273534E-2</v>
      </c>
      <c r="FN227" s="382">
        <f t="shared" si="427"/>
        <v>-0.24469575739396243</v>
      </c>
      <c r="FO227" s="382">
        <f t="shared" si="427"/>
        <v>-7.9472454394253766E-3</v>
      </c>
      <c r="FP227" s="382">
        <f t="shared" si="427"/>
        <v>-5.9094235823613062E-2</v>
      </c>
      <c r="FQ227" s="382">
        <f t="shared" si="427"/>
        <v>4.2356065760639439E-2</v>
      </c>
      <c r="FR227" s="382">
        <f t="shared" si="427"/>
        <v>1.0780821485953496E-2</v>
      </c>
      <c r="FS227" s="382">
        <f t="shared" si="427"/>
        <v>-0.12372273205530804</v>
      </c>
      <c r="FT227" s="382">
        <f t="shared" si="427"/>
        <v>4.4587704485435475E-2</v>
      </c>
      <c r="FU227" s="382">
        <f t="shared" si="427"/>
        <v>8.4970266659359917E-2</v>
      </c>
      <c r="FV227" s="382">
        <f t="shared" si="427"/>
        <v>-9.7941274914326026E-3</v>
      </c>
      <c r="FW227" s="382">
        <f t="shared" si="427"/>
        <v>-1.7499285651530028E-2</v>
      </c>
      <c r="FX227" s="382">
        <f t="shared" si="427"/>
        <v>0.65476621151058012</v>
      </c>
      <c r="FY227" s="382">
        <f t="shared" si="427"/>
        <v>6.3323612326273482E-2</v>
      </c>
      <c r="FZ227" s="382">
        <f t="shared" si="427"/>
        <v>0.24445102357224413</v>
      </c>
      <c r="GA227" s="382">
        <f t="shared" si="427"/>
        <v>9.892115673214219E-2</v>
      </c>
      <c r="GB227" s="382">
        <f t="shared" si="427"/>
        <v>0.2377461444031892</v>
      </c>
      <c r="GC227" s="382">
        <f t="shared" si="427"/>
        <v>-9.8754385234412156E-2</v>
      </c>
      <c r="GD227" s="382">
        <f t="shared" si="427"/>
        <v>-3.7883423365817293E-2</v>
      </c>
      <c r="GE227" s="382">
        <f t="shared" si="427"/>
        <v>0.1289209122377788</v>
      </c>
      <c r="GF227" s="382">
        <f t="shared" si="427"/>
        <v>0.3850840899719854</v>
      </c>
      <c r="GG227" s="387">
        <f t="shared" si="427"/>
        <v>5.768770867602413E-3</v>
      </c>
      <c r="GH227" s="387">
        <f t="shared" si="427"/>
        <v>3.9045331568143826E-2</v>
      </c>
      <c r="GI227" s="387">
        <f t="shared" si="427"/>
        <v>9.6520018623100778E-3</v>
      </c>
      <c r="GJ227" s="387">
        <f t="shared" si="427"/>
        <v>1.2206106440676212E-2</v>
      </c>
      <c r="GK227" s="387">
        <f t="shared" si="427"/>
        <v>1.0000000000000009E-2</v>
      </c>
      <c r="GN227" s="70"/>
    </row>
    <row r="228" spans="1:196" s="379" customFormat="1">
      <c r="A228" s="405" t="s">
        <v>263</v>
      </c>
      <c r="AD228" s="376">
        <v>49.54</v>
      </c>
      <c r="AE228" s="376">
        <v>48.519999999999996</v>
      </c>
      <c r="AF228" s="376">
        <v>47.760000000000005</v>
      </c>
      <c r="AG228" s="376">
        <v>42.989999999999995</v>
      </c>
      <c r="AH228" s="376">
        <v>60.386469428007885</v>
      </c>
      <c r="AI228" s="376">
        <v>76.712516446750129</v>
      </c>
      <c r="AJ228" s="376">
        <v>73.16942773294204</v>
      </c>
      <c r="AK228" s="376">
        <v>62.512020815264528</v>
      </c>
      <c r="AL228" s="376">
        <v>116.43732984293196</v>
      </c>
      <c r="AM228" s="376">
        <v>89.601181581233703</v>
      </c>
      <c r="AN228" s="376">
        <v>85.71174705251876</v>
      </c>
      <c r="AO228" s="376">
        <v>64.612190082644631</v>
      </c>
      <c r="AP228" s="376">
        <v>56.170186335403727</v>
      </c>
      <c r="AQ228" s="376">
        <v>48.274412855377008</v>
      </c>
      <c r="AR228" s="376">
        <v>50.049924357034797</v>
      </c>
      <c r="AS228" s="376">
        <v>54.883503401360542</v>
      </c>
      <c r="AT228" s="376">
        <v>63.584756898817346</v>
      </c>
      <c r="AU228" s="376">
        <v>75.833333333333329</v>
      </c>
      <c r="AV228" s="376">
        <v>67.686343612334795</v>
      </c>
      <c r="AW228" s="376">
        <v>66.481178396072011</v>
      </c>
      <c r="AX228" s="376">
        <v>67.441108545034638</v>
      </c>
      <c r="AY228" s="376">
        <v>71.904940119760482</v>
      </c>
      <c r="AZ228" s="376">
        <v>68.99034282955094</v>
      </c>
      <c r="BA228" s="376">
        <v>65.361810879883166</v>
      </c>
      <c r="BB228" s="376">
        <v>69.023283821758326</v>
      </c>
      <c r="BC228" s="376">
        <v>67.882434239857332</v>
      </c>
      <c r="BD228" s="376">
        <v>69.543516355140184</v>
      </c>
      <c r="BE228" s="376">
        <v>69.792134831460672</v>
      </c>
      <c r="BF228" s="376">
        <v>66.223942823108999</v>
      </c>
      <c r="BG228" s="376">
        <v>63.235540241201086</v>
      </c>
      <c r="BH228" s="376">
        <v>63.713388025833481</v>
      </c>
      <c r="BI228" s="376">
        <v>63.256134453781513</v>
      </c>
      <c r="BJ228" s="376">
        <v>63.494136793490206</v>
      </c>
      <c r="BK228" s="376">
        <v>62.665144061841183</v>
      </c>
      <c r="BL228" s="376">
        <v>62.328687700964629</v>
      </c>
      <c r="BM228" s="376">
        <v>52.647156783103171</v>
      </c>
      <c r="BN228" s="376">
        <v>50.510112359550561</v>
      </c>
      <c r="BO228" s="376">
        <v>42.245799999999996</v>
      </c>
      <c r="BP228" s="376">
        <v>40.868916834955023</v>
      </c>
      <c r="BQ228" s="376">
        <v>38.163356745909233</v>
      </c>
      <c r="BR228" s="376">
        <v>41.57885338345865</v>
      </c>
      <c r="BS228" s="376">
        <v>42.561868473045443</v>
      </c>
      <c r="BT228" s="376">
        <v>43.924690576652601</v>
      </c>
      <c r="BU228" s="376">
        <v>41.890229803025981</v>
      </c>
      <c r="BV228" s="376">
        <v>36.982020791797211</v>
      </c>
      <c r="BW228" s="376">
        <v>40.055203209940458</v>
      </c>
      <c r="BX228" s="376">
        <v>43.944733088834553</v>
      </c>
      <c r="BY228" s="376">
        <v>47.761242052181537</v>
      </c>
      <c r="BZ228" s="376">
        <v>46.199074820788525</v>
      </c>
      <c r="CA228" s="376">
        <v>44.144386798052956</v>
      </c>
      <c r="CB228" s="376">
        <v>42.117605815000644</v>
      </c>
      <c r="CC228" s="376">
        <v>42.241055118110232</v>
      </c>
      <c r="CD228" s="376">
        <v>44</v>
      </c>
      <c r="CE228" s="376">
        <v>39</v>
      </c>
      <c r="CF228" s="376">
        <v>37</v>
      </c>
      <c r="CG228" s="376">
        <v>37</v>
      </c>
      <c r="CH228" s="376">
        <v>40</v>
      </c>
      <c r="CI228" s="376">
        <v>49</v>
      </c>
      <c r="CJ228" s="376">
        <v>54</v>
      </c>
      <c r="CK228" s="376">
        <v>59</v>
      </c>
      <c r="CL228" s="376">
        <v>56</v>
      </c>
      <c r="CM228" s="376">
        <v>54</v>
      </c>
      <c r="CN228" s="376">
        <v>50</v>
      </c>
      <c r="CO228" s="376">
        <v>53</v>
      </c>
      <c r="CP228" s="376">
        <v>55</v>
      </c>
      <c r="CQ228" s="376">
        <v>53</v>
      </c>
      <c r="CR228" s="376">
        <v>52</v>
      </c>
      <c r="CS228" s="376">
        <v>52</v>
      </c>
      <c r="CT228" s="376">
        <v>52</v>
      </c>
      <c r="CU228" s="376">
        <v>46</v>
      </c>
      <c r="CV228" s="376">
        <v>39</v>
      </c>
      <c r="CW228" s="376">
        <v>42</v>
      </c>
      <c r="CX228" s="376">
        <v>42.961517359031205</v>
      </c>
      <c r="CY228" s="376">
        <v>44.137736016198431</v>
      </c>
      <c r="CZ228" s="376">
        <v>48.058582839705615</v>
      </c>
      <c r="DA228" s="376">
        <v>49.362288975402578</v>
      </c>
      <c r="DB228" s="376">
        <v>46.770136433512675</v>
      </c>
      <c r="DC228" s="376">
        <v>45.577540539707016</v>
      </c>
      <c r="DD228" s="376">
        <v>52.542118794326242</v>
      </c>
      <c r="DE228" s="376">
        <v>52.452608472400513</v>
      </c>
      <c r="DF228" s="376">
        <v>58.317909196740402</v>
      </c>
      <c r="DG228" s="376">
        <v>62</v>
      </c>
      <c r="DH228" s="376">
        <v>63.77802871556073</v>
      </c>
      <c r="DI228" s="376">
        <v>59.019072802197798</v>
      </c>
      <c r="DJ228" s="397">
        <v>69.76575283441602</v>
      </c>
      <c r="DK228" s="397">
        <v>74.610713949895896</v>
      </c>
      <c r="DL228" s="397">
        <v>86.587815874294918</v>
      </c>
      <c r="DM228" s="397">
        <v>93.296066523775508</v>
      </c>
      <c r="DN228" s="397">
        <v>130.1391447368421</v>
      </c>
      <c r="DO228" s="397">
        <v>134.06520081532818</v>
      </c>
      <c r="DP228" s="397">
        <v>95.42098858603066</v>
      </c>
      <c r="DQ228" s="397">
        <v>92.980905155835543</v>
      </c>
      <c r="DR228" s="397">
        <v>76.819766123329089</v>
      </c>
      <c r="DS228" s="397">
        <v>87.506260419845617</v>
      </c>
      <c r="DT228" s="397">
        <v>107.81220695777444</v>
      </c>
      <c r="DU228" s="397">
        <v>89.126182118863042</v>
      </c>
      <c r="DV228" s="376">
        <v>88.02682080000001</v>
      </c>
      <c r="DW228" s="376">
        <v>99.140588967777163</v>
      </c>
      <c r="DX228" s="376">
        <v>106.02115869816123</v>
      </c>
      <c r="DY228" s="376">
        <v>110.72627736721209</v>
      </c>
      <c r="DZ228" s="376">
        <v>118.74577854666789</v>
      </c>
      <c r="EA228" s="376">
        <v>128.81349154763143</v>
      </c>
      <c r="EB228" s="376">
        <v>133.90990187346998</v>
      </c>
      <c r="EC228" s="376">
        <v>129.9505341572054</v>
      </c>
      <c r="ED228" s="376">
        <f t="shared" ref="ED228:EH228" si="428">EC228*(1+ED229)</f>
        <v>135.14855552349363</v>
      </c>
      <c r="EE228" s="380">
        <f t="shared" si="428"/>
        <v>136.50004107872857</v>
      </c>
      <c r="EF228" s="380">
        <f t="shared" si="428"/>
        <v>133.77004025715399</v>
      </c>
      <c r="EG228" s="380">
        <f t="shared" si="428"/>
        <v>135.10774065972552</v>
      </c>
      <c r="EH228" s="380">
        <f t="shared" si="428"/>
        <v>135.10774065972552</v>
      </c>
      <c r="EI228" s="380">
        <f>EH228*(1+EI229)</f>
        <v>136.45881806632278</v>
      </c>
      <c r="EJ228" s="380">
        <f>EI228*(1+EJ229)</f>
        <v>137.823406246986</v>
      </c>
      <c r="EK228" s="380">
        <f>EJ228*(1+EK229)</f>
        <v>139.20164030945585</v>
      </c>
      <c r="EL228" s="380">
        <f t="shared" ref="EL228" si="429">EK228*(1+EL229)</f>
        <v>139.20164030945585</v>
      </c>
      <c r="EM228" s="380">
        <f>EL228*(1+EM229)</f>
        <v>139.20164030945585</v>
      </c>
      <c r="EN228" s="380">
        <f>EM228*(1+EN229)</f>
        <v>140.59365671255043</v>
      </c>
      <c r="EO228" s="380">
        <f>EN228*(1+EO229)</f>
        <v>143.40552984680144</v>
      </c>
      <c r="EP228" s="380">
        <f t="shared" ref="EP228" si="430">EO228*(1+EP229)</f>
        <v>143.40552984680144</v>
      </c>
      <c r="EQ228" s="380">
        <f>EP228*(1+EQ229)</f>
        <v>144.83958514526947</v>
      </c>
      <c r="ER228" s="380">
        <f>EQ228*(1+ER229)</f>
        <v>144.83958514526947</v>
      </c>
      <c r="ES228" s="380">
        <f>ER228*(1+ES229)</f>
        <v>144.83958514526947</v>
      </c>
      <c r="ET228" s="380">
        <f t="shared" ref="ET228" si="431">ES228*(1+ET229)</f>
        <v>144.83958514526947</v>
      </c>
      <c r="EU228" s="380">
        <f>ET228*(1+EU229)</f>
        <v>146.28798099672215</v>
      </c>
      <c r="EV228" s="380">
        <f>EU228*(1+EV229)</f>
        <v>147.75086080668939</v>
      </c>
      <c r="EW228" s="380">
        <f>EV228*(1+EW229)</f>
        <v>149.22836941475629</v>
      </c>
      <c r="FG228" s="376">
        <f>FG203/FG216*1000</f>
        <v>48.222211214911702</v>
      </c>
      <c r="FH228" s="376">
        <f>FH203/FH216*1000</f>
        <v>70.232378847638287</v>
      </c>
      <c r="FI228" s="376">
        <f>FI203/FI216*1000</f>
        <v>91.437988152198685</v>
      </c>
      <c r="FJ228" s="376">
        <f>FJ203/FJ216*1000</f>
        <v>52.281128404669268</v>
      </c>
      <c r="FK228" s="376">
        <f>FK203/FK216*1000</f>
        <v>68.322984476715078</v>
      </c>
      <c r="FL228" s="376">
        <f>FL203/FL216*1000</f>
        <v>67.908126259234379</v>
      </c>
      <c r="FM228" s="376">
        <f>FM203/FM216*1000</f>
        <v>69.248326133909288</v>
      </c>
      <c r="FN228" s="376">
        <f>FN203/FN216*1000</f>
        <v>63.910680628272253</v>
      </c>
      <c r="FO228" s="376">
        <f>FO203/FO216*1000</f>
        <v>60.669078638833277</v>
      </c>
      <c r="FP228" s="376">
        <f>FP203/FP216*1000</f>
        <v>42.383023757575764</v>
      </c>
      <c r="FQ228" s="376">
        <f>FQ203/FQ216*1000</f>
        <v>42.533464552376728</v>
      </c>
      <c r="FR228" s="376">
        <f>FR203/FR216*1000</f>
        <v>42.634738467018941</v>
      </c>
      <c r="FS228" s="376">
        <f>FS203/FS216*1000</f>
        <v>43.842675223994412</v>
      </c>
      <c r="FT228" s="376">
        <f>FT203/FT216*1000</f>
        <v>39.141519802918332</v>
      </c>
      <c r="FU228" s="376">
        <f>FU203/FU216*1000</f>
        <v>50.404882276469735</v>
      </c>
      <c r="FV228" s="376">
        <f>FV203/FV216*1000</f>
        <v>53.840078146804352</v>
      </c>
      <c r="FW228" s="376">
        <f>FW203/FW216*1000</f>
        <v>52.861885902081397</v>
      </c>
      <c r="FX228" s="376">
        <f>FX203/FX216*1000</f>
        <v>44.684525233197803</v>
      </c>
      <c r="FY228" s="376">
        <f>FY203/FY216*1000</f>
        <v>46.715381775530801</v>
      </c>
      <c r="FZ228" s="376">
        <f>FZ203/FZ216*1000</f>
        <v>49.681099849221603</v>
      </c>
      <c r="GA228" s="376">
        <f>GA203/GA216*1000</f>
        <v>60.882231181642716</v>
      </c>
      <c r="GB228" s="376">
        <f>GB203/GB216*1000</f>
        <v>80.42587895004749</v>
      </c>
      <c r="GC228" s="376">
        <f>GC203/GC216*1000</f>
        <v>120.29517713398455</v>
      </c>
      <c r="GD228" s="376">
        <f>GD203/GD216*1000</f>
        <v>91.900042896782324</v>
      </c>
      <c r="GE228" s="376">
        <f>GE203/GE216*1000</f>
        <v>101.90098766617692</v>
      </c>
      <c r="GF228" s="376">
        <f>GF203/GF216*1000</f>
        <v>127.96197146243213</v>
      </c>
      <c r="GG228" s="380">
        <f>GG203/GG216*1000</f>
        <v>135.13155229257018</v>
      </c>
      <c r="GH228" s="380">
        <f>GH203/GH216*1000</f>
        <v>137.26617570008253</v>
      </c>
      <c r="GI228" s="380">
        <f>GI203/GI216*1000</f>
        <v>140.65621566618515</v>
      </c>
      <c r="GJ228" s="380">
        <f>GJ203/GJ216*1000</f>
        <v>144.50192798158199</v>
      </c>
      <c r="GK228" s="380">
        <f>GK203/GK216*1000</f>
        <v>147.09342539397764</v>
      </c>
      <c r="GN228" s="70"/>
    </row>
    <row r="229" spans="1:196" s="382" customFormat="1">
      <c r="A229" s="381" t="s">
        <v>198</v>
      </c>
      <c r="AE229" s="382">
        <f t="shared" ref="AE229:CP229" si="432">AE228/AD228-1</f>
        <v>-2.0589422688736425E-2</v>
      </c>
      <c r="AF229" s="382">
        <f t="shared" si="432"/>
        <v>-1.5663643858202625E-2</v>
      </c>
      <c r="AG229" s="382">
        <f t="shared" si="432"/>
        <v>-9.9874371859296707E-2</v>
      </c>
      <c r="AH229" s="382">
        <f t="shared" si="432"/>
        <v>0.40466316417789927</v>
      </c>
      <c r="AI229" s="382">
        <f t="shared" si="432"/>
        <v>0.27035935654767806</v>
      </c>
      <c r="AJ229" s="382">
        <f t="shared" si="432"/>
        <v>-4.6186579164920527E-2</v>
      </c>
      <c r="AK229" s="382">
        <f t="shared" si="432"/>
        <v>-0.14565382356925805</v>
      </c>
      <c r="AL229" s="382">
        <f t="shared" si="432"/>
        <v>0.86263903045187829</v>
      </c>
      <c r="AM229" s="382">
        <f t="shared" si="432"/>
        <v>-0.2304771871520831</v>
      </c>
      <c r="AN229" s="382">
        <f t="shared" si="432"/>
        <v>-4.3408295070179737E-2</v>
      </c>
      <c r="AO229" s="382">
        <f t="shared" si="432"/>
        <v>-0.24616878894027971</v>
      </c>
      <c r="AP229" s="382">
        <f t="shared" si="432"/>
        <v>-0.130656517546346</v>
      </c>
      <c r="AQ229" s="382">
        <f t="shared" si="432"/>
        <v>-0.14056876067455848</v>
      </c>
      <c r="AR229" s="382">
        <f t="shared" si="432"/>
        <v>3.67795566354574E-2</v>
      </c>
      <c r="AS229" s="382">
        <f t="shared" si="432"/>
        <v>9.657515183929255E-2</v>
      </c>
      <c r="AT229" s="382">
        <f t="shared" si="432"/>
        <v>0.15854041666810037</v>
      </c>
      <c r="AU229" s="382">
        <f t="shared" si="432"/>
        <v>0.19263384861260358</v>
      </c>
      <c r="AV229" s="382">
        <f t="shared" si="432"/>
        <v>-0.10743283148569494</v>
      </c>
      <c r="AW229" s="382">
        <f t="shared" si="432"/>
        <v>-1.7805145793739707E-2</v>
      </c>
      <c r="AX229" s="382">
        <f t="shared" si="432"/>
        <v>1.4439126563667193E-2</v>
      </c>
      <c r="AY229" s="382">
        <f t="shared" si="432"/>
        <v>6.6188585434432179E-2</v>
      </c>
      <c r="AZ229" s="382">
        <f t="shared" si="432"/>
        <v>-4.0534034036537214E-2</v>
      </c>
      <c r="BA229" s="382">
        <f t="shared" si="432"/>
        <v>-5.2594780672890806E-2</v>
      </c>
      <c r="BB229" s="382">
        <f t="shared" si="432"/>
        <v>5.6018535786958701E-2</v>
      </c>
      <c r="BC229" s="382">
        <f t="shared" si="432"/>
        <v>-1.6528474432585094E-2</v>
      </c>
      <c r="BD229" s="382">
        <f t="shared" si="432"/>
        <v>2.4469984523736166E-2</v>
      </c>
      <c r="BE229" s="382">
        <f t="shared" si="432"/>
        <v>3.5750058287369324E-3</v>
      </c>
      <c r="BF229" s="382">
        <f t="shared" si="432"/>
        <v>-5.1125990299170754E-2</v>
      </c>
      <c r="BG229" s="382">
        <f t="shared" si="432"/>
        <v>-4.5125712159577169E-2</v>
      </c>
      <c r="BH229" s="382">
        <f t="shared" si="432"/>
        <v>7.5566332288730109E-3</v>
      </c>
      <c r="BI229" s="382">
        <f t="shared" si="432"/>
        <v>-7.1767266852387213E-3</v>
      </c>
      <c r="BJ229" s="382">
        <f t="shared" si="432"/>
        <v>3.7625179243696572E-3</v>
      </c>
      <c r="BK229" s="382">
        <f t="shared" si="432"/>
        <v>-1.3056209179522438E-2</v>
      </c>
      <c r="BL229" s="382">
        <f t="shared" si="432"/>
        <v>-5.3691149348434886E-3</v>
      </c>
      <c r="BM229" s="382">
        <f t="shared" si="432"/>
        <v>-0.15533025441367698</v>
      </c>
      <c r="BN229" s="382">
        <f t="shared" si="432"/>
        <v>-4.0591829723243156E-2</v>
      </c>
      <c r="BO229" s="382">
        <f t="shared" si="432"/>
        <v>-0.16361698625261389</v>
      </c>
      <c r="BP229" s="382">
        <f t="shared" si="432"/>
        <v>-3.2592190585690739E-2</v>
      </c>
      <c r="BQ229" s="382">
        <f t="shared" si="432"/>
        <v>-6.6200924775469794E-2</v>
      </c>
      <c r="BR229" s="382">
        <f t="shared" si="432"/>
        <v>8.9496756280893042E-2</v>
      </c>
      <c r="BS229" s="382">
        <f t="shared" si="432"/>
        <v>2.3642188506763029E-2</v>
      </c>
      <c r="BT229" s="382">
        <f t="shared" si="432"/>
        <v>3.2019790307613816E-2</v>
      </c>
      <c r="BU229" s="382">
        <f t="shared" si="432"/>
        <v>-4.6317020038565748E-2</v>
      </c>
      <c r="BV229" s="382">
        <f t="shared" si="432"/>
        <v>-0.11716834771038231</v>
      </c>
      <c r="BW229" s="382">
        <f t="shared" si="432"/>
        <v>8.3099364295011524E-2</v>
      </c>
      <c r="BX229" s="382">
        <f t="shared" si="432"/>
        <v>9.7104235335119471E-2</v>
      </c>
      <c r="BY229" s="382">
        <f t="shared" si="432"/>
        <v>8.6847926818258037E-2</v>
      </c>
      <c r="BZ229" s="382">
        <f t="shared" si="432"/>
        <v>-3.2707843520615842E-2</v>
      </c>
      <c r="CA229" s="382">
        <f t="shared" si="432"/>
        <v>-4.4474657354198976E-2</v>
      </c>
      <c r="CB229" s="382">
        <f t="shared" si="432"/>
        <v>-4.5912541323186007E-2</v>
      </c>
      <c r="CC229" s="382">
        <f t="shared" si="432"/>
        <v>2.9310617429640917E-3</v>
      </c>
      <c r="CD229" s="382">
        <f t="shared" si="432"/>
        <v>4.1640647397930275E-2</v>
      </c>
      <c r="CE229" s="382">
        <f t="shared" si="432"/>
        <v>-0.11363636363636365</v>
      </c>
      <c r="CF229" s="382">
        <f t="shared" si="432"/>
        <v>-5.1282051282051322E-2</v>
      </c>
      <c r="CG229" s="382">
        <f t="shared" si="432"/>
        <v>0</v>
      </c>
      <c r="CH229" s="382">
        <f t="shared" si="432"/>
        <v>8.1081081081081141E-2</v>
      </c>
      <c r="CI229" s="382">
        <f t="shared" si="432"/>
        <v>0.22500000000000009</v>
      </c>
      <c r="CJ229" s="382">
        <f t="shared" si="432"/>
        <v>0.1020408163265305</v>
      </c>
      <c r="CK229" s="382">
        <f t="shared" si="432"/>
        <v>9.259259259259256E-2</v>
      </c>
      <c r="CL229" s="382">
        <f t="shared" si="432"/>
        <v>-5.084745762711862E-2</v>
      </c>
      <c r="CM229" s="382">
        <f t="shared" si="432"/>
        <v>-3.5714285714285698E-2</v>
      </c>
      <c r="CN229" s="382">
        <f t="shared" si="432"/>
        <v>-7.407407407407407E-2</v>
      </c>
      <c r="CO229" s="382">
        <f t="shared" si="432"/>
        <v>6.0000000000000053E-2</v>
      </c>
      <c r="CP229" s="382">
        <f t="shared" si="432"/>
        <v>3.7735849056603765E-2</v>
      </c>
      <c r="CQ229" s="382">
        <f t="shared" ref="CQ229:DY229" si="433">CQ228/CP228-1</f>
        <v>-3.6363636363636376E-2</v>
      </c>
      <c r="CR229" s="382">
        <f t="shared" si="433"/>
        <v>-1.8867924528301883E-2</v>
      </c>
      <c r="CS229" s="382">
        <f t="shared" si="433"/>
        <v>0</v>
      </c>
      <c r="CT229" s="382">
        <f t="shared" si="433"/>
        <v>0</v>
      </c>
      <c r="CU229" s="382">
        <f t="shared" si="433"/>
        <v>-0.11538461538461542</v>
      </c>
      <c r="CV229" s="382">
        <f t="shared" si="433"/>
        <v>-0.15217391304347827</v>
      </c>
      <c r="CW229" s="382">
        <f t="shared" si="433"/>
        <v>7.6923076923076872E-2</v>
      </c>
      <c r="CX229" s="382">
        <f t="shared" si="433"/>
        <v>2.2893270453123948E-2</v>
      </c>
      <c r="CY229" s="382">
        <f t="shared" si="433"/>
        <v>2.7378424447570548E-2</v>
      </c>
      <c r="CZ229" s="382">
        <f t="shared" si="433"/>
        <v>8.8832078339229792E-2</v>
      </c>
      <c r="DA229" s="382">
        <f t="shared" si="433"/>
        <v>2.71274361136562E-2</v>
      </c>
      <c r="DB229" s="382">
        <f t="shared" si="433"/>
        <v>-5.2512810805462884E-2</v>
      </c>
      <c r="DC229" s="382">
        <f t="shared" si="433"/>
        <v>-2.5499089477770243E-2</v>
      </c>
      <c r="DD229" s="382">
        <f t="shared" si="433"/>
        <v>0.15280724172801086</v>
      </c>
      <c r="DE229" s="382">
        <f t="shared" si="433"/>
        <v>-1.7035917846426329E-3</v>
      </c>
      <c r="DF229" s="382">
        <f t="shared" si="433"/>
        <v>0.11182095409851911</v>
      </c>
      <c r="DG229" s="382">
        <f t="shared" si="433"/>
        <v>6.313825125036221E-2</v>
      </c>
      <c r="DH229" s="382">
        <f t="shared" si="433"/>
        <v>2.8677882509044128E-2</v>
      </c>
      <c r="DI229" s="382">
        <f t="shared" si="433"/>
        <v>-7.4617482057764306E-2</v>
      </c>
      <c r="DJ229" s="383">
        <f t="shared" si="433"/>
        <v>0.1820882559140784</v>
      </c>
      <c r="DK229" s="383">
        <f t="shared" si="433"/>
        <v>6.9446123902354273E-2</v>
      </c>
      <c r="DL229" s="383">
        <f t="shared" si="433"/>
        <v>0.16052790933540906</v>
      </c>
      <c r="DM229" s="383">
        <f t="shared" si="433"/>
        <v>7.7473378693595718E-2</v>
      </c>
      <c r="DN229" s="383">
        <f t="shared" si="433"/>
        <v>0.39490494707702939</v>
      </c>
      <c r="DO229" s="383">
        <f t="shared" si="433"/>
        <v>3.0168141080264999E-2</v>
      </c>
      <c r="DP229" s="383">
        <f t="shared" si="433"/>
        <v>-0.2882493890605442</v>
      </c>
      <c r="DQ229" s="383">
        <f t="shared" si="433"/>
        <v>-2.5571768500335379E-2</v>
      </c>
      <c r="DR229" s="383">
        <f t="shared" si="433"/>
        <v>-0.17381137563051752</v>
      </c>
      <c r="DS229" s="383">
        <f t="shared" si="433"/>
        <v>0.13911125789370482</v>
      </c>
      <c r="DT229" s="383">
        <f t="shared" si="433"/>
        <v>0.23205135770290108</v>
      </c>
      <c r="DU229" s="383">
        <f t="shared" si="433"/>
        <v>-0.17332012177646949</v>
      </c>
      <c r="DV229" s="382">
        <f t="shared" si="433"/>
        <v>-1.2334886255947475E-2</v>
      </c>
      <c r="DW229" s="382">
        <f t="shared" si="433"/>
        <v>0.12625434006105962</v>
      </c>
      <c r="DX229" s="382">
        <f t="shared" si="433"/>
        <v>6.9402147011860205E-2</v>
      </c>
      <c r="DY229" s="382">
        <f t="shared" si="433"/>
        <v>4.4379053453341033E-2</v>
      </c>
      <c r="DZ229" s="382">
        <f>DZ228/DY228-1</f>
        <v>7.2426359579126576E-2</v>
      </c>
      <c r="EA229" s="382">
        <f>EA228/DZ228-1</f>
        <v>8.4783755045295006E-2</v>
      </c>
      <c r="EB229" s="382">
        <f>EB228/EA228-1</f>
        <v>3.9564258872325064E-2</v>
      </c>
      <c r="EC229" s="382">
        <f>EC228/EB228-1</f>
        <v>-2.9567400624382123E-2</v>
      </c>
      <c r="ED229" s="382">
        <v>0.04</v>
      </c>
      <c r="EE229" s="384">
        <v>0.01</v>
      </c>
      <c r="EF229" s="384">
        <v>-0.02</v>
      </c>
      <c r="EG229" s="384">
        <v>0.01</v>
      </c>
      <c r="EH229" s="384">
        <v>0</v>
      </c>
      <c r="EI229" s="384">
        <v>0.01</v>
      </c>
      <c r="EJ229" s="384">
        <v>0.01</v>
      </c>
      <c r="EK229" s="384">
        <v>0.01</v>
      </c>
      <c r="EL229" s="384">
        <v>0</v>
      </c>
      <c r="EM229" s="384">
        <v>0</v>
      </c>
      <c r="EN229" s="384">
        <v>0.01</v>
      </c>
      <c r="EO229" s="384">
        <v>0.02</v>
      </c>
      <c r="EP229" s="384">
        <v>0</v>
      </c>
      <c r="EQ229" s="384">
        <v>0.01</v>
      </c>
      <c r="ER229" s="384">
        <v>0</v>
      </c>
      <c r="ES229" s="384">
        <v>0</v>
      </c>
      <c r="ET229" s="384">
        <v>0</v>
      </c>
      <c r="EU229" s="384">
        <v>0.01</v>
      </c>
      <c r="EV229" s="384">
        <v>0.01</v>
      </c>
      <c r="EW229" s="384">
        <v>0.01</v>
      </c>
      <c r="EZ229" s="392"/>
      <c r="FA229" s="392"/>
      <c r="FB229" s="392"/>
      <c r="FC229" s="392"/>
      <c r="FD229" s="392"/>
      <c r="FE229" s="392"/>
      <c r="FF229" s="392"/>
      <c r="FZ229" s="386" t="s">
        <v>199</v>
      </c>
      <c r="GA229" s="386" t="s">
        <v>199</v>
      </c>
      <c r="GB229" s="386" t="s">
        <v>199</v>
      </c>
      <c r="GC229" s="386" t="s">
        <v>199</v>
      </c>
      <c r="GD229" s="386" t="s">
        <v>199</v>
      </c>
      <c r="GE229" s="386" t="s">
        <v>199</v>
      </c>
      <c r="GF229" s="386" t="s">
        <v>199</v>
      </c>
      <c r="GG229" s="386" t="s">
        <v>199</v>
      </c>
      <c r="GH229" s="386" t="s">
        <v>199</v>
      </c>
      <c r="GI229" s="386" t="s">
        <v>199</v>
      </c>
      <c r="GJ229" s="386" t="s">
        <v>199</v>
      </c>
      <c r="GK229" s="386" t="s">
        <v>199</v>
      </c>
      <c r="GN229" s="70"/>
    </row>
    <row r="230" spans="1:196" s="382" customFormat="1">
      <c r="A230" s="381" t="s">
        <v>200</v>
      </c>
      <c r="AH230" s="382">
        <f t="shared" ref="AH230:CS230" si="434">AH228/AD228-1</f>
        <v>0.21894367032716766</v>
      </c>
      <c r="AI230" s="382">
        <f t="shared" si="434"/>
        <v>0.58104939090581476</v>
      </c>
      <c r="AJ230" s="382">
        <f t="shared" si="434"/>
        <v>0.5320231937383173</v>
      </c>
      <c r="AK230" s="382">
        <f t="shared" si="434"/>
        <v>0.45410609014339465</v>
      </c>
      <c r="AL230" s="382">
        <f t="shared" si="434"/>
        <v>0.92820230998514197</v>
      </c>
      <c r="AM230" s="382">
        <f t="shared" si="434"/>
        <v>0.16801254516830011</v>
      </c>
      <c r="AN230" s="382">
        <f t="shared" si="434"/>
        <v>0.17141475214695401</v>
      </c>
      <c r="AO230" s="382">
        <f t="shared" si="434"/>
        <v>3.3596246609696401E-2</v>
      </c>
      <c r="AP230" s="382">
        <f t="shared" si="434"/>
        <v>-0.51759297116161584</v>
      </c>
      <c r="AQ230" s="382">
        <f t="shared" si="434"/>
        <v>-0.46123017572473934</v>
      </c>
      <c r="AR230" s="382">
        <f t="shared" si="434"/>
        <v>-0.41606692106780463</v>
      </c>
      <c r="AS230" s="382">
        <f t="shared" si="434"/>
        <v>-0.15057045224500587</v>
      </c>
      <c r="AT230" s="382">
        <f t="shared" si="434"/>
        <v>0.13200188653709799</v>
      </c>
      <c r="AU230" s="382">
        <f t="shared" si="434"/>
        <v>0.57088049026134735</v>
      </c>
      <c r="AV230" s="382">
        <f t="shared" si="434"/>
        <v>0.35237654166046917</v>
      </c>
      <c r="AW230" s="382">
        <f t="shared" si="434"/>
        <v>0.21131440735293805</v>
      </c>
      <c r="AX230" s="382">
        <f t="shared" si="434"/>
        <v>6.0648995676022111E-2</v>
      </c>
      <c r="AY230" s="382">
        <f t="shared" si="434"/>
        <v>-5.1802987431729841E-2</v>
      </c>
      <c r="AZ230" s="382">
        <f t="shared" si="434"/>
        <v>1.9265322184998546E-2</v>
      </c>
      <c r="BA230" s="382">
        <f t="shared" si="434"/>
        <v>-1.6837359733908985E-2</v>
      </c>
      <c r="BB230" s="382">
        <f t="shared" si="434"/>
        <v>2.3460101870466321E-2</v>
      </c>
      <c r="BC230" s="382">
        <f t="shared" si="434"/>
        <v>-5.5941996102124691E-2</v>
      </c>
      <c r="BD230" s="382">
        <f t="shared" si="434"/>
        <v>8.0181298266037704E-3</v>
      </c>
      <c r="BE230" s="382">
        <f t="shared" si="434"/>
        <v>6.7781536220274052E-2</v>
      </c>
      <c r="BF230" s="382">
        <f t="shared" si="434"/>
        <v>-4.0556473752801803E-2</v>
      </c>
      <c r="BG230" s="382">
        <f t="shared" si="434"/>
        <v>-6.8455028914207849E-2</v>
      </c>
      <c r="BH230" s="382">
        <f t="shared" si="434"/>
        <v>-8.3834247027915532E-2</v>
      </c>
      <c r="BI230" s="382">
        <f t="shared" si="434"/>
        <v>-9.3649526461151877E-2</v>
      </c>
      <c r="BJ230" s="382">
        <f t="shared" si="434"/>
        <v>-4.1220832122762396E-2</v>
      </c>
      <c r="BK230" s="382">
        <f t="shared" si="434"/>
        <v>-9.0201835421066523E-3</v>
      </c>
      <c r="BL230" s="382">
        <f t="shared" si="434"/>
        <v>-2.1733270946247663E-2</v>
      </c>
      <c r="BM230" s="382">
        <f t="shared" si="434"/>
        <v>-0.1677146060581659</v>
      </c>
      <c r="BN230" s="382">
        <f t="shared" si="434"/>
        <v>-0.20449170726061183</v>
      </c>
      <c r="BO230" s="382">
        <f t="shared" si="434"/>
        <v>-0.32584851383554359</v>
      </c>
      <c r="BP230" s="382">
        <f t="shared" si="434"/>
        <v>-0.34430005921137796</v>
      </c>
      <c r="BQ230" s="382">
        <f t="shared" si="434"/>
        <v>-0.27511077372828685</v>
      </c>
      <c r="BR230" s="382">
        <f t="shared" si="434"/>
        <v>-0.17682120587093031</v>
      </c>
      <c r="BS230" s="382">
        <f t="shared" si="434"/>
        <v>7.4816543430458182E-3</v>
      </c>
      <c r="BT230" s="382">
        <f t="shared" si="434"/>
        <v>7.4770118181453515E-2</v>
      </c>
      <c r="BU230" s="382">
        <f t="shared" si="434"/>
        <v>9.7655797993090099E-2</v>
      </c>
      <c r="BV230" s="382">
        <f t="shared" si="434"/>
        <v>-0.11055698311993856</v>
      </c>
      <c r="BW230" s="382">
        <f t="shared" si="434"/>
        <v>-5.8894624532108253E-2</v>
      </c>
      <c r="BX230" s="382">
        <f t="shared" si="434"/>
        <v>4.5629262082047539E-4</v>
      </c>
      <c r="BY230" s="382">
        <f t="shared" si="434"/>
        <v>0.1401523046486477</v>
      </c>
      <c r="BZ230" s="382">
        <f t="shared" si="434"/>
        <v>0.24923067565403834</v>
      </c>
      <c r="CA230" s="382">
        <f t="shared" si="434"/>
        <v>0.10208869910558049</v>
      </c>
      <c r="CB230" s="382">
        <f t="shared" si="434"/>
        <v>-4.1577844383315798E-2</v>
      </c>
      <c r="CC230" s="382">
        <f t="shared" si="434"/>
        <v>-0.11557879772138724</v>
      </c>
      <c r="CD230" s="382">
        <f t="shared" si="434"/>
        <v>-4.7599975309440379E-2</v>
      </c>
      <c r="CE230" s="382">
        <f t="shared" si="434"/>
        <v>-0.11653546852031149</v>
      </c>
      <c r="CF230" s="382">
        <f t="shared" si="434"/>
        <v>-0.1215075196220663</v>
      </c>
      <c r="CG230" s="382">
        <f t="shared" si="434"/>
        <v>-0.12407491014264949</v>
      </c>
      <c r="CH230" s="382">
        <f t="shared" si="434"/>
        <v>-9.0909090909090939E-2</v>
      </c>
      <c r="CI230" s="382">
        <f t="shared" si="434"/>
        <v>0.25641025641025639</v>
      </c>
      <c r="CJ230" s="382">
        <f t="shared" si="434"/>
        <v>0.45945945945945943</v>
      </c>
      <c r="CK230" s="382">
        <f t="shared" si="434"/>
        <v>0.59459459459459452</v>
      </c>
      <c r="CL230" s="382">
        <f t="shared" si="434"/>
        <v>0.39999999999999991</v>
      </c>
      <c r="CM230" s="382">
        <f t="shared" si="434"/>
        <v>0.1020408163265305</v>
      </c>
      <c r="CN230" s="382">
        <f t="shared" si="434"/>
        <v>-7.407407407407407E-2</v>
      </c>
      <c r="CO230" s="382">
        <f t="shared" si="434"/>
        <v>-0.10169491525423724</v>
      </c>
      <c r="CP230" s="382">
        <f t="shared" si="434"/>
        <v>-1.7857142857142905E-2</v>
      </c>
      <c r="CQ230" s="382">
        <f t="shared" si="434"/>
        <v>-1.851851851851849E-2</v>
      </c>
      <c r="CR230" s="382">
        <f t="shared" si="434"/>
        <v>4.0000000000000036E-2</v>
      </c>
      <c r="CS230" s="382">
        <f t="shared" si="434"/>
        <v>-1.8867924528301883E-2</v>
      </c>
      <c r="CT230" s="382">
        <f t="shared" ref="CT230:EW230" si="435">CT228/CP228-1</f>
        <v>-5.4545454545454564E-2</v>
      </c>
      <c r="CU230" s="382">
        <f t="shared" si="435"/>
        <v>-0.13207547169811318</v>
      </c>
      <c r="CV230" s="382">
        <f t="shared" si="435"/>
        <v>-0.25</v>
      </c>
      <c r="CW230" s="382">
        <f t="shared" si="435"/>
        <v>-0.19230769230769229</v>
      </c>
      <c r="CX230" s="382">
        <f t="shared" si="435"/>
        <v>-0.17381697386478456</v>
      </c>
      <c r="CY230" s="382">
        <f t="shared" si="435"/>
        <v>-4.0483999647860203E-2</v>
      </c>
      <c r="CZ230" s="382">
        <f t="shared" si="435"/>
        <v>0.23227135486424655</v>
      </c>
      <c r="DA230" s="382">
        <f t="shared" si="435"/>
        <v>0.1752925946524424</v>
      </c>
      <c r="DB230" s="382">
        <f t="shared" si="435"/>
        <v>8.8651875180587369E-2</v>
      </c>
      <c r="DC230" s="382">
        <f t="shared" si="435"/>
        <v>3.2620715366555642E-2</v>
      </c>
      <c r="DD230" s="382">
        <f t="shared" si="435"/>
        <v>9.3293137036000395E-2</v>
      </c>
      <c r="DE230" s="382">
        <f t="shared" si="435"/>
        <v>6.2604866207437215E-2</v>
      </c>
      <c r="DF230" s="382">
        <f t="shared" si="435"/>
        <v>0.24690483380658446</v>
      </c>
      <c r="DG230" s="382">
        <f t="shared" si="435"/>
        <v>0.36031912353817752</v>
      </c>
      <c r="DH230" s="382">
        <f t="shared" si="435"/>
        <v>0.21384577133664795</v>
      </c>
      <c r="DI230" s="382">
        <f t="shared" si="435"/>
        <v>0.12518851818880328</v>
      </c>
      <c r="DJ230" s="383">
        <f t="shared" si="435"/>
        <v>0.19630065267009744</v>
      </c>
      <c r="DK230" s="383">
        <f t="shared" si="435"/>
        <v>0.20339861209509502</v>
      </c>
      <c r="DL230" s="383">
        <f t="shared" si="435"/>
        <v>0.35764333922050184</v>
      </c>
      <c r="DM230" s="383">
        <f t="shared" si="435"/>
        <v>0.58077824835467906</v>
      </c>
      <c r="DN230" s="383">
        <f t="shared" si="435"/>
        <v>0.86537290073709894</v>
      </c>
      <c r="DO230" s="383">
        <f t="shared" si="435"/>
        <v>0.79686259141493232</v>
      </c>
      <c r="DP230" s="383">
        <f t="shared" si="435"/>
        <v>0.10201403768584982</v>
      </c>
      <c r="DQ230" s="383">
        <f t="shared" si="435"/>
        <v>-3.3780777655791905E-3</v>
      </c>
      <c r="DR230" s="383">
        <f t="shared" si="435"/>
        <v>-0.40971053499184718</v>
      </c>
      <c r="DS230" s="383">
        <f t="shared" si="435"/>
        <v>-0.347285799091268</v>
      </c>
      <c r="DT230" s="383">
        <f t="shared" si="435"/>
        <v>0.12985841537967269</v>
      </c>
      <c r="DU230" s="383">
        <f t="shared" si="435"/>
        <v>-4.145714682506052E-2</v>
      </c>
      <c r="DV230" s="382">
        <f t="shared" si="435"/>
        <v>0.14588764379572217</v>
      </c>
      <c r="DW230" s="382">
        <f t="shared" si="435"/>
        <v>0.1329542422691965</v>
      </c>
      <c r="DX230" s="382">
        <f t="shared" si="435"/>
        <v>-1.6612666692879086E-2</v>
      </c>
      <c r="DY230" s="382">
        <f t="shared" si="435"/>
        <v>0.24235409545022479</v>
      </c>
      <c r="DZ230" s="382">
        <f t="shared" si="435"/>
        <v>0.34897270476758924</v>
      </c>
      <c r="EA230" s="382">
        <f t="shared" si="435"/>
        <v>0.29930125379322292</v>
      </c>
      <c r="EB230" s="382">
        <f t="shared" si="435"/>
        <v>0.26304884343612089</v>
      </c>
      <c r="EC230" s="382">
        <f t="shared" si="435"/>
        <v>0.17361964338634883</v>
      </c>
      <c r="ED230" s="382">
        <f t="shared" si="435"/>
        <v>0.13813355874692701</v>
      </c>
      <c r="EE230" s="384">
        <f t="shared" si="435"/>
        <v>5.967192907161345E-2</v>
      </c>
      <c r="EF230" s="384">
        <f t="shared" si="435"/>
        <v>-1.0444456635337884E-3</v>
      </c>
      <c r="EG230" s="384">
        <f t="shared" si="435"/>
        <v>3.968591999999993E-2</v>
      </c>
      <c r="EH230" s="384">
        <f t="shared" si="435"/>
        <v>-3.0200000000002447E-4</v>
      </c>
      <c r="EI230" s="384">
        <f t="shared" si="435"/>
        <v>-3.0200000000013549E-4</v>
      </c>
      <c r="EJ230" s="384">
        <f t="shared" si="435"/>
        <v>3.0300999999999911E-2</v>
      </c>
      <c r="EK230" s="384">
        <f t="shared" si="435"/>
        <v>3.0300999999999911E-2</v>
      </c>
      <c r="EL230" s="384">
        <f t="shared" si="435"/>
        <v>3.0300999999999911E-2</v>
      </c>
      <c r="EM230" s="384">
        <f t="shared" si="435"/>
        <v>2.0100000000000007E-2</v>
      </c>
      <c r="EN230" s="384">
        <f t="shared" si="435"/>
        <v>2.0100000000000007E-2</v>
      </c>
      <c r="EO230" s="384">
        <f t="shared" si="435"/>
        <v>3.0200000000000227E-2</v>
      </c>
      <c r="EP230" s="384">
        <f t="shared" si="435"/>
        <v>3.0200000000000227E-2</v>
      </c>
      <c r="EQ230" s="384">
        <f t="shared" si="435"/>
        <v>4.050200000000026E-2</v>
      </c>
      <c r="ER230" s="384">
        <f t="shared" si="435"/>
        <v>3.0200000000000227E-2</v>
      </c>
      <c r="ES230" s="384">
        <f t="shared" si="435"/>
        <v>1.0000000000000009E-2</v>
      </c>
      <c r="ET230" s="384">
        <f t="shared" si="435"/>
        <v>1.0000000000000009E-2</v>
      </c>
      <c r="EU230" s="384">
        <f t="shared" si="435"/>
        <v>1.0000000000000009E-2</v>
      </c>
      <c r="EV230" s="384">
        <f t="shared" si="435"/>
        <v>2.0100000000000007E-2</v>
      </c>
      <c r="EW230" s="384">
        <f t="shared" si="435"/>
        <v>3.0301000000000133E-2</v>
      </c>
      <c r="FH230" s="382">
        <f>FH228/FG228-1</f>
        <v>0.45643215186947717</v>
      </c>
      <c r="FI230" s="382">
        <f t="shared" ref="FI230:GK230" si="436">FI228/FH228-1</f>
        <v>0.30193494300632651</v>
      </c>
      <c r="FJ230" s="382">
        <f t="shared" si="436"/>
        <v>-0.42823404734531956</v>
      </c>
      <c r="FK230" s="382">
        <f t="shared" si="436"/>
        <v>0.30683836714230339</v>
      </c>
      <c r="FL230" s="382">
        <f t="shared" si="436"/>
        <v>-6.0720154521658465E-3</v>
      </c>
      <c r="FM230" s="382">
        <f t="shared" si="436"/>
        <v>1.9735485994103241E-2</v>
      </c>
      <c r="FN230" s="382">
        <f t="shared" si="436"/>
        <v>-7.707977656117404E-2</v>
      </c>
      <c r="FO230" s="382">
        <f t="shared" si="436"/>
        <v>-5.0720817828452058E-2</v>
      </c>
      <c r="FP230" s="382">
        <f t="shared" si="436"/>
        <v>-0.30140650379933265</v>
      </c>
      <c r="FQ230" s="382">
        <f t="shared" si="436"/>
        <v>3.5495531338551878E-3</v>
      </c>
      <c r="FR230" s="382">
        <f t="shared" si="436"/>
        <v>2.3810408041766706E-3</v>
      </c>
      <c r="FS230" s="382">
        <f t="shared" si="436"/>
        <v>2.8332219227986899E-2</v>
      </c>
      <c r="FT230" s="382">
        <f t="shared" si="436"/>
        <v>-0.10722784129977569</v>
      </c>
      <c r="FU230" s="382">
        <f t="shared" si="436"/>
        <v>0.28775996768300316</v>
      </c>
      <c r="FV230" s="382">
        <f t="shared" si="436"/>
        <v>6.8152046293703084E-2</v>
      </c>
      <c r="FW230" s="382">
        <f t="shared" si="436"/>
        <v>-1.8168477431547259E-2</v>
      </c>
      <c r="FX230" s="382">
        <f t="shared" si="436"/>
        <v>-0.15469294235984898</v>
      </c>
      <c r="FY230" s="382">
        <f t="shared" si="436"/>
        <v>4.5448766250384187E-2</v>
      </c>
      <c r="FZ230" s="382">
        <f t="shared" si="436"/>
        <v>6.3484830070343667E-2</v>
      </c>
      <c r="GA230" s="382">
        <f t="shared" si="436"/>
        <v>0.22546061513162363</v>
      </c>
      <c r="GB230" s="382">
        <f t="shared" si="436"/>
        <v>0.3210074169275452</v>
      </c>
      <c r="GC230" s="382">
        <f t="shared" si="436"/>
        <v>0.49572722989698237</v>
      </c>
      <c r="GD230" s="382">
        <f t="shared" si="436"/>
        <v>-0.23604549171223865</v>
      </c>
      <c r="GE230" s="382">
        <f t="shared" si="436"/>
        <v>0.10882415779312704</v>
      </c>
      <c r="GF230" s="382">
        <f t="shared" si="436"/>
        <v>0.25574809816004751</v>
      </c>
      <c r="GG230" s="387">
        <f t="shared" si="436"/>
        <v>5.6028996335391268E-2</v>
      </c>
      <c r="GH230" s="387">
        <f t="shared" si="436"/>
        <v>1.5796632032249125E-2</v>
      </c>
      <c r="GI230" s="387">
        <f t="shared" si="436"/>
        <v>2.4696834080302654E-2</v>
      </c>
      <c r="GJ230" s="387">
        <f t="shared" si="436"/>
        <v>2.7341218425239955E-2</v>
      </c>
      <c r="GK230" s="387">
        <f t="shared" si="436"/>
        <v>1.793399886488678E-2</v>
      </c>
      <c r="GN230" s="70"/>
    </row>
    <row r="231" spans="1:196" s="456" customFormat="1">
      <c r="A231" s="455"/>
      <c r="AH231" s="459"/>
      <c r="AI231" s="459"/>
      <c r="AJ231" s="459"/>
      <c r="AK231" s="459"/>
      <c r="AL231" s="459"/>
      <c r="AM231" s="459"/>
      <c r="AN231" s="459"/>
      <c r="AO231" s="459"/>
      <c r="AP231" s="459"/>
      <c r="AQ231" s="459"/>
      <c r="AR231" s="459"/>
      <c r="AS231" s="459"/>
      <c r="AT231" s="459"/>
      <c r="AU231" s="459"/>
      <c r="AV231" s="459"/>
      <c r="AW231" s="459"/>
      <c r="AX231" s="459"/>
      <c r="AY231" s="459"/>
      <c r="AZ231" s="459"/>
      <c r="BA231" s="459"/>
      <c r="BB231" s="459"/>
      <c r="BC231" s="459"/>
      <c r="BD231" s="459"/>
      <c r="BE231" s="459"/>
      <c r="BF231" s="459"/>
      <c r="BG231" s="459"/>
      <c r="BH231" s="459"/>
      <c r="BI231" s="459"/>
      <c r="BJ231" s="459"/>
      <c r="BK231" s="459"/>
      <c r="BL231" s="459"/>
      <c r="BM231" s="459"/>
      <c r="BN231" s="459"/>
      <c r="BO231" s="459"/>
      <c r="BP231" s="459"/>
      <c r="BQ231" s="459"/>
      <c r="BR231" s="459"/>
      <c r="BS231" s="459"/>
      <c r="BT231" s="459"/>
      <c r="BU231" s="459"/>
      <c r="BV231" s="459"/>
      <c r="BW231" s="459"/>
      <c r="BX231" s="459"/>
      <c r="BY231" s="459"/>
      <c r="BZ231" s="459"/>
      <c r="CA231" s="459"/>
      <c r="CB231" s="459"/>
      <c r="CC231" s="459"/>
      <c r="CD231" s="459"/>
      <c r="CE231" s="459"/>
      <c r="CF231" s="459"/>
      <c r="CG231" s="459"/>
      <c r="CH231" s="459"/>
      <c r="CI231" s="459"/>
      <c r="CJ231" s="459"/>
      <c r="CK231" s="459"/>
      <c r="CL231" s="459"/>
      <c r="CM231" s="459"/>
      <c r="CN231" s="459"/>
      <c r="CO231" s="459"/>
      <c r="CP231" s="459"/>
      <c r="CQ231" s="459"/>
      <c r="CR231" s="459"/>
      <c r="CS231" s="459"/>
      <c r="CT231" s="459"/>
      <c r="CU231" s="459"/>
      <c r="CV231" s="459"/>
      <c r="CW231" s="459"/>
      <c r="CX231" s="459"/>
      <c r="CY231" s="459"/>
      <c r="CZ231" s="459"/>
      <c r="DA231" s="459"/>
      <c r="DB231" s="459"/>
      <c r="DC231" s="459"/>
      <c r="DD231" s="459"/>
      <c r="DE231" s="459"/>
      <c r="DF231" s="459"/>
      <c r="DG231" s="459"/>
      <c r="DH231" s="459"/>
      <c r="DI231" s="459"/>
      <c r="DJ231" s="460"/>
      <c r="DK231" s="460"/>
      <c r="DL231" s="460"/>
      <c r="DM231" s="460"/>
      <c r="DN231" s="458"/>
      <c r="DO231" s="458"/>
      <c r="DP231" s="426"/>
      <c r="DQ231" s="426"/>
      <c r="DR231" s="426"/>
      <c r="DS231" s="458"/>
      <c r="DT231" s="458"/>
      <c r="DU231" s="458"/>
      <c r="DV231" s="458"/>
      <c r="DW231" s="458"/>
      <c r="DX231" s="418"/>
      <c r="DY231" s="418"/>
      <c r="DZ231" s="418"/>
      <c r="EA231" s="418"/>
      <c r="EB231" s="418"/>
      <c r="EC231" s="418"/>
      <c r="ED231" s="418"/>
      <c r="EE231" s="418"/>
      <c r="EF231" s="418"/>
      <c r="EG231" s="418"/>
      <c r="EH231" s="418"/>
      <c r="EI231" s="418"/>
      <c r="EJ231" s="418"/>
      <c r="EK231" s="418"/>
      <c r="EL231" s="418"/>
      <c r="EM231" s="418"/>
      <c r="EN231" s="418"/>
      <c r="EO231" s="418"/>
      <c r="EP231" s="418"/>
      <c r="EQ231" s="418"/>
      <c r="ER231" s="418"/>
      <c r="ES231" s="418"/>
      <c r="ET231" s="418"/>
      <c r="EU231" s="418"/>
      <c r="EV231" s="418"/>
      <c r="EW231" s="418"/>
      <c r="FH231" s="459"/>
      <c r="FI231" s="459"/>
      <c r="FJ231" s="459"/>
      <c r="FK231" s="459"/>
      <c r="FL231" s="459"/>
      <c r="FM231" s="459"/>
      <c r="FN231" s="459"/>
      <c r="FO231" s="459"/>
      <c r="FP231" s="459"/>
      <c r="FQ231" s="459"/>
      <c r="FR231" s="459"/>
      <c r="FS231" s="459"/>
      <c r="FT231" s="459"/>
      <c r="FU231" s="459"/>
      <c r="FV231" s="459"/>
      <c r="FW231" s="459"/>
      <c r="FX231" s="459"/>
      <c r="FY231" s="459"/>
      <c r="FZ231" s="459"/>
      <c r="GA231" s="459"/>
      <c r="GB231" s="118"/>
      <c r="GC231" s="118"/>
      <c r="GD231" s="118"/>
      <c r="GE231" s="118"/>
      <c r="GF231" s="118"/>
      <c r="GG231" s="459"/>
      <c r="GH231" s="459"/>
      <c r="GI231" s="459"/>
      <c r="GJ231" s="459"/>
      <c r="GK231" s="459"/>
      <c r="GN231" s="70"/>
    </row>
    <row r="232" spans="1:196" hidden="1" outlineLevel="1">
      <c r="A232" s="99" t="s">
        <v>279</v>
      </c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100"/>
      <c r="BC232" s="100"/>
      <c r="BD232" s="100"/>
      <c r="BE232" s="100"/>
      <c r="BF232" s="100"/>
      <c r="BG232" s="100"/>
      <c r="BH232" s="100"/>
      <c r="BI232" s="100"/>
      <c r="BJ232" s="100"/>
      <c r="BK232" s="100"/>
      <c r="BL232" s="100"/>
      <c r="BM232" s="100"/>
      <c r="BN232" s="100"/>
      <c r="BO232" s="100"/>
      <c r="BP232" s="100"/>
      <c r="BQ232" s="100"/>
      <c r="BR232" s="100"/>
      <c r="BS232" s="100"/>
      <c r="BT232" s="100"/>
      <c r="BU232" s="100"/>
      <c r="BV232" s="100"/>
      <c r="BW232" s="100"/>
      <c r="BX232" s="100"/>
      <c r="BY232" s="100"/>
      <c r="BZ232" s="100"/>
      <c r="CA232" s="100"/>
      <c r="CB232" s="100"/>
      <c r="CC232" s="100"/>
      <c r="CD232" s="100"/>
      <c r="CE232" s="100"/>
      <c r="CF232" s="100"/>
      <c r="CG232" s="100"/>
      <c r="CH232" s="100"/>
      <c r="CI232" s="100"/>
      <c r="CJ232" s="100"/>
      <c r="CK232" s="100"/>
      <c r="CL232" s="100"/>
      <c r="CM232" s="100"/>
      <c r="CN232" s="100"/>
      <c r="CO232" s="100"/>
      <c r="CP232" s="100"/>
      <c r="CQ232" s="100"/>
      <c r="CR232" s="100"/>
      <c r="CS232" s="100"/>
      <c r="CT232" s="101"/>
      <c r="CU232" s="101"/>
      <c r="CV232" s="101"/>
      <c r="CW232" s="101"/>
      <c r="CX232" s="101"/>
      <c r="CY232" s="101"/>
      <c r="CZ232" s="102"/>
      <c r="DA232" s="103"/>
      <c r="DB232" s="103"/>
      <c r="DC232" s="103"/>
      <c r="DD232" s="102"/>
      <c r="DE232" s="104"/>
      <c r="DF232" s="105"/>
      <c r="DG232" s="105"/>
      <c r="DH232" s="105"/>
      <c r="DI232" s="105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N232" s="48"/>
    </row>
    <row r="233" spans="1:196" s="379" customFormat="1" hidden="1" outlineLevel="1">
      <c r="A233" s="405" t="s">
        <v>284</v>
      </c>
      <c r="AD233" s="376">
        <v>37480.660000000003</v>
      </c>
      <c r="AE233" s="376">
        <v>38675.442999999999</v>
      </c>
      <c r="AF233" s="376">
        <v>39040.197</v>
      </c>
      <c r="AG233" s="376">
        <v>39067.154999999999</v>
      </c>
      <c r="AH233" s="376">
        <v>32601.300999999999</v>
      </c>
      <c r="AI233" s="376">
        <v>34975.544999999998</v>
      </c>
      <c r="AJ233" s="376">
        <v>38610.1</v>
      </c>
      <c r="AK233" s="376">
        <v>42633.574999999997</v>
      </c>
      <c r="AL233" s="376">
        <v>42572.982500000006</v>
      </c>
      <c r="AM233" s="376">
        <v>37451.700000000004</v>
      </c>
      <c r="AN233" s="376">
        <v>38538.722999999998</v>
      </c>
      <c r="AO233" s="376">
        <v>43112.049999999996</v>
      </c>
      <c r="AP233" s="376">
        <v>41806</v>
      </c>
      <c r="AQ233" s="376">
        <v>40505</v>
      </c>
      <c r="AR233" s="376">
        <v>45716</v>
      </c>
      <c r="AS233" s="376">
        <v>50153</v>
      </c>
      <c r="AT233" s="376">
        <v>45826</v>
      </c>
      <c r="AU233" s="376">
        <v>45190</v>
      </c>
      <c r="AV233" s="376">
        <v>45994</v>
      </c>
      <c r="AW233" s="376">
        <v>52306</v>
      </c>
      <c r="AX233" s="376">
        <v>51710</v>
      </c>
      <c r="AY233" s="376">
        <v>51535</v>
      </c>
      <c r="AZ233" s="376">
        <v>57643</v>
      </c>
      <c r="BA233" s="376">
        <v>61383</v>
      </c>
      <c r="BB233" s="376">
        <v>56362</v>
      </c>
      <c r="BC233" s="376">
        <v>51870</v>
      </c>
      <c r="BD233" s="376">
        <v>59730</v>
      </c>
      <c r="BE233" s="376">
        <v>65876</v>
      </c>
      <c r="BF233" s="376">
        <v>56153</v>
      </c>
      <c r="BG233" s="376">
        <v>62979</v>
      </c>
      <c r="BH233" s="376">
        <v>73150</v>
      </c>
      <c r="BI233" s="376">
        <v>77785</v>
      </c>
      <c r="BJ233" s="376">
        <v>70464.031999999992</v>
      </c>
      <c r="BK233" s="376">
        <v>73614.792354626596</v>
      </c>
      <c r="BL233" s="376">
        <v>81398.934797199996</v>
      </c>
      <c r="BM233" s="376">
        <v>63639.542881492795</v>
      </c>
      <c r="BN233" s="376">
        <v>60477.569951500009</v>
      </c>
      <c r="BO233" s="376">
        <v>66447.039824649997</v>
      </c>
      <c r="BP233" s="376">
        <v>78203.079924050006</v>
      </c>
      <c r="BQ233" s="376">
        <v>84779.556749060008</v>
      </c>
      <c r="BR233" s="376">
        <v>81038.836889789993</v>
      </c>
      <c r="BS233" s="376">
        <v>83975.886853082397</v>
      </c>
      <c r="BT233" s="376">
        <v>86011.614344000001</v>
      </c>
      <c r="BU233" s="376">
        <v>85286.45157200002</v>
      </c>
      <c r="BV233" s="376">
        <v>87679.087617837999</v>
      </c>
      <c r="BW233" s="376">
        <v>85995.903013280898</v>
      </c>
      <c r="BX233" s="376">
        <v>93793.944657999993</v>
      </c>
      <c r="BY233" s="376">
        <v>92362.685887999993</v>
      </c>
      <c r="BZ233" s="376">
        <v>88279.046399999992</v>
      </c>
      <c r="CA233" s="376">
        <v>88625.586992800003</v>
      </c>
      <c r="CB233" s="376">
        <v>86525.695766799996</v>
      </c>
      <c r="CC233" s="376">
        <v>81893.577676799992</v>
      </c>
      <c r="CD233" s="376">
        <v>73090</v>
      </c>
      <c r="CE233" s="376">
        <v>79422</v>
      </c>
      <c r="CF233" s="376">
        <v>80433</v>
      </c>
      <c r="CG233" s="376">
        <v>79971</v>
      </c>
      <c r="CH233" s="376">
        <v>73090</v>
      </c>
      <c r="CI233" s="376">
        <v>81334</v>
      </c>
      <c r="CJ233" s="376">
        <v>86057</v>
      </c>
      <c r="CK233" s="376">
        <v>80087</v>
      </c>
      <c r="CL233" s="376">
        <v>67459</v>
      </c>
      <c r="CM233" s="376">
        <v>63847</v>
      </c>
      <c r="CN233" s="376">
        <v>69654</v>
      </c>
      <c r="CO233" s="376">
        <v>70777</v>
      </c>
      <c r="CP233" s="376">
        <v>63942</v>
      </c>
      <c r="CQ233" s="376">
        <v>61496</v>
      </c>
      <c r="CR233" s="376">
        <v>69633</v>
      </c>
      <c r="CS233" s="376">
        <v>67589</v>
      </c>
      <c r="CT233" s="376">
        <v>61544</v>
      </c>
      <c r="CU233" s="376">
        <v>65798</v>
      </c>
      <c r="CV233" s="376">
        <v>69049</v>
      </c>
      <c r="CW233" s="376">
        <v>68644</v>
      </c>
      <c r="CX233" s="376">
        <v>61838</v>
      </c>
      <c r="CY233" s="376">
        <v>65899.757704000003</v>
      </c>
      <c r="CZ233" s="376">
        <v>76140</v>
      </c>
      <c r="DA233" s="376">
        <v>70543</v>
      </c>
      <c r="DB233" s="376">
        <v>61782.312553837502</v>
      </c>
      <c r="DC233" s="376">
        <v>67566.544181295991</v>
      </c>
      <c r="DD233" s="376">
        <v>72677.753438750005</v>
      </c>
      <c r="DE233" s="376">
        <v>75522.833715327535</v>
      </c>
      <c r="DF233" s="376">
        <v>72605.868354445993</v>
      </c>
      <c r="DG233" s="376">
        <v>72571.072956738994</v>
      </c>
      <c r="DH233" s="376">
        <v>85308.049610029309</v>
      </c>
      <c r="DI233" s="376">
        <v>104849.07667125411</v>
      </c>
      <c r="DJ233" s="397">
        <v>105152.0486144506</v>
      </c>
      <c r="DK233" s="397">
        <v>101890.16959204433</v>
      </c>
      <c r="DL233" s="397">
        <v>85736.812375279042</v>
      </c>
      <c r="DM233" s="397">
        <v>92585.612746235027</v>
      </c>
      <c r="DN233" s="397">
        <v>79839.351549526895</v>
      </c>
      <c r="DO233" s="397">
        <v>72660.652729496243</v>
      </c>
      <c r="DP233" s="397">
        <v>68163.3986</v>
      </c>
      <c r="DQ233" s="397">
        <v>52829.984872720001</v>
      </c>
      <c r="DR233" s="397">
        <v>50417.217120000001</v>
      </c>
      <c r="DS233" s="397">
        <v>59963.2745</v>
      </c>
      <c r="DT233" s="397">
        <v>68947.575996</v>
      </c>
      <c r="DU233" s="397">
        <v>76579.463870000007</v>
      </c>
      <c r="DV233" s="376">
        <v>70202.006806064004</v>
      </c>
      <c r="DW233" s="376">
        <v>68771.021052910772</v>
      </c>
      <c r="DX233" s="376">
        <v>69517.583270000003</v>
      </c>
      <c r="DY233" s="376">
        <v>77329.375620000006</v>
      </c>
      <c r="DZ233" s="376">
        <v>71791.535480000006</v>
      </c>
      <c r="EA233" s="376">
        <v>72592.268686800002</v>
      </c>
      <c r="EB233" s="376">
        <v>75668.571460200008</v>
      </c>
      <c r="EC233" s="376">
        <v>76857.150772159992</v>
      </c>
      <c r="ED233" s="376">
        <v>68657.898799999995</v>
      </c>
      <c r="EE233" s="380">
        <v>69185.038371999995</v>
      </c>
      <c r="EF233" s="380">
        <v>69806.536579439999</v>
      </c>
      <c r="EG233" s="380">
        <v>70602.859419028799</v>
      </c>
      <c r="EH233" s="380">
        <v>65100.786660710539</v>
      </c>
      <c r="EI233" s="380">
        <v>67498.587961990139</v>
      </c>
      <c r="EJ233" s="380">
        <v>71368.482153949197</v>
      </c>
      <c r="EK233" s="380">
        <v>74082.664993357495</v>
      </c>
      <c r="EL233" s="380">
        <v>66591.622367475007</v>
      </c>
      <c r="EM233" s="380">
        <v>68313.716778461821</v>
      </c>
      <c r="EN233" s="380">
        <v>71261.46441629871</v>
      </c>
      <c r="EO233" s="380">
        <v>73679.417034283542</v>
      </c>
      <c r="EP233" s="380"/>
      <c r="EQ233" s="380"/>
      <c r="ER233" s="380"/>
      <c r="ES233" s="380"/>
      <c r="ET233" s="380"/>
      <c r="EU233" s="380"/>
      <c r="EV233" s="380"/>
      <c r="EW233" s="380"/>
      <c r="FG233" s="376">
        <f>AD233+AE233+AF233+AG233</f>
        <v>154263.45500000002</v>
      </c>
      <c r="FH233" s="376">
        <f>AH233+AI233+AJ233+AK233</f>
        <v>148820.52100000001</v>
      </c>
      <c r="FI233" s="376">
        <f>AL233+AM233+AN233+AO233</f>
        <v>161675.45550000001</v>
      </c>
      <c r="FJ233" s="376">
        <f>AP233+AQ233+AR233+AS233</f>
        <v>178180</v>
      </c>
      <c r="FK233" s="376">
        <f>AT233+AU233+AV233+AW233</f>
        <v>189316</v>
      </c>
      <c r="FL233" s="376">
        <f>AX233+AY233+AZ233+BA233</f>
        <v>222271</v>
      </c>
      <c r="FM233" s="376">
        <f>BB233+BC233+BD233+BE233</f>
        <v>233838</v>
      </c>
      <c r="FN233" s="376">
        <f>BF233+BG233+BH233+BI233</f>
        <v>270067</v>
      </c>
      <c r="FO233" s="376">
        <f>BJ233+BK233+BL233+BM233</f>
        <v>289117.30203331937</v>
      </c>
      <c r="FP233" s="376">
        <f>BN233+BO233+BP233+BQ233</f>
        <v>289907.24644925998</v>
      </c>
      <c r="FQ233" s="376">
        <f>BR233+BS233+BT233+BU233</f>
        <v>336312.78965887241</v>
      </c>
      <c r="FR233" s="376">
        <f>BV233+BW233+BX233+BY233</f>
        <v>359831.62117711891</v>
      </c>
      <c r="FS233" s="376">
        <f>BZ233+CA233+CB233+CC233</f>
        <v>345323.90683639992</v>
      </c>
      <c r="FT233" s="376">
        <f>CD233+CE233+CF233+CG233</f>
        <v>312916</v>
      </c>
      <c r="FU233" s="376">
        <f>CH233+CI233+CJ233+CK233</f>
        <v>320568</v>
      </c>
      <c r="FV233" s="376">
        <f>CL233+CM233+CN233+CO233</f>
        <v>271737</v>
      </c>
      <c r="FW233" s="376">
        <f>CP233+CQ233+CR233+CS233</f>
        <v>262660</v>
      </c>
      <c r="FX233" s="376">
        <f>CT233+CU233+CV233+CW233</f>
        <v>265035</v>
      </c>
      <c r="FY233" s="376">
        <f>CX233+CY233+CZ233+DA233</f>
        <v>274420.75770399999</v>
      </c>
      <c r="FZ233" s="376">
        <f>DB233+DC233+DD233+DE233</f>
        <v>277549.44388921105</v>
      </c>
      <c r="GA233" s="376">
        <f>SUM(DF233:DI233)</f>
        <v>335334.0675924684</v>
      </c>
      <c r="GB233" s="376">
        <f>SUM(DJ233:DM233)</f>
        <v>385364.643328009</v>
      </c>
      <c r="GC233" s="376">
        <f>SUM(DN233:DQ233)</f>
        <v>273493.3877517432</v>
      </c>
      <c r="GD233" s="376">
        <f>SUM(DR233:DU233)</f>
        <v>255907.53148600002</v>
      </c>
      <c r="GE233" s="376">
        <f>SUM(DV233:DY233)</f>
        <v>285819.98674897477</v>
      </c>
      <c r="GF233" s="376">
        <f>SUM(DZ233:EC233)</f>
        <v>296909.52639915998</v>
      </c>
      <c r="GG233" s="380">
        <f>SUM(ED233:EG233)</f>
        <v>278252.3331704688</v>
      </c>
      <c r="GH233" s="380">
        <f>SUM(EH233:EK233)</f>
        <v>278050.52177000738</v>
      </c>
      <c r="GI233" s="380">
        <f>SUM(EL233:EO233)</f>
        <v>279846.22059651907</v>
      </c>
      <c r="GJ233" s="380">
        <f>SUM(EP233:ES233)</f>
        <v>0</v>
      </c>
      <c r="GK233" s="380">
        <f>SUM(EQ233:ET233)</f>
        <v>0</v>
      </c>
      <c r="GN233" s="70"/>
    </row>
    <row r="234" spans="1:196" s="382" customFormat="1" hidden="1" outlineLevel="1">
      <c r="A234" s="381" t="s">
        <v>198</v>
      </c>
      <c r="AE234" s="382">
        <f t="shared" ref="AE234:CP234" si="437">AE233/AD233-1</f>
        <v>3.1877320196602721E-2</v>
      </c>
      <c r="AF234" s="382">
        <f t="shared" si="437"/>
        <v>9.4311524757453302E-3</v>
      </c>
      <c r="AG234" s="382">
        <f t="shared" si="437"/>
        <v>6.9051905655093115E-4</v>
      </c>
      <c r="AH234" s="382">
        <f t="shared" si="437"/>
        <v>-0.16550613936438419</v>
      </c>
      <c r="AI234" s="382">
        <f t="shared" si="437"/>
        <v>7.2826664187420009E-2</v>
      </c>
      <c r="AJ234" s="382">
        <f t="shared" si="437"/>
        <v>0.1039170368896325</v>
      </c>
      <c r="AK234" s="382">
        <f t="shared" si="437"/>
        <v>0.10420783680953938</v>
      </c>
      <c r="AL234" s="382">
        <f t="shared" si="437"/>
        <v>-1.4212390117411822E-3</v>
      </c>
      <c r="AM234" s="382">
        <f t="shared" si="437"/>
        <v>-0.12029419127494767</v>
      </c>
      <c r="AN234" s="382">
        <f t="shared" si="437"/>
        <v>2.902466376693158E-2</v>
      </c>
      <c r="AO234" s="382">
        <f t="shared" si="437"/>
        <v>0.11866835857534763</v>
      </c>
      <c r="AP234" s="382">
        <f t="shared" si="437"/>
        <v>-3.029431446660491E-2</v>
      </c>
      <c r="AQ234" s="382">
        <f t="shared" si="437"/>
        <v>-3.1119934937568816E-2</v>
      </c>
      <c r="AR234" s="382">
        <f t="shared" si="437"/>
        <v>0.1286507838538451</v>
      </c>
      <c r="AS234" s="382">
        <f t="shared" si="437"/>
        <v>9.7055735409922184E-2</v>
      </c>
      <c r="AT234" s="382">
        <f t="shared" si="437"/>
        <v>-8.627599545391107E-2</v>
      </c>
      <c r="AU234" s="382">
        <f t="shared" si="437"/>
        <v>-1.387858420983723E-2</v>
      </c>
      <c r="AV234" s="382">
        <f t="shared" si="437"/>
        <v>1.7791546802389924E-2</v>
      </c>
      <c r="AW234" s="382">
        <f t="shared" si="437"/>
        <v>0.13723529155976877</v>
      </c>
      <c r="AX234" s="382">
        <f t="shared" si="437"/>
        <v>-1.1394486292203521E-2</v>
      </c>
      <c r="AY234" s="382">
        <f t="shared" si="437"/>
        <v>-3.3842583639528412E-3</v>
      </c>
      <c r="AZ234" s="382">
        <f t="shared" si="437"/>
        <v>0.11852139322790345</v>
      </c>
      <c r="BA234" s="382">
        <f t="shared" si="437"/>
        <v>6.4882119251253423E-2</v>
      </c>
      <c r="BB234" s="382">
        <f t="shared" si="437"/>
        <v>-8.1797891924474175E-2</v>
      </c>
      <c r="BC234" s="382">
        <f t="shared" si="437"/>
        <v>-7.9699088038039823E-2</v>
      </c>
      <c r="BD234" s="382">
        <f t="shared" si="437"/>
        <v>0.15153267784846736</v>
      </c>
      <c r="BE234" s="382">
        <f t="shared" si="437"/>
        <v>0.10289636698476468</v>
      </c>
      <c r="BF234" s="382">
        <f t="shared" si="437"/>
        <v>-0.14759548242151921</v>
      </c>
      <c r="BG234" s="382">
        <f t="shared" si="437"/>
        <v>0.12156073584670457</v>
      </c>
      <c r="BH234" s="382">
        <f t="shared" si="437"/>
        <v>0.16149827720351229</v>
      </c>
      <c r="BI234" s="382">
        <f t="shared" si="437"/>
        <v>6.3362952836637065E-2</v>
      </c>
      <c r="BJ234" s="382">
        <f t="shared" si="437"/>
        <v>-9.4117991900752207E-2</v>
      </c>
      <c r="BK234" s="382">
        <f t="shared" si="437"/>
        <v>4.4714448849969335E-2</v>
      </c>
      <c r="BL234" s="382">
        <f t="shared" si="437"/>
        <v>0.10574155266341889</v>
      </c>
      <c r="BM234" s="382">
        <f t="shared" si="437"/>
        <v>-0.21817720293212117</v>
      </c>
      <c r="BN234" s="382">
        <f t="shared" si="437"/>
        <v>-4.9685663768529786E-2</v>
      </c>
      <c r="BO234" s="382">
        <f t="shared" si="437"/>
        <v>9.8705518061277919E-2</v>
      </c>
      <c r="BP234" s="382">
        <f t="shared" si="437"/>
        <v>0.17692345859835945</v>
      </c>
      <c r="BQ234" s="382">
        <f t="shared" si="437"/>
        <v>8.4094857023495839E-2</v>
      </c>
      <c r="BR234" s="382">
        <f t="shared" si="437"/>
        <v>-4.4122899466698229E-2</v>
      </c>
      <c r="BS234" s="382">
        <f t="shared" si="437"/>
        <v>3.6242498979676796E-2</v>
      </c>
      <c r="BT234" s="382">
        <f t="shared" si="437"/>
        <v>2.4241809967177286E-2</v>
      </c>
      <c r="BU234" s="382">
        <f t="shared" si="437"/>
        <v>-8.4309866467535688E-3</v>
      </c>
      <c r="BV234" s="382">
        <f t="shared" si="437"/>
        <v>2.8054116471454726E-2</v>
      </c>
      <c r="BW234" s="382">
        <f t="shared" si="437"/>
        <v>-1.9197104466842863E-2</v>
      </c>
      <c r="BX234" s="382">
        <f t="shared" si="437"/>
        <v>9.0679222747562571E-2</v>
      </c>
      <c r="BY234" s="382">
        <f t="shared" si="437"/>
        <v>-1.5259607378906859E-2</v>
      </c>
      <c r="BZ234" s="382">
        <f t="shared" si="437"/>
        <v>-4.4213087230398074E-2</v>
      </c>
      <c r="CA234" s="382">
        <f t="shared" si="437"/>
        <v>3.9255135497251459E-3</v>
      </c>
      <c r="CB234" s="382">
        <f t="shared" si="437"/>
        <v>-2.3693961272951647E-2</v>
      </c>
      <c r="CC234" s="382">
        <f t="shared" si="437"/>
        <v>-5.3534595115932615E-2</v>
      </c>
      <c r="CD234" s="382">
        <f t="shared" si="437"/>
        <v>-0.10750022073213195</v>
      </c>
      <c r="CE234" s="382">
        <f t="shared" si="437"/>
        <v>8.6632918319879515E-2</v>
      </c>
      <c r="CF234" s="382">
        <f t="shared" si="437"/>
        <v>1.2729470423812117E-2</v>
      </c>
      <c r="CG234" s="382">
        <f t="shared" si="437"/>
        <v>-5.7439110812725902E-3</v>
      </c>
      <c r="CH234" s="382">
        <f t="shared" si="437"/>
        <v>-8.6043690837928732E-2</v>
      </c>
      <c r="CI234" s="382">
        <f t="shared" si="437"/>
        <v>0.11279244766725949</v>
      </c>
      <c r="CJ234" s="382">
        <f t="shared" si="437"/>
        <v>5.8069196154129976E-2</v>
      </c>
      <c r="CK234" s="382">
        <f t="shared" si="437"/>
        <v>-6.9372625120559639E-2</v>
      </c>
      <c r="CL234" s="382">
        <f t="shared" si="437"/>
        <v>-0.15767852460449261</v>
      </c>
      <c r="CM234" s="382">
        <f t="shared" si="437"/>
        <v>-5.3543633910968169E-2</v>
      </c>
      <c r="CN234" s="382">
        <f t="shared" si="437"/>
        <v>9.0951806662803225E-2</v>
      </c>
      <c r="CO234" s="382">
        <f t="shared" si="437"/>
        <v>1.6122548597352626E-2</v>
      </c>
      <c r="CP234" s="382">
        <f t="shared" si="437"/>
        <v>-9.657091993161615E-2</v>
      </c>
      <c r="CQ234" s="382">
        <f t="shared" ref="CQ234:EH234" si="438">CQ233/CP233-1</f>
        <v>-3.825341715930064E-2</v>
      </c>
      <c r="CR234" s="382">
        <f t="shared" si="438"/>
        <v>0.13231754910888505</v>
      </c>
      <c r="CS234" s="382">
        <f t="shared" si="438"/>
        <v>-2.9353898295348513E-2</v>
      </c>
      <c r="CT234" s="382">
        <f t="shared" si="438"/>
        <v>-8.9437630383642275E-2</v>
      </c>
      <c r="CU234" s="382">
        <f t="shared" si="438"/>
        <v>6.9121279084882303E-2</v>
      </c>
      <c r="CV234" s="382">
        <f t="shared" si="438"/>
        <v>4.9408796619958117E-2</v>
      </c>
      <c r="CW234" s="382">
        <f t="shared" si="438"/>
        <v>-5.8653999333806439E-3</v>
      </c>
      <c r="CX234" s="382">
        <f t="shared" si="438"/>
        <v>-9.9149233727638286E-2</v>
      </c>
      <c r="CY234" s="382">
        <f t="shared" si="438"/>
        <v>6.5683846566835902E-2</v>
      </c>
      <c r="CZ234" s="382">
        <f t="shared" si="438"/>
        <v>0.15539119797671774</v>
      </c>
      <c r="DA234" s="382">
        <f t="shared" si="438"/>
        <v>-7.350932492776463E-2</v>
      </c>
      <c r="DB234" s="382">
        <f t="shared" si="438"/>
        <v>-0.12418932347876466</v>
      </c>
      <c r="DC234" s="382">
        <f t="shared" si="438"/>
        <v>9.3622776298929677E-2</v>
      </c>
      <c r="DD234" s="382">
        <f t="shared" si="438"/>
        <v>7.5647042769266148E-2</v>
      </c>
      <c r="DE234" s="382">
        <f t="shared" si="438"/>
        <v>3.9146508277464243E-2</v>
      </c>
      <c r="DF234" s="382">
        <f t="shared" si="438"/>
        <v>-3.8623621723154922E-2</v>
      </c>
      <c r="DG234" s="382">
        <f t="shared" si="438"/>
        <v>-4.7923671316940641E-4</v>
      </c>
      <c r="DH234" s="382">
        <f t="shared" si="438"/>
        <v>0.17551038084944781</v>
      </c>
      <c r="DI234" s="382">
        <f t="shared" si="438"/>
        <v>0.22906428116166233</v>
      </c>
      <c r="DJ234" s="383">
        <f t="shared" si="438"/>
        <v>2.8896004887715154E-3</v>
      </c>
      <c r="DK234" s="383">
        <f t="shared" si="438"/>
        <v>-3.1020594133797985E-2</v>
      </c>
      <c r="DL234" s="383">
        <f t="shared" si="438"/>
        <v>-0.15853695485483377</v>
      </c>
      <c r="DM234" s="383">
        <f t="shared" si="438"/>
        <v>7.9881677207429558E-2</v>
      </c>
      <c r="DN234" s="383">
        <f t="shared" si="438"/>
        <v>-0.13766999881119713</v>
      </c>
      <c r="DO234" s="383">
        <f t="shared" si="438"/>
        <v>-8.991429264774875E-2</v>
      </c>
      <c r="DP234" s="383">
        <f t="shared" si="438"/>
        <v>-6.189394067568843E-2</v>
      </c>
      <c r="DQ234" s="383">
        <f t="shared" si="438"/>
        <v>-0.22495083933916404</v>
      </c>
      <c r="DR234" s="383">
        <f t="shared" si="438"/>
        <v>-4.5670422933736021E-2</v>
      </c>
      <c r="DS234" s="383">
        <f t="shared" si="438"/>
        <v>0.18934121963294914</v>
      </c>
      <c r="DT234" s="383">
        <f t="shared" si="438"/>
        <v>0.14983006800270715</v>
      </c>
      <c r="DU234" s="383">
        <f t="shared" si="438"/>
        <v>0.11069117026598252</v>
      </c>
      <c r="DV234" s="382">
        <f t="shared" si="438"/>
        <v>-8.3278946360374917E-2</v>
      </c>
      <c r="DW234" s="382">
        <f t="shared" si="438"/>
        <v>-2.0383829725927782E-2</v>
      </c>
      <c r="DX234" s="382">
        <f>DX233/DW233-1</f>
        <v>1.0855767526191551E-2</v>
      </c>
      <c r="DY234" s="382">
        <f t="shared" si="438"/>
        <v>0.11237146032047329</v>
      </c>
      <c r="DZ234" s="382">
        <f t="shared" si="438"/>
        <v>-7.1613666806430665E-2</v>
      </c>
      <c r="EA234" s="382">
        <f t="shared" si="438"/>
        <v>1.1153587974491286E-2</v>
      </c>
      <c r="EB234" s="382">
        <f t="shared" si="438"/>
        <v>4.2377829334315775E-2</v>
      </c>
      <c r="EC234" s="382">
        <f t="shared" si="438"/>
        <v>1.5707701216285619E-2</v>
      </c>
      <c r="ED234" s="382">
        <f t="shared" si="438"/>
        <v>-0.10668170612343353</v>
      </c>
      <c r="EE234" s="384">
        <f t="shared" si="438"/>
        <v>7.6777702378505452E-3</v>
      </c>
      <c r="EF234" s="384">
        <f t="shared" si="438"/>
        <v>8.9831301978655631E-3</v>
      </c>
      <c r="EG234" s="384">
        <f t="shared" si="438"/>
        <v>1.1407568382691302E-2</v>
      </c>
      <c r="EH234" s="384">
        <f t="shared" si="438"/>
        <v>-7.7929885610770966E-2</v>
      </c>
      <c r="EI234" s="384">
        <f>EI233/EH233-1</f>
        <v>3.6832140197880614E-2</v>
      </c>
      <c r="EJ234" s="384">
        <f>EJ233/EI233-1</f>
        <v>5.7332965159778926E-2</v>
      </c>
      <c r="EK234" s="384">
        <f>EK233/EJ233-1</f>
        <v>3.8030552948478347E-2</v>
      </c>
      <c r="EL234" s="384">
        <f t="shared" ref="EL234" si="439">EL233/EK233-1</f>
        <v>-0.1011173481212394</v>
      </c>
      <c r="EM234" s="384">
        <f>EM233/EL233-1</f>
        <v>2.5860526441054743E-2</v>
      </c>
      <c r="EN234" s="384">
        <f>EN233/EM233-1</f>
        <v>4.3150157491742114E-2</v>
      </c>
      <c r="EO234" s="384">
        <f>EO233/EN233-1</f>
        <v>3.393071750335519E-2</v>
      </c>
      <c r="EP234" s="384"/>
      <c r="EQ234" s="384"/>
      <c r="ER234" s="384"/>
      <c r="ES234" s="384"/>
      <c r="ET234" s="384"/>
      <c r="EU234" s="384"/>
      <c r="EV234" s="384"/>
      <c r="EW234" s="384"/>
      <c r="FG234" s="376"/>
      <c r="FH234" s="376"/>
      <c r="FI234" s="376"/>
      <c r="FJ234" s="376"/>
      <c r="FK234" s="376"/>
      <c r="FL234" s="376"/>
      <c r="FM234" s="376"/>
      <c r="FN234" s="376"/>
      <c r="FO234" s="376"/>
      <c r="FP234" s="376"/>
      <c r="FQ234" s="376"/>
      <c r="FR234" s="376"/>
      <c r="FS234" s="376"/>
      <c r="FT234" s="376"/>
      <c r="FU234" s="376"/>
      <c r="FV234" s="376"/>
      <c r="FW234" s="376"/>
      <c r="FX234" s="376"/>
      <c r="FY234" s="376"/>
      <c r="FZ234" s="386" t="s">
        <v>199</v>
      </c>
      <c r="GA234" s="386" t="s">
        <v>199</v>
      </c>
      <c r="GB234" s="386" t="s">
        <v>199</v>
      </c>
      <c r="GC234" s="386" t="s">
        <v>199</v>
      </c>
      <c r="GD234" s="386" t="s">
        <v>199</v>
      </c>
      <c r="GE234" s="386" t="s">
        <v>199</v>
      </c>
      <c r="GF234" s="386" t="s">
        <v>199</v>
      </c>
      <c r="GG234" s="386" t="s">
        <v>199</v>
      </c>
      <c r="GH234" s="386" t="s">
        <v>199</v>
      </c>
      <c r="GI234" s="386" t="s">
        <v>199</v>
      </c>
      <c r="GJ234" s="386" t="s">
        <v>199</v>
      </c>
      <c r="GK234" s="386" t="s">
        <v>199</v>
      </c>
      <c r="GN234" s="70"/>
    </row>
    <row r="235" spans="1:196" s="382" customFormat="1" hidden="1" outlineLevel="1">
      <c r="A235" s="381" t="s">
        <v>200</v>
      </c>
      <c r="AH235" s="382">
        <f t="shared" ref="AH235:CS235" si="440">AH233/AD233-1</f>
        <v>-0.13018337990846485</v>
      </c>
      <c r="AI235" s="382">
        <f t="shared" si="440"/>
        <v>-9.5665303691544024E-2</v>
      </c>
      <c r="AJ235" s="382">
        <f t="shared" si="440"/>
        <v>-1.1016773301630645E-2</v>
      </c>
      <c r="AK235" s="382">
        <f t="shared" si="440"/>
        <v>9.128947321605585E-2</v>
      </c>
      <c r="AL235" s="382">
        <f t="shared" si="440"/>
        <v>0.30586759405705943</v>
      </c>
      <c r="AM235" s="382">
        <f t="shared" si="440"/>
        <v>7.0796752416581565E-2</v>
      </c>
      <c r="AN235" s="382">
        <f t="shared" si="440"/>
        <v>-1.8486613606284452E-3</v>
      </c>
      <c r="AO235" s="382">
        <f t="shared" si="440"/>
        <v>1.1222962184147089E-2</v>
      </c>
      <c r="AP235" s="382">
        <f t="shared" si="440"/>
        <v>-1.8015709846027517E-2</v>
      </c>
      <c r="AQ235" s="382">
        <f t="shared" si="440"/>
        <v>8.1526339258297886E-2</v>
      </c>
      <c r="AR235" s="382">
        <f t="shared" si="440"/>
        <v>0.18623546504122634</v>
      </c>
      <c r="AS235" s="382">
        <f t="shared" si="440"/>
        <v>0.1633174483700035</v>
      </c>
      <c r="AT235" s="382">
        <f t="shared" si="440"/>
        <v>9.6158446156054067E-2</v>
      </c>
      <c r="AU235" s="382">
        <f t="shared" si="440"/>
        <v>0.11566473274904343</v>
      </c>
      <c r="AV235" s="382">
        <f t="shared" si="440"/>
        <v>6.0810219616764805E-3</v>
      </c>
      <c r="AW235" s="382">
        <f t="shared" si="440"/>
        <v>4.2928638366598104E-2</v>
      </c>
      <c r="AX235" s="382">
        <f t="shared" si="440"/>
        <v>0.12839872561428001</v>
      </c>
      <c r="AY235" s="382">
        <f t="shared" si="440"/>
        <v>0.14040716972781597</v>
      </c>
      <c r="AZ235" s="382">
        <f t="shared" si="440"/>
        <v>0.25327216593468704</v>
      </c>
      <c r="BA235" s="382">
        <f t="shared" si="440"/>
        <v>0.17353649676901317</v>
      </c>
      <c r="BB235" s="382">
        <f t="shared" si="440"/>
        <v>8.996325662347715E-2</v>
      </c>
      <c r="BC235" s="382">
        <f t="shared" si="440"/>
        <v>6.5004365964878019E-3</v>
      </c>
      <c r="BD235" s="382">
        <f t="shared" si="440"/>
        <v>3.6205610395017684E-2</v>
      </c>
      <c r="BE235" s="382">
        <f t="shared" si="440"/>
        <v>7.3196161803756654E-2</v>
      </c>
      <c r="BF235" s="382">
        <f t="shared" si="440"/>
        <v>-3.7081721727405537E-3</v>
      </c>
      <c r="BG235" s="382">
        <f t="shared" si="440"/>
        <v>0.21417004048582999</v>
      </c>
      <c r="BH235" s="382">
        <f t="shared" si="440"/>
        <v>0.22467771639042367</v>
      </c>
      <c r="BI235" s="382">
        <f t="shared" si="440"/>
        <v>0.18077903940737139</v>
      </c>
      <c r="BJ235" s="382">
        <f t="shared" si="440"/>
        <v>0.25485783484408664</v>
      </c>
      <c r="BK235" s="382">
        <f t="shared" si="440"/>
        <v>0.16887839366497714</v>
      </c>
      <c r="BL235" s="382">
        <f t="shared" si="440"/>
        <v>0.11276739298974703</v>
      </c>
      <c r="BM235" s="382">
        <f t="shared" si="440"/>
        <v>-0.18185327657655337</v>
      </c>
      <c r="BN235" s="382">
        <f t="shared" si="440"/>
        <v>-0.14172424945112405</v>
      </c>
      <c r="BO235" s="382">
        <f t="shared" si="440"/>
        <v>-9.7368372588041652E-2</v>
      </c>
      <c r="BP235" s="382">
        <f t="shared" si="440"/>
        <v>-3.926163015661388E-2</v>
      </c>
      <c r="BQ235" s="382">
        <f t="shared" si="440"/>
        <v>0.33218362216921271</v>
      </c>
      <c r="BR235" s="382">
        <f t="shared" si="440"/>
        <v>0.33998169825241153</v>
      </c>
      <c r="BS235" s="382">
        <f t="shared" si="440"/>
        <v>0.26380177468687904</v>
      </c>
      <c r="BT235" s="382">
        <f t="shared" si="440"/>
        <v>9.9849448736974988E-2</v>
      </c>
      <c r="BU235" s="382">
        <f t="shared" si="440"/>
        <v>5.9789746771190533E-3</v>
      </c>
      <c r="BV235" s="382">
        <f t="shared" si="440"/>
        <v>8.1939116883902319E-2</v>
      </c>
      <c r="BW235" s="382">
        <f t="shared" si="440"/>
        <v>2.4054716608501669E-2</v>
      </c>
      <c r="BX235" s="382">
        <f t="shared" si="440"/>
        <v>9.0479993584062557E-2</v>
      </c>
      <c r="BY235" s="382">
        <f t="shared" si="440"/>
        <v>8.2970204359201327E-2</v>
      </c>
      <c r="BZ235" s="382">
        <f t="shared" si="440"/>
        <v>6.8426668030237003E-3</v>
      </c>
      <c r="CA235" s="382">
        <f t="shared" si="440"/>
        <v>3.0579177465151819E-2</v>
      </c>
      <c r="CB235" s="382">
        <f t="shared" si="440"/>
        <v>-7.7491664496062596E-2</v>
      </c>
      <c r="CC235" s="382">
        <f t="shared" si="440"/>
        <v>-0.11334781043391218</v>
      </c>
      <c r="CD235" s="382">
        <f t="shared" si="440"/>
        <v>-0.17205720971630245</v>
      </c>
      <c r="CE235" s="382">
        <f t="shared" si="440"/>
        <v>-0.1038479665420744</v>
      </c>
      <c r="CF235" s="382">
        <f t="shared" si="440"/>
        <v>-7.0414871707252691E-2</v>
      </c>
      <c r="CG235" s="382">
        <f t="shared" si="440"/>
        <v>-2.3476537859752677E-2</v>
      </c>
      <c r="CH235" s="382">
        <f t="shared" si="440"/>
        <v>0</v>
      </c>
      <c r="CI235" s="382">
        <f t="shared" si="440"/>
        <v>2.4073934174410061E-2</v>
      </c>
      <c r="CJ235" s="382">
        <f t="shared" si="440"/>
        <v>6.9921549612721234E-2</v>
      </c>
      <c r="CK235" s="382">
        <f t="shared" si="440"/>
        <v>1.4505258156081169E-3</v>
      </c>
      <c r="CL235" s="382">
        <f t="shared" si="440"/>
        <v>-7.7042003009987647E-2</v>
      </c>
      <c r="CM235" s="382">
        <f t="shared" si="440"/>
        <v>-0.21500233604642582</v>
      </c>
      <c r="CN235" s="382">
        <f t="shared" si="440"/>
        <v>-0.19060622610595301</v>
      </c>
      <c r="CO235" s="382">
        <f t="shared" si="440"/>
        <v>-0.11624857966960933</v>
      </c>
      <c r="CP235" s="382">
        <f t="shared" si="440"/>
        <v>-5.2135371114306439E-2</v>
      </c>
      <c r="CQ235" s="382">
        <f t="shared" si="440"/>
        <v>-3.6822403558507077E-2</v>
      </c>
      <c r="CR235" s="382">
        <f t="shared" si="440"/>
        <v>-3.0149022310277385E-4</v>
      </c>
      <c r="CS235" s="382">
        <f t="shared" si="440"/>
        <v>-4.5042881161959425E-2</v>
      </c>
      <c r="CT235" s="382">
        <f t="shared" ref="CT235:EO235" si="441">CT233/CP233-1</f>
        <v>-3.7502736855275054E-2</v>
      </c>
      <c r="CU235" s="382">
        <f t="shared" si="441"/>
        <v>6.9955769480941843E-2</v>
      </c>
      <c r="CV235" s="382">
        <f t="shared" si="441"/>
        <v>-8.3868280843852894E-3</v>
      </c>
      <c r="CW235" s="382">
        <f t="shared" si="441"/>
        <v>1.5609048809717585E-2</v>
      </c>
      <c r="CX235" s="382">
        <f t="shared" si="441"/>
        <v>4.7770700636942109E-3</v>
      </c>
      <c r="CY235" s="382">
        <f t="shared" si="441"/>
        <v>1.546516672239262E-3</v>
      </c>
      <c r="CZ235" s="382">
        <f t="shared" si="441"/>
        <v>0.10269518747556083</v>
      </c>
      <c r="DA235" s="382">
        <f t="shared" si="441"/>
        <v>2.7664471767379517E-2</v>
      </c>
      <c r="DB235" s="382">
        <f t="shared" si="441"/>
        <v>-9.005376332109627E-4</v>
      </c>
      <c r="DC235" s="382">
        <f t="shared" si="441"/>
        <v>2.5292755775865539E-2</v>
      </c>
      <c r="DD235" s="382">
        <f t="shared" si="441"/>
        <v>-4.5472111390202241E-2</v>
      </c>
      <c r="DE235" s="382">
        <f t="shared" si="441"/>
        <v>7.0592882572722004E-2</v>
      </c>
      <c r="DF235" s="382">
        <f t="shared" si="441"/>
        <v>0.1751885831592459</v>
      </c>
      <c r="DG235" s="382">
        <f t="shared" si="441"/>
        <v>7.4068147721374489E-2</v>
      </c>
      <c r="DH235" s="382">
        <f t="shared" si="441"/>
        <v>0.17378490079393583</v>
      </c>
      <c r="DI235" s="382">
        <f t="shared" si="441"/>
        <v>0.38830962125266155</v>
      </c>
      <c r="DJ235" s="383">
        <f t="shared" si="441"/>
        <v>0.44825826062875884</v>
      </c>
      <c r="DK235" s="383">
        <f t="shared" si="441"/>
        <v>0.4040052798004381</v>
      </c>
      <c r="DL235" s="383">
        <f t="shared" si="441"/>
        <v>5.0260528427239493E-3</v>
      </c>
      <c r="DM235" s="383">
        <f t="shared" si="441"/>
        <v>-0.11696301306944445</v>
      </c>
      <c r="DN235" s="383">
        <f t="shared" si="441"/>
        <v>-0.24072471624147784</v>
      </c>
      <c r="DO235" s="383">
        <f t="shared" si="441"/>
        <v>-0.28687278644818692</v>
      </c>
      <c r="DP235" s="383">
        <f t="shared" si="441"/>
        <v>-0.20496929251764529</v>
      </c>
      <c r="DQ235" s="383">
        <f t="shared" si="441"/>
        <v>-0.42939314969465037</v>
      </c>
      <c r="DR235" s="383">
        <f t="shared" si="441"/>
        <v>-0.36851670083111088</v>
      </c>
      <c r="DS235" s="383">
        <f t="shared" si="441"/>
        <v>-0.17474902512597168</v>
      </c>
      <c r="DT235" s="383">
        <f t="shared" si="441"/>
        <v>1.1504376426441754E-2</v>
      </c>
      <c r="DU235" s="383">
        <f t="shared" si="441"/>
        <v>0.44954544383266715</v>
      </c>
      <c r="DV235" s="382">
        <f t="shared" si="441"/>
        <v>0.3924212960618878</v>
      </c>
      <c r="DW235" s="382">
        <f t="shared" si="441"/>
        <v>0.14688568338459862</v>
      </c>
      <c r="DX235" s="382">
        <f t="shared" si="441"/>
        <v>8.267256183641214E-3</v>
      </c>
      <c r="DY235" s="382">
        <f t="shared" si="441"/>
        <v>9.7925959794264994E-3</v>
      </c>
      <c r="DZ235" s="382">
        <f t="shared" si="441"/>
        <v>2.2642211330612616E-2</v>
      </c>
      <c r="EA235" s="382">
        <f t="shared" si="441"/>
        <v>5.5564794231414139E-2</v>
      </c>
      <c r="EB235" s="382">
        <f t="shared" si="441"/>
        <v>8.8481041786365289E-2</v>
      </c>
      <c r="EC235" s="382">
        <f t="shared" si="441"/>
        <v>-6.1066683139994193E-3</v>
      </c>
      <c r="ED235" s="382">
        <f t="shared" si="441"/>
        <v>-4.3649110707111083E-2</v>
      </c>
      <c r="EE235" s="384">
        <f t="shared" si="441"/>
        <v>-4.6936545398526319E-2</v>
      </c>
      <c r="EF235" s="384">
        <f t="shared" si="441"/>
        <v>-7.7469876431370266E-2</v>
      </c>
      <c r="EG235" s="384">
        <f t="shared" si="441"/>
        <v>-8.1375529671556479E-2</v>
      </c>
      <c r="EH235" s="384">
        <f t="shared" si="441"/>
        <v>-5.1809219353643465E-2</v>
      </c>
      <c r="EI235" s="384">
        <f t="shared" si="441"/>
        <v>-2.4375940950440822E-2</v>
      </c>
      <c r="EJ235" s="384">
        <f t="shared" si="441"/>
        <v>2.237534837058841E-2</v>
      </c>
      <c r="EK235" s="384">
        <f t="shared" si="441"/>
        <v>4.9287034589859946E-2</v>
      </c>
      <c r="EL235" s="384">
        <f t="shared" si="441"/>
        <v>2.2900425374801303E-2</v>
      </c>
      <c r="EM235" s="384">
        <f t="shared" si="441"/>
        <v>1.207623508999478E-2</v>
      </c>
      <c r="EN235" s="384">
        <f t="shared" si="441"/>
        <v>-1.4995097894843212E-3</v>
      </c>
      <c r="EO235" s="384">
        <f t="shared" si="441"/>
        <v>-5.4432161573846338E-3</v>
      </c>
      <c r="EP235" s="384"/>
      <c r="EQ235" s="384"/>
      <c r="ER235" s="384"/>
      <c r="ES235" s="384"/>
      <c r="ET235" s="384"/>
      <c r="EU235" s="384"/>
      <c r="EV235" s="384"/>
      <c r="EW235" s="384"/>
      <c r="FH235" s="382">
        <f t="shared" ref="FH235:GK235" si="442">FH233/FG233-1</f>
        <v>-3.5283366368269231E-2</v>
      </c>
      <c r="FI235" s="382">
        <f t="shared" si="442"/>
        <v>8.6378776351683451E-2</v>
      </c>
      <c r="FJ235" s="382">
        <f t="shared" si="442"/>
        <v>0.1020844162705945</v>
      </c>
      <c r="FK235" s="382">
        <f t="shared" si="442"/>
        <v>6.2498596924458472E-2</v>
      </c>
      <c r="FL235" s="382">
        <f t="shared" si="442"/>
        <v>0.17407403494686124</v>
      </c>
      <c r="FM235" s="382">
        <f t="shared" si="442"/>
        <v>5.2040077203054036E-2</v>
      </c>
      <c r="FN235" s="382">
        <f t="shared" si="442"/>
        <v>0.15493204697269047</v>
      </c>
      <c r="FO235" s="382">
        <f t="shared" si="442"/>
        <v>7.0539170033063536E-2</v>
      </c>
      <c r="FP235" s="382">
        <f t="shared" si="442"/>
        <v>2.7322626850245779E-3</v>
      </c>
      <c r="FQ235" s="382">
        <f t="shared" si="442"/>
        <v>0.16007031137710581</v>
      </c>
      <c r="FR235" s="382">
        <f t="shared" si="442"/>
        <v>6.9931421704485297E-2</v>
      </c>
      <c r="FS235" s="382">
        <f t="shared" si="442"/>
        <v>-4.0318064024667533E-2</v>
      </c>
      <c r="FT235" s="382">
        <f t="shared" si="442"/>
        <v>-9.3847851813380068E-2</v>
      </c>
      <c r="FU235" s="382">
        <f t="shared" si="442"/>
        <v>2.445384703882203E-2</v>
      </c>
      <c r="FV235" s="382">
        <f t="shared" si="442"/>
        <v>-0.15232649547053978</v>
      </c>
      <c r="FW235" s="382">
        <f t="shared" si="442"/>
        <v>-3.3403621884395607E-2</v>
      </c>
      <c r="FX235" s="382">
        <f t="shared" si="442"/>
        <v>9.0421076677074108E-3</v>
      </c>
      <c r="FY235" s="382">
        <f t="shared" si="442"/>
        <v>3.5413276374818281E-2</v>
      </c>
      <c r="FZ235" s="382">
        <f t="shared" si="442"/>
        <v>1.1401055122024495E-2</v>
      </c>
      <c r="GA235" s="382">
        <f t="shared" si="442"/>
        <v>0.20819578268124062</v>
      </c>
      <c r="GB235" s="382">
        <f t="shared" si="442"/>
        <v>0.14919622123315768</v>
      </c>
      <c r="GC235" s="382">
        <f t="shared" si="442"/>
        <v>-0.29029973951462085</v>
      </c>
      <c r="GD235" s="382">
        <f t="shared" si="442"/>
        <v>-6.4300846211705509E-2</v>
      </c>
      <c r="GE235" s="382">
        <f t="shared" si="442"/>
        <v>0.11688774882583397</v>
      </c>
      <c r="GF235" s="382">
        <f t="shared" si="442"/>
        <v>3.8799034932167853E-2</v>
      </c>
      <c r="GG235" s="387">
        <f t="shared" si="442"/>
        <v>-6.2837974432685462E-2</v>
      </c>
      <c r="GH235" s="387">
        <f t="shared" si="442"/>
        <v>-7.2528197036814124E-4</v>
      </c>
      <c r="GI235" s="387">
        <f t="shared" si="442"/>
        <v>6.4581746334466672E-3</v>
      </c>
      <c r="GJ235" s="387">
        <f t="shared" si="442"/>
        <v>-1</v>
      </c>
      <c r="GK235" s="387" t="e">
        <f t="shared" si="442"/>
        <v>#DIV/0!</v>
      </c>
      <c r="GN235" s="70"/>
    </row>
    <row r="236" spans="1:196" hidden="1" outlineLevel="1">
      <c r="A236" s="99" t="s">
        <v>262</v>
      </c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  <c r="AU236" s="100"/>
      <c r="AV236" s="100"/>
      <c r="AW236" s="100"/>
      <c r="AX236" s="100"/>
      <c r="AY236" s="100"/>
      <c r="AZ236" s="100"/>
      <c r="BA236" s="100"/>
      <c r="BB236" s="100"/>
      <c r="BC236" s="100"/>
      <c r="BD236" s="100"/>
      <c r="BE236" s="100"/>
      <c r="BF236" s="100"/>
      <c r="BG236" s="100"/>
      <c r="BH236" s="100"/>
      <c r="BI236" s="100"/>
      <c r="BJ236" s="100"/>
      <c r="BK236" s="100"/>
      <c r="BL236" s="100"/>
      <c r="BM236" s="100"/>
      <c r="BN236" s="100"/>
      <c r="BO236" s="100"/>
      <c r="BP236" s="100"/>
      <c r="BQ236" s="100"/>
      <c r="BR236" s="100"/>
      <c r="BS236" s="100"/>
      <c r="BT236" s="100"/>
      <c r="BU236" s="100"/>
      <c r="BV236" s="100"/>
      <c r="BW236" s="100"/>
      <c r="BX236" s="100"/>
      <c r="BY236" s="100"/>
      <c r="BZ236" s="100"/>
      <c r="CA236" s="100"/>
      <c r="CB236" s="100"/>
      <c r="CC236" s="100"/>
      <c r="CD236" s="100"/>
      <c r="CE236" s="100"/>
      <c r="CF236" s="100"/>
      <c r="CG236" s="100"/>
      <c r="CH236" s="100"/>
      <c r="CI236" s="100"/>
      <c r="CJ236" s="100"/>
      <c r="CK236" s="100"/>
      <c r="CL236" s="100"/>
      <c r="CM236" s="100"/>
      <c r="CN236" s="100"/>
      <c r="CO236" s="100"/>
      <c r="CP236" s="100"/>
      <c r="CQ236" s="100"/>
      <c r="CR236" s="100"/>
      <c r="CS236" s="100"/>
      <c r="CT236" s="101"/>
      <c r="CU236" s="101"/>
      <c r="CV236" s="101"/>
      <c r="CW236" s="101"/>
      <c r="CX236" s="101"/>
      <c r="CY236" s="101"/>
      <c r="CZ236" s="102"/>
      <c r="DA236" s="103"/>
      <c r="DB236" s="103"/>
      <c r="DC236" s="103"/>
      <c r="DD236" s="102"/>
      <c r="DE236" s="104"/>
      <c r="DF236" s="105"/>
      <c r="DG236" s="105"/>
      <c r="DH236" s="105"/>
      <c r="DI236" s="105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N236" s="48"/>
    </row>
    <row r="237" spans="1:196" s="379" customFormat="1" hidden="1" outlineLevel="1">
      <c r="A237" s="405" t="s">
        <v>285</v>
      </c>
      <c r="AD237" s="376">
        <v>32526.723999999998</v>
      </c>
      <c r="AE237" s="376">
        <v>33422.542999999998</v>
      </c>
      <c r="AF237" s="376">
        <v>33371.803999999996</v>
      </c>
      <c r="AG237" s="376">
        <v>33844.824999999997</v>
      </c>
      <c r="AH237" s="376">
        <v>28268.420999999998</v>
      </c>
      <c r="AI237" s="376">
        <v>29233.799999999996</v>
      </c>
      <c r="AJ237" s="376">
        <v>32674.639999999999</v>
      </c>
      <c r="AK237" s="376">
        <v>36362.509999999995</v>
      </c>
      <c r="AL237" s="376">
        <v>36498.022500000006</v>
      </c>
      <c r="AM237" s="376">
        <v>31485.550000000003</v>
      </c>
      <c r="AN237" s="376">
        <v>32740.442999999999</v>
      </c>
      <c r="AO237" s="376">
        <v>36685.024999999994</v>
      </c>
      <c r="AP237" s="376">
        <v>35815</v>
      </c>
      <c r="AQ237" s="376">
        <v>34510</v>
      </c>
      <c r="AR237" s="376">
        <v>38080</v>
      </c>
      <c r="AS237" s="376">
        <v>41874</v>
      </c>
      <c r="AT237" s="376">
        <v>38751</v>
      </c>
      <c r="AU237" s="376">
        <v>37840</v>
      </c>
      <c r="AV237" s="376">
        <v>36285</v>
      </c>
      <c r="AW237" s="376">
        <v>40599</v>
      </c>
      <c r="AX237" s="376">
        <v>38911</v>
      </c>
      <c r="AY237" s="376">
        <v>38177</v>
      </c>
      <c r="AZ237" s="376">
        <v>40823</v>
      </c>
      <c r="BA237" s="376">
        <v>43342</v>
      </c>
      <c r="BB237" s="376">
        <v>38066</v>
      </c>
      <c r="BC237" s="376">
        <v>34947</v>
      </c>
      <c r="BD237" s="376">
        <v>39392</v>
      </c>
      <c r="BE237" s="376">
        <v>41067</v>
      </c>
      <c r="BF237" s="376">
        <v>34429</v>
      </c>
      <c r="BG237" s="376">
        <v>39083</v>
      </c>
      <c r="BH237" s="376">
        <v>42926</v>
      </c>
      <c r="BI237" s="376">
        <v>44958</v>
      </c>
      <c r="BJ237" s="376">
        <v>40143</v>
      </c>
      <c r="BK237" s="376">
        <v>41377.277769999993</v>
      </c>
      <c r="BL237" s="376">
        <v>43270.31259999999</v>
      </c>
      <c r="BM237" s="376">
        <v>35187.750239999994</v>
      </c>
      <c r="BN237" s="376">
        <v>34472.949000000008</v>
      </c>
      <c r="BO237" s="376">
        <v>36219.074699999997</v>
      </c>
      <c r="BP237" s="376">
        <v>40800.7264</v>
      </c>
      <c r="BQ237" s="376">
        <v>42965.606599999999</v>
      </c>
      <c r="BR237" s="376">
        <v>40523.992599999998</v>
      </c>
      <c r="BS237" s="376">
        <v>41125.969799999992</v>
      </c>
      <c r="BT237" s="376">
        <v>42269.061899999993</v>
      </c>
      <c r="BU237" s="376">
        <v>42066.3577</v>
      </c>
      <c r="BV237" s="376">
        <v>42857.741311797996</v>
      </c>
      <c r="BW237" s="376">
        <v>41719.622319999995</v>
      </c>
      <c r="BX237" s="376">
        <v>42785.382799999999</v>
      </c>
      <c r="BY237" s="376">
        <v>42688.438079999993</v>
      </c>
      <c r="BZ237" s="376">
        <v>41853.072</v>
      </c>
      <c r="CA237" s="376">
        <v>39192.919049999997</v>
      </c>
      <c r="CB237" s="376">
        <v>38584.653699999995</v>
      </c>
      <c r="CC237" s="376">
        <v>35925.355200000005</v>
      </c>
      <c r="CD237" s="376">
        <v>32586</v>
      </c>
      <c r="CE237" s="376">
        <v>33415</v>
      </c>
      <c r="CF237" s="376">
        <v>34242</v>
      </c>
      <c r="CG237" s="376">
        <v>35582</v>
      </c>
      <c r="CH237" s="376">
        <v>32725</v>
      </c>
      <c r="CI237" s="376">
        <v>34739</v>
      </c>
      <c r="CJ237" s="376">
        <v>35496</v>
      </c>
      <c r="CK237" s="376">
        <v>31922</v>
      </c>
      <c r="CL237" s="376">
        <v>25786</v>
      </c>
      <c r="CM237" s="376">
        <v>25102</v>
      </c>
      <c r="CN237" s="376">
        <v>27102</v>
      </c>
      <c r="CO237" s="376">
        <v>28579</v>
      </c>
      <c r="CP237" s="376">
        <v>25088</v>
      </c>
      <c r="CQ237" s="376">
        <v>23597</v>
      </c>
      <c r="CR237" s="376">
        <v>25377</v>
      </c>
      <c r="CS237" s="376">
        <v>25277</v>
      </c>
      <c r="CT237" s="376">
        <v>22862</v>
      </c>
      <c r="CU237" s="376">
        <v>23297</v>
      </c>
      <c r="CV237" s="376">
        <v>24233</v>
      </c>
      <c r="CW237" s="376">
        <v>25191</v>
      </c>
      <c r="CX237" s="376">
        <v>21732</v>
      </c>
      <c r="CY237" s="376">
        <v>21590.819199999994</v>
      </c>
      <c r="CZ237" s="376">
        <v>25421</v>
      </c>
      <c r="DA237" s="376">
        <v>24071</v>
      </c>
      <c r="DB237" s="376">
        <v>21458.422899999994</v>
      </c>
      <c r="DC237" s="376">
        <v>20368.071599999992</v>
      </c>
      <c r="DD237" s="376">
        <v>23773</v>
      </c>
      <c r="DE237" s="376">
        <v>26496.000000000004</v>
      </c>
      <c r="DF237" s="376">
        <v>20891.778140000002</v>
      </c>
      <c r="DG237" s="376">
        <v>17971.937600000001</v>
      </c>
      <c r="DH237" s="376">
        <v>19988.896629999996</v>
      </c>
      <c r="DI237" s="376">
        <v>24826</v>
      </c>
      <c r="DJ237" s="397">
        <v>20339.242899999997</v>
      </c>
      <c r="DK237" s="397">
        <v>20611.414099999995</v>
      </c>
      <c r="DL237" s="397">
        <v>23255.023200000011</v>
      </c>
      <c r="DM237" s="397">
        <v>27043.266720000007</v>
      </c>
      <c r="DN237" s="397">
        <v>19145.837800000001</v>
      </c>
      <c r="DO237" s="397">
        <v>18007.129700000005</v>
      </c>
      <c r="DP237" s="397">
        <v>23563.999999999996</v>
      </c>
      <c r="DQ237" s="397">
        <v>16030</v>
      </c>
      <c r="DR237" s="397">
        <v>13230</v>
      </c>
      <c r="DS237" s="397">
        <v>15723</v>
      </c>
      <c r="DT237" s="397">
        <v>20149</v>
      </c>
      <c r="DU237" s="397">
        <v>22305</v>
      </c>
      <c r="DV237" s="376">
        <v>18149</v>
      </c>
      <c r="DW237" s="376">
        <v>17962.85233601561</v>
      </c>
      <c r="DX237" s="376">
        <v>17098</v>
      </c>
      <c r="DY237" s="376">
        <v>20516</v>
      </c>
      <c r="DZ237" s="376">
        <v>18880</v>
      </c>
      <c r="EA237" s="376">
        <v>19184.780000000002</v>
      </c>
      <c r="EB237" s="376">
        <v>20638.25</v>
      </c>
      <c r="EC237" s="376">
        <v>22107.861784000001</v>
      </c>
      <c r="ED237" s="376">
        <v>19611.140299999999</v>
      </c>
      <c r="EE237" s="380">
        <v>19423.307493999997</v>
      </c>
      <c r="EF237" s="380">
        <v>19261.283243879996</v>
      </c>
      <c r="EG237" s="380">
        <v>19258.413176757596</v>
      </c>
      <c r="EH237" s="380">
        <v>17863.896117821037</v>
      </c>
      <c r="EI237" s="380">
        <v>18475.301817039413</v>
      </c>
      <c r="EJ237" s="380">
        <v>19320.686006539916</v>
      </c>
      <c r="EK237" s="380">
        <v>20050.04415497397</v>
      </c>
      <c r="EL237" s="380">
        <v>18081.536536113996</v>
      </c>
      <c r="EM237" s="380">
        <v>18454.481273793881</v>
      </c>
      <c r="EN237" s="380">
        <v>19043.075993506685</v>
      </c>
      <c r="EO237" s="380">
        <v>19695.245074393883</v>
      </c>
      <c r="EP237" s="380"/>
      <c r="EQ237" s="380"/>
      <c r="ER237" s="380"/>
      <c r="ES237" s="380"/>
      <c r="ET237" s="380"/>
      <c r="EU237" s="380"/>
      <c r="EV237" s="380"/>
      <c r="EW237" s="380"/>
      <c r="FG237" s="376">
        <f>AD237+AE237+AF237+AG237</f>
        <v>133165.89600000001</v>
      </c>
      <c r="FH237" s="376">
        <f>AH237+AI237+AJ237+AK237</f>
        <v>126539.37099999998</v>
      </c>
      <c r="FI237" s="376">
        <f>AL237+AM237+AN237+AO237</f>
        <v>137409.0405</v>
      </c>
      <c r="FJ237" s="376">
        <f>AP237+AQ237+AR237+AS237</f>
        <v>150279</v>
      </c>
      <c r="FK237" s="376">
        <f>AT237+AU237+AV237+AW237</f>
        <v>153475</v>
      </c>
      <c r="FL237" s="376">
        <f>AX237+AY237+AZ237+BA237</f>
        <v>161253</v>
      </c>
      <c r="FM237" s="376">
        <f>BB237+BC237+BD237+BE237</f>
        <v>153472</v>
      </c>
      <c r="FN237" s="376">
        <f>BF237+BG237+BH237+BI237</f>
        <v>161396</v>
      </c>
      <c r="FO237" s="376">
        <f>BJ237+BK237+BL237+BM237</f>
        <v>159978.34060999996</v>
      </c>
      <c r="FP237" s="376">
        <f>BN237+BO237+BP237+BQ237</f>
        <v>154458.3567</v>
      </c>
      <c r="FQ237" s="376">
        <f>BR237+BS237+BT237+BU237</f>
        <v>165985.38199999998</v>
      </c>
      <c r="FR237" s="376">
        <f>BV237+BW237+BX237+BY237</f>
        <v>170051.18451179797</v>
      </c>
      <c r="FS237" s="376">
        <f>BZ237+CA237+CB237+CC237</f>
        <v>155555.99995</v>
      </c>
      <c r="FT237" s="376">
        <f>CD237+CE237+CF237+CG237</f>
        <v>135825</v>
      </c>
      <c r="FU237" s="376">
        <f>CH237+CI237+CJ237+CK237</f>
        <v>134882</v>
      </c>
      <c r="FV237" s="376">
        <f>CL237+CM237+CN237+CO237</f>
        <v>106569</v>
      </c>
      <c r="FW237" s="376">
        <f>CP237+CQ237+CR237+CS237</f>
        <v>99339</v>
      </c>
      <c r="FX237" s="376">
        <f>CT237+CU237+CV237+CW237</f>
        <v>95583</v>
      </c>
      <c r="FY237" s="376">
        <f>CX237+CY237+CZ237+DA237</f>
        <v>92814.819199999998</v>
      </c>
      <c r="FZ237" s="376">
        <f>DB237+DC237+DD237+DE237</f>
        <v>92095.494499999986</v>
      </c>
      <c r="GA237" s="376">
        <f>SUM(DF237:DI237)</f>
        <v>83678.612369999988</v>
      </c>
      <c r="GB237" s="376">
        <f>SUM(DJ237:DM237)</f>
        <v>91248.946920000017</v>
      </c>
      <c r="GC237" s="376">
        <f>SUM(DN237:DQ237)</f>
        <v>76746.967499999999</v>
      </c>
      <c r="GD237" s="376">
        <f>SUM(DR237:DU237)</f>
        <v>71407</v>
      </c>
      <c r="GE237" s="376">
        <f>SUM(DV237:DY237)</f>
        <v>73725.85233601561</v>
      </c>
      <c r="GF237" s="376">
        <f>SUM(DZ237:EC237)</f>
        <v>80810.891784000007</v>
      </c>
      <c r="GG237" s="380">
        <f>SUM(ED237:EG237)</f>
        <v>77554.144214637578</v>
      </c>
      <c r="GH237" s="380">
        <f>SUM(EH237:EK237)</f>
        <v>75709.928096374337</v>
      </c>
      <c r="GI237" s="380">
        <f>SUM(EL237:EO237)</f>
        <v>75274.338877808448</v>
      </c>
      <c r="GJ237" s="380">
        <f>SUM(EP237:ES237)</f>
        <v>0</v>
      </c>
      <c r="GK237" s="380">
        <f>SUM(EQ237:ET237)</f>
        <v>0</v>
      </c>
      <c r="GN237" s="70"/>
    </row>
    <row r="238" spans="1:196" s="382" customFormat="1" hidden="1" outlineLevel="1">
      <c r="A238" s="381" t="s">
        <v>198</v>
      </c>
      <c r="AE238" s="382">
        <f t="shared" ref="AE238:CP238" si="443">AE237/AD237-1</f>
        <v>2.7541015197226626E-2</v>
      </c>
      <c r="AF238" s="382">
        <f t="shared" si="443"/>
        <v>-1.5181071051356687E-3</v>
      </c>
      <c r="AG238" s="382">
        <f t="shared" si="443"/>
        <v>1.4174271190134036E-2</v>
      </c>
      <c r="AH238" s="382">
        <f t="shared" si="443"/>
        <v>-0.1647638597629032</v>
      </c>
      <c r="AI238" s="382">
        <f t="shared" si="443"/>
        <v>3.4150439460343351E-2</v>
      </c>
      <c r="AJ238" s="382">
        <f t="shared" si="443"/>
        <v>0.11770074365973637</v>
      </c>
      <c r="AK238" s="382">
        <f t="shared" si="443"/>
        <v>0.11286643096909388</v>
      </c>
      <c r="AL238" s="382">
        <f t="shared" si="443"/>
        <v>3.7267091848172118E-3</v>
      </c>
      <c r="AM238" s="382">
        <f t="shared" si="443"/>
        <v>-0.13733545427015947</v>
      </c>
      <c r="AN238" s="382">
        <f t="shared" si="443"/>
        <v>3.9856156236749651E-2</v>
      </c>
      <c r="AO238" s="382">
        <f t="shared" si="443"/>
        <v>0.12048041011540356</v>
      </c>
      <c r="AP238" s="382">
        <f t="shared" si="443"/>
        <v>-2.3716080335231982E-2</v>
      </c>
      <c r="AQ238" s="382">
        <f t="shared" si="443"/>
        <v>-3.6437246963562764E-2</v>
      </c>
      <c r="AR238" s="382">
        <f t="shared" si="443"/>
        <v>0.10344827586206895</v>
      </c>
      <c r="AS238" s="382">
        <f t="shared" si="443"/>
        <v>9.963235294117645E-2</v>
      </c>
      <c r="AT238" s="382">
        <f t="shared" si="443"/>
        <v>-7.4580885513683914E-2</v>
      </c>
      <c r="AU238" s="382">
        <f t="shared" si="443"/>
        <v>-2.3509070733658488E-2</v>
      </c>
      <c r="AV238" s="382">
        <f t="shared" si="443"/>
        <v>-4.1094080338266337E-2</v>
      </c>
      <c r="AW238" s="382">
        <f t="shared" si="443"/>
        <v>0.11889210417527907</v>
      </c>
      <c r="AX238" s="382">
        <f t="shared" si="443"/>
        <v>-4.1577378753171246E-2</v>
      </c>
      <c r="AY238" s="382">
        <f t="shared" si="443"/>
        <v>-1.8863560432782478E-2</v>
      </c>
      <c r="AZ238" s="382">
        <f t="shared" si="443"/>
        <v>6.930874610367499E-2</v>
      </c>
      <c r="BA238" s="382">
        <f t="shared" si="443"/>
        <v>6.1705411165274393E-2</v>
      </c>
      <c r="BB238" s="382">
        <f t="shared" si="443"/>
        <v>-0.12172950025379536</v>
      </c>
      <c r="BC238" s="382">
        <f t="shared" si="443"/>
        <v>-8.1936636368412752E-2</v>
      </c>
      <c r="BD238" s="382">
        <f t="shared" si="443"/>
        <v>0.12719260594614701</v>
      </c>
      <c r="BE238" s="382">
        <f t="shared" si="443"/>
        <v>4.2521324126726157E-2</v>
      </c>
      <c r="BF238" s="382">
        <f t="shared" si="443"/>
        <v>-0.1616382983904352</v>
      </c>
      <c r="BG238" s="382">
        <f t="shared" si="443"/>
        <v>0.1351767405384996</v>
      </c>
      <c r="BH238" s="382">
        <f t="shared" si="443"/>
        <v>9.8329196837499744E-2</v>
      </c>
      <c r="BI238" s="382">
        <f t="shared" si="443"/>
        <v>4.7337278106508895E-2</v>
      </c>
      <c r="BJ238" s="382">
        <f t="shared" si="443"/>
        <v>-0.10709995996263177</v>
      </c>
      <c r="BK238" s="382">
        <f t="shared" si="443"/>
        <v>3.0747023640485205E-2</v>
      </c>
      <c r="BL238" s="382">
        <f t="shared" si="443"/>
        <v>4.5750589019476706E-2</v>
      </c>
      <c r="BM238" s="382">
        <f t="shared" si="443"/>
        <v>-0.18679232652458344</v>
      </c>
      <c r="BN238" s="382">
        <f t="shared" si="443"/>
        <v>-2.0313922746542312E-2</v>
      </c>
      <c r="BO238" s="382">
        <f t="shared" si="443"/>
        <v>5.0652054745881747E-2</v>
      </c>
      <c r="BP238" s="382">
        <f t="shared" si="443"/>
        <v>0.1264983089145566</v>
      </c>
      <c r="BQ238" s="382">
        <f t="shared" si="443"/>
        <v>5.3059844542375556E-2</v>
      </c>
      <c r="BR238" s="382">
        <f t="shared" si="443"/>
        <v>-5.6827173947079812E-2</v>
      </c>
      <c r="BS238" s="382">
        <f t="shared" si="443"/>
        <v>1.4854834417277862E-2</v>
      </c>
      <c r="BT238" s="382">
        <f t="shared" si="443"/>
        <v>2.77948971309121E-2</v>
      </c>
      <c r="BU238" s="382">
        <f t="shared" si="443"/>
        <v>-4.7955689312326744E-3</v>
      </c>
      <c r="BV238" s="382">
        <f t="shared" si="443"/>
        <v>1.8812743842521851E-2</v>
      </c>
      <c r="BW238" s="382">
        <f t="shared" si="443"/>
        <v>-2.6555738985822308E-2</v>
      </c>
      <c r="BX238" s="382">
        <f t="shared" si="443"/>
        <v>2.5545784471042277E-2</v>
      </c>
      <c r="BY238" s="382">
        <f t="shared" si="443"/>
        <v>-2.2658373878100546E-3</v>
      </c>
      <c r="BZ238" s="382">
        <f t="shared" si="443"/>
        <v>-1.9568907122684553E-2</v>
      </c>
      <c r="CA238" s="382">
        <f t="shared" si="443"/>
        <v>-6.3559323674018509E-2</v>
      </c>
      <c r="CB238" s="382">
        <f t="shared" si="443"/>
        <v>-1.5519776652104245E-2</v>
      </c>
      <c r="CC238" s="382">
        <f t="shared" si="443"/>
        <v>-6.8921144677786539E-2</v>
      </c>
      <c r="CD238" s="382">
        <f t="shared" si="443"/>
        <v>-9.2952600785976447E-2</v>
      </c>
      <c r="CE238" s="382">
        <f t="shared" si="443"/>
        <v>2.5440373166390584E-2</v>
      </c>
      <c r="CF238" s="382">
        <f t="shared" si="443"/>
        <v>2.4749364058057832E-2</v>
      </c>
      <c r="CG238" s="382">
        <f t="shared" si="443"/>
        <v>3.9133228199287329E-2</v>
      </c>
      <c r="CH238" s="382">
        <f t="shared" si="443"/>
        <v>-8.0293406778708332E-2</v>
      </c>
      <c r="CI238" s="382">
        <f t="shared" si="443"/>
        <v>6.1543162719633226E-2</v>
      </c>
      <c r="CJ238" s="382">
        <f t="shared" si="443"/>
        <v>2.179107055470797E-2</v>
      </c>
      <c r="CK238" s="382">
        <f t="shared" si="443"/>
        <v>-0.10068740139734056</v>
      </c>
      <c r="CL238" s="382">
        <f t="shared" si="443"/>
        <v>-0.1922185326733914</v>
      </c>
      <c r="CM238" s="382">
        <f t="shared" si="443"/>
        <v>-2.6526021872333772E-2</v>
      </c>
      <c r="CN238" s="382">
        <f t="shared" si="443"/>
        <v>7.9674926300693283E-2</v>
      </c>
      <c r="CO238" s="382">
        <f t="shared" si="443"/>
        <v>5.449782303889017E-2</v>
      </c>
      <c r="CP238" s="382">
        <f t="shared" si="443"/>
        <v>-0.12215262955316841</v>
      </c>
      <c r="CQ238" s="382">
        <f t="shared" ref="CQ238:EH238" si="444">CQ237/CP237-1</f>
        <v>-5.9430803571428603E-2</v>
      </c>
      <c r="CR238" s="382">
        <f t="shared" si="444"/>
        <v>7.5433317794634913E-2</v>
      </c>
      <c r="CS238" s="382">
        <f t="shared" si="444"/>
        <v>-3.940576112227645E-3</v>
      </c>
      <c r="CT238" s="382">
        <f t="shared" si="444"/>
        <v>-9.5541401273885329E-2</v>
      </c>
      <c r="CU238" s="382">
        <f t="shared" si="444"/>
        <v>1.9027206718572387E-2</v>
      </c>
      <c r="CV238" s="382">
        <f t="shared" si="444"/>
        <v>4.0176846804309552E-2</v>
      </c>
      <c r="CW238" s="382">
        <f t="shared" si="444"/>
        <v>3.9532868402591514E-2</v>
      </c>
      <c r="CX238" s="382">
        <f t="shared" si="444"/>
        <v>-0.13731094438489932</v>
      </c>
      <c r="CY238" s="382">
        <f t="shared" si="444"/>
        <v>-6.4964476348244871E-3</v>
      </c>
      <c r="CZ238" s="382">
        <f t="shared" si="444"/>
        <v>0.17739858615461923</v>
      </c>
      <c r="DA238" s="382">
        <f t="shared" si="444"/>
        <v>-5.310570001180126E-2</v>
      </c>
      <c r="DB238" s="382">
        <f t="shared" si="444"/>
        <v>-0.10853629263429043</v>
      </c>
      <c r="DC238" s="382">
        <f t="shared" si="444"/>
        <v>-5.0812275677538321E-2</v>
      </c>
      <c r="DD238" s="382">
        <f t="shared" si="444"/>
        <v>0.16716989545539551</v>
      </c>
      <c r="DE238" s="382">
        <f t="shared" si="444"/>
        <v>0.11454170697850508</v>
      </c>
      <c r="DF238" s="382">
        <f t="shared" si="444"/>
        <v>-0.21151199652777786</v>
      </c>
      <c r="DG238" s="382">
        <f t="shared" si="444"/>
        <v>-0.13976026934775787</v>
      </c>
      <c r="DH238" s="382">
        <f t="shared" si="444"/>
        <v>0.11222824577356616</v>
      </c>
      <c r="DI238" s="382">
        <f t="shared" si="444"/>
        <v>0.24198951345520103</v>
      </c>
      <c r="DJ238" s="383">
        <f t="shared" si="444"/>
        <v>-0.18072815193748504</v>
      </c>
      <c r="DK238" s="383">
        <f t="shared" si="444"/>
        <v>1.3381579704719426E-2</v>
      </c>
      <c r="DL238" s="383">
        <f t="shared" si="444"/>
        <v>0.12825947250266623</v>
      </c>
      <c r="DM238" s="383">
        <f t="shared" si="444"/>
        <v>0.16290001035131163</v>
      </c>
      <c r="DN238" s="383">
        <f t="shared" si="444"/>
        <v>-0.29202939873234379</v>
      </c>
      <c r="DO238" s="383">
        <f t="shared" si="444"/>
        <v>-5.947549080354142E-2</v>
      </c>
      <c r="DP238" s="383">
        <f t="shared" si="444"/>
        <v>0.30859278477901952</v>
      </c>
      <c r="DQ238" s="383">
        <f t="shared" si="444"/>
        <v>-0.3197250042437616</v>
      </c>
      <c r="DR238" s="383">
        <f t="shared" si="444"/>
        <v>-0.1746724890829694</v>
      </c>
      <c r="DS238" s="383">
        <f t="shared" si="444"/>
        <v>0.18843537414965983</v>
      </c>
      <c r="DT238" s="383">
        <f t="shared" si="444"/>
        <v>0.28149844177319849</v>
      </c>
      <c r="DU238" s="383">
        <f t="shared" si="444"/>
        <v>0.10700282892451241</v>
      </c>
      <c r="DV238" s="382">
        <f t="shared" si="444"/>
        <v>-0.18632593588881419</v>
      </c>
      <c r="DW238" s="382">
        <f t="shared" si="444"/>
        <v>-1.0256634744855941E-2</v>
      </c>
      <c r="DX238" s="382">
        <f>DX237/DW237-1</f>
        <v>-4.8146715223037151E-2</v>
      </c>
      <c r="DY238" s="382">
        <f t="shared" si="444"/>
        <v>0.19990642180371965</v>
      </c>
      <c r="DZ238" s="382">
        <f t="shared" si="444"/>
        <v>-7.9742639890816869E-2</v>
      </c>
      <c r="EA238" s="382">
        <f t="shared" si="444"/>
        <v>1.6143008474576392E-2</v>
      </c>
      <c r="EB238" s="382">
        <f t="shared" si="444"/>
        <v>7.5761619367018973E-2</v>
      </c>
      <c r="EC238" s="382">
        <f t="shared" si="444"/>
        <v>7.1208158831296275E-2</v>
      </c>
      <c r="ED238" s="382">
        <f t="shared" si="444"/>
        <v>-0.11293364814714646</v>
      </c>
      <c r="EE238" s="384">
        <f t="shared" si="444"/>
        <v>-9.5778625376516935E-3</v>
      </c>
      <c r="EF238" s="384">
        <f t="shared" si="444"/>
        <v>-8.3417435557796571E-3</v>
      </c>
      <c r="EG238" s="384">
        <f t="shared" si="444"/>
        <v>-1.4900705659426361E-4</v>
      </c>
      <c r="EH238" s="384">
        <f t="shared" si="444"/>
        <v>-7.2410797615431788E-2</v>
      </c>
      <c r="EI238" s="384">
        <f>EI237/EH237-1</f>
        <v>3.4225775563508698E-2</v>
      </c>
      <c r="EJ238" s="384">
        <f>EJ237/EI237-1</f>
        <v>4.5757530668366186E-2</v>
      </c>
      <c r="EK238" s="384">
        <f>EK237/EJ237-1</f>
        <v>3.7750116542816903E-2</v>
      </c>
      <c r="EL238" s="384">
        <f t="shared" ref="EL238" si="445">EL237/EK237-1</f>
        <v>-9.8179714899611858E-2</v>
      </c>
      <c r="EM238" s="384">
        <f>EM237/EL237-1</f>
        <v>2.0625721543907849E-2</v>
      </c>
      <c r="EN238" s="384">
        <f>EN237/EM237-1</f>
        <v>3.1894406078410542E-2</v>
      </c>
      <c r="EO238" s="384">
        <f>EO237/EN237-1</f>
        <v>3.4247045020960654E-2</v>
      </c>
      <c r="EP238" s="384"/>
      <c r="EQ238" s="384"/>
      <c r="ER238" s="384"/>
      <c r="ES238" s="384"/>
      <c r="ET238" s="384"/>
      <c r="EU238" s="384"/>
      <c r="EV238" s="384"/>
      <c r="EW238" s="384"/>
      <c r="FG238" s="386" t="s">
        <v>199</v>
      </c>
      <c r="FH238" s="386" t="s">
        <v>199</v>
      </c>
      <c r="FI238" s="386" t="s">
        <v>199</v>
      </c>
      <c r="FJ238" s="386" t="s">
        <v>199</v>
      </c>
      <c r="FK238" s="386" t="s">
        <v>199</v>
      </c>
      <c r="FL238" s="386" t="s">
        <v>199</v>
      </c>
      <c r="FM238" s="386" t="s">
        <v>199</v>
      </c>
      <c r="FN238" s="386" t="s">
        <v>199</v>
      </c>
      <c r="FO238" s="386" t="s">
        <v>199</v>
      </c>
      <c r="FP238" s="386" t="s">
        <v>199</v>
      </c>
      <c r="FQ238" s="386" t="s">
        <v>199</v>
      </c>
      <c r="FR238" s="386" t="s">
        <v>199</v>
      </c>
      <c r="FS238" s="386" t="s">
        <v>199</v>
      </c>
      <c r="FT238" s="386" t="s">
        <v>199</v>
      </c>
      <c r="FU238" s="386" t="s">
        <v>199</v>
      </c>
      <c r="FV238" s="386" t="s">
        <v>199</v>
      </c>
      <c r="FW238" s="386" t="s">
        <v>199</v>
      </c>
      <c r="FX238" s="386" t="s">
        <v>199</v>
      </c>
      <c r="FY238" s="386" t="s">
        <v>199</v>
      </c>
      <c r="FZ238" s="386" t="s">
        <v>199</v>
      </c>
      <c r="GA238" s="386" t="s">
        <v>199</v>
      </c>
      <c r="GB238" s="386" t="s">
        <v>199</v>
      </c>
      <c r="GC238" s="386" t="s">
        <v>199</v>
      </c>
      <c r="GD238" s="386" t="s">
        <v>199</v>
      </c>
      <c r="GE238" s="386" t="s">
        <v>199</v>
      </c>
      <c r="GF238" s="386" t="s">
        <v>199</v>
      </c>
      <c r="GG238" s="386" t="s">
        <v>199</v>
      </c>
      <c r="GH238" s="386" t="s">
        <v>199</v>
      </c>
      <c r="GI238" s="386" t="s">
        <v>199</v>
      </c>
      <c r="GJ238" s="386" t="s">
        <v>199</v>
      </c>
      <c r="GK238" s="386" t="s">
        <v>199</v>
      </c>
      <c r="GN238" s="70"/>
    </row>
    <row r="239" spans="1:196" s="382" customFormat="1" hidden="1" outlineLevel="1">
      <c r="A239" s="381" t="s">
        <v>200</v>
      </c>
      <c r="AH239" s="382">
        <f>AH237/AD237-1</f>
        <v>-0.13091705761699213</v>
      </c>
      <c r="AI239" s="382">
        <f t="shared" ref="AI239:CT239" si="446">AI237/AE237-1</f>
        <v>-0.12532687892719596</v>
      </c>
      <c r="AJ239" s="382">
        <f t="shared" si="446"/>
        <v>-2.0890809498940954E-2</v>
      </c>
      <c r="AK239" s="382">
        <f t="shared" si="446"/>
        <v>7.4389068343535536E-2</v>
      </c>
      <c r="AL239" s="382">
        <f t="shared" si="446"/>
        <v>0.29112349430482909</v>
      </c>
      <c r="AM239" s="382">
        <f t="shared" si="446"/>
        <v>7.7025566296547332E-2</v>
      </c>
      <c r="AN239" s="382">
        <f t="shared" si="446"/>
        <v>2.013885998437992E-3</v>
      </c>
      <c r="AO239" s="382">
        <f t="shared" si="446"/>
        <v>8.8694372308182334E-3</v>
      </c>
      <c r="AP239" s="382">
        <f t="shared" si="446"/>
        <v>-1.871395909189344E-2</v>
      </c>
      <c r="AQ239" s="382">
        <f t="shared" si="446"/>
        <v>9.6058350576692986E-2</v>
      </c>
      <c r="AR239" s="382">
        <f t="shared" si="446"/>
        <v>0.1630875000683405</v>
      </c>
      <c r="AS239" s="382">
        <f t="shared" si="446"/>
        <v>0.14144668021897244</v>
      </c>
      <c r="AT239" s="382">
        <f t="shared" si="446"/>
        <v>8.1976825352505944E-2</v>
      </c>
      <c r="AU239" s="382">
        <f t="shared" si="446"/>
        <v>9.6493769921761841E-2</v>
      </c>
      <c r="AV239" s="382">
        <f t="shared" si="446"/>
        <v>-4.7137605042016806E-2</v>
      </c>
      <c r="AW239" s="382">
        <f t="shared" si="446"/>
        <v>-3.0448488322109224E-2</v>
      </c>
      <c r="AX239" s="382">
        <f t="shared" si="446"/>
        <v>4.1289257051431161E-3</v>
      </c>
      <c r="AY239" s="382">
        <f t="shared" si="446"/>
        <v>8.9059196617335967E-3</v>
      </c>
      <c r="AZ239" s="382">
        <f t="shared" si="446"/>
        <v>0.12506545404437097</v>
      </c>
      <c r="BA239" s="382">
        <f t="shared" si="446"/>
        <v>6.7563240473903274E-2</v>
      </c>
      <c r="BB239" s="382">
        <f t="shared" si="446"/>
        <v>-2.1716224203952583E-2</v>
      </c>
      <c r="BC239" s="382">
        <f t="shared" si="446"/>
        <v>-8.4605914555884398E-2</v>
      </c>
      <c r="BD239" s="382">
        <f t="shared" si="446"/>
        <v>-3.5053768708816158E-2</v>
      </c>
      <c r="BE239" s="382">
        <f t="shared" si="446"/>
        <v>-5.2489502099580032E-2</v>
      </c>
      <c r="BF239" s="382">
        <f t="shared" si="446"/>
        <v>-9.5544580465507289E-2</v>
      </c>
      <c r="BG239" s="382">
        <f t="shared" si="446"/>
        <v>0.11835064526282646</v>
      </c>
      <c r="BH239" s="382">
        <f t="shared" si="446"/>
        <v>8.9713647441104882E-2</v>
      </c>
      <c r="BI239" s="382">
        <f t="shared" si="446"/>
        <v>9.4747607568120396E-2</v>
      </c>
      <c r="BJ239" s="382">
        <f t="shared" si="446"/>
        <v>0.1659647390281449</v>
      </c>
      <c r="BK239" s="382">
        <f t="shared" si="446"/>
        <v>5.870270373308073E-2</v>
      </c>
      <c r="BL239" s="382">
        <f t="shared" si="446"/>
        <v>8.0210734752828028E-3</v>
      </c>
      <c r="BM239" s="382">
        <f t="shared" si="446"/>
        <v>-0.21731949286000285</v>
      </c>
      <c r="BN239" s="382">
        <f t="shared" si="446"/>
        <v>-0.14124631940811583</v>
      </c>
      <c r="BO239" s="382">
        <f t="shared" si="446"/>
        <v>-0.12466269769298066</v>
      </c>
      <c r="BP239" s="382">
        <f t="shared" si="446"/>
        <v>-5.7073454098410914E-2</v>
      </c>
      <c r="BQ239" s="382">
        <f t="shared" si="446"/>
        <v>0.22103875089912561</v>
      </c>
      <c r="BR239" s="382">
        <f t="shared" si="446"/>
        <v>0.17553019905549672</v>
      </c>
      <c r="BS239" s="382">
        <f t="shared" si="446"/>
        <v>0.13547820149033218</v>
      </c>
      <c r="BT239" s="382">
        <f t="shared" si="446"/>
        <v>3.5987974469003481E-2</v>
      </c>
      <c r="BU239" s="382">
        <f t="shared" si="446"/>
        <v>-2.0929505508249902E-2</v>
      </c>
      <c r="BV239" s="382">
        <f t="shared" si="446"/>
        <v>5.7589308507523418E-2</v>
      </c>
      <c r="BW239" s="382">
        <f t="shared" si="446"/>
        <v>1.4434979233000522E-2</v>
      </c>
      <c r="BX239" s="382">
        <f t="shared" si="446"/>
        <v>1.2215101939605733E-2</v>
      </c>
      <c r="BY239" s="382">
        <f t="shared" si="446"/>
        <v>1.4788073273098945E-2</v>
      </c>
      <c r="BZ239" s="382">
        <f t="shared" si="446"/>
        <v>-2.3441956599832059E-2</v>
      </c>
      <c r="CA239" s="382">
        <f t="shared" si="446"/>
        <v>-6.0563905651387473E-2</v>
      </c>
      <c r="CB239" s="382">
        <f t="shared" si="446"/>
        <v>-9.8181407412814004E-2</v>
      </c>
      <c r="CC239" s="382">
        <f t="shared" si="446"/>
        <v>-0.15842891387418945</v>
      </c>
      <c r="CD239" s="382">
        <f t="shared" si="446"/>
        <v>-0.22141915890905217</v>
      </c>
      <c r="CE239" s="382">
        <f t="shared" si="446"/>
        <v>-0.14742252401840417</v>
      </c>
      <c r="CF239" s="382">
        <f t="shared" si="446"/>
        <v>-0.11254872814888051</v>
      </c>
      <c r="CG239" s="382">
        <f t="shared" si="446"/>
        <v>-9.5574615223290582E-3</v>
      </c>
      <c r="CH239" s="382">
        <f t="shared" si="446"/>
        <v>4.2656355490087172E-3</v>
      </c>
      <c r="CI239" s="382">
        <f t="shared" si="446"/>
        <v>3.9622923836600377E-2</v>
      </c>
      <c r="CJ239" s="382">
        <f t="shared" si="446"/>
        <v>3.6621692658139082E-2</v>
      </c>
      <c r="CK239" s="382">
        <f t="shared" si="446"/>
        <v>-0.10286099713338204</v>
      </c>
      <c r="CL239" s="382">
        <f t="shared" si="446"/>
        <v>-0.2120397249809014</v>
      </c>
      <c r="CM239" s="382">
        <f t="shared" si="446"/>
        <v>-0.27741155473675116</v>
      </c>
      <c r="CN239" s="382">
        <f t="shared" si="446"/>
        <v>-0.23647734956051381</v>
      </c>
      <c r="CO239" s="382">
        <f t="shared" si="446"/>
        <v>-0.10472401478604099</v>
      </c>
      <c r="CP239" s="382">
        <f t="shared" si="446"/>
        <v>-2.706895214457461E-2</v>
      </c>
      <c r="CQ239" s="382">
        <f t="shared" si="446"/>
        <v>-5.9955382041271599E-2</v>
      </c>
      <c r="CR239" s="382">
        <f t="shared" si="446"/>
        <v>-6.3648439229577192E-2</v>
      </c>
      <c r="CS239" s="382">
        <f t="shared" si="446"/>
        <v>-0.11553938206375314</v>
      </c>
      <c r="CT239" s="382">
        <f t="shared" si="446"/>
        <v>-8.8727678571428603E-2</v>
      </c>
      <c r="CU239" s="382">
        <f t="shared" ref="CU239:EO239" si="447">CU237/CQ237-1</f>
        <v>-1.2713480527185683E-2</v>
      </c>
      <c r="CV239" s="382">
        <f t="shared" si="447"/>
        <v>-4.5080190723883806E-2</v>
      </c>
      <c r="CW239" s="382">
        <f t="shared" si="447"/>
        <v>-3.4023024884282105E-3</v>
      </c>
      <c r="CX239" s="382">
        <f t="shared" si="447"/>
        <v>-4.9426996763187847E-2</v>
      </c>
      <c r="CY239" s="382">
        <f t="shared" si="447"/>
        <v>-7.3236073314160821E-2</v>
      </c>
      <c r="CZ239" s="382">
        <f t="shared" si="447"/>
        <v>4.9024058102587365E-2</v>
      </c>
      <c r="DA239" s="382">
        <f t="shared" si="447"/>
        <v>-4.4460323131277013E-2</v>
      </c>
      <c r="DB239" s="382">
        <f t="shared" si="447"/>
        <v>-1.2588675685625161E-2</v>
      </c>
      <c r="DC239" s="382">
        <f t="shared" si="447"/>
        <v>-5.663275620408148E-2</v>
      </c>
      <c r="DD239" s="382">
        <f t="shared" si="447"/>
        <v>-6.4828291569961838E-2</v>
      </c>
      <c r="DE239" s="382">
        <f t="shared" si="447"/>
        <v>0.10074363341780579</v>
      </c>
      <c r="DF239" s="382">
        <f t="shared" si="447"/>
        <v>-2.6406635876301654E-2</v>
      </c>
      <c r="DG239" s="382">
        <f t="shared" si="447"/>
        <v>-0.11764167207660403</v>
      </c>
      <c r="DH239" s="382">
        <f t="shared" si="447"/>
        <v>-0.15917651831910173</v>
      </c>
      <c r="DI239" s="382">
        <f t="shared" si="447"/>
        <v>-6.3028381642512232E-2</v>
      </c>
      <c r="DJ239" s="383">
        <f t="shared" si="447"/>
        <v>-2.6447497015206434E-2</v>
      </c>
      <c r="DK239" s="383">
        <f t="shared" si="447"/>
        <v>0.146866551550902</v>
      </c>
      <c r="DL239" s="383">
        <f t="shared" si="447"/>
        <v>0.16339704139037381</v>
      </c>
      <c r="DM239" s="383">
        <f t="shared" si="447"/>
        <v>8.9312282284701894E-2</v>
      </c>
      <c r="DN239" s="383">
        <f t="shared" si="447"/>
        <v>-5.867500112307511E-2</v>
      </c>
      <c r="DO239" s="383">
        <f t="shared" si="447"/>
        <v>-0.126351563622216</v>
      </c>
      <c r="DP239" s="383">
        <f t="shared" si="447"/>
        <v>1.3286454171328677E-2</v>
      </c>
      <c r="DQ239" s="383">
        <f t="shared" si="447"/>
        <v>-0.4072461671893759</v>
      </c>
      <c r="DR239" s="383">
        <f t="shared" si="447"/>
        <v>-0.30898819167892466</v>
      </c>
      <c r="DS239" s="383">
        <f t="shared" si="447"/>
        <v>-0.12684585150736183</v>
      </c>
      <c r="DT239" s="383">
        <f t="shared" si="447"/>
        <v>-0.14492446104226775</v>
      </c>
      <c r="DU239" s="383">
        <f t="shared" si="447"/>
        <v>0.39145352464129757</v>
      </c>
      <c r="DV239" s="382">
        <f t="shared" si="447"/>
        <v>0.37180650037792895</v>
      </c>
      <c r="DW239" s="382">
        <f t="shared" si="447"/>
        <v>0.14245705883200466</v>
      </c>
      <c r="DX239" s="382">
        <f t="shared" si="447"/>
        <v>-0.15142190679438183</v>
      </c>
      <c r="DY239" s="382">
        <f t="shared" si="447"/>
        <v>-8.0206231786594917E-2</v>
      </c>
      <c r="DZ239" s="382">
        <f t="shared" si="447"/>
        <v>4.027770125075758E-2</v>
      </c>
      <c r="EA239" s="382">
        <f t="shared" si="447"/>
        <v>6.8025257967211594E-2</v>
      </c>
      <c r="EB239" s="382">
        <f t="shared" si="447"/>
        <v>0.20705638086325884</v>
      </c>
      <c r="EC239" s="382">
        <f t="shared" si="447"/>
        <v>7.7591235328524188E-2</v>
      </c>
      <c r="ED239" s="382">
        <f t="shared" si="447"/>
        <v>3.8725651483050738E-2</v>
      </c>
      <c r="EE239" s="384">
        <f t="shared" si="447"/>
        <v>1.243316285096796E-2</v>
      </c>
      <c r="EF239" s="384">
        <f t="shared" si="447"/>
        <v>-6.6719162531707066E-2</v>
      </c>
      <c r="EG239" s="384">
        <f t="shared" si="447"/>
        <v>-0.12888847574144957</v>
      </c>
      <c r="EH239" s="384">
        <f t="shared" si="447"/>
        <v>-8.9094471583529566E-2</v>
      </c>
      <c r="EI239" s="384">
        <f t="shared" si="447"/>
        <v>-4.8807633676881679E-2</v>
      </c>
      <c r="EJ239" s="384">
        <f t="shared" si="447"/>
        <v>3.0840501075541926E-3</v>
      </c>
      <c r="EK239" s="384">
        <f t="shared" si="447"/>
        <v>4.1105722000593925E-2</v>
      </c>
      <c r="EL239" s="384">
        <f t="shared" si="447"/>
        <v>1.2183255929026693E-2</v>
      </c>
      <c r="EM239" s="384">
        <f t="shared" si="447"/>
        <v>-1.1269392755646201E-3</v>
      </c>
      <c r="EN239" s="384">
        <f t="shared" si="447"/>
        <v>-1.4368538101559247E-2</v>
      </c>
      <c r="EO239" s="384">
        <f t="shared" si="447"/>
        <v>-1.7695675771969288E-2</v>
      </c>
      <c r="EP239" s="384"/>
      <c r="EQ239" s="384"/>
      <c r="ER239" s="384"/>
      <c r="ES239" s="384"/>
      <c r="ET239" s="384"/>
      <c r="EU239" s="384"/>
      <c r="EV239" s="384"/>
      <c r="EW239" s="384"/>
      <c r="FH239" s="382">
        <f t="shared" ref="FH239:GK239" si="448">FH237/FG237-1</f>
        <v>-4.9761426904678552E-2</v>
      </c>
      <c r="FI239" s="382">
        <f t="shared" si="448"/>
        <v>8.589950632835075E-2</v>
      </c>
      <c r="FJ239" s="382">
        <f t="shared" si="448"/>
        <v>9.3661664859671312E-2</v>
      </c>
      <c r="FK239" s="382">
        <f t="shared" si="448"/>
        <v>2.1267109842359799E-2</v>
      </c>
      <c r="FL239" s="382">
        <f t="shared" si="448"/>
        <v>5.0679263723733436E-2</v>
      </c>
      <c r="FM239" s="382">
        <f t="shared" si="448"/>
        <v>-4.8253365828852757E-2</v>
      </c>
      <c r="FN239" s="382">
        <f t="shared" si="448"/>
        <v>5.1631567973311032E-2</v>
      </c>
      <c r="FO239" s="382">
        <f t="shared" si="448"/>
        <v>-8.7837331160626198E-3</v>
      </c>
      <c r="FP239" s="382">
        <f t="shared" si="448"/>
        <v>-3.4504570362163811E-2</v>
      </c>
      <c r="FQ239" s="382">
        <f t="shared" si="448"/>
        <v>7.4628693107156252E-2</v>
      </c>
      <c r="FR239" s="382">
        <f t="shared" si="448"/>
        <v>2.4494943246255119E-2</v>
      </c>
      <c r="FS239" s="382">
        <f t="shared" si="448"/>
        <v>-8.5240126985368425E-2</v>
      </c>
      <c r="FT239" s="382">
        <f t="shared" si="448"/>
        <v>-0.12684178017139869</v>
      </c>
      <c r="FU239" s="382">
        <f t="shared" si="448"/>
        <v>-6.9427572243695446E-3</v>
      </c>
      <c r="FV239" s="382">
        <f t="shared" si="448"/>
        <v>-0.20990940229237409</v>
      </c>
      <c r="FW239" s="382">
        <f t="shared" si="448"/>
        <v>-6.784336908481825E-2</v>
      </c>
      <c r="FX239" s="382">
        <f t="shared" si="448"/>
        <v>-3.7809923594962713E-2</v>
      </c>
      <c r="FY239" s="382">
        <f t="shared" si="448"/>
        <v>-2.8961016080265356E-2</v>
      </c>
      <c r="FZ239" s="382">
        <f t="shared" si="448"/>
        <v>-7.750106138223356E-3</v>
      </c>
      <c r="GA239" s="382">
        <f t="shared" si="448"/>
        <v>-9.1392984810999667E-2</v>
      </c>
      <c r="GB239" s="382">
        <f t="shared" si="448"/>
        <v>9.0469169308478037E-2</v>
      </c>
      <c r="GC239" s="382">
        <f t="shared" si="448"/>
        <v>-0.15892763598372517</v>
      </c>
      <c r="GD239" s="382">
        <f t="shared" si="448"/>
        <v>-6.9578872937227088E-2</v>
      </c>
      <c r="GE239" s="382">
        <f t="shared" si="448"/>
        <v>3.2473739773630106E-2</v>
      </c>
      <c r="GF239" s="382">
        <f t="shared" si="448"/>
        <v>9.6099797065666515E-2</v>
      </c>
      <c r="GG239" s="387">
        <f t="shared" si="448"/>
        <v>-4.0300849272489336E-2</v>
      </c>
      <c r="GH239" s="387">
        <f t="shared" si="448"/>
        <v>-2.3779723661951802E-2</v>
      </c>
      <c r="GI239" s="387">
        <f t="shared" si="448"/>
        <v>-5.7533962786413539E-3</v>
      </c>
      <c r="GJ239" s="387">
        <f t="shared" si="448"/>
        <v>-1</v>
      </c>
      <c r="GK239" s="387" t="e">
        <f t="shared" si="448"/>
        <v>#DIV/0!</v>
      </c>
      <c r="GN239" s="70"/>
    </row>
    <row r="240" spans="1:196" hidden="1" outlineLevel="1">
      <c r="A240" s="99" t="s">
        <v>263</v>
      </c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0"/>
      <c r="BJ240" s="100"/>
      <c r="BK240" s="100"/>
      <c r="BL240" s="100"/>
      <c r="BM240" s="100"/>
      <c r="BN240" s="100"/>
      <c r="BO240" s="100"/>
      <c r="BP240" s="100"/>
      <c r="BQ240" s="100"/>
      <c r="BR240" s="100"/>
      <c r="BS240" s="100"/>
      <c r="BT240" s="100"/>
      <c r="BU240" s="100"/>
      <c r="BV240" s="100"/>
      <c r="BW240" s="100"/>
      <c r="BX240" s="100"/>
      <c r="BY240" s="100"/>
      <c r="BZ240" s="100"/>
      <c r="CA240" s="100"/>
      <c r="CB240" s="100"/>
      <c r="CC240" s="100"/>
      <c r="CD240" s="100"/>
      <c r="CE240" s="100"/>
      <c r="CF240" s="100"/>
      <c r="CG240" s="100"/>
      <c r="CH240" s="100"/>
      <c r="CI240" s="100"/>
      <c r="CJ240" s="100"/>
      <c r="CK240" s="100"/>
      <c r="CL240" s="100"/>
      <c r="CM240" s="100"/>
      <c r="CN240" s="100"/>
      <c r="CO240" s="100"/>
      <c r="CP240" s="100"/>
      <c r="CQ240" s="100"/>
      <c r="CR240" s="100"/>
      <c r="CS240" s="100"/>
      <c r="CT240" s="101"/>
      <c r="CU240" s="101"/>
      <c r="CV240" s="101"/>
      <c r="CW240" s="101"/>
      <c r="CX240" s="101"/>
      <c r="CY240" s="101"/>
      <c r="CZ240" s="104"/>
      <c r="DA240" s="103"/>
      <c r="DB240" s="103"/>
      <c r="DC240" s="103"/>
      <c r="DD240" s="104"/>
      <c r="DE240" s="107"/>
      <c r="DF240" s="105"/>
      <c r="DG240" s="105"/>
      <c r="DH240" s="105"/>
      <c r="DI240" s="105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N240" s="48"/>
    </row>
    <row r="241" spans="1:196" s="379" customFormat="1" hidden="1" outlineLevel="1">
      <c r="A241" s="405" t="s">
        <v>286</v>
      </c>
      <c r="AD241" s="376">
        <v>4953.9359999999997</v>
      </c>
      <c r="AE241" s="376">
        <v>5252.9000000000005</v>
      </c>
      <c r="AF241" s="376">
        <v>5668.393</v>
      </c>
      <c r="AG241" s="376">
        <v>5222.33</v>
      </c>
      <c r="AH241" s="376">
        <v>4332.88</v>
      </c>
      <c r="AI241" s="376">
        <v>5741.7449999999999</v>
      </c>
      <c r="AJ241" s="376">
        <v>5935.46</v>
      </c>
      <c r="AK241" s="376">
        <v>6271.0649999999996</v>
      </c>
      <c r="AL241" s="376">
        <v>6074.96</v>
      </c>
      <c r="AM241" s="376">
        <v>5966.15</v>
      </c>
      <c r="AN241" s="376">
        <v>5798.28</v>
      </c>
      <c r="AO241" s="376">
        <v>6427.0250000000005</v>
      </c>
      <c r="AP241" s="376">
        <v>5991</v>
      </c>
      <c r="AQ241" s="376">
        <v>5995</v>
      </c>
      <c r="AR241" s="376">
        <v>7636</v>
      </c>
      <c r="AS241" s="376">
        <v>8279</v>
      </c>
      <c r="AT241" s="376">
        <v>7075</v>
      </c>
      <c r="AU241" s="376">
        <v>7350</v>
      </c>
      <c r="AV241" s="376">
        <v>9709</v>
      </c>
      <c r="AW241" s="376">
        <v>11707</v>
      </c>
      <c r="AX241" s="376">
        <v>12799</v>
      </c>
      <c r="AY241" s="376">
        <v>13358</v>
      </c>
      <c r="AZ241" s="376">
        <v>16820</v>
      </c>
      <c r="BA241" s="376">
        <v>18041</v>
      </c>
      <c r="BB241" s="376">
        <v>18296</v>
      </c>
      <c r="BC241" s="376">
        <v>16923</v>
      </c>
      <c r="BD241" s="376">
        <v>20338</v>
      </c>
      <c r="BE241" s="376">
        <v>24809</v>
      </c>
      <c r="BF241" s="376">
        <v>21724</v>
      </c>
      <c r="BG241" s="376">
        <v>23896</v>
      </c>
      <c r="BH241" s="376">
        <v>30224</v>
      </c>
      <c r="BI241" s="376">
        <v>32827</v>
      </c>
      <c r="BJ241" s="376">
        <v>30321.031999999999</v>
      </c>
      <c r="BK241" s="376">
        <v>32237.514584626602</v>
      </c>
      <c r="BL241" s="376">
        <v>38128.622197199998</v>
      </c>
      <c r="BM241" s="376">
        <v>28451.792641492801</v>
      </c>
      <c r="BN241" s="376">
        <v>26004.620951500001</v>
      </c>
      <c r="BO241" s="376">
        <v>30227.965124650003</v>
      </c>
      <c r="BP241" s="376">
        <v>37402.353524050006</v>
      </c>
      <c r="BQ241" s="376">
        <v>41813.950149060009</v>
      </c>
      <c r="BR241" s="376">
        <v>40514.844289789995</v>
      </c>
      <c r="BS241" s="376">
        <v>42849.917053082405</v>
      </c>
      <c r="BT241" s="376">
        <v>43742.552444000001</v>
      </c>
      <c r="BU241" s="376">
        <v>43220.093872000012</v>
      </c>
      <c r="BV241" s="376">
        <v>44821.34630604001</v>
      </c>
      <c r="BW241" s="376">
        <v>44276.280693280904</v>
      </c>
      <c r="BX241" s="376">
        <v>51008.561858000001</v>
      </c>
      <c r="BY241" s="376">
        <v>49674.247808</v>
      </c>
      <c r="BZ241" s="376">
        <v>46425.974399999999</v>
      </c>
      <c r="CA241" s="376">
        <v>49432.667942799999</v>
      </c>
      <c r="CB241" s="376">
        <v>47941.042066800001</v>
      </c>
      <c r="CC241" s="376">
        <v>45968.222476799994</v>
      </c>
      <c r="CD241" s="376">
        <v>40504</v>
      </c>
      <c r="CE241" s="376">
        <v>46007</v>
      </c>
      <c r="CF241" s="376">
        <v>46191</v>
      </c>
      <c r="CG241" s="376">
        <v>44389</v>
      </c>
      <c r="CH241" s="376">
        <v>40365</v>
      </c>
      <c r="CI241" s="376">
        <v>46595</v>
      </c>
      <c r="CJ241" s="376">
        <v>50561</v>
      </c>
      <c r="CK241" s="376">
        <v>48165</v>
      </c>
      <c r="CL241" s="376">
        <v>41673</v>
      </c>
      <c r="CM241" s="376">
        <v>38745</v>
      </c>
      <c r="CN241" s="376">
        <v>42552</v>
      </c>
      <c r="CO241" s="376">
        <v>42198</v>
      </c>
      <c r="CP241" s="376">
        <v>38854</v>
      </c>
      <c r="CQ241" s="376">
        <v>37899</v>
      </c>
      <c r="CR241" s="376">
        <v>44256</v>
      </c>
      <c r="CS241" s="376">
        <v>42312</v>
      </c>
      <c r="CT241" s="376">
        <v>38682</v>
      </c>
      <c r="CU241" s="376">
        <v>42501</v>
      </c>
      <c r="CV241" s="376">
        <v>44816</v>
      </c>
      <c r="CW241" s="376">
        <v>43453</v>
      </c>
      <c r="CX241" s="376">
        <v>40106</v>
      </c>
      <c r="CY241" s="376">
        <v>44308.938504000005</v>
      </c>
      <c r="CZ241" s="376">
        <v>50719</v>
      </c>
      <c r="DA241" s="376">
        <v>46472</v>
      </c>
      <c r="DB241" s="376">
        <v>40323.889653837505</v>
      </c>
      <c r="DC241" s="376">
        <v>47198.472581296002</v>
      </c>
      <c r="DD241" s="376">
        <v>48904.753438749998</v>
      </c>
      <c r="DE241" s="376">
        <v>49026.833715327535</v>
      </c>
      <c r="DF241" s="376">
        <v>51714.090214445983</v>
      </c>
      <c r="DG241" s="376">
        <v>54599.135356739003</v>
      </c>
      <c r="DH241" s="376">
        <v>65319.152980029306</v>
      </c>
      <c r="DI241" s="376">
        <v>80023.076671254108</v>
      </c>
      <c r="DJ241" s="397">
        <v>84812.805714450602</v>
      </c>
      <c r="DK241" s="397">
        <v>81278.755492044336</v>
      </c>
      <c r="DL241" s="397">
        <v>62481.789175279031</v>
      </c>
      <c r="DM241" s="397">
        <v>65542.346026235013</v>
      </c>
      <c r="DN241" s="397">
        <v>60693.513749526886</v>
      </c>
      <c r="DO241" s="397">
        <v>54653.523029496238</v>
      </c>
      <c r="DP241" s="397">
        <v>44599.3986</v>
      </c>
      <c r="DQ241" s="397">
        <v>36799.984872720001</v>
      </c>
      <c r="DR241" s="397">
        <v>37187.217120000001</v>
      </c>
      <c r="DS241" s="397">
        <v>44240.2745</v>
      </c>
      <c r="DT241" s="397">
        <v>48798.575996</v>
      </c>
      <c r="DU241" s="397">
        <v>54274.46387</v>
      </c>
      <c r="DV241" s="376">
        <v>52053.006806063997</v>
      </c>
      <c r="DW241" s="376">
        <v>50808.168716895161</v>
      </c>
      <c r="DX241" s="376">
        <v>52419.583270000003</v>
      </c>
      <c r="DY241" s="376">
        <v>56813.375619999999</v>
      </c>
      <c r="DZ241" s="376">
        <v>52911.535479999999</v>
      </c>
      <c r="EA241" s="376">
        <v>53407.488686800003</v>
      </c>
      <c r="EB241" s="376">
        <v>55030.321460200001</v>
      </c>
      <c r="EC241" s="376">
        <v>54749.288988159999</v>
      </c>
      <c r="ED241" s="376">
        <v>49046.758499999996</v>
      </c>
      <c r="EE241" s="380">
        <v>49761.730878000002</v>
      </c>
      <c r="EF241" s="380">
        <v>50545.253335560003</v>
      </c>
      <c r="EG241" s="380">
        <v>51344.446242271202</v>
      </c>
      <c r="EH241" s="380">
        <v>47236.890542889509</v>
      </c>
      <c r="EI241" s="380">
        <v>49023.286144950718</v>
      </c>
      <c r="EJ241" s="380">
        <v>52047.796147409274</v>
      </c>
      <c r="EK241" s="380">
        <v>54032.620838383533</v>
      </c>
      <c r="EL241" s="380">
        <v>48510.085831361015</v>
      </c>
      <c r="EM241" s="380">
        <v>49859.235504667937</v>
      </c>
      <c r="EN241" s="380">
        <v>52218.388422792021</v>
      </c>
      <c r="EO241" s="380">
        <v>53984.17195988966</v>
      </c>
      <c r="EP241" s="380"/>
      <c r="EQ241" s="380"/>
      <c r="ER241" s="380"/>
      <c r="ES241" s="380"/>
      <c r="ET241" s="380"/>
      <c r="EU241" s="380"/>
      <c r="EV241" s="380"/>
      <c r="EW241" s="380"/>
      <c r="FG241" s="376">
        <f>AD241+AE241+AF241+AG241</f>
        <v>21097.559000000001</v>
      </c>
      <c r="FH241" s="376">
        <f>AH241+AI241+AJ241+AK241</f>
        <v>22281.149999999998</v>
      </c>
      <c r="FI241" s="376">
        <f>AL241+AM241+AN241+AO241</f>
        <v>24266.415000000001</v>
      </c>
      <c r="FJ241" s="376">
        <f>AP241+AQ241+AR241+AS241</f>
        <v>27901</v>
      </c>
      <c r="FK241" s="376">
        <f>AT241+AU241+AV241+AW241</f>
        <v>35841</v>
      </c>
      <c r="FL241" s="376">
        <f>AX241+AY241+AZ241+BA241</f>
        <v>61018</v>
      </c>
      <c r="FM241" s="376">
        <f>BB241+BC241+BD241+BE241</f>
        <v>80366</v>
      </c>
      <c r="FN241" s="376">
        <f>BF241+BG241+BH241+BI241</f>
        <v>108671</v>
      </c>
      <c r="FO241" s="376">
        <f>BJ241+BK241+BL241+BM241</f>
        <v>129138.96142331939</v>
      </c>
      <c r="FP241" s="376">
        <f>BN241+BO241+BP241+BQ241</f>
        <v>135448.88974926004</v>
      </c>
      <c r="FQ241" s="376">
        <f>BR241+BS241+BT241+BU241</f>
        <v>170327.40765887243</v>
      </c>
      <c r="FR241" s="376">
        <f>BV241+BW241+BX241+BY241</f>
        <v>189780.43666532094</v>
      </c>
      <c r="FS241" s="376">
        <f>BZ241+CA241+CB241+CC241</f>
        <v>189767.90688639999</v>
      </c>
      <c r="FT241" s="376">
        <f>CD241+CE241+CF241+CG241</f>
        <v>177091</v>
      </c>
      <c r="FU241" s="376">
        <f>CH241+CI241+CJ241+CK241</f>
        <v>185686</v>
      </c>
      <c r="FV241" s="376">
        <f>CL241+CM241+CN241+CO241</f>
        <v>165168</v>
      </c>
      <c r="FW241" s="376">
        <f>CP241+CQ241+CR241+CS241</f>
        <v>163321</v>
      </c>
      <c r="FX241" s="376">
        <f>CT241+CU241+CV241+CW241</f>
        <v>169452</v>
      </c>
      <c r="FY241" s="376">
        <f>CX241+CY241+CZ241+DA241</f>
        <v>181605.93850400002</v>
      </c>
      <c r="FZ241" s="376">
        <f>DB241+DC241+DD241+DE241</f>
        <v>185453.94938921102</v>
      </c>
      <c r="GA241" s="376">
        <f>SUM(DF241:DI241)</f>
        <v>251655.45522246842</v>
      </c>
      <c r="GB241" s="376">
        <f>SUM(DJ241:DM241)</f>
        <v>294115.69640800898</v>
      </c>
      <c r="GC241" s="376">
        <f>SUM(DN241:DQ241)</f>
        <v>196746.42025174314</v>
      </c>
      <c r="GD241" s="376">
        <f>SUM(DR241:DU241)</f>
        <v>184500.53148599999</v>
      </c>
      <c r="GE241" s="376">
        <f>SUM(DV241:DY241)</f>
        <v>212094.13441295916</v>
      </c>
      <c r="GF241" s="376">
        <f>SUM(DZ241:EC241)</f>
        <v>216098.63461516</v>
      </c>
      <c r="GG241" s="380">
        <f>SUM(ED241:EG241)</f>
        <v>200698.1889558312</v>
      </c>
      <c r="GH241" s="380">
        <f>SUM(EH241:EK241)</f>
        <v>202340.59367363303</v>
      </c>
      <c r="GI241" s="380">
        <f>SUM(EL241:EO241)</f>
        <v>204571.88171871065</v>
      </c>
      <c r="GJ241" s="380">
        <f>SUM(EP241:ES241)</f>
        <v>0</v>
      </c>
      <c r="GK241" s="380">
        <f>SUM(EQ241:ET241)</f>
        <v>0</v>
      </c>
      <c r="GN241" s="70"/>
    </row>
    <row r="242" spans="1:196" s="382" customFormat="1" hidden="1" outlineLevel="1">
      <c r="A242" s="381" t="s">
        <v>198</v>
      </c>
      <c r="AE242" s="382">
        <f t="shared" ref="AE242:CP242" si="449">AE241/AD241-1</f>
        <v>6.0348781251917893E-2</v>
      </c>
      <c r="AF242" s="382">
        <f t="shared" si="449"/>
        <v>7.9097831673932362E-2</v>
      </c>
      <c r="AG242" s="382">
        <f t="shared" si="449"/>
        <v>-7.8693026400956989E-2</v>
      </c>
      <c r="AH242" s="382">
        <f t="shared" si="449"/>
        <v>-0.1703166977192172</v>
      </c>
      <c r="AI242" s="382">
        <f t="shared" si="449"/>
        <v>0.32515670870183344</v>
      </c>
      <c r="AJ242" s="382">
        <f t="shared" si="449"/>
        <v>3.3738001252232586E-2</v>
      </c>
      <c r="AK242" s="382">
        <f t="shared" si="449"/>
        <v>5.6542374137809048E-2</v>
      </c>
      <c r="AL242" s="382">
        <f t="shared" si="449"/>
        <v>-3.1271402863787823E-2</v>
      </c>
      <c r="AM242" s="382">
        <f t="shared" si="449"/>
        <v>-1.791122904512954E-2</v>
      </c>
      <c r="AN242" s="382">
        <f t="shared" si="449"/>
        <v>-2.8137073321991557E-2</v>
      </c>
      <c r="AO242" s="382">
        <f t="shared" si="449"/>
        <v>0.10843646736618462</v>
      </c>
      <c r="AP242" s="382">
        <f t="shared" si="449"/>
        <v>-6.7842430984786928E-2</v>
      </c>
      <c r="AQ242" s="382">
        <f t="shared" si="449"/>
        <v>6.6766816891994374E-4</v>
      </c>
      <c r="AR242" s="382">
        <f t="shared" si="449"/>
        <v>0.27372810675562964</v>
      </c>
      <c r="AS242" s="382">
        <f t="shared" si="449"/>
        <v>8.4206390780513285E-2</v>
      </c>
      <c r="AT242" s="382">
        <f t="shared" si="449"/>
        <v>-0.14542819181060518</v>
      </c>
      <c r="AU242" s="382">
        <f t="shared" si="449"/>
        <v>3.8869257950530089E-2</v>
      </c>
      <c r="AV242" s="382">
        <f t="shared" si="449"/>
        <v>0.32095238095238088</v>
      </c>
      <c r="AW242" s="382">
        <f t="shared" si="449"/>
        <v>0.20578844371201988</v>
      </c>
      <c r="AX242" s="382">
        <f t="shared" si="449"/>
        <v>9.3277526266336341E-2</v>
      </c>
      <c r="AY242" s="382">
        <f t="shared" si="449"/>
        <v>4.3675287131807128E-2</v>
      </c>
      <c r="AZ242" s="382">
        <f t="shared" si="449"/>
        <v>0.25917053451115435</v>
      </c>
      <c r="BA242" s="382">
        <f t="shared" si="449"/>
        <v>7.2592152199762117E-2</v>
      </c>
      <c r="BB242" s="382">
        <f t="shared" si="449"/>
        <v>1.4134471481625166E-2</v>
      </c>
      <c r="BC242" s="382">
        <f t="shared" si="449"/>
        <v>-7.5043725404460027E-2</v>
      </c>
      <c r="BD242" s="382">
        <f t="shared" si="449"/>
        <v>0.20179637180168997</v>
      </c>
      <c r="BE242" s="382">
        <f t="shared" si="449"/>
        <v>0.21983479201494749</v>
      </c>
      <c r="BF242" s="382">
        <f t="shared" si="449"/>
        <v>-0.12435003426175983</v>
      </c>
      <c r="BG242" s="382">
        <f t="shared" si="449"/>
        <v>9.9981587184680532E-2</v>
      </c>
      <c r="BH242" s="382">
        <f t="shared" si="449"/>
        <v>0.26481419484432545</v>
      </c>
      <c r="BI242" s="382">
        <f t="shared" si="449"/>
        <v>8.6123610375860249E-2</v>
      </c>
      <c r="BJ242" s="382">
        <f t="shared" si="449"/>
        <v>-7.6338623693910534E-2</v>
      </c>
      <c r="BK242" s="382">
        <f t="shared" si="449"/>
        <v>6.3206377165084815E-2</v>
      </c>
      <c r="BL242" s="382">
        <f t="shared" si="449"/>
        <v>0.18274075059690675</v>
      </c>
      <c r="BM242" s="382">
        <f t="shared" si="449"/>
        <v>-0.25379436753992701</v>
      </c>
      <c r="BN242" s="382">
        <f t="shared" si="449"/>
        <v>-8.6011160028769407E-2</v>
      </c>
      <c r="BO242" s="382">
        <f t="shared" si="449"/>
        <v>0.16240744985388411</v>
      </c>
      <c r="BP242" s="382">
        <f t="shared" si="449"/>
        <v>0.23734275098622182</v>
      </c>
      <c r="BQ242" s="382">
        <f t="shared" si="449"/>
        <v>0.11794970661868409</v>
      </c>
      <c r="BR242" s="382">
        <f t="shared" si="449"/>
        <v>-3.1068718804105111E-2</v>
      </c>
      <c r="BS242" s="382">
        <f t="shared" si="449"/>
        <v>5.7634992907546811E-2</v>
      </c>
      <c r="BT242" s="382">
        <f t="shared" si="449"/>
        <v>2.0831671384843098E-2</v>
      </c>
      <c r="BU242" s="382">
        <f t="shared" si="449"/>
        <v>-1.194394343285865E-2</v>
      </c>
      <c r="BV242" s="382">
        <f t="shared" si="449"/>
        <v>3.7048795839783377E-2</v>
      </c>
      <c r="BW242" s="382">
        <f t="shared" si="449"/>
        <v>-1.2160848740182861E-2</v>
      </c>
      <c r="BX242" s="382">
        <f t="shared" si="449"/>
        <v>0.15205164163079199</v>
      </c>
      <c r="BY242" s="382">
        <f t="shared" si="449"/>
        <v>-2.6158629088868013E-2</v>
      </c>
      <c r="BZ242" s="382">
        <f t="shared" si="449"/>
        <v>-6.5391496627290047E-2</v>
      </c>
      <c r="CA242" s="382">
        <f t="shared" si="449"/>
        <v>6.4763175822541319E-2</v>
      </c>
      <c r="CB242" s="382">
        <f t="shared" si="449"/>
        <v>-3.0174901296567747E-2</v>
      </c>
      <c r="CC242" s="382">
        <f t="shared" si="449"/>
        <v>-4.115095344091857E-2</v>
      </c>
      <c r="CD242" s="382">
        <f t="shared" si="449"/>
        <v>-0.11886956211016797</v>
      </c>
      <c r="CE242" s="382">
        <f t="shared" si="449"/>
        <v>0.13586312462966621</v>
      </c>
      <c r="CF242" s="382">
        <f t="shared" si="449"/>
        <v>3.9993913969613715E-3</v>
      </c>
      <c r="CG242" s="382">
        <f t="shared" si="449"/>
        <v>-3.9011928730705137E-2</v>
      </c>
      <c r="CH242" s="382">
        <f t="shared" si="449"/>
        <v>-9.0653089729437419E-2</v>
      </c>
      <c r="CI242" s="382">
        <f t="shared" si="449"/>
        <v>0.15434163260250222</v>
      </c>
      <c r="CJ242" s="382">
        <f t="shared" si="449"/>
        <v>8.5116428801373489E-2</v>
      </c>
      <c r="CK242" s="382">
        <f t="shared" si="449"/>
        <v>-4.738830323767329E-2</v>
      </c>
      <c r="CL242" s="382">
        <f t="shared" si="449"/>
        <v>-0.13478667081905948</v>
      </c>
      <c r="CM242" s="382">
        <f t="shared" si="449"/>
        <v>-7.026132027931753E-2</v>
      </c>
      <c r="CN242" s="382">
        <f t="shared" si="449"/>
        <v>9.8257839721254348E-2</v>
      </c>
      <c r="CO242" s="382">
        <f t="shared" si="449"/>
        <v>-8.3192329385223251E-3</v>
      </c>
      <c r="CP242" s="382">
        <f t="shared" si="449"/>
        <v>-7.9245461870230849E-2</v>
      </c>
      <c r="CQ242" s="382">
        <f t="shared" ref="CQ242:EH242" si="450">CQ241/CP241-1</f>
        <v>-2.4579193905389429E-2</v>
      </c>
      <c r="CR242" s="382">
        <f t="shared" si="450"/>
        <v>0.16773529644581653</v>
      </c>
      <c r="CS242" s="382">
        <f t="shared" si="450"/>
        <v>-4.3926247288503251E-2</v>
      </c>
      <c r="CT242" s="382">
        <f t="shared" si="450"/>
        <v>-8.5791264889393037E-2</v>
      </c>
      <c r="CU242" s="382">
        <f t="shared" si="450"/>
        <v>9.8728090584768058E-2</v>
      </c>
      <c r="CV242" s="382">
        <f t="shared" si="450"/>
        <v>5.4469306604550516E-2</v>
      </c>
      <c r="CW242" s="382">
        <f t="shared" si="450"/>
        <v>-3.0413245269546585E-2</v>
      </c>
      <c r="CX242" s="382">
        <f t="shared" si="450"/>
        <v>-7.7025751961889877E-2</v>
      </c>
      <c r="CY242" s="382">
        <f t="shared" si="450"/>
        <v>0.10479575385229145</v>
      </c>
      <c r="CZ242" s="382">
        <f t="shared" si="450"/>
        <v>0.14466745790855096</v>
      </c>
      <c r="DA242" s="382">
        <f t="shared" si="450"/>
        <v>-8.3735878073305847E-2</v>
      </c>
      <c r="DB242" s="382">
        <f t="shared" si="450"/>
        <v>-0.13229708956280117</v>
      </c>
      <c r="DC242" s="382">
        <f t="shared" si="450"/>
        <v>0.17048412210413488</v>
      </c>
      <c r="DD242" s="382">
        <f t="shared" si="450"/>
        <v>3.6151188039296178E-2</v>
      </c>
      <c r="DE242" s="382">
        <f t="shared" si="450"/>
        <v>2.4962865160016445E-3</v>
      </c>
      <c r="DF242" s="382">
        <f t="shared" si="450"/>
        <v>5.4811952873030645E-2</v>
      </c>
      <c r="DG242" s="382">
        <f t="shared" si="450"/>
        <v>5.5788376636414228E-2</v>
      </c>
      <c r="DH242" s="382">
        <f t="shared" si="450"/>
        <v>0.19634042834649335</v>
      </c>
      <c r="DI242" s="382">
        <f t="shared" si="450"/>
        <v>0.22510891553845447</v>
      </c>
      <c r="DJ242" s="383">
        <f t="shared" si="450"/>
        <v>5.9854347551186571E-2</v>
      </c>
      <c r="DK242" s="383">
        <f t="shared" si="450"/>
        <v>-4.1668828104859279E-2</v>
      </c>
      <c r="DL242" s="383">
        <f t="shared" si="450"/>
        <v>-0.23126542972973019</v>
      </c>
      <c r="DM242" s="383">
        <f t="shared" si="450"/>
        <v>4.898318200156293E-2</v>
      </c>
      <c r="DN242" s="383">
        <f t="shared" si="450"/>
        <v>-7.3980145214320725E-2</v>
      </c>
      <c r="DO242" s="383">
        <f t="shared" si="450"/>
        <v>-9.951624723783159E-2</v>
      </c>
      <c r="DP242" s="383">
        <f t="shared" si="450"/>
        <v>-0.18396114051183998</v>
      </c>
      <c r="DQ242" s="383">
        <f t="shared" si="450"/>
        <v>-0.17487710534464473</v>
      </c>
      <c r="DR242" s="383">
        <f t="shared" si="450"/>
        <v>1.0522619740723327E-2</v>
      </c>
      <c r="DS242" s="383">
        <f t="shared" si="450"/>
        <v>0.18966348993635052</v>
      </c>
      <c r="DT242" s="383">
        <f t="shared" si="450"/>
        <v>0.10303510878984268</v>
      </c>
      <c r="DU242" s="383">
        <f t="shared" si="450"/>
        <v>0.1122140915433445</v>
      </c>
      <c r="DV242" s="382">
        <f t="shared" si="450"/>
        <v>-4.0930060023382508E-2</v>
      </c>
      <c r="DW242" s="382">
        <f t="shared" si="450"/>
        <v>-2.3914816175879761E-2</v>
      </c>
      <c r="DX242" s="382">
        <f>DX241/DW241-1</f>
        <v>3.1715658993413109E-2</v>
      </c>
      <c r="DY242" s="382">
        <f t="shared" si="450"/>
        <v>8.3819673410387097E-2</v>
      </c>
      <c r="DZ242" s="382">
        <f t="shared" si="450"/>
        <v>-6.8678195889955829E-2</v>
      </c>
      <c r="EA242" s="382">
        <f t="shared" si="450"/>
        <v>9.3732529646104457E-3</v>
      </c>
      <c r="EB242" s="382">
        <f t="shared" si="450"/>
        <v>3.0385865602422291E-2</v>
      </c>
      <c r="EC242" s="382">
        <f t="shared" si="450"/>
        <v>-5.1068658983439708E-3</v>
      </c>
      <c r="ED242" s="382">
        <f t="shared" si="450"/>
        <v>-0.10415716064172498</v>
      </c>
      <c r="EE242" s="384">
        <f t="shared" si="450"/>
        <v>1.457736249787045E-2</v>
      </c>
      <c r="EF242" s="384">
        <f t="shared" si="450"/>
        <v>1.5745482396521737E-2</v>
      </c>
      <c r="EG242" s="384">
        <f t="shared" si="450"/>
        <v>1.5811433398216668E-2</v>
      </c>
      <c r="EH242" s="384">
        <f t="shared" si="450"/>
        <v>-7.999999999999996E-2</v>
      </c>
      <c r="EI242" s="384">
        <f>EI241/EH241-1</f>
        <v>3.7817806835511725E-2</v>
      </c>
      <c r="EJ242" s="384">
        <f>EJ241/EI241-1</f>
        <v>6.169537459230634E-2</v>
      </c>
      <c r="EK242" s="384">
        <f>EK241/EJ241-1</f>
        <v>3.8134653873775237E-2</v>
      </c>
      <c r="EL242" s="384">
        <f t="shared" ref="EL242" si="451">EL241/EK241-1</f>
        <v>-0.10220742435464902</v>
      </c>
      <c r="EM242" s="384">
        <f>EM241/EL241-1</f>
        <v>2.7811735439864371E-2</v>
      </c>
      <c r="EN242" s="384">
        <f>EN241/EM241-1</f>
        <v>4.7316267372435217E-2</v>
      </c>
      <c r="EO242" s="384">
        <f>EO241/EN241-1</f>
        <v>3.3815358735332479E-2</v>
      </c>
      <c r="EP242" s="384"/>
      <c r="EQ242" s="384"/>
      <c r="ER242" s="384"/>
      <c r="ES242" s="384"/>
      <c r="ET242" s="384"/>
      <c r="EU242" s="384"/>
      <c r="EV242" s="384"/>
      <c r="EW242" s="384"/>
      <c r="FG242" s="466"/>
      <c r="FH242" s="466"/>
      <c r="FI242" s="466"/>
      <c r="FJ242" s="466"/>
      <c r="FK242" s="466"/>
      <c r="FL242" s="466"/>
      <c r="FM242" s="466"/>
      <c r="FN242" s="466"/>
      <c r="FO242" s="466"/>
      <c r="FP242" s="466"/>
      <c r="FQ242" s="466"/>
      <c r="FR242" s="466"/>
      <c r="FS242" s="466"/>
      <c r="FT242" s="466"/>
      <c r="FU242" s="466"/>
      <c r="FV242" s="466"/>
      <c r="FW242" s="466"/>
      <c r="FX242" s="466"/>
      <c r="FY242" s="466"/>
      <c r="FZ242" s="386"/>
      <c r="GA242" s="386"/>
      <c r="GB242" s="386"/>
      <c r="GC242" s="386"/>
      <c r="GD242" s="386"/>
      <c r="GE242" s="386"/>
      <c r="GF242" s="386"/>
      <c r="GG242" s="386"/>
      <c r="GH242" s="386"/>
      <c r="GI242" s="386"/>
      <c r="GJ242" s="386"/>
      <c r="GK242" s="386"/>
      <c r="GN242" s="70"/>
    </row>
    <row r="243" spans="1:196" s="382" customFormat="1" hidden="1" outlineLevel="1">
      <c r="A243" s="381" t="s">
        <v>200</v>
      </c>
      <c r="AH243" s="382">
        <f t="shared" ref="AH243:CS243" si="452">AH241/AD241-1</f>
        <v>-0.12536617348306467</v>
      </c>
      <c r="AI243" s="382">
        <f t="shared" si="452"/>
        <v>9.3061927697081437E-2</v>
      </c>
      <c r="AJ243" s="382">
        <f t="shared" si="452"/>
        <v>4.7115117106382609E-2</v>
      </c>
      <c r="AK243" s="382">
        <f t="shared" si="452"/>
        <v>0.20081745121430461</v>
      </c>
      <c r="AL243" s="382">
        <f t="shared" si="452"/>
        <v>0.40206052325474051</v>
      </c>
      <c r="AM243" s="382">
        <f t="shared" si="452"/>
        <v>3.9083066210707784E-2</v>
      </c>
      <c r="AN243" s="382">
        <f t="shared" si="452"/>
        <v>-2.3111940776283646E-2</v>
      </c>
      <c r="AO243" s="382">
        <f t="shared" si="452"/>
        <v>2.4869778897204986E-2</v>
      </c>
      <c r="AP243" s="382">
        <f t="shared" si="452"/>
        <v>-1.3820667131964615E-2</v>
      </c>
      <c r="AQ243" s="382">
        <f t="shared" si="452"/>
        <v>4.8356142571004401E-3</v>
      </c>
      <c r="AR243" s="382">
        <f t="shared" si="452"/>
        <v>0.31694226563739591</v>
      </c>
      <c r="AS243" s="382">
        <f t="shared" si="452"/>
        <v>0.28815431712184081</v>
      </c>
      <c r="AT243" s="382">
        <f t="shared" si="452"/>
        <v>0.18093807377733273</v>
      </c>
      <c r="AU243" s="382">
        <f t="shared" si="452"/>
        <v>0.22602168473728113</v>
      </c>
      <c r="AV243" s="382">
        <f t="shared" si="452"/>
        <v>0.27147721320062868</v>
      </c>
      <c r="AW243" s="382">
        <f t="shared" si="452"/>
        <v>0.41405966904215474</v>
      </c>
      <c r="AX243" s="382">
        <f t="shared" si="452"/>
        <v>0.80904593639575961</v>
      </c>
      <c r="AY243" s="382">
        <f t="shared" si="452"/>
        <v>0.81741496598639451</v>
      </c>
      <c r="AZ243" s="382">
        <f t="shared" si="452"/>
        <v>0.73241322484292914</v>
      </c>
      <c r="BA243" s="382">
        <f t="shared" si="452"/>
        <v>0.54104381993678996</v>
      </c>
      <c r="BB243" s="382">
        <f t="shared" si="452"/>
        <v>0.42948667864676926</v>
      </c>
      <c r="BC243" s="382">
        <f t="shared" si="452"/>
        <v>0.26688126965114534</v>
      </c>
      <c r="BD243" s="382">
        <f t="shared" si="452"/>
        <v>0.2091557669441142</v>
      </c>
      <c r="BE243" s="382">
        <f t="shared" si="452"/>
        <v>0.37514550191231089</v>
      </c>
      <c r="BF243" s="382">
        <f t="shared" si="452"/>
        <v>0.18736335811106253</v>
      </c>
      <c r="BG243" s="382">
        <f t="shared" si="452"/>
        <v>0.41204278201264555</v>
      </c>
      <c r="BH243" s="382">
        <f t="shared" si="452"/>
        <v>0.4860851607827712</v>
      </c>
      <c r="BI243" s="382">
        <f t="shared" si="452"/>
        <v>0.32318916522229846</v>
      </c>
      <c r="BJ243" s="382">
        <f t="shared" si="452"/>
        <v>0.39573890627876995</v>
      </c>
      <c r="BK243" s="382">
        <f t="shared" si="452"/>
        <v>0.34907576936000173</v>
      </c>
      <c r="BL243" s="382">
        <f t="shared" si="452"/>
        <v>0.26153461478295381</v>
      </c>
      <c r="BM243" s="382">
        <f t="shared" si="452"/>
        <v>-0.13328075543020068</v>
      </c>
      <c r="BN243" s="382">
        <f t="shared" si="452"/>
        <v>-0.14235699657254408</v>
      </c>
      <c r="BO243" s="382">
        <f t="shared" si="452"/>
        <v>-6.2335744112696267E-2</v>
      </c>
      <c r="BP243" s="382">
        <f t="shared" si="452"/>
        <v>-1.9047860407694683E-2</v>
      </c>
      <c r="BQ243" s="382">
        <f t="shared" si="452"/>
        <v>0.46964202487826534</v>
      </c>
      <c r="BR243" s="382">
        <f t="shared" si="452"/>
        <v>0.55798634271010261</v>
      </c>
      <c r="BS243" s="382">
        <f t="shared" si="452"/>
        <v>0.41755876971485506</v>
      </c>
      <c r="BT243" s="382">
        <f t="shared" si="452"/>
        <v>0.16951336807918249</v>
      </c>
      <c r="BU243" s="382">
        <f t="shared" si="452"/>
        <v>3.3628578929455921E-2</v>
      </c>
      <c r="BV243" s="382">
        <f t="shared" si="452"/>
        <v>0.1062944234820935</v>
      </c>
      <c r="BW243" s="382">
        <f t="shared" si="452"/>
        <v>3.3287430601826484E-2</v>
      </c>
      <c r="BX243" s="382">
        <f t="shared" si="452"/>
        <v>0.16610849180102316</v>
      </c>
      <c r="BY243" s="382">
        <f t="shared" si="452"/>
        <v>0.14933225168632247</v>
      </c>
      <c r="BZ243" s="382">
        <f t="shared" si="452"/>
        <v>3.5800533143373059E-2</v>
      </c>
      <c r="CA243" s="382">
        <f t="shared" si="452"/>
        <v>0.11645935857258216</v>
      </c>
      <c r="CB243" s="382">
        <f t="shared" si="452"/>
        <v>-6.01373510537212E-2</v>
      </c>
      <c r="CC243" s="382">
        <f t="shared" si="452"/>
        <v>-7.4606571709439184E-2</v>
      </c>
      <c r="CD243" s="382">
        <f t="shared" si="452"/>
        <v>-0.1275573528942453</v>
      </c>
      <c r="CE243" s="382">
        <f t="shared" si="452"/>
        <v>-6.9299677427160922E-2</v>
      </c>
      <c r="CF243" s="382">
        <f t="shared" si="452"/>
        <v>-3.650404729128609E-2</v>
      </c>
      <c r="CG243" s="382">
        <f t="shared" si="452"/>
        <v>-3.4354656145275664E-2</v>
      </c>
      <c r="CH243" s="382">
        <f t="shared" si="452"/>
        <v>-3.4317598261900395E-3</v>
      </c>
      <c r="CI243" s="382">
        <f t="shared" si="452"/>
        <v>1.2780663812028692E-2</v>
      </c>
      <c r="CJ243" s="382">
        <f t="shared" si="452"/>
        <v>9.4607174557814311E-2</v>
      </c>
      <c r="CK243" s="382">
        <f t="shared" si="452"/>
        <v>8.5066119984680943E-2</v>
      </c>
      <c r="CL243" s="382">
        <f t="shared" si="452"/>
        <v>3.2404310665180125E-2</v>
      </c>
      <c r="CM243" s="382">
        <f t="shared" si="452"/>
        <v>-0.1684730121257646</v>
      </c>
      <c r="CN243" s="382">
        <f t="shared" si="452"/>
        <v>-0.15840272146516088</v>
      </c>
      <c r="CO243" s="382">
        <f t="shared" si="452"/>
        <v>-0.12388663967611335</v>
      </c>
      <c r="CP243" s="382">
        <f t="shared" si="452"/>
        <v>-6.7645717850886689E-2</v>
      </c>
      <c r="CQ243" s="382">
        <f t="shared" si="452"/>
        <v>-2.1835075493612077E-2</v>
      </c>
      <c r="CR243" s="382">
        <f t="shared" si="452"/>
        <v>4.0045121263395433E-2</v>
      </c>
      <c r="CS243" s="382">
        <f t="shared" si="452"/>
        <v>2.7015498364850732E-3</v>
      </c>
      <c r="CT243" s="382">
        <f t="shared" ref="CT243:EO243" si="453">CT241/CP241-1</f>
        <v>-4.4268286405517721E-3</v>
      </c>
      <c r="CU243" s="382">
        <f t="shared" si="453"/>
        <v>0.1214280060159898</v>
      </c>
      <c r="CV243" s="382">
        <f t="shared" si="453"/>
        <v>1.2653651482284811E-2</v>
      </c>
      <c r="CW243" s="382">
        <f t="shared" si="453"/>
        <v>2.6966345244847867E-2</v>
      </c>
      <c r="CX243" s="382">
        <f t="shared" si="453"/>
        <v>3.6812987953052989E-2</v>
      </c>
      <c r="CY243" s="382">
        <f t="shared" si="453"/>
        <v>4.2538728594621489E-2</v>
      </c>
      <c r="CZ243" s="382">
        <f t="shared" si="453"/>
        <v>0.13171635130310611</v>
      </c>
      <c r="DA243" s="382">
        <f t="shared" si="453"/>
        <v>6.9477366349849357E-2</v>
      </c>
      <c r="DB243" s="382">
        <f t="shared" si="453"/>
        <v>5.4328443085200906E-3</v>
      </c>
      <c r="DC243" s="382">
        <f t="shared" si="453"/>
        <v>6.5213344640046911E-2</v>
      </c>
      <c r="DD243" s="382">
        <f t="shared" si="453"/>
        <v>-3.5770550705849891E-2</v>
      </c>
      <c r="DE243" s="382">
        <f t="shared" si="453"/>
        <v>5.4975764230666524E-2</v>
      </c>
      <c r="DF243" s="382">
        <f t="shared" si="453"/>
        <v>0.28246780403349581</v>
      </c>
      <c r="DG243" s="382">
        <f t="shared" si="453"/>
        <v>0.15679877696668854</v>
      </c>
      <c r="DH243" s="382">
        <f t="shared" si="453"/>
        <v>0.33564016556871645</v>
      </c>
      <c r="DI243" s="382">
        <f t="shared" si="453"/>
        <v>0.63223016064845416</v>
      </c>
      <c r="DJ243" s="383">
        <f t="shared" si="453"/>
        <v>0.6400328297907234</v>
      </c>
      <c r="DK243" s="383">
        <f t="shared" si="453"/>
        <v>0.48864546958457189</v>
      </c>
      <c r="DL243" s="383">
        <f t="shared" si="453"/>
        <v>-4.3438465982830077E-2</v>
      </c>
      <c r="DM243" s="383">
        <f t="shared" si="453"/>
        <v>-0.18095693451662631</v>
      </c>
      <c r="DN243" s="383">
        <f t="shared" si="453"/>
        <v>-0.28438266794437872</v>
      </c>
      <c r="DO243" s="383">
        <f t="shared" si="453"/>
        <v>-0.32757923397528166</v>
      </c>
      <c r="DP243" s="383">
        <f t="shared" si="453"/>
        <v>-0.28620164069108012</v>
      </c>
      <c r="DQ243" s="383">
        <f t="shared" si="453"/>
        <v>-0.4385311618538974</v>
      </c>
      <c r="DR243" s="383">
        <f t="shared" si="453"/>
        <v>-0.38729503660858855</v>
      </c>
      <c r="DS243" s="383">
        <f t="shared" si="453"/>
        <v>-0.19053206366726372</v>
      </c>
      <c r="DT243" s="383">
        <f t="shared" si="453"/>
        <v>9.4153229142421635E-2</v>
      </c>
      <c r="DU243" s="383">
        <f t="shared" si="453"/>
        <v>0.4748501679475936</v>
      </c>
      <c r="DV243" s="382">
        <f t="shared" si="453"/>
        <v>0.39975536857445793</v>
      </c>
      <c r="DW243" s="382">
        <f t="shared" si="453"/>
        <v>0.14845961719552991</v>
      </c>
      <c r="DX243" s="382">
        <f t="shared" si="453"/>
        <v>7.4203134007369664E-2</v>
      </c>
      <c r="DY243" s="382">
        <f t="shared" si="453"/>
        <v>4.6779121689369152E-2</v>
      </c>
      <c r="DZ243" s="382">
        <f t="shared" si="453"/>
        <v>1.6493354113714442E-2</v>
      </c>
      <c r="EA243" s="382">
        <f t="shared" si="453"/>
        <v>5.1159489419670745E-2</v>
      </c>
      <c r="EB243" s="382">
        <f t="shared" si="453"/>
        <v>4.9804634591479768E-2</v>
      </c>
      <c r="EC243" s="382">
        <f t="shared" si="453"/>
        <v>-3.6330997926364739E-2</v>
      </c>
      <c r="ED243" s="382">
        <f t="shared" si="453"/>
        <v>-7.3042238236704526E-2</v>
      </c>
      <c r="EE243" s="384">
        <f t="shared" si="453"/>
        <v>-6.8263045098038377E-2</v>
      </c>
      <c r="EF243" s="384">
        <f t="shared" si="453"/>
        <v>-8.1501761313238386E-2</v>
      </c>
      <c r="EG243" s="384">
        <f t="shared" si="453"/>
        <v>-6.2189716228554515E-2</v>
      </c>
      <c r="EH243" s="384">
        <f t="shared" si="453"/>
        <v>-3.6900867915878433E-2</v>
      </c>
      <c r="EI243" s="384">
        <f t="shared" si="453"/>
        <v>-1.4839611083057314E-2</v>
      </c>
      <c r="EJ243" s="384">
        <f t="shared" si="453"/>
        <v>2.9726684756611776E-2</v>
      </c>
      <c r="EK243" s="384">
        <f t="shared" si="453"/>
        <v>5.2355703349648675E-2</v>
      </c>
      <c r="EL243" s="384">
        <f t="shared" si="453"/>
        <v>2.6953410223212959E-2</v>
      </c>
      <c r="EM243" s="384">
        <f t="shared" si="453"/>
        <v>1.7052087394662019E-2</v>
      </c>
      <c r="EN243" s="384">
        <f t="shared" si="453"/>
        <v>3.2776080451053513E-3</v>
      </c>
      <c r="EO243" s="384">
        <f t="shared" si="453"/>
        <v>-8.9665979073616509E-4</v>
      </c>
      <c r="EP243" s="384"/>
      <c r="EQ243" s="384"/>
      <c r="ER243" s="384"/>
      <c r="ES243" s="384"/>
      <c r="ET243" s="384"/>
      <c r="EU243" s="384"/>
      <c r="EV243" s="384"/>
      <c r="EW243" s="384"/>
      <c r="FH243" s="382">
        <f t="shared" ref="FH243:GK243" si="454">FH241/FG241-1</f>
        <v>5.61008503400795E-2</v>
      </c>
      <c r="FI243" s="382">
        <f t="shared" si="454"/>
        <v>8.910065234514386E-2</v>
      </c>
      <c r="FJ243" s="382">
        <f t="shared" si="454"/>
        <v>0.14977840772936579</v>
      </c>
      <c r="FK243" s="382">
        <f t="shared" si="454"/>
        <v>0.28457761370560197</v>
      </c>
      <c r="FL243" s="382">
        <f t="shared" si="454"/>
        <v>0.70246365893808771</v>
      </c>
      <c r="FM243" s="382">
        <f t="shared" si="454"/>
        <v>0.31708676128355573</v>
      </c>
      <c r="FN243" s="382">
        <f t="shared" si="454"/>
        <v>0.35220117960331487</v>
      </c>
      <c r="FO243" s="382">
        <f t="shared" si="454"/>
        <v>0.18834796241241358</v>
      </c>
      <c r="FP243" s="382">
        <f t="shared" si="454"/>
        <v>4.8861538426475448E-2</v>
      </c>
      <c r="FQ243" s="382">
        <f t="shared" si="454"/>
        <v>0.25750316576369681</v>
      </c>
      <c r="FR243" s="382">
        <f t="shared" si="454"/>
        <v>0.11420962294810799</v>
      </c>
      <c r="FS243" s="382">
        <f t="shared" si="454"/>
        <v>-6.602250021725542E-5</v>
      </c>
      <c r="FT243" s="382">
        <f t="shared" si="454"/>
        <v>-6.6802164256302365E-2</v>
      </c>
      <c r="FU243" s="382">
        <f t="shared" si="454"/>
        <v>4.853436933553934E-2</v>
      </c>
      <c r="FV243" s="382">
        <f t="shared" si="454"/>
        <v>-0.11049836821300474</v>
      </c>
      <c r="FW243" s="382">
        <f t="shared" si="454"/>
        <v>-1.1182553521263183E-2</v>
      </c>
      <c r="FX243" s="382">
        <f t="shared" si="454"/>
        <v>3.7539569314417598E-2</v>
      </c>
      <c r="FY243" s="382">
        <f t="shared" si="454"/>
        <v>7.1724963435073175E-2</v>
      </c>
      <c r="FZ243" s="382">
        <f t="shared" si="454"/>
        <v>2.1188794358320218E-2</v>
      </c>
      <c r="GA243" s="382">
        <f t="shared" si="454"/>
        <v>0.35697005133236992</v>
      </c>
      <c r="GB243" s="382">
        <f t="shared" si="454"/>
        <v>0.16872370657733149</v>
      </c>
      <c r="GC243" s="382">
        <f t="shared" si="454"/>
        <v>-0.33105773457663856</v>
      </c>
      <c r="GD243" s="382">
        <f t="shared" si="454"/>
        <v>-6.2241990223121491E-2</v>
      </c>
      <c r="GE243" s="382">
        <f t="shared" si="454"/>
        <v>0.14955839262204496</v>
      </c>
      <c r="GF243" s="382">
        <f t="shared" si="454"/>
        <v>1.8880768264924574E-2</v>
      </c>
      <c r="GG243" s="387">
        <f t="shared" si="454"/>
        <v>-7.1265816587664843E-2</v>
      </c>
      <c r="GH243" s="387">
        <f t="shared" si="454"/>
        <v>8.1834555974158452E-3</v>
      </c>
      <c r="GI243" s="387">
        <f t="shared" si="454"/>
        <v>1.1027387063401672E-2</v>
      </c>
      <c r="GJ243" s="387">
        <f t="shared" si="454"/>
        <v>-1</v>
      </c>
      <c r="GK243" s="387" t="e">
        <f t="shared" si="454"/>
        <v>#DIV/0!</v>
      </c>
      <c r="GN243" s="70"/>
    </row>
    <row r="244" spans="1:196" collapsed="1">
      <c r="A244" s="61" t="s">
        <v>287</v>
      </c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75"/>
      <c r="CS244" s="62"/>
      <c r="CT244" s="76"/>
      <c r="CU244" s="76"/>
      <c r="CV244" s="76"/>
      <c r="CW244" s="76"/>
      <c r="CX244" s="76"/>
      <c r="CY244" s="76"/>
      <c r="CZ244" s="76"/>
      <c r="DA244" s="76"/>
      <c r="DB244" s="76"/>
      <c r="DC244" s="76"/>
      <c r="DD244" s="76"/>
      <c r="DE244" s="76"/>
      <c r="DF244" s="76"/>
      <c r="DG244" s="76"/>
      <c r="DH244" s="76"/>
      <c r="DI244" s="79"/>
      <c r="DJ244" s="108"/>
      <c r="DK244" s="108"/>
      <c r="DL244" s="109"/>
      <c r="DM244" s="108"/>
      <c r="DN244" s="110"/>
      <c r="DO244" s="108"/>
      <c r="DP244" s="108"/>
      <c r="DQ244" s="108"/>
      <c r="DR244" s="111"/>
      <c r="DS244" s="111"/>
      <c r="DT244" s="108"/>
      <c r="DU244" s="108"/>
      <c r="DV244" s="108"/>
      <c r="DW244" s="108"/>
      <c r="DX244" s="76"/>
      <c r="DY244" s="79"/>
      <c r="DZ244" s="79"/>
      <c r="EA244" s="79"/>
      <c r="EB244" s="79"/>
      <c r="EC244" s="79"/>
      <c r="ED244" s="79"/>
      <c r="EE244" s="79"/>
      <c r="EF244" s="79"/>
      <c r="EG244" s="79"/>
      <c r="EH244" s="79"/>
      <c r="EI244" s="79"/>
      <c r="EJ244" s="79"/>
      <c r="EK244" s="79"/>
      <c r="EL244" s="79"/>
      <c r="EM244" s="79"/>
      <c r="EN244" s="79"/>
      <c r="EO244" s="79"/>
      <c r="EP244" s="79"/>
      <c r="EQ244" s="79"/>
      <c r="ER244" s="79"/>
      <c r="ES244" s="79"/>
      <c r="ET244" s="79"/>
      <c r="EU244" s="79"/>
      <c r="EV244" s="79"/>
      <c r="EW244" s="79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112"/>
      <c r="GD244" s="112"/>
      <c r="GE244" s="112"/>
      <c r="GF244" s="112"/>
      <c r="GG244" s="112"/>
      <c r="GH244" s="112"/>
      <c r="GI244" s="112"/>
      <c r="GJ244" s="112"/>
      <c r="GK244" s="112"/>
      <c r="GN244" s="48"/>
    </row>
    <row r="245" spans="1:196">
      <c r="A245" s="82" t="s">
        <v>197</v>
      </c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4"/>
      <c r="CS245" s="113"/>
      <c r="CT245" s="85"/>
      <c r="CU245" s="85"/>
      <c r="CV245" s="85"/>
      <c r="CW245" s="85"/>
      <c r="CX245" s="85"/>
      <c r="CY245" s="85"/>
      <c r="CZ245" s="85"/>
      <c r="DA245" s="85"/>
      <c r="DB245" s="85"/>
      <c r="DC245" s="85"/>
      <c r="DD245" s="85"/>
      <c r="DE245" s="85"/>
      <c r="DF245" s="85"/>
      <c r="DG245" s="85"/>
      <c r="DH245" s="85"/>
      <c r="DI245" s="85"/>
      <c r="DJ245" s="98"/>
      <c r="DK245" s="98"/>
      <c r="DL245" s="98"/>
      <c r="DM245" s="98"/>
      <c r="DN245" s="98"/>
      <c r="DO245" s="98"/>
      <c r="DP245" s="98"/>
      <c r="DQ245" s="98"/>
      <c r="DR245" s="98"/>
      <c r="DS245" s="98"/>
      <c r="DT245" s="98"/>
      <c r="DU245" s="98"/>
      <c r="DV245" s="98"/>
      <c r="DW245" s="98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  <c r="FK245" s="83"/>
      <c r="FL245" s="83"/>
      <c r="FM245" s="83"/>
      <c r="FN245" s="83"/>
      <c r="FO245" s="83"/>
      <c r="FP245" s="83"/>
      <c r="FQ245" s="83"/>
      <c r="FR245" s="83"/>
      <c r="FS245" s="83"/>
      <c r="FT245" s="83"/>
      <c r="FU245" s="84"/>
      <c r="FV245" s="84"/>
      <c r="FW245" s="84"/>
      <c r="FX245" s="84">
        <f>FX250+FX262</f>
        <v>1563.9829999999999</v>
      </c>
      <c r="FY245" s="84">
        <f>FY250+FY262</f>
        <v>2018.5991183227634</v>
      </c>
      <c r="FZ245" s="84"/>
      <c r="GA245" s="84"/>
      <c r="GB245" s="84"/>
      <c r="GC245" s="84"/>
      <c r="GD245" s="84"/>
      <c r="GE245" s="84"/>
      <c r="GF245" s="84"/>
      <c r="GG245" s="84"/>
      <c r="GH245" s="84"/>
      <c r="GI245" s="84"/>
      <c r="GJ245" s="84"/>
      <c r="GK245" s="84"/>
      <c r="GN245" s="48"/>
    </row>
    <row r="246" spans="1:196" s="379" customFormat="1">
      <c r="A246" s="405" t="s">
        <v>288</v>
      </c>
      <c r="B246" s="376"/>
      <c r="C246" s="376"/>
      <c r="D246" s="376"/>
      <c r="E246" s="376"/>
      <c r="F246" s="376"/>
      <c r="G246" s="376"/>
      <c r="H246" s="376"/>
      <c r="I246" s="376"/>
      <c r="J246" s="376"/>
      <c r="K246" s="376"/>
      <c r="L246" s="376"/>
      <c r="M246" s="376"/>
      <c r="N246" s="376"/>
      <c r="O246" s="376"/>
      <c r="P246" s="376"/>
      <c r="Q246" s="376"/>
      <c r="R246" s="376"/>
      <c r="S246" s="376"/>
      <c r="T246" s="376"/>
      <c r="U246" s="376"/>
      <c r="V246" s="376"/>
      <c r="W246" s="376"/>
      <c r="X246" s="376"/>
      <c r="Y246" s="376"/>
      <c r="Z246" s="376"/>
      <c r="AA246" s="376"/>
      <c r="AB246" s="376"/>
      <c r="AC246" s="376"/>
      <c r="AD246" s="376"/>
      <c r="AE246" s="376"/>
      <c r="AF246" s="376"/>
      <c r="AG246" s="376"/>
      <c r="AH246" s="376"/>
      <c r="AI246" s="376"/>
      <c r="AJ246" s="376"/>
      <c r="AK246" s="376"/>
      <c r="AL246" s="376"/>
      <c r="AM246" s="376"/>
      <c r="AN246" s="376"/>
      <c r="AO246" s="376"/>
      <c r="AP246" s="376"/>
      <c r="AQ246" s="376"/>
      <c r="AR246" s="376"/>
      <c r="AS246" s="376"/>
      <c r="AT246" s="376"/>
      <c r="AU246" s="376"/>
      <c r="AV246" s="376"/>
      <c r="AW246" s="376"/>
      <c r="AX246" s="376"/>
      <c r="AY246" s="376"/>
      <c r="AZ246" s="376"/>
      <c r="BA246" s="376"/>
      <c r="BB246" s="376"/>
      <c r="BC246" s="376"/>
      <c r="BD246" s="376"/>
      <c r="BE246" s="376"/>
      <c r="BF246" s="376"/>
      <c r="BG246" s="376"/>
      <c r="BH246" s="376"/>
      <c r="BI246" s="376"/>
      <c r="BJ246" s="376"/>
      <c r="BK246" s="376"/>
      <c r="BL246" s="376"/>
      <c r="BM246" s="376"/>
      <c r="BN246" s="376"/>
      <c r="BO246" s="376"/>
      <c r="BP246" s="376"/>
      <c r="BQ246" s="376"/>
      <c r="BR246" s="376"/>
      <c r="BS246" s="376"/>
      <c r="BT246" s="376"/>
      <c r="BU246" s="376"/>
      <c r="BV246" s="376"/>
      <c r="BW246" s="376"/>
      <c r="BX246" s="376"/>
      <c r="BY246" s="376"/>
      <c r="BZ246" s="376"/>
      <c r="CA246" s="376"/>
      <c r="CB246" s="376"/>
      <c r="CC246" s="376"/>
      <c r="CD246" s="376">
        <f>CD188-CD195-CD315</f>
        <v>378.96799999999996</v>
      </c>
      <c r="CE246" s="376">
        <f>CE188-CE195-CE315</f>
        <v>368.52300000000002</v>
      </c>
      <c r="CF246" s="376">
        <f>CF188-CF195-CF315</f>
        <v>319.55100000000004</v>
      </c>
      <c r="CG246" s="376">
        <f>CG188-CG195-CG315</f>
        <v>333.03499999999997</v>
      </c>
      <c r="CH246" s="376">
        <f>CH188-CH195-CH315</f>
        <v>334.88799999999992</v>
      </c>
      <c r="CI246" s="376">
        <f>CI188-CI195-CI315</f>
        <v>262.69100000000003</v>
      </c>
      <c r="CJ246" s="376">
        <f>CJ188-CJ195-CJ315</f>
        <v>188.56600000000003</v>
      </c>
      <c r="CK246" s="376">
        <f>CK188-CK195-CK315</f>
        <v>164.69899999999996</v>
      </c>
      <c r="CL246" s="376">
        <f>CL188-CL195-CL315</f>
        <v>144.30600000000004</v>
      </c>
      <c r="CM246" s="376">
        <f>CM188-CM195-CM315</f>
        <v>121.49000000000001</v>
      </c>
      <c r="CN246" s="376">
        <f>CN188-CN195-CN315</f>
        <v>154.822</v>
      </c>
      <c r="CO246" s="376">
        <f>CO188-CO195-CO315</f>
        <v>155.17899999999997</v>
      </c>
      <c r="CP246" s="376">
        <f>CP188-CP195-CP315</f>
        <v>173.03800000000001</v>
      </c>
      <c r="CQ246" s="376">
        <f>CQ188-CQ195-CQ315</f>
        <v>177.52100000000002</v>
      </c>
      <c r="CR246" s="376">
        <f>CR188-CR195-CR315</f>
        <v>201.89099999999996</v>
      </c>
      <c r="CS246" s="376">
        <f>CS188-CS195-CS315</f>
        <v>278.22000000000003</v>
      </c>
      <c r="CT246" s="376">
        <f>CT188-CT195-CT315</f>
        <v>228.19399999999996</v>
      </c>
      <c r="CU246" s="376">
        <f>CU188-CU195-CU315</f>
        <v>298.27199999999999</v>
      </c>
      <c r="CV246" s="376">
        <f>CV188-CV195-CV315</f>
        <v>457.61500000000001</v>
      </c>
      <c r="CW246" s="376">
        <f>CW188-CW195-CW315</f>
        <v>579.90200000000004</v>
      </c>
      <c r="CX246" s="376">
        <f>CX188-CX195-CX315</f>
        <v>748.06977082276319</v>
      </c>
      <c r="CY246" s="376">
        <f>CY188-CY195-CY315</f>
        <v>687.93865500000004</v>
      </c>
      <c r="CZ246" s="376">
        <f>CZ188-CZ195-CZ315</f>
        <v>372.43279749999999</v>
      </c>
      <c r="DA246" s="376">
        <f>DA188-DA195-DA315</f>
        <v>356.90789500000005</v>
      </c>
      <c r="DB246" s="376">
        <f>DB188-DB195-DB315</f>
        <v>254.30712249999999</v>
      </c>
      <c r="DC246" s="376">
        <f>DC188-DC195-DC315</f>
        <v>328.48861460000001</v>
      </c>
      <c r="DD246" s="376">
        <f>DD188-DD195-DD315</f>
        <v>344.21155750000003</v>
      </c>
      <c r="DE246" s="376">
        <f>DE188-DE195-DE315</f>
        <v>577.21965599999999</v>
      </c>
      <c r="DF246" s="376">
        <f>DF188-DF195-DF315</f>
        <v>452.91921000000002</v>
      </c>
      <c r="DG246" s="376">
        <f>DG188-DG195-DG315</f>
        <v>354.245</v>
      </c>
      <c r="DH246" s="376">
        <f>DH188-DH195-DH315</f>
        <v>407.58510000000001</v>
      </c>
      <c r="DI246" s="376">
        <f>DI188-DI195-DI315</f>
        <v>429.61987649999992</v>
      </c>
      <c r="DJ246" s="397">
        <f>DJ188-DJ195-DJ315</f>
        <v>507.35413984248157</v>
      </c>
      <c r="DK246" s="397">
        <f>DK188-DK195-DK315</f>
        <v>602.80780441720276</v>
      </c>
      <c r="DL246" s="397">
        <f>DL188-DL195-DL315</f>
        <v>775.93706500000008</v>
      </c>
      <c r="DM246" s="397">
        <f>DM188-DM195-DM315</f>
        <v>797.05099999999993</v>
      </c>
      <c r="DN246" s="397">
        <f>DN188-DN195-DN315</f>
        <v>670.97297500000013</v>
      </c>
      <c r="DO246" s="397">
        <f>DO188-DO195-DO315</f>
        <v>492.40530200000012</v>
      </c>
      <c r="DP246" s="397">
        <f>DP188-DP195-DP315</f>
        <v>233.13564200000019</v>
      </c>
      <c r="DQ246" s="397">
        <f>DQ188-DQ195-DQ315</f>
        <v>390.40028508653859</v>
      </c>
      <c r="DR246" s="397">
        <f>DR188-DR195-DR315</f>
        <v>374.81317394040502</v>
      </c>
      <c r="DS246" s="397">
        <f>DS188-DS195-DS315</f>
        <v>290.60058982348437</v>
      </c>
      <c r="DT246" s="397">
        <f t="shared" ref="DT246:EW246" si="455">DT250+DT262+DT266</f>
        <v>343.54819142939436</v>
      </c>
      <c r="DU246" s="397">
        <f t="shared" si="455"/>
        <v>731.76578647269821</v>
      </c>
      <c r="DV246" s="376">
        <f t="shared" si="455"/>
        <v>838.00887799692987</v>
      </c>
      <c r="DW246" s="376">
        <f t="shared" si="455"/>
        <v>1296.7330059981552</v>
      </c>
      <c r="DX246" s="376">
        <f t="shared" si="455"/>
        <v>1830.4524172144338</v>
      </c>
      <c r="DY246" s="376">
        <f t="shared" si="455"/>
        <v>2031.6925761318912</v>
      </c>
      <c r="DZ246" s="376">
        <f t="shared" si="455"/>
        <v>1862.2491135977409</v>
      </c>
      <c r="EA246" s="376">
        <f t="shared" si="455"/>
        <v>1212.0755044234943</v>
      </c>
      <c r="EB246" s="376">
        <f t="shared" si="455"/>
        <v>2212.0583708576542</v>
      </c>
      <c r="EC246" s="376">
        <f t="shared" si="455"/>
        <v>2712.4679405918505</v>
      </c>
      <c r="ED246" s="376">
        <f t="shared" si="455"/>
        <v>2658.8852533782197</v>
      </c>
      <c r="EE246" s="380">
        <f t="shared" si="455"/>
        <v>2895.398150275129</v>
      </c>
      <c r="EF246" s="380">
        <f t="shared" si="455"/>
        <v>3483.761975827425</v>
      </c>
      <c r="EG246" s="380">
        <f t="shared" si="455"/>
        <v>7414.3615917308161</v>
      </c>
      <c r="EH246" s="380">
        <f t="shared" si="455"/>
        <v>8588.0332144148833</v>
      </c>
      <c r="EI246" s="380">
        <f t="shared" si="455"/>
        <v>9700.7044600223508</v>
      </c>
      <c r="EJ246" s="380">
        <f t="shared" si="455"/>
        <v>11687.773220643081</v>
      </c>
      <c r="EK246" s="380">
        <f t="shared" si="455"/>
        <v>13356.248217190176</v>
      </c>
      <c r="EL246" s="380">
        <f t="shared" si="455"/>
        <v>13041.778570084629</v>
      </c>
      <c r="EM246" s="380">
        <f t="shared" si="455"/>
        <v>13569.863345251144</v>
      </c>
      <c r="EN246" s="380">
        <f t="shared" si="455"/>
        <v>14663.306176795957</v>
      </c>
      <c r="EO246" s="380">
        <f t="shared" si="455"/>
        <v>15856.562337241281</v>
      </c>
      <c r="EP246" s="380">
        <f t="shared" si="455"/>
        <v>16453.180135853068</v>
      </c>
      <c r="EQ246" s="380">
        <f t="shared" si="455"/>
        <v>17286.320107873769</v>
      </c>
      <c r="ER246" s="380">
        <f t="shared" si="455"/>
        <v>18869.256762666886</v>
      </c>
      <c r="ES246" s="380">
        <f t="shared" si="455"/>
        <v>19638.757596912197</v>
      </c>
      <c r="ET246" s="380">
        <f t="shared" si="455"/>
        <v>19386.961055911608</v>
      </c>
      <c r="EU246" s="380">
        <f t="shared" si="455"/>
        <v>20368.592768341492</v>
      </c>
      <c r="EV246" s="380">
        <f t="shared" si="455"/>
        <v>22867.290357977748</v>
      </c>
      <c r="EW246" s="380">
        <f t="shared" si="455"/>
        <v>23798.595220844771</v>
      </c>
      <c r="EZ246" s="376"/>
      <c r="FA246" s="376"/>
      <c r="FB246" s="376"/>
      <c r="FC246" s="376"/>
      <c r="FD246" s="376"/>
      <c r="FE246" s="376"/>
      <c r="FF246" s="376"/>
      <c r="FG246" s="376"/>
      <c r="FH246" s="376"/>
      <c r="FI246" s="376"/>
      <c r="FJ246" s="376"/>
      <c r="FK246" s="376"/>
      <c r="FL246" s="376"/>
      <c r="FM246" s="376"/>
      <c r="FN246" s="376"/>
      <c r="FO246" s="376"/>
      <c r="FP246" s="376"/>
      <c r="FQ246" s="376"/>
      <c r="FR246" s="376"/>
      <c r="FS246" s="376"/>
      <c r="FT246" s="376">
        <f>CD246+CE246+CF246+CG246</f>
        <v>1400.0769999999998</v>
      </c>
      <c r="FU246" s="376">
        <f>CH246+CI246+CJ246+CK246</f>
        <v>950.84399999999994</v>
      </c>
      <c r="FV246" s="376">
        <f>CL246+CM246+CN246+CO246</f>
        <v>575.79700000000003</v>
      </c>
      <c r="FW246" s="376">
        <f>CP246+CQ246+CR246+CS246</f>
        <v>830.67000000000007</v>
      </c>
      <c r="FX246" s="376">
        <f>CT246+CU246+CV246+CW246</f>
        <v>1563.9829999999999</v>
      </c>
      <c r="FY246" s="376">
        <f>CX246+CY246+CZ246+DA246</f>
        <v>2165.3491183227634</v>
      </c>
      <c r="FZ246" s="376">
        <f>DB246+DC246+DD246+DE246</f>
        <v>1504.2269506</v>
      </c>
      <c r="GA246" s="376">
        <f>SUM(DF246:DI246)</f>
        <v>1644.3691865000001</v>
      </c>
      <c r="GB246" s="376">
        <f>SUM(DJ246:DM246)</f>
        <v>2683.1500092596843</v>
      </c>
      <c r="GC246" s="376">
        <f>SUM(DN246:DQ246)</f>
        <v>1786.914204086539</v>
      </c>
      <c r="GD246" s="376">
        <f>SUM(DR246:DU246)</f>
        <v>1740.727741665982</v>
      </c>
      <c r="GE246" s="376">
        <f>SUM(DV246:DY246)</f>
        <v>5996.8868773414106</v>
      </c>
      <c r="GF246" s="376">
        <f>SUM(DZ246:EC246)</f>
        <v>7998.8509294707401</v>
      </c>
      <c r="GG246" s="380">
        <f>SUM(ED246:EG246)</f>
        <v>16452.406971211589</v>
      </c>
      <c r="GH246" s="380">
        <f>SUM(EH246:EK246)</f>
        <v>43332.759112270491</v>
      </c>
      <c r="GI246" s="380">
        <f>SUM(EL246:EO246)</f>
        <v>57131.510429373011</v>
      </c>
      <c r="GJ246" s="380">
        <f>SUM(EP246:ES246)</f>
        <v>72247.514603305928</v>
      </c>
      <c r="GK246" s="380">
        <f>SUM(ET246:EW246)</f>
        <v>86421.439403075623</v>
      </c>
      <c r="GN246" s="70"/>
    </row>
    <row r="247" spans="1:196" s="382" customFormat="1">
      <c r="A247" s="381" t="s">
        <v>198</v>
      </c>
      <c r="CE247" s="382">
        <f t="shared" ref="CE247:EH247" si="456">CE246/CD246-1</f>
        <v>-2.7561693863333958E-2</v>
      </c>
      <c r="CF247" s="382">
        <f t="shared" si="456"/>
        <v>-0.13288722820556653</v>
      </c>
      <c r="CG247" s="382">
        <f t="shared" si="456"/>
        <v>4.2196707254866794E-2</v>
      </c>
      <c r="CH247" s="382">
        <f t="shared" si="456"/>
        <v>5.5639797618867171E-3</v>
      </c>
      <c r="CI247" s="382">
        <f t="shared" si="456"/>
        <v>-0.21558550918516017</v>
      </c>
      <c r="CJ247" s="382">
        <f t="shared" si="456"/>
        <v>-0.282175636013415</v>
      </c>
      <c r="CK247" s="382">
        <f t="shared" si="456"/>
        <v>-0.12657106795498696</v>
      </c>
      <c r="CL247" s="382">
        <f t="shared" si="456"/>
        <v>-0.12381981675662823</v>
      </c>
      <c r="CM247" s="382">
        <f t="shared" si="456"/>
        <v>-0.15810846395853273</v>
      </c>
      <c r="CN247" s="382">
        <f t="shared" si="456"/>
        <v>0.27436002963206851</v>
      </c>
      <c r="CO247" s="382">
        <f t="shared" si="456"/>
        <v>2.3058738422185865E-3</v>
      </c>
      <c r="CP247" s="382">
        <f t="shared" si="456"/>
        <v>0.11508644855296168</v>
      </c>
      <c r="CQ247" s="382">
        <f t="shared" si="456"/>
        <v>2.5907604110079863E-2</v>
      </c>
      <c r="CR247" s="382">
        <f t="shared" si="456"/>
        <v>0.13727953312565799</v>
      </c>
      <c r="CS247" s="382">
        <f t="shared" si="456"/>
        <v>0.37807034488907409</v>
      </c>
      <c r="CT247" s="382">
        <f t="shared" si="456"/>
        <v>-0.17980734670404741</v>
      </c>
      <c r="CU247" s="382">
        <f t="shared" si="456"/>
        <v>0.30709834614407061</v>
      </c>
      <c r="CV247" s="382">
        <f t="shared" si="456"/>
        <v>0.53422044308550598</v>
      </c>
      <c r="CW247" s="382">
        <f t="shared" si="456"/>
        <v>0.26722681730275455</v>
      </c>
      <c r="CX247" s="382">
        <f t="shared" si="456"/>
        <v>0.28999343134316335</v>
      </c>
      <c r="CY247" s="382">
        <f t="shared" si="456"/>
        <v>-8.0381694553207317E-2</v>
      </c>
      <c r="CZ247" s="382">
        <f t="shared" si="456"/>
        <v>-0.45862498815392194</v>
      </c>
      <c r="DA247" s="382">
        <f t="shared" si="456"/>
        <v>-4.1685110989721386E-2</v>
      </c>
      <c r="DB247" s="382">
        <f t="shared" si="456"/>
        <v>-0.28747128863596605</v>
      </c>
      <c r="DC247" s="382">
        <f t="shared" si="456"/>
        <v>0.29170041078971365</v>
      </c>
      <c r="DD247" s="382">
        <f t="shared" si="456"/>
        <v>4.786449880202337E-2</v>
      </c>
      <c r="DE247" s="382">
        <f t="shared" si="456"/>
        <v>0.67693281478498846</v>
      </c>
      <c r="DF247" s="382">
        <f t="shared" si="456"/>
        <v>-0.21534340472979319</v>
      </c>
      <c r="DG247" s="382">
        <f t="shared" si="456"/>
        <v>-0.21786271772398436</v>
      </c>
      <c r="DH247" s="382">
        <f t="shared" si="456"/>
        <v>0.15057403774224065</v>
      </c>
      <c r="DI247" s="382">
        <f t="shared" si="456"/>
        <v>5.4061781208390336E-2</v>
      </c>
      <c r="DJ247" s="383">
        <f t="shared" si="456"/>
        <v>0.18093730666225749</v>
      </c>
      <c r="DK247" s="383">
        <f t="shared" si="456"/>
        <v>0.18814011176563317</v>
      </c>
      <c r="DL247" s="383">
        <f t="shared" si="456"/>
        <v>0.28720474306098187</v>
      </c>
      <c r="DM247" s="383">
        <f t="shared" si="456"/>
        <v>2.7210885975655685E-2</v>
      </c>
      <c r="DN247" s="383">
        <f t="shared" si="456"/>
        <v>-0.15818062457734805</v>
      </c>
      <c r="DO247" s="383">
        <f t="shared" si="456"/>
        <v>-0.2661324370031446</v>
      </c>
      <c r="DP247" s="383">
        <f t="shared" si="456"/>
        <v>-0.52653710052862079</v>
      </c>
      <c r="DQ247" s="383">
        <f t="shared" si="456"/>
        <v>0.67456284992467297</v>
      </c>
      <c r="DR247" s="383">
        <f t="shared" si="456"/>
        <v>-3.9925972755574302E-2</v>
      </c>
      <c r="DS247" s="383">
        <f t="shared" si="456"/>
        <v>-0.22467882660471905</v>
      </c>
      <c r="DT247" s="383">
        <f t="shared" si="456"/>
        <v>0.18220059924197418</v>
      </c>
      <c r="DU247" s="383">
        <f t="shared" si="456"/>
        <v>1.1300236902079277</v>
      </c>
      <c r="DV247" s="382">
        <f t="shared" si="456"/>
        <v>0.14518729009776621</v>
      </c>
      <c r="DW247" s="382">
        <f t="shared" si="456"/>
        <v>0.54739769475676847</v>
      </c>
      <c r="DX247" s="382">
        <f>DX246/DW246-1</f>
        <v>0.41158774300300172</v>
      </c>
      <c r="DY247" s="382">
        <f t="shared" si="456"/>
        <v>0.10994012028113942</v>
      </c>
      <c r="DZ247" s="382">
        <f t="shared" si="456"/>
        <v>-8.3400148489369941E-2</v>
      </c>
      <c r="EA247" s="382">
        <f t="shared" si="456"/>
        <v>-0.34913353129117863</v>
      </c>
      <c r="EB247" s="382">
        <f t="shared" si="456"/>
        <v>0.82501697525005824</v>
      </c>
      <c r="EC247" s="382">
        <f t="shared" si="456"/>
        <v>0.22621897158173931</v>
      </c>
      <c r="ED247" s="382">
        <f t="shared" si="456"/>
        <v>-1.9754219547361451E-2</v>
      </c>
      <c r="EE247" s="384">
        <f t="shared" si="456"/>
        <v>8.8951900649495874E-2</v>
      </c>
      <c r="EF247" s="384">
        <f t="shared" si="456"/>
        <v>0.20320653499636587</v>
      </c>
      <c r="EG247" s="384">
        <f t="shared" si="456"/>
        <v>1.1282629649144837</v>
      </c>
      <c r="EH247" s="384">
        <f t="shared" si="456"/>
        <v>0.15829705742879541</v>
      </c>
      <c r="EI247" s="384">
        <f>EI246/EH246-1</f>
        <v>0.1295606593299925</v>
      </c>
      <c r="EJ247" s="384">
        <f>EJ246/EI246-1</f>
        <v>0.20483757327209129</v>
      </c>
      <c r="EK247" s="384">
        <f>EK246/EJ246-1</f>
        <v>0.14275388177452109</v>
      </c>
      <c r="EL247" s="384">
        <f t="shared" ref="EL247" si="457">EL246/EK246-1</f>
        <v>-2.3544759126354675E-2</v>
      </c>
      <c r="EM247" s="384">
        <f>EM246/EL246-1</f>
        <v>4.0491775897640414E-2</v>
      </c>
      <c r="EN247" s="384">
        <f>EN246/EM246-1</f>
        <v>8.05787651448584E-2</v>
      </c>
      <c r="EO247" s="384">
        <f>EO246/EN246-1</f>
        <v>8.1377020029330005E-2</v>
      </c>
      <c r="EP247" s="384">
        <f t="shared" ref="EP247" si="458">EP246/EO246-1</f>
        <v>3.7625923319492216E-2</v>
      </c>
      <c r="EQ247" s="384">
        <f>EQ246/EP246-1</f>
        <v>5.063701759425876E-2</v>
      </c>
      <c r="ER247" s="384">
        <f>ER246/EQ246-1</f>
        <v>9.1571638435186786E-2</v>
      </c>
      <c r="ES247" s="384">
        <f>ES246/ER246-1</f>
        <v>4.0780664756641549E-2</v>
      </c>
      <c r="ET247" s="384">
        <f t="shared" ref="ET247" si="459">ET246/ES246-1</f>
        <v>-1.2821408877727536E-2</v>
      </c>
      <c r="EU247" s="384">
        <f>EU246/ET246-1</f>
        <v>5.0633604183702552E-2</v>
      </c>
      <c r="EV247" s="384">
        <f>EV246/EU246-1</f>
        <v>0.12267404125826187</v>
      </c>
      <c r="EW247" s="384">
        <f>EW246/EV246-1</f>
        <v>4.0726507088852282E-2</v>
      </c>
      <c r="FZ247" s="386" t="s">
        <v>199</v>
      </c>
      <c r="GA247" s="386" t="s">
        <v>199</v>
      </c>
      <c r="GB247" s="386" t="s">
        <v>199</v>
      </c>
      <c r="GC247" s="386" t="s">
        <v>199</v>
      </c>
      <c r="GD247" s="386" t="s">
        <v>199</v>
      </c>
      <c r="GE247" s="386" t="s">
        <v>199</v>
      </c>
      <c r="GF247" s="386" t="s">
        <v>199</v>
      </c>
      <c r="GG247" s="386" t="s">
        <v>199</v>
      </c>
      <c r="GH247" s="386" t="s">
        <v>199</v>
      </c>
      <c r="GI247" s="386" t="s">
        <v>199</v>
      </c>
      <c r="GJ247" s="386" t="s">
        <v>199</v>
      </c>
      <c r="GK247" s="386" t="s">
        <v>199</v>
      </c>
      <c r="GN247" s="70"/>
    </row>
    <row r="248" spans="1:196" s="382" customFormat="1">
      <c r="A248" s="381" t="s">
        <v>200</v>
      </c>
      <c r="CH248" s="382">
        <f t="shared" ref="CH248:ES248" si="460">CH246/CD246-1</f>
        <v>-0.11631588946824023</v>
      </c>
      <c r="CI248" s="382">
        <f t="shared" si="460"/>
        <v>-0.28717881923244948</v>
      </c>
      <c r="CJ248" s="382">
        <f t="shared" si="460"/>
        <v>-0.40990327052645747</v>
      </c>
      <c r="CK248" s="382">
        <f t="shared" si="460"/>
        <v>-0.50546038704640661</v>
      </c>
      <c r="CL248" s="382">
        <f t="shared" si="460"/>
        <v>-0.56909175604978357</v>
      </c>
      <c r="CM248" s="382">
        <f t="shared" si="460"/>
        <v>-0.53751746348371277</v>
      </c>
      <c r="CN248" s="382">
        <f t="shared" si="460"/>
        <v>-0.17895060615381364</v>
      </c>
      <c r="CO248" s="382">
        <f t="shared" si="460"/>
        <v>-5.7802415315211242E-2</v>
      </c>
      <c r="CP248" s="382">
        <f t="shared" si="460"/>
        <v>0.19910468033207196</v>
      </c>
      <c r="CQ248" s="382">
        <f t="shared" si="460"/>
        <v>0.46119845254753478</v>
      </c>
      <c r="CR248" s="382">
        <f t="shared" si="460"/>
        <v>0.30402010050251227</v>
      </c>
      <c r="CS248" s="382">
        <f t="shared" si="460"/>
        <v>0.7928972348062564</v>
      </c>
      <c r="CT248" s="382">
        <f t="shared" si="460"/>
        <v>0.31875079462314604</v>
      </c>
      <c r="CU248" s="382">
        <f t="shared" si="460"/>
        <v>0.68020684876718795</v>
      </c>
      <c r="CV248" s="382">
        <f t="shared" si="460"/>
        <v>1.2666438820947943</v>
      </c>
      <c r="CW248" s="382">
        <f t="shared" si="460"/>
        <v>1.0843289483142837</v>
      </c>
      <c r="CX248" s="382">
        <f t="shared" si="460"/>
        <v>2.2782184054916574</v>
      </c>
      <c r="CY248" s="382">
        <f t="shared" si="460"/>
        <v>1.306413793450274</v>
      </c>
      <c r="CZ248" s="382">
        <f t="shared" si="460"/>
        <v>-0.18614381630846899</v>
      </c>
      <c r="DA248" s="382">
        <f t="shared" si="460"/>
        <v>-0.38453756841673248</v>
      </c>
      <c r="DB248" s="382">
        <f t="shared" si="460"/>
        <v>-0.6600489253558518</v>
      </c>
      <c r="DC248" s="382">
        <f t="shared" si="460"/>
        <v>-0.522503042658651</v>
      </c>
      <c r="DD248" s="382">
        <f t="shared" si="460"/>
        <v>-7.5775388712912561E-2</v>
      </c>
      <c r="DE248" s="382">
        <f t="shared" si="460"/>
        <v>0.6172790349734345</v>
      </c>
      <c r="DF248" s="382">
        <f t="shared" si="460"/>
        <v>0.78099301957223011</v>
      </c>
      <c r="DG248" s="382">
        <f t="shared" si="460"/>
        <v>7.8408761385424297E-2</v>
      </c>
      <c r="DH248" s="382">
        <f t="shared" si="460"/>
        <v>0.18411218658745931</v>
      </c>
      <c r="DI248" s="382">
        <f t="shared" si="460"/>
        <v>-0.25570816580092359</v>
      </c>
      <c r="DJ248" s="383">
        <f t="shared" si="460"/>
        <v>0.1201868426876429</v>
      </c>
      <c r="DK248" s="383">
        <f t="shared" si="460"/>
        <v>0.70166919622634838</v>
      </c>
      <c r="DL248" s="383">
        <f t="shared" si="460"/>
        <v>0.90374246997743546</v>
      </c>
      <c r="DM248" s="383">
        <f t="shared" si="460"/>
        <v>0.85524703021974835</v>
      </c>
      <c r="DN248" s="383">
        <f t="shared" si="460"/>
        <v>0.32249433346166723</v>
      </c>
      <c r="DO248" s="383">
        <f t="shared" si="460"/>
        <v>-0.1831471019588744</v>
      </c>
      <c r="DP248" s="383">
        <f t="shared" si="460"/>
        <v>-0.69954310405316167</v>
      </c>
      <c r="DQ248" s="383">
        <f t="shared" si="460"/>
        <v>-0.51019409663053095</v>
      </c>
      <c r="DR248" s="383">
        <f t="shared" si="460"/>
        <v>-0.44138856868206211</v>
      </c>
      <c r="DS248" s="383">
        <f t="shared" si="460"/>
        <v>-0.40983456383764871</v>
      </c>
      <c r="DT248" s="383">
        <f t="shared" si="460"/>
        <v>0.47359789555212717</v>
      </c>
      <c r="DU248" s="383">
        <f t="shared" si="460"/>
        <v>0.87439869904421408</v>
      </c>
      <c r="DV248" s="382">
        <f t="shared" si="460"/>
        <v>1.2358042253076529</v>
      </c>
      <c r="DW248" s="382">
        <f t="shared" si="460"/>
        <v>3.4622518033628644</v>
      </c>
      <c r="DX248" s="382">
        <f t="shared" si="460"/>
        <v>4.3280804931573229</v>
      </c>
      <c r="DY248" s="382">
        <f t="shared" si="460"/>
        <v>1.7764246616737562</v>
      </c>
      <c r="DZ248" s="382">
        <f t="shared" si="460"/>
        <v>1.2222307692598973</v>
      </c>
      <c r="EA248" s="382">
        <f t="shared" si="460"/>
        <v>-6.5285221539877591E-2</v>
      </c>
      <c r="EB248" s="382">
        <f t="shared" si="460"/>
        <v>0.20847630348345514</v>
      </c>
      <c r="EC248" s="382">
        <f t="shared" si="460"/>
        <v>0.33507794065777285</v>
      </c>
      <c r="ED248" s="382">
        <f t="shared" si="460"/>
        <v>0.42778172585161323</v>
      </c>
      <c r="EE248" s="384">
        <f t="shared" si="460"/>
        <v>1.388793552636213</v>
      </c>
      <c r="EF248" s="384">
        <f t="shared" si="460"/>
        <v>0.57489604330680888</v>
      </c>
      <c r="EG248" s="384">
        <f t="shared" si="460"/>
        <v>1.7334375019794814</v>
      </c>
      <c r="EH248" s="384">
        <f t="shared" si="460"/>
        <v>2.2299375099032366</v>
      </c>
      <c r="EI248" s="384">
        <f t="shared" si="460"/>
        <v>2.3503870474948538</v>
      </c>
      <c r="EJ248" s="384">
        <f t="shared" si="460"/>
        <v>2.3549287528081275</v>
      </c>
      <c r="EK248" s="384">
        <f t="shared" si="460"/>
        <v>0.80140232600555961</v>
      </c>
      <c r="EL248" s="384">
        <f t="shared" si="460"/>
        <v>0.51859899053420078</v>
      </c>
      <c r="EM248" s="384">
        <f t="shared" si="460"/>
        <v>0.39885339267617259</v>
      </c>
      <c r="EN248" s="384">
        <f t="shared" si="460"/>
        <v>0.2545851035933393</v>
      </c>
      <c r="EO248" s="384">
        <f t="shared" si="460"/>
        <v>0.18720183088788911</v>
      </c>
      <c r="EP248" s="384">
        <f t="shared" si="460"/>
        <v>0.26157487243293254</v>
      </c>
      <c r="EQ248" s="384">
        <f t="shared" si="460"/>
        <v>0.27387576927391999</v>
      </c>
      <c r="ER248" s="384">
        <f t="shared" si="460"/>
        <v>0.28683507901694516</v>
      </c>
      <c r="ES248" s="384">
        <f t="shared" si="460"/>
        <v>0.23852555044594492</v>
      </c>
      <c r="ET248" s="384">
        <f t="shared" ref="ET248:EW248" si="461">ET246/EP246-1</f>
        <v>0.17831087338948826</v>
      </c>
      <c r="EU248" s="384">
        <f t="shared" si="461"/>
        <v>0.17830704517983409</v>
      </c>
      <c r="EV248" s="384">
        <f t="shared" si="461"/>
        <v>0.21188081998126362</v>
      </c>
      <c r="EW248" s="384">
        <f t="shared" si="461"/>
        <v>0.21181775901071376</v>
      </c>
      <c r="FU248" s="382">
        <f t="shared" ref="FU248:GK248" si="462">FU246/FT246-1</f>
        <v>-0.32086306681703924</v>
      </c>
      <c r="FV248" s="382">
        <f t="shared" si="462"/>
        <v>-0.39443589064031526</v>
      </c>
      <c r="FW248" s="382">
        <f t="shared" si="462"/>
        <v>0.44264384843964111</v>
      </c>
      <c r="FX248" s="382">
        <f t="shared" si="462"/>
        <v>0.8827970192735981</v>
      </c>
      <c r="FY248" s="382">
        <f t="shared" si="462"/>
        <v>0.38450937019313081</v>
      </c>
      <c r="FZ248" s="382">
        <f t="shared" si="462"/>
        <v>-0.30531897241349026</v>
      </c>
      <c r="GA248" s="382">
        <f t="shared" si="462"/>
        <v>9.3165619618835294E-2</v>
      </c>
      <c r="GB248" s="382">
        <f t="shared" si="462"/>
        <v>0.63171995150961457</v>
      </c>
      <c r="GC248" s="382">
        <f t="shared" si="462"/>
        <v>-0.33402374152775316</v>
      </c>
      <c r="GD248" s="382">
        <f t="shared" si="462"/>
        <v>-2.5847050918803016E-2</v>
      </c>
      <c r="GE248" s="382">
        <f t="shared" si="462"/>
        <v>2.4450458470903822</v>
      </c>
      <c r="GF248" s="382">
        <f t="shared" si="462"/>
        <v>0.3338338863275101</v>
      </c>
      <c r="GG248" s="387">
        <f t="shared" si="462"/>
        <v>1.056846304085354</v>
      </c>
      <c r="GH248" s="387">
        <f t="shared" si="462"/>
        <v>1.6338248979674601</v>
      </c>
      <c r="GI248" s="387">
        <f t="shared" si="462"/>
        <v>0.31843694239158538</v>
      </c>
      <c r="GJ248" s="387">
        <f t="shared" si="462"/>
        <v>0.26458261054763454</v>
      </c>
      <c r="GK248" s="387">
        <f t="shared" si="462"/>
        <v>0.19618563873920603</v>
      </c>
      <c r="GN248" s="70"/>
    </row>
    <row r="249" spans="1:196" s="382" customFormat="1">
      <c r="A249" s="381" t="s">
        <v>261</v>
      </c>
      <c r="CD249" s="382">
        <f>CD246/CD4</f>
        <v>0.34831617647058821</v>
      </c>
      <c r="CE249" s="382">
        <f>CE246/CE4</f>
        <v>0.31741860465116284</v>
      </c>
      <c r="CF249" s="382">
        <f>CF246/CF4</f>
        <v>0.21872073921971255</v>
      </c>
      <c r="CG249" s="382">
        <f>CG246/CG4</f>
        <v>0.20958779106356196</v>
      </c>
      <c r="CH249" s="382">
        <f>CH246/CH4</f>
        <v>0.23971939871152464</v>
      </c>
      <c r="CI249" s="382">
        <f>CI246/CI4</f>
        <v>0.18229770992366415</v>
      </c>
      <c r="CJ249" s="382">
        <f>CJ246/CJ4</f>
        <v>0.13195661301609518</v>
      </c>
      <c r="CK249" s="382">
        <f>CK246/CK4</f>
        <v>0.1329289749798224</v>
      </c>
      <c r="CL249" s="382">
        <f>CL246/CL4</f>
        <v>0.14010291262135927</v>
      </c>
      <c r="CM249" s="382">
        <f>CM246/CM4</f>
        <v>0.12897027600849259</v>
      </c>
      <c r="CN249" s="382">
        <f>CN246/CN4</f>
        <v>0.14592082940622056</v>
      </c>
      <c r="CO249" s="382">
        <f>CO246/CO4</f>
        <v>0.16198225469728597</v>
      </c>
      <c r="CP249" s="382">
        <f>CP246/CP4</f>
        <v>0.20797836538461539</v>
      </c>
      <c r="CQ249" s="382">
        <f>CQ246/CQ4</f>
        <v>0.17285394352482961</v>
      </c>
      <c r="CR249" s="382">
        <f>CR246/CR4</f>
        <v>0.15446901300688598</v>
      </c>
      <c r="CS249" s="382">
        <f>CS246/CS4</f>
        <v>0.25155515370705245</v>
      </c>
      <c r="CT249" s="382">
        <f>CT246/CT4</f>
        <v>0.23190447154471541</v>
      </c>
      <c r="CU249" s="382">
        <f>CU246/CU4</f>
        <v>0.24408510638297873</v>
      </c>
      <c r="CV249" s="382">
        <f>CV246/CV4</f>
        <v>0.27852404138770542</v>
      </c>
      <c r="CW249" s="382">
        <f>CW246/CW4</f>
        <v>0.39182567567567572</v>
      </c>
      <c r="CX249" s="382">
        <f>CX246/CX4</f>
        <v>0.45420143947951619</v>
      </c>
      <c r="CY249" s="382">
        <f>CY246/CY4</f>
        <v>0.39176460990888384</v>
      </c>
      <c r="CZ249" s="382">
        <f>CZ246/CZ4</f>
        <v>0.22530719751966122</v>
      </c>
      <c r="DA249" s="382">
        <f>DA246/DA4</f>
        <v>0.25152071529245951</v>
      </c>
      <c r="DB249" s="382">
        <f>DB246/DB4</f>
        <v>0.19992698309748427</v>
      </c>
      <c r="DC249" s="382">
        <f>DC246/DC4</f>
        <v>0.21455820679294579</v>
      </c>
      <c r="DD249" s="382">
        <f>DD246/DD4</f>
        <v>0.1911224639089395</v>
      </c>
      <c r="DE249" s="382">
        <f>DE246/DE4</f>
        <v>0.27137736530324402</v>
      </c>
      <c r="DF249" s="382">
        <f>DF246/DF4</f>
        <v>0.25359418253079508</v>
      </c>
      <c r="DG249" s="382">
        <f>DG246/DG4</f>
        <v>0.18335662525879917</v>
      </c>
      <c r="DH249" s="382">
        <f>DH246/DH4</f>
        <v>0.14551413780792574</v>
      </c>
      <c r="DI249" s="382">
        <f>DI246/DI4</f>
        <v>0.13243522703452526</v>
      </c>
      <c r="DJ249" s="383">
        <f>DJ246/DJ4</f>
        <v>0.14727260953337637</v>
      </c>
      <c r="DK249" s="383">
        <f>DK246/DK4</f>
        <v>0.15657345569277994</v>
      </c>
      <c r="DL249" s="383">
        <f>DL246/DL4</f>
        <v>0.17990657662879667</v>
      </c>
      <c r="DM249" s="383">
        <f>DM246/DM4</f>
        <v>0.16515768752590135</v>
      </c>
      <c r="DN249" s="383">
        <f>DN246/DN4</f>
        <v>0.11397536521148295</v>
      </c>
      <c r="DO249" s="383">
        <f>DO246/DO4</f>
        <v>7.5176381984732837E-2</v>
      </c>
      <c r="DP249" s="383">
        <f>DP246/DP4</f>
        <v>4.1893197124887725E-2</v>
      </c>
      <c r="DQ249" s="383">
        <f>DQ246/DQ4</f>
        <v>6.9726787834709522E-2</v>
      </c>
      <c r="DR249" s="383">
        <f>DR246/DR4</f>
        <v>7.0019274040800494E-2</v>
      </c>
      <c r="DS249" s="383">
        <f>DS246/DS4</f>
        <v>5.4226644863497736E-2</v>
      </c>
      <c r="DT249" s="383">
        <f>DT246/DT4</f>
        <v>5.923244679817144E-2</v>
      </c>
      <c r="DU249" s="383">
        <f>DU246/DU4</f>
        <v>0.11863907043980192</v>
      </c>
      <c r="DV249" s="382">
        <f>DV246/DV4</f>
        <v>0.15311691540232594</v>
      </c>
      <c r="DW249" s="382">
        <f>DW246/DW4</f>
        <v>0.22223359143070356</v>
      </c>
      <c r="DX249" s="382">
        <f>DX246/DX4</f>
        <v>0.26843414242769231</v>
      </c>
      <c r="DY249" s="382">
        <f>DY246/DY4</f>
        <v>0.26530328755966193</v>
      </c>
      <c r="DZ249" s="382">
        <f>DZ246/DZ4</f>
        <v>0.25036960387170487</v>
      </c>
      <c r="EA249" s="382">
        <f>EA246/EA4</f>
        <v>0.15771964924183399</v>
      </c>
      <c r="EB249" s="382">
        <f>EB246/EB4</f>
        <v>0.23924490275336949</v>
      </c>
      <c r="EC249" s="382">
        <f>EC246/EC4</f>
        <v>0.26411567094370503</v>
      </c>
      <c r="ED249" s="382">
        <f>ED246/ED4</f>
        <v>0.25932753861096458</v>
      </c>
      <c r="EE249" s="384">
        <f>EE246/EE4</f>
        <v>0.25799906067916517</v>
      </c>
      <c r="EF249" s="384">
        <f>EF246/EF4</f>
        <v>0.29046792927826809</v>
      </c>
      <c r="EG249" s="384">
        <f>EG246/EG4</f>
        <v>0.45791476688565869</v>
      </c>
      <c r="EH249" s="384">
        <f>EH246/EH4</f>
        <v>0.49257897402750878</v>
      </c>
      <c r="EI249" s="384">
        <f>EI246/EI4</f>
        <v>0.50494207362086163</v>
      </c>
      <c r="EJ249" s="384">
        <f>EJ246/EJ4</f>
        <v>0.5280024555553976</v>
      </c>
      <c r="EK249" s="384">
        <f>EK246/EK4</f>
        <v>0.5447414783709108</v>
      </c>
      <c r="EL249" s="384">
        <f>EL246/EL4</f>
        <v>0.54473595791389295</v>
      </c>
      <c r="EM249" s="384">
        <f>EM246/EM4</f>
        <v>0.54207709207430665</v>
      </c>
      <c r="EN249" s="384">
        <f>EN246/EN4</f>
        <v>0.54567374041782457</v>
      </c>
      <c r="EO249" s="384">
        <f>EO246/EO4</f>
        <v>0.55149260668862465</v>
      </c>
      <c r="EP249" s="384">
        <f>EP246/EP4</f>
        <v>0.58393137302183096</v>
      </c>
      <c r="EQ249" s="384">
        <f>EQ246/EQ4</f>
        <v>0.58840475336659792</v>
      </c>
      <c r="ER249" s="384">
        <f>ER246/ER4</f>
        <v>0.59494199371653134</v>
      </c>
      <c r="ES249" s="384">
        <f>ES246/ES4</f>
        <v>0.59306103385680276</v>
      </c>
      <c r="ET249" s="384">
        <f>ET246/ET4</f>
        <v>0.61131376449896635</v>
      </c>
      <c r="EU249" s="384">
        <f>EU246/EU4</f>
        <v>0.61620423056545914</v>
      </c>
      <c r="EV249" s="384">
        <f>EV246/EV4</f>
        <v>0.62957896979932293</v>
      </c>
      <c r="EW249" s="384">
        <f>EW246/EW4</f>
        <v>0.62632482875896167</v>
      </c>
      <c r="FT249" s="382">
        <f t="shared" ref="FT249:GD249" si="463">FT246/FT$4</f>
        <v>0.26421532364597089</v>
      </c>
      <c r="FU249" s="382">
        <f t="shared" si="463"/>
        <v>0.17269233563385397</v>
      </c>
      <c r="FV249" s="382">
        <f t="shared" si="463"/>
        <v>0.14427386619894764</v>
      </c>
      <c r="FW249" s="382">
        <f t="shared" si="463"/>
        <v>0.19444522471910114</v>
      </c>
      <c r="FX249" s="382">
        <f t="shared" si="463"/>
        <v>0.29348526928129104</v>
      </c>
      <c r="FY249" s="382">
        <f t="shared" si="463"/>
        <v>0.33441685225061984</v>
      </c>
      <c r="FZ249" s="382">
        <f t="shared" si="463"/>
        <v>0.22347748486109048</v>
      </c>
      <c r="GA249" s="382">
        <f t="shared" si="463"/>
        <v>0.16842867832633412</v>
      </c>
      <c r="GB249" s="382">
        <f t="shared" si="463"/>
        <v>0.16326822497624952</v>
      </c>
      <c r="GC249" s="382">
        <f t="shared" si="463"/>
        <v>7.5713495364032837E-2</v>
      </c>
      <c r="GD249" s="382">
        <f t="shared" si="463"/>
        <v>7.6751664094620017E-2</v>
      </c>
      <c r="GE249" s="382">
        <f>GE246/GE$4</f>
        <v>0.23257269254765991</v>
      </c>
      <c r="GF249" s="382">
        <f>GF246/GF$4</f>
        <v>0.23092037672769827</v>
      </c>
      <c r="GG249" s="384">
        <f>GG246/GG$4</f>
        <v>0.33129624952272457</v>
      </c>
      <c r="GH249" s="384">
        <f>GH246/GH$4</f>
        <v>0.52019685819389216</v>
      </c>
      <c r="GI249" s="384">
        <f t="shared" ref="GI249:GK249" si="464">GI246/GI$4</f>
        <v>0.54619781483730079</v>
      </c>
      <c r="GJ249" s="384">
        <f t="shared" si="464"/>
        <v>0.59032884705532662</v>
      </c>
      <c r="GK249" s="384">
        <f t="shared" si="464"/>
        <v>0.62134669534405584</v>
      </c>
      <c r="GN249" s="70"/>
    </row>
    <row r="250" spans="1:196" s="376" customFormat="1">
      <c r="A250" s="405" t="s">
        <v>266</v>
      </c>
      <c r="CD250" s="376">
        <f>CD254+CD258</f>
        <v>263.25</v>
      </c>
      <c r="CE250" s="376">
        <f t="shared" ref="CE250:EP250" si="465">CE254+CE258</f>
        <v>263.5</v>
      </c>
      <c r="CF250" s="376">
        <f t="shared" si="465"/>
        <v>227.58750000000001</v>
      </c>
      <c r="CG250" s="376">
        <f t="shared" si="465"/>
        <v>234.30674999999999</v>
      </c>
      <c r="CH250" s="376">
        <f t="shared" si="465"/>
        <v>237.23287500000001</v>
      </c>
      <c r="CI250" s="376">
        <f t="shared" si="465"/>
        <v>164.99010000000001</v>
      </c>
      <c r="CJ250" s="376">
        <f t="shared" si="465"/>
        <v>105.593664</v>
      </c>
      <c r="CK250" s="376">
        <f t="shared" si="465"/>
        <v>91.86038400000001</v>
      </c>
      <c r="CL250" s="376">
        <f t="shared" si="465"/>
        <v>74.220748799999996</v>
      </c>
      <c r="CM250" s="376">
        <f t="shared" si="465"/>
        <v>49.577140800000002</v>
      </c>
      <c r="CN250" s="376">
        <f t="shared" si="465"/>
        <v>82.628568000000001</v>
      </c>
      <c r="CO250" s="376">
        <f t="shared" si="465"/>
        <v>82.456425150000001</v>
      </c>
      <c r="CP250" s="376">
        <f t="shared" si="465"/>
        <v>102.25285290000001</v>
      </c>
      <c r="CQ250" s="376">
        <f t="shared" si="465"/>
        <v>80.382103807500016</v>
      </c>
      <c r="CR250" s="376">
        <f t="shared" si="465"/>
        <v>109.01290261950001</v>
      </c>
      <c r="CS250" s="376">
        <f t="shared" si="465"/>
        <v>137.18413166485499</v>
      </c>
      <c r="CT250" s="376">
        <f t="shared" si="465"/>
        <v>117.65261066230998</v>
      </c>
      <c r="CU250" s="376">
        <f t="shared" si="465"/>
        <v>186.41343913094104</v>
      </c>
      <c r="CV250" s="376">
        <f t="shared" si="465"/>
        <v>299.68391819967235</v>
      </c>
      <c r="CW250" s="376">
        <f t="shared" si="465"/>
        <v>407.81672351911328</v>
      </c>
      <c r="CX250" s="376">
        <f t="shared" si="465"/>
        <v>566.31366850494442</v>
      </c>
      <c r="CY250" s="376">
        <f t="shared" si="465"/>
        <v>508.0650845153076</v>
      </c>
      <c r="CZ250" s="376">
        <f t="shared" si="465"/>
        <v>185.79234666043982</v>
      </c>
      <c r="DA250" s="376">
        <f t="shared" si="465"/>
        <v>122.47989052304217</v>
      </c>
      <c r="DB250" s="376">
        <f t="shared" si="465"/>
        <v>105.68705018717851</v>
      </c>
      <c r="DC250" s="376">
        <f t="shared" si="465"/>
        <v>154.8009727444005</v>
      </c>
      <c r="DD250" s="376">
        <f t="shared" si="465"/>
        <v>196.39390464470117</v>
      </c>
      <c r="DE250" s="376">
        <f t="shared" si="465"/>
        <v>385.73136692855934</v>
      </c>
      <c r="DF250" s="376">
        <f t="shared" si="465"/>
        <v>294.28299625166278</v>
      </c>
      <c r="DG250" s="376">
        <f t="shared" si="465"/>
        <v>208.62046152158675</v>
      </c>
      <c r="DH250" s="376">
        <f t="shared" si="465"/>
        <v>251.67055764362715</v>
      </c>
      <c r="DI250" s="376">
        <f t="shared" si="465"/>
        <v>262.39584207118628</v>
      </c>
      <c r="DJ250" s="397">
        <f t="shared" si="465"/>
        <v>307.39236582108111</v>
      </c>
      <c r="DK250" s="397">
        <f t="shared" si="465"/>
        <v>352.43860823402196</v>
      </c>
      <c r="DL250" s="397">
        <f t="shared" si="465"/>
        <v>412.24812036049667</v>
      </c>
      <c r="DM250" s="397">
        <f t="shared" si="465"/>
        <v>484.014727073671</v>
      </c>
      <c r="DN250" s="397">
        <f t="shared" si="465"/>
        <v>458.77995925760285</v>
      </c>
      <c r="DO250" s="397">
        <f t="shared" si="465"/>
        <v>260.66255615674601</v>
      </c>
      <c r="DP250" s="397">
        <f t="shared" si="465"/>
        <v>105.71665413136795</v>
      </c>
      <c r="DQ250" s="397">
        <f>DQ254+DQ258</f>
        <v>161.73070221589873</v>
      </c>
      <c r="DR250" s="397">
        <f>DR254+DR258</f>
        <v>207.99160002655606</v>
      </c>
      <c r="DS250" s="397">
        <f t="shared" si="465"/>
        <v>223.67224628083005</v>
      </c>
      <c r="DT250" s="397">
        <f t="shared" si="465"/>
        <v>253.12676010792774</v>
      </c>
      <c r="DU250" s="397">
        <f t="shared" si="465"/>
        <v>270.18794588201445</v>
      </c>
      <c r="DV250" s="376">
        <f t="shared" si="465"/>
        <v>147.19971891904135</v>
      </c>
      <c r="DW250" s="376">
        <f>DW254+DW258</f>
        <v>161.98725598978021</v>
      </c>
      <c r="DX250" s="376">
        <f>DX254+DX258</f>
        <v>101.70312284442969</v>
      </c>
      <c r="DY250" s="376">
        <f>DY254+DY258</f>
        <v>174.08286332842013</v>
      </c>
      <c r="DZ250" s="376">
        <f t="shared" si="465"/>
        <v>96.465311379807233</v>
      </c>
      <c r="EA250" s="376">
        <f t="shared" si="465"/>
        <v>133.23642996115564</v>
      </c>
      <c r="EB250" s="376">
        <f t="shared" si="465"/>
        <v>309.44535984697814</v>
      </c>
      <c r="EC250" s="376">
        <f t="shared" si="465"/>
        <v>262.5833104756951</v>
      </c>
      <c r="ED250" s="376">
        <f t="shared" si="465"/>
        <v>233.3840463507978</v>
      </c>
      <c r="EE250" s="380">
        <f t="shared" si="465"/>
        <v>223.9319924735905</v>
      </c>
      <c r="EF250" s="380">
        <f t="shared" si="465"/>
        <v>201.53879322623143</v>
      </c>
      <c r="EG250" s="380">
        <f t="shared" si="465"/>
        <v>185.01261218168048</v>
      </c>
      <c r="EH250" s="380">
        <f t="shared" si="465"/>
        <v>159.55487674548121</v>
      </c>
      <c r="EI250" s="380">
        <f t="shared" si="465"/>
        <v>169.2558132516065</v>
      </c>
      <c r="EJ250" s="380">
        <f t="shared" si="465"/>
        <v>183.05016203161247</v>
      </c>
      <c r="EK250" s="380">
        <f t="shared" si="465"/>
        <v>197.96875023718889</v>
      </c>
      <c r="EL250" s="380">
        <f t="shared" si="465"/>
        <v>165.50187519828989</v>
      </c>
      <c r="EM250" s="380">
        <f t="shared" si="465"/>
        <v>175.56438921034592</v>
      </c>
      <c r="EN250" s="380">
        <f t="shared" si="465"/>
        <v>189.87288693098915</v>
      </c>
      <c r="EO250" s="380">
        <f t="shared" si="465"/>
        <v>205.34752721586477</v>
      </c>
      <c r="EP250" s="380">
        <f t="shared" si="465"/>
        <v>171.67053275246295</v>
      </c>
      <c r="EQ250" s="380">
        <f t="shared" ref="EQ250:EW250" si="466">EQ254+EQ258</f>
        <v>182.10810114381272</v>
      </c>
      <c r="ER250" s="380">
        <f t="shared" si="466"/>
        <v>196.94991138703347</v>
      </c>
      <c r="ES250" s="380">
        <f t="shared" si="466"/>
        <v>213.00132916507673</v>
      </c>
      <c r="ET250" s="380">
        <f t="shared" si="466"/>
        <v>178.06911118200412</v>
      </c>
      <c r="EU250" s="380">
        <f t="shared" si="466"/>
        <v>188.89571314187</v>
      </c>
      <c r="EV250" s="380">
        <f t="shared" si="466"/>
        <v>204.29071376293246</v>
      </c>
      <c r="EW250" s="380">
        <f t="shared" si="466"/>
        <v>220.94040693461147</v>
      </c>
      <c r="FT250" s="376">
        <f>CD250+CE250+CF250+CG250</f>
        <v>988.64424999999994</v>
      </c>
      <c r="FU250" s="376">
        <f>CH250+CI250+CJ250+CK250</f>
        <v>599.67702299999996</v>
      </c>
      <c r="FV250" s="376">
        <f>CL250+CM250+CN250+CO250</f>
        <v>288.88288275000002</v>
      </c>
      <c r="FW250" s="376">
        <f>CP250+CQ250+CR250+CS250</f>
        <v>428.83199099185498</v>
      </c>
      <c r="FX250" s="376">
        <f>CT250+CU250+CV250+CW250</f>
        <v>1011.5666915120366</v>
      </c>
      <c r="FY250" s="376">
        <f>CX250+CY250+CZ250+DA250</f>
        <v>1382.6509902037342</v>
      </c>
      <c r="FZ250" s="376">
        <f>DB250+DC250+DD250+DE250</f>
        <v>842.61329450483959</v>
      </c>
      <c r="GA250" s="376">
        <f>SUM(DF250:DI250)</f>
        <v>1016.969857488063</v>
      </c>
      <c r="GB250" s="376">
        <f>SUM(DJ250:DM250)</f>
        <v>1556.0938214892708</v>
      </c>
      <c r="GC250" s="376">
        <f>SUM(DN250:DQ250)</f>
        <v>986.88987176161561</v>
      </c>
      <c r="GD250" s="376">
        <f>SUM(DR250:DU250)</f>
        <v>954.97855229732829</v>
      </c>
      <c r="GE250" s="376">
        <f>SUM(DV250:DY250)</f>
        <v>584.97296108167131</v>
      </c>
      <c r="GF250" s="376">
        <f>SUM(DZ250:EC250)</f>
        <v>801.730411663636</v>
      </c>
      <c r="GG250" s="380">
        <f>SUM(ED250:EG250)</f>
        <v>843.86744423230016</v>
      </c>
      <c r="GH250" s="380">
        <f>SUM(EH250:EK250)</f>
        <v>709.82960226588898</v>
      </c>
      <c r="GI250" s="380">
        <f>SUM(EL250:EO250)</f>
        <v>736.28667855548974</v>
      </c>
      <c r="GJ250" s="380">
        <f>SUM(EP250:ES250)</f>
        <v>763.72987444838589</v>
      </c>
      <c r="GK250" s="380">
        <f>SUM(ET250:EW250)</f>
        <v>792.19594502141808</v>
      </c>
      <c r="GN250" s="70"/>
    </row>
    <row r="251" spans="1:196" s="382" customFormat="1">
      <c r="A251" s="396" t="s">
        <v>198</v>
      </c>
      <c r="CE251" s="382">
        <f t="shared" ref="CE251:EH251" si="467">CE250/CD250-1</f>
        <v>9.496676163343043E-4</v>
      </c>
      <c r="CF251" s="382">
        <f t="shared" si="467"/>
        <v>-0.13629032258064511</v>
      </c>
      <c r="CG251" s="382">
        <f t="shared" si="467"/>
        <v>2.9523809523809508E-2</v>
      </c>
      <c r="CH251" s="382">
        <f t="shared" si="467"/>
        <v>1.2488436632747568E-2</v>
      </c>
      <c r="CI251" s="382">
        <f t="shared" si="467"/>
        <v>-0.30452261306532658</v>
      </c>
      <c r="CJ251" s="382">
        <f t="shared" si="467"/>
        <v>-0.36</v>
      </c>
      <c r="CK251" s="382">
        <f t="shared" si="467"/>
        <v>-0.13005780346820806</v>
      </c>
      <c r="CL251" s="382">
        <f t="shared" si="467"/>
        <v>-0.19202657807308987</v>
      </c>
      <c r="CM251" s="382">
        <f t="shared" si="467"/>
        <v>-0.33203124999999989</v>
      </c>
      <c r="CN251" s="382">
        <f t="shared" si="467"/>
        <v>0.66666666666666652</v>
      </c>
      <c r="CO251" s="382">
        <f t="shared" si="467"/>
        <v>-2.0833333333333259E-3</v>
      </c>
      <c r="CP251" s="382">
        <f t="shared" si="467"/>
        <v>0.24008350730688943</v>
      </c>
      <c r="CQ251" s="382">
        <f t="shared" si="467"/>
        <v>-0.2138888888888888</v>
      </c>
      <c r="CR251" s="382">
        <f t="shared" si="467"/>
        <v>0.35618374558303878</v>
      </c>
      <c r="CS251" s="382">
        <f t="shared" si="467"/>
        <v>0.25842105263157866</v>
      </c>
      <c r="CT251" s="382">
        <f t="shared" si="467"/>
        <v>-0.14237449160855653</v>
      </c>
      <c r="CU251" s="382">
        <f t="shared" si="467"/>
        <v>0.58443946191717266</v>
      </c>
      <c r="CV251" s="382">
        <f t="shared" si="467"/>
        <v>0.60763043478409062</v>
      </c>
      <c r="CW251" s="382">
        <f t="shared" si="467"/>
        <v>0.36082284951771948</v>
      </c>
      <c r="CX251" s="382">
        <f t="shared" si="467"/>
        <v>0.38864748757269352</v>
      </c>
      <c r="CY251" s="382">
        <f t="shared" si="467"/>
        <v>-0.10285569151705587</v>
      </c>
      <c r="CZ251" s="382">
        <f t="shared" si="467"/>
        <v>-0.63431388551786605</v>
      </c>
      <c r="DA251" s="382">
        <f t="shared" si="467"/>
        <v>-0.34076999012833165</v>
      </c>
      <c r="DB251" s="382">
        <f t="shared" si="467"/>
        <v>-0.13710691823899379</v>
      </c>
      <c r="DC251" s="382">
        <f t="shared" si="467"/>
        <v>0.46471088435374153</v>
      </c>
      <c r="DD251" s="382">
        <f t="shared" si="467"/>
        <v>0.26868650217706835</v>
      </c>
      <c r="DE251" s="382">
        <f t="shared" si="467"/>
        <v>0.9640699523052465</v>
      </c>
      <c r="DF251" s="382">
        <f t="shared" si="467"/>
        <v>-0.23707786951594623</v>
      </c>
      <c r="DG251" s="382">
        <f t="shared" si="467"/>
        <v>-0.29108897157217939</v>
      </c>
      <c r="DH251" s="382">
        <f t="shared" si="467"/>
        <v>0.20635605830823955</v>
      </c>
      <c r="DI251" s="382">
        <f t="shared" si="467"/>
        <v>4.2616365330848227E-2</v>
      </c>
      <c r="DJ251" s="383">
        <f t="shared" si="467"/>
        <v>0.17148337181992224</v>
      </c>
      <c r="DK251" s="383">
        <f t="shared" si="467"/>
        <v>0.14654313971857125</v>
      </c>
      <c r="DL251" s="383">
        <f t="shared" si="467"/>
        <v>0.1697019302912488</v>
      </c>
      <c r="DM251" s="383">
        <f t="shared" si="467"/>
        <v>0.17408595253367531</v>
      </c>
      <c r="DN251" s="383">
        <f t="shared" si="467"/>
        <v>-5.2136363636363536E-2</v>
      </c>
      <c r="DO251" s="383">
        <f t="shared" si="467"/>
        <v>-0.43183534743202423</v>
      </c>
      <c r="DP251" s="383">
        <f t="shared" si="467"/>
        <v>-0.59443099273607736</v>
      </c>
      <c r="DQ251" s="383">
        <f t="shared" si="467"/>
        <v>0.5298507462686568</v>
      </c>
      <c r="DR251" s="383">
        <f t="shared" si="467"/>
        <v>0.2860365853658533</v>
      </c>
      <c r="DS251" s="383">
        <f t="shared" si="467"/>
        <v>7.5390766993820524E-2</v>
      </c>
      <c r="DT251" s="383">
        <f t="shared" si="467"/>
        <v>0.13168604651162785</v>
      </c>
      <c r="DU251" s="383">
        <f t="shared" si="467"/>
        <v>6.7401746724890632E-2</v>
      </c>
      <c r="DV251" s="382">
        <f t="shared" si="467"/>
        <v>-0.45519509229578858</v>
      </c>
      <c r="DW251" s="382">
        <f t="shared" si="467"/>
        <v>0.10045900345008052</v>
      </c>
      <c r="DX251" s="382">
        <f>DX250/DW250-1</f>
        <v>-0.37215355477812317</v>
      </c>
      <c r="DY251" s="382">
        <f t="shared" si="467"/>
        <v>0.71167667677919999</v>
      </c>
      <c r="DZ251" s="382">
        <f t="shared" si="467"/>
        <v>-0.44586555198245836</v>
      </c>
      <c r="EA251" s="382">
        <f t="shared" si="467"/>
        <v>0.38118488454955202</v>
      </c>
      <c r="EB251" s="382">
        <f t="shared" si="467"/>
        <v>1.3225281549287629</v>
      </c>
      <c r="EC251" s="382">
        <f t="shared" si="467"/>
        <v>-0.15143884980035405</v>
      </c>
      <c r="ED251" s="382">
        <f t="shared" si="467"/>
        <v>-0.11119999999999997</v>
      </c>
      <c r="EE251" s="384">
        <f t="shared" si="467"/>
        <v>-4.049999999999998E-2</v>
      </c>
      <c r="EF251" s="384">
        <f t="shared" si="467"/>
        <v>-0.10000000000000009</v>
      </c>
      <c r="EG251" s="384">
        <f t="shared" si="467"/>
        <v>-8.1999999999999851E-2</v>
      </c>
      <c r="EH251" s="384">
        <f t="shared" si="467"/>
        <v>-0.13760000000000017</v>
      </c>
      <c r="EI251" s="384">
        <f>EI250/EH250-1</f>
        <v>6.0800000000000187E-2</v>
      </c>
      <c r="EJ251" s="384">
        <f>EJ250/EI250-1</f>
        <v>8.150000000000035E-2</v>
      </c>
      <c r="EK251" s="384">
        <f>EK250/EJ250-1</f>
        <v>8.1499999999999906E-2</v>
      </c>
      <c r="EL251" s="384">
        <f t="shared" ref="EL251" si="468">EL250/EK250-1</f>
        <v>-0.16400000000000003</v>
      </c>
      <c r="EM251" s="384">
        <f>EM250/EL250-1</f>
        <v>6.0799999999999965E-2</v>
      </c>
      <c r="EN251" s="384">
        <f>EN250/EM250-1</f>
        <v>8.1500000000000128E-2</v>
      </c>
      <c r="EO251" s="384">
        <f>EO250/EN250-1</f>
        <v>8.1499999999999906E-2</v>
      </c>
      <c r="EP251" s="384">
        <f t="shared" ref="EP251" si="469">EP250/EO250-1</f>
        <v>-0.16400000000000003</v>
      </c>
      <c r="EQ251" s="384">
        <f>EQ250/EP250-1</f>
        <v>6.0800000000000187E-2</v>
      </c>
      <c r="ER251" s="384">
        <f>ER250/EQ250-1</f>
        <v>8.1500000000000128E-2</v>
      </c>
      <c r="ES251" s="384">
        <f>ES250/ER250-1</f>
        <v>8.1500000000000128E-2</v>
      </c>
      <c r="ET251" s="384">
        <f t="shared" ref="ET251" si="470">ET250/ES250-1</f>
        <v>-0.16400000000000015</v>
      </c>
      <c r="EU251" s="384">
        <f>EU250/ET250-1</f>
        <v>6.0800000000000187E-2</v>
      </c>
      <c r="EV251" s="384">
        <f>EV250/EU250-1</f>
        <v>8.150000000000035E-2</v>
      </c>
      <c r="EW251" s="384">
        <f>EW250/EV250-1</f>
        <v>8.1500000000000128E-2</v>
      </c>
      <c r="FZ251" s="386" t="s">
        <v>199</v>
      </c>
      <c r="GA251" s="386" t="s">
        <v>199</v>
      </c>
      <c r="GB251" s="386" t="s">
        <v>199</v>
      </c>
      <c r="GC251" s="386" t="s">
        <v>199</v>
      </c>
      <c r="GD251" s="386" t="s">
        <v>199</v>
      </c>
      <c r="GE251" s="386" t="s">
        <v>199</v>
      </c>
      <c r="GF251" s="386" t="s">
        <v>199</v>
      </c>
      <c r="GG251" s="386" t="s">
        <v>199</v>
      </c>
      <c r="GH251" s="386" t="s">
        <v>199</v>
      </c>
      <c r="GI251" s="386" t="s">
        <v>199</v>
      </c>
      <c r="GJ251" s="386" t="s">
        <v>199</v>
      </c>
      <c r="GK251" s="386" t="s">
        <v>199</v>
      </c>
      <c r="GN251" s="70"/>
    </row>
    <row r="252" spans="1:196" s="382" customFormat="1">
      <c r="A252" s="396" t="s">
        <v>200</v>
      </c>
      <c r="CH252" s="382">
        <f t="shared" ref="CH252:ES252" si="471">CH250/CD250-1</f>
        <v>-9.8830484330484358E-2</v>
      </c>
      <c r="CI252" s="382">
        <f t="shared" si="471"/>
        <v>-0.37385161290322577</v>
      </c>
      <c r="CJ252" s="382">
        <f t="shared" si="471"/>
        <v>-0.53603047619047617</v>
      </c>
      <c r="CK252" s="382">
        <f t="shared" si="471"/>
        <v>-0.60794819611470863</v>
      </c>
      <c r="CL252" s="382">
        <f t="shared" si="471"/>
        <v>-0.68713969849246226</v>
      </c>
      <c r="CM252" s="382">
        <f t="shared" si="471"/>
        <v>-0.69951445086705211</v>
      </c>
      <c r="CN252" s="382">
        <f t="shared" si="471"/>
        <v>-0.21748554913294804</v>
      </c>
      <c r="CO252" s="382">
        <f t="shared" si="471"/>
        <v>-0.10237230066445191</v>
      </c>
      <c r="CP252" s="382">
        <f t="shared" si="471"/>
        <v>0.37768554687500022</v>
      </c>
      <c r="CQ252" s="382">
        <f t="shared" si="471"/>
        <v>0.62135416666666687</v>
      </c>
      <c r="CR252" s="382">
        <f t="shared" si="471"/>
        <v>0.31931250000000011</v>
      </c>
      <c r="CS252" s="382">
        <f t="shared" si="471"/>
        <v>0.66371670146137762</v>
      </c>
      <c r="CT252" s="382">
        <f t="shared" si="471"/>
        <v>0.15060467581643366</v>
      </c>
      <c r="CU252" s="382">
        <f t="shared" si="471"/>
        <v>1.3190913188508486</v>
      </c>
      <c r="CV252" s="382">
        <f t="shared" si="471"/>
        <v>1.7490683304314243</v>
      </c>
      <c r="CW252" s="382">
        <f t="shared" si="471"/>
        <v>1.9727689242909081</v>
      </c>
      <c r="CX252" s="382">
        <f t="shared" si="471"/>
        <v>3.8134390330733474</v>
      </c>
      <c r="CY252" s="382">
        <f t="shared" si="471"/>
        <v>1.7254745520704176</v>
      </c>
      <c r="CZ252" s="382">
        <f t="shared" si="471"/>
        <v>-0.38003898315073836</v>
      </c>
      <c r="DA252" s="382">
        <f t="shared" si="471"/>
        <v>-0.69966927921409316</v>
      </c>
      <c r="DB252" s="382">
        <f t="shared" si="471"/>
        <v>-0.81337718641651369</v>
      </c>
      <c r="DC252" s="382">
        <f t="shared" si="471"/>
        <v>-0.69531271196862487</v>
      </c>
      <c r="DD252" s="382">
        <f t="shared" si="471"/>
        <v>5.7061327739388101E-2</v>
      </c>
      <c r="DE252" s="382">
        <f t="shared" si="471"/>
        <v>2.1493444783573805</v>
      </c>
      <c r="DF252" s="382">
        <f t="shared" si="471"/>
        <v>1.7844754464285719</v>
      </c>
      <c r="DG252" s="382">
        <f t="shared" si="471"/>
        <v>0.34766893142235133</v>
      </c>
      <c r="DH252" s="382">
        <f t="shared" si="471"/>
        <v>0.28145808852330578</v>
      </c>
      <c r="DI252" s="382">
        <f t="shared" si="471"/>
        <v>-0.31974460837719698</v>
      </c>
      <c r="DJ252" s="383">
        <f t="shared" si="471"/>
        <v>4.454681288553819E-2</v>
      </c>
      <c r="DK252" s="383">
        <f t="shared" si="471"/>
        <v>0.68937699429618893</v>
      </c>
      <c r="DL252" s="383">
        <f t="shared" si="471"/>
        <v>0.63804667586206909</v>
      </c>
      <c r="DM252" s="383">
        <f t="shared" si="471"/>
        <v>0.84459754870033721</v>
      </c>
      <c r="DN252" s="383">
        <f t="shared" si="471"/>
        <v>0.49248976314733017</v>
      </c>
      <c r="DO252" s="383">
        <f t="shared" si="471"/>
        <v>-0.26040294659300189</v>
      </c>
      <c r="DP252" s="383">
        <f t="shared" si="471"/>
        <v>-0.74356061577934573</v>
      </c>
      <c r="DQ252" s="383">
        <f t="shared" si="471"/>
        <v>-0.66585582386363629</v>
      </c>
      <c r="DR252" s="383">
        <f t="shared" si="471"/>
        <v>-0.54664192314954696</v>
      </c>
      <c r="DS252" s="383">
        <f t="shared" si="471"/>
        <v>-0.14190879741727203</v>
      </c>
      <c r="DT252" s="383">
        <f t="shared" si="471"/>
        <v>1.3943886815920394</v>
      </c>
      <c r="DU252" s="383">
        <f t="shared" si="471"/>
        <v>0.67060392479674746</v>
      </c>
      <c r="DV252" s="382">
        <f t="shared" si="471"/>
        <v>-0.29228046276750064</v>
      </c>
      <c r="DW252" s="382">
        <f t="shared" si="471"/>
        <v>-0.27578294275098258</v>
      </c>
      <c r="DX252" s="382">
        <f t="shared" si="471"/>
        <v>-0.59821267889232377</v>
      </c>
      <c r="DY252" s="382">
        <f t="shared" si="471"/>
        <v>-0.3556971508845973</v>
      </c>
      <c r="DZ252" s="382">
        <f t="shared" si="471"/>
        <v>-0.34466375283731099</v>
      </c>
      <c r="EA252" s="382">
        <f t="shared" si="471"/>
        <v>-0.17748819716063635</v>
      </c>
      <c r="EB252" s="382">
        <f t="shared" si="471"/>
        <v>2.0426338070299144</v>
      </c>
      <c r="EC252" s="382">
        <f t="shared" si="471"/>
        <v>0.50838115513019999</v>
      </c>
      <c r="ED252" s="382">
        <f t="shared" si="471"/>
        <v>1.4193572073997505</v>
      </c>
      <c r="EE252" s="384">
        <f t="shared" si="471"/>
        <v>0.68071144310063447</v>
      </c>
      <c r="EF252" s="384">
        <f t="shared" si="471"/>
        <v>-0.34870959666064116</v>
      </c>
      <c r="EG252" s="384">
        <f t="shared" si="471"/>
        <v>-0.29541366567999994</v>
      </c>
      <c r="EH252" s="384">
        <f t="shared" si="471"/>
        <v>-0.31634197264000008</v>
      </c>
      <c r="EI252" s="384">
        <f t="shared" si="471"/>
        <v>-0.24416421529599996</v>
      </c>
      <c r="EJ252" s="384">
        <f t="shared" si="471"/>
        <v>-9.1737332047359677E-2</v>
      </c>
      <c r="EK252" s="384">
        <f t="shared" si="471"/>
        <v>7.0028404565120272E-2</v>
      </c>
      <c r="EL252" s="384">
        <f t="shared" si="471"/>
        <v>3.7272432996800386E-2</v>
      </c>
      <c r="EM252" s="384">
        <f t="shared" si="471"/>
        <v>3.7272432996800164E-2</v>
      </c>
      <c r="EN252" s="384">
        <f t="shared" si="471"/>
        <v>3.7272432996800164E-2</v>
      </c>
      <c r="EO252" s="384">
        <f t="shared" si="471"/>
        <v>3.7272432996800164E-2</v>
      </c>
      <c r="EP252" s="384">
        <f t="shared" si="471"/>
        <v>3.7272432996800164E-2</v>
      </c>
      <c r="EQ252" s="384">
        <f t="shared" si="471"/>
        <v>3.7272432996800386E-2</v>
      </c>
      <c r="ER252" s="384">
        <f t="shared" si="471"/>
        <v>3.7272432996800164E-2</v>
      </c>
      <c r="ES252" s="384">
        <f t="shared" si="471"/>
        <v>3.7272432996800386E-2</v>
      </c>
      <c r="ET252" s="384">
        <f t="shared" ref="ET252:EW252" si="472">ET250/EP250-1</f>
        <v>3.7272432996800164E-2</v>
      </c>
      <c r="EU252" s="384">
        <f t="shared" si="472"/>
        <v>3.7272432996800164E-2</v>
      </c>
      <c r="EV252" s="384">
        <f t="shared" si="472"/>
        <v>3.7272432996800386E-2</v>
      </c>
      <c r="EW252" s="384">
        <f t="shared" si="472"/>
        <v>3.7272432996800386E-2</v>
      </c>
      <c r="FV252" s="382">
        <f t="shared" ref="FV252:GK252" si="473">FV250/FU250-1</f>
        <v>-0.51826921547734539</v>
      </c>
      <c r="FW252" s="382">
        <f t="shared" si="473"/>
        <v>0.48444929277089521</v>
      </c>
      <c r="FX252" s="382">
        <f t="shared" si="473"/>
        <v>1.3588881257957497</v>
      </c>
      <c r="FY252" s="382">
        <f t="shared" si="473"/>
        <v>0.36684116015822976</v>
      </c>
      <c r="FZ252" s="382">
        <f t="shared" si="473"/>
        <v>-0.39058135388115534</v>
      </c>
      <c r="GA252" s="382">
        <f t="shared" si="473"/>
        <v>0.20692358418779011</v>
      </c>
      <c r="GB252" s="382">
        <f t="shared" si="473"/>
        <v>0.53012777127225319</v>
      </c>
      <c r="GC252" s="382">
        <f t="shared" si="473"/>
        <v>-0.36579025111923802</v>
      </c>
      <c r="GD252" s="382">
        <f t="shared" si="473"/>
        <v>-3.2335238588805271E-2</v>
      </c>
      <c r="GE252" s="382">
        <f t="shared" si="473"/>
        <v>-0.38744911110889257</v>
      </c>
      <c r="GF252" s="382">
        <f t="shared" si="473"/>
        <v>0.37054268317147399</v>
      </c>
      <c r="GG252" s="387">
        <f t="shared" si="473"/>
        <v>5.2557607838808806E-2</v>
      </c>
      <c r="GH252" s="387">
        <f t="shared" si="473"/>
        <v>-0.15883755545084544</v>
      </c>
      <c r="GI252" s="387">
        <f t="shared" si="473"/>
        <v>3.7272432996800386E-2</v>
      </c>
      <c r="GJ252" s="387">
        <f t="shared" si="473"/>
        <v>3.7272432996800386E-2</v>
      </c>
      <c r="GK252" s="387">
        <f t="shared" si="473"/>
        <v>3.7272432996800386E-2</v>
      </c>
      <c r="GN252" s="70"/>
    </row>
    <row r="253" spans="1:196" s="382" customFormat="1">
      <c r="A253" s="396" t="s">
        <v>261</v>
      </c>
      <c r="CD253" s="382">
        <f t="shared" ref="CD253:EO253" si="474">CD250/CD$4</f>
        <v>0.24195772058823528</v>
      </c>
      <c r="CE253" s="382">
        <f t="shared" si="474"/>
        <v>0.22695951765719208</v>
      </c>
      <c r="CF253" s="382">
        <f t="shared" si="474"/>
        <v>0.15577515400410677</v>
      </c>
      <c r="CG253" s="382">
        <f t="shared" si="474"/>
        <v>0.14745547514159849</v>
      </c>
      <c r="CH253" s="382">
        <f t="shared" si="474"/>
        <v>0.16981594488188978</v>
      </c>
      <c r="CI253" s="382">
        <f t="shared" si="474"/>
        <v>0.1144969465648855</v>
      </c>
      <c r="CJ253" s="382">
        <f t="shared" si="474"/>
        <v>7.3893396780965709E-2</v>
      </c>
      <c r="CK253" s="382">
        <f t="shared" si="474"/>
        <v>7.4140745762711874E-2</v>
      </c>
      <c r="CL253" s="382">
        <f t="shared" si="474"/>
        <v>7.205897941747573E-2</v>
      </c>
      <c r="CM253" s="382">
        <f t="shared" si="474"/>
        <v>5.2629661146496816E-2</v>
      </c>
      <c r="CN253" s="382">
        <f t="shared" si="474"/>
        <v>7.7878009425070685E-2</v>
      </c>
      <c r="CO253" s="382">
        <f t="shared" si="474"/>
        <v>8.6071425000000007E-2</v>
      </c>
      <c r="CP253" s="382">
        <f t="shared" si="474"/>
        <v>0.12290006358173078</v>
      </c>
      <c r="CQ253" s="382">
        <f t="shared" si="474"/>
        <v>7.8268844992697192E-2</v>
      </c>
      <c r="CR253" s="382">
        <f t="shared" si="474"/>
        <v>8.3406964513772011E-2</v>
      </c>
      <c r="CS253" s="382">
        <f t="shared" si="474"/>
        <v>0.12403628541126129</v>
      </c>
      <c r="CT253" s="382">
        <f t="shared" si="474"/>
        <v>0.11956566124218494</v>
      </c>
      <c r="CU253" s="382">
        <f t="shared" si="474"/>
        <v>0.15254782252941165</v>
      </c>
      <c r="CV253" s="382">
        <f t="shared" si="474"/>
        <v>0.1824004371270069</v>
      </c>
      <c r="CW253" s="382">
        <f t="shared" si="474"/>
        <v>0.27555184021561707</v>
      </c>
      <c r="CX253" s="382">
        <f t="shared" si="474"/>
        <v>0.34384557893439249</v>
      </c>
      <c r="CY253" s="382">
        <f t="shared" si="474"/>
        <v>0.28933091373309089</v>
      </c>
      <c r="CZ253" s="382">
        <f t="shared" si="474"/>
        <v>0.11239706392041127</v>
      </c>
      <c r="DA253" s="382">
        <f t="shared" si="474"/>
        <v>8.6314228698408865E-2</v>
      </c>
      <c r="DB253" s="382">
        <f t="shared" si="474"/>
        <v>8.3087303606272422E-2</v>
      </c>
      <c r="DC253" s="382">
        <f t="shared" si="474"/>
        <v>0.10111102073442227</v>
      </c>
      <c r="DD253" s="382">
        <f t="shared" si="474"/>
        <v>0.10904714305646927</v>
      </c>
      <c r="DE253" s="382">
        <f t="shared" si="474"/>
        <v>0.18134996094431563</v>
      </c>
      <c r="DF253" s="382">
        <f t="shared" si="474"/>
        <v>0.16477211436263314</v>
      </c>
      <c r="DG253" s="382">
        <f t="shared" si="474"/>
        <v>0.1079816053424362</v>
      </c>
      <c r="DH253" s="382">
        <f t="shared" si="474"/>
        <v>8.9850252639638403E-2</v>
      </c>
      <c r="DI253" s="382">
        <f t="shared" si="474"/>
        <v>8.088651111935459E-2</v>
      </c>
      <c r="DJ253" s="383">
        <f t="shared" si="474"/>
        <v>8.9228553213666503E-2</v>
      </c>
      <c r="DK253" s="383">
        <f t="shared" si="474"/>
        <v>9.1542495645200506E-2</v>
      </c>
      <c r="DL253" s="383">
        <f t="shared" si="474"/>
        <v>9.5582684989681588E-2</v>
      </c>
      <c r="DM253" s="383">
        <f t="shared" si="474"/>
        <v>0.10029314692782242</v>
      </c>
      <c r="DN253" s="383">
        <f t="shared" si="474"/>
        <v>7.7931027562018487E-2</v>
      </c>
      <c r="DO253" s="383">
        <f t="shared" si="474"/>
        <v>3.9795810100266567E-2</v>
      </c>
      <c r="DP253" s="383">
        <f t="shared" si="474"/>
        <v>1.8996703347954707E-2</v>
      </c>
      <c r="DQ253" s="383">
        <f>DQ250/DQ$4</f>
        <v>2.8885640688676321E-2</v>
      </c>
      <c r="DR253" s="383">
        <f>DR250/DR$4</f>
        <v>3.885514665170111E-2</v>
      </c>
      <c r="DS253" s="383">
        <f t="shared" si="474"/>
        <v>4.173768357544879E-2</v>
      </c>
      <c r="DT253" s="383">
        <f t="shared" si="474"/>
        <v>4.3642544846194439E-2</v>
      </c>
      <c r="DU253" s="383">
        <f t="shared" si="474"/>
        <v>4.380479018839404E-2</v>
      </c>
      <c r="DV253" s="382">
        <f t="shared" si="474"/>
        <v>2.6895618293265366E-2</v>
      </c>
      <c r="DW253" s="382">
        <f t="shared" si="474"/>
        <v>2.7761312080510747E-2</v>
      </c>
      <c r="DX253" s="382">
        <f t="shared" si="474"/>
        <v>1.4914668256992182E-2</v>
      </c>
      <c r="DY253" s="382">
        <f t="shared" si="474"/>
        <v>2.2732157655839663E-2</v>
      </c>
      <c r="DZ253" s="382">
        <f t="shared" si="474"/>
        <v>1.296925401718301E-2</v>
      </c>
      <c r="EA253" s="382">
        <f t="shared" si="474"/>
        <v>1.7337206240879068E-2</v>
      </c>
      <c r="EB253" s="382">
        <f t="shared" si="474"/>
        <v>3.3468025075381588E-2</v>
      </c>
      <c r="EC253" s="382">
        <f t="shared" si="474"/>
        <v>2.5567995177769729E-2</v>
      </c>
      <c r="ED253" s="382">
        <f t="shared" si="474"/>
        <v>2.2762513054793505E-2</v>
      </c>
      <c r="EE253" s="384">
        <f t="shared" si="474"/>
        <v>1.9953816613687607E-2</v>
      </c>
      <c r="EF253" s="384">
        <f t="shared" si="474"/>
        <v>1.680383342600798E-2</v>
      </c>
      <c r="EG253" s="384">
        <f t="shared" si="474"/>
        <v>1.1426473625533532E-2</v>
      </c>
      <c r="EH253" s="384">
        <f t="shared" si="474"/>
        <v>9.1514990133546477E-3</v>
      </c>
      <c r="EI253" s="384">
        <f t="shared" si="474"/>
        <v>8.8101211275799021E-3</v>
      </c>
      <c r="EJ253" s="384">
        <f t="shared" si="474"/>
        <v>8.2694054049405052E-3</v>
      </c>
      <c r="EK253" s="384">
        <f t="shared" si="474"/>
        <v>8.0742576748948081E-3</v>
      </c>
      <c r="EL253" s="384">
        <f t="shared" si="474"/>
        <v>6.9127705272871371E-3</v>
      </c>
      <c r="EM253" s="384">
        <f t="shared" si="474"/>
        <v>7.0132934395578279E-3</v>
      </c>
      <c r="EN253" s="384">
        <f t="shared" si="474"/>
        <v>7.0658449851861991E-3</v>
      </c>
      <c r="EO253" s="384">
        <f t="shared" si="474"/>
        <v>7.1420047203650909E-3</v>
      </c>
      <c r="EP253" s="384">
        <f t="shared" ref="EP253:EW253" si="475">EP250/EP$4</f>
        <v>6.0926707827804027E-3</v>
      </c>
      <c r="EQ253" s="384">
        <f t="shared" si="475"/>
        <v>6.1987323890165145E-3</v>
      </c>
      <c r="ER253" s="384">
        <f t="shared" si="475"/>
        <v>6.2097715038106835E-3</v>
      </c>
      <c r="ES253" s="384">
        <f t="shared" si="475"/>
        <v>6.4323207750868767E-3</v>
      </c>
      <c r="ET253" s="384">
        <f t="shared" si="475"/>
        <v>5.6149129501894138E-3</v>
      </c>
      <c r="EU253" s="384">
        <f t="shared" si="475"/>
        <v>5.7145988874899292E-3</v>
      </c>
      <c r="EV253" s="384">
        <f t="shared" si="475"/>
        <v>5.6245027328113012E-3</v>
      </c>
      <c r="EW253" s="384">
        <f t="shared" si="475"/>
        <v>5.8146483544562677E-3</v>
      </c>
      <c r="FU253" s="382">
        <f t="shared" ref="FU253:GF253" si="476">FU250/FU$4</f>
        <v>0.10891337141300399</v>
      </c>
      <c r="FV253" s="382">
        <f t="shared" si="476"/>
        <v>7.2383583750939617E-2</v>
      </c>
      <c r="FW253" s="382">
        <f t="shared" si="476"/>
        <v>0.10038202036326194</v>
      </c>
      <c r="FX253" s="382">
        <f t="shared" si="476"/>
        <v>0.18982298583449739</v>
      </c>
      <c r="FY253" s="382">
        <f t="shared" si="476"/>
        <v>0.21353683246389718</v>
      </c>
      <c r="FZ253" s="382">
        <f t="shared" si="476"/>
        <v>0.12518396887607183</v>
      </c>
      <c r="GA253" s="382">
        <f t="shared" si="476"/>
        <v>0.1041657131504725</v>
      </c>
      <c r="GB253" s="382">
        <f t="shared" si="476"/>
        <v>9.4687466319171881E-2</v>
      </c>
      <c r="GC253" s="382">
        <f t="shared" si="476"/>
        <v>4.1815595600254885E-2</v>
      </c>
      <c r="GD253" s="382">
        <f t="shared" si="476"/>
        <v>4.2106638108347812E-2</v>
      </c>
      <c r="GE253" s="382">
        <f t="shared" si="476"/>
        <v>2.2686560445284908E-2</v>
      </c>
      <c r="GF253" s="382">
        <f t="shared" si="476"/>
        <v>2.3145310536205894E-2</v>
      </c>
      <c r="GG253" s="384">
        <f>GG250/GG$4</f>
        <v>1.6992657661440029E-2</v>
      </c>
      <c r="GH253" s="384">
        <f>GH250/GH$4</f>
        <v>8.5212928167127736E-3</v>
      </c>
      <c r="GI253" s="384">
        <f t="shared" ref="GI253:GK253" si="477">GI250/GI$4</f>
        <v>7.0391658105727435E-3</v>
      </c>
      <c r="GJ253" s="384">
        <f t="shared" si="477"/>
        <v>6.2403776617139814E-3</v>
      </c>
      <c r="GK253" s="384">
        <f t="shared" si="477"/>
        <v>5.6956738501916428E-3</v>
      </c>
      <c r="GN253" s="70"/>
    </row>
    <row r="254" spans="1:196" s="382" customFormat="1">
      <c r="A254" s="395" t="s">
        <v>289</v>
      </c>
      <c r="CD254" s="376">
        <f>+CD279*CD301/1000</f>
        <v>263.25</v>
      </c>
      <c r="CE254" s="376">
        <f>+CE279*CE301/1000</f>
        <v>263.5</v>
      </c>
      <c r="CF254" s="376">
        <f>+CF279*CF301/1000</f>
        <v>227.58750000000001</v>
      </c>
      <c r="CG254" s="376">
        <f>+CG279*CG301/1000</f>
        <v>234.30674999999999</v>
      </c>
      <c r="CH254" s="376">
        <f>+CH279*CH301/1000</f>
        <v>237.23287500000001</v>
      </c>
      <c r="CI254" s="376">
        <f>+CI279*CI301/1000</f>
        <v>164.99010000000001</v>
      </c>
      <c r="CJ254" s="376">
        <f>+CJ279*CJ301/1000</f>
        <v>105.593664</v>
      </c>
      <c r="CK254" s="376">
        <f>+CK279*CK301/1000</f>
        <v>91.86038400000001</v>
      </c>
      <c r="CL254" s="376">
        <f>+CL279*CL301/1000</f>
        <v>74.220748799999996</v>
      </c>
      <c r="CM254" s="376">
        <f>+CM279*CM301/1000</f>
        <v>49.577140800000002</v>
      </c>
      <c r="CN254" s="376">
        <f>+CN279*CN301/1000</f>
        <v>82.628568000000001</v>
      </c>
      <c r="CO254" s="376">
        <f>+CO279*CO301/1000</f>
        <v>82.456425150000001</v>
      </c>
      <c r="CP254" s="376">
        <f>+CP279*CP301/1000</f>
        <v>102.25285290000001</v>
      </c>
      <c r="CQ254" s="376">
        <f>+CQ279*CQ301/1000</f>
        <v>80.382103807500016</v>
      </c>
      <c r="CR254" s="376">
        <f>+CR279*CR301/1000</f>
        <v>109.01290261950001</v>
      </c>
      <c r="CS254" s="376">
        <f>+CS279*CS301/1000</f>
        <v>137.18413166485499</v>
      </c>
      <c r="CT254" s="376">
        <f>+CT279*CT301/1000</f>
        <v>97.652610662309982</v>
      </c>
      <c r="CU254" s="376">
        <f>+CU279*CU301/1000</f>
        <v>136.41343913094104</v>
      </c>
      <c r="CV254" s="376">
        <f>+CV279*CV301/1000</f>
        <v>199.68391819967238</v>
      </c>
      <c r="CW254" s="376">
        <f>+CW279*CW301/1000</f>
        <v>257.81672351911328</v>
      </c>
      <c r="CX254" s="376">
        <f>+CX279*CX301/1000</f>
        <v>467.49366850494442</v>
      </c>
      <c r="CY254" s="376">
        <f>+CY279*CY301/1000</f>
        <v>414.18608451530764</v>
      </c>
      <c r="CZ254" s="376">
        <f>+CZ279*CZ301/1000</f>
        <v>185.79234666043982</v>
      </c>
      <c r="DA254" s="376">
        <f>+DA279*DA301/1000</f>
        <v>122.47989052304217</v>
      </c>
      <c r="DB254" s="376">
        <f>+DB279*DB301/1000</f>
        <v>105.68705018717851</v>
      </c>
      <c r="DC254" s="376">
        <f>+DC279*DC301/1000</f>
        <v>154.8009727444005</v>
      </c>
      <c r="DD254" s="376">
        <f>+DD279*DD301/1000</f>
        <v>196.39390464470117</v>
      </c>
      <c r="DE254" s="376">
        <f>+DE279*DE301/1000</f>
        <v>385.73136692855934</v>
      </c>
      <c r="DF254" s="376">
        <f>+DF279*DF301/1000</f>
        <v>294.28299625166278</v>
      </c>
      <c r="DG254" s="376">
        <f>+DG279*DG301/1000</f>
        <v>208.62046152158675</v>
      </c>
      <c r="DH254" s="376">
        <f>+DH279*DH301/1000</f>
        <v>251.67055764362715</v>
      </c>
      <c r="DI254" s="376">
        <f>+DI279*DI301/1000</f>
        <v>262.39584207118628</v>
      </c>
      <c r="DJ254" s="397">
        <f>+DJ279*DJ301/1000</f>
        <v>307.39236582108111</v>
      </c>
      <c r="DK254" s="397">
        <f>+DK279*DK301/1000</f>
        <v>352.43860823402196</v>
      </c>
      <c r="DL254" s="397">
        <f>+DL279*DL301/1000</f>
        <v>412.24812036049667</v>
      </c>
      <c r="DM254" s="397">
        <f>+DM279*DM301/1000</f>
        <v>484.014727073671</v>
      </c>
      <c r="DN254" s="397">
        <f>+DN279*DN301/1000</f>
        <v>458.77995925760285</v>
      </c>
      <c r="DO254" s="397">
        <f>+DO279*DO301/1000</f>
        <v>260.66255615674601</v>
      </c>
      <c r="DP254" s="397">
        <f>+DP279*DP301/1000</f>
        <v>105.71665413136795</v>
      </c>
      <c r="DQ254" s="397">
        <f>+DQ279*DQ301/1000</f>
        <v>161.73070221589873</v>
      </c>
      <c r="DR254" s="397">
        <f>+DR279*DR301/1000</f>
        <v>207.99160002655606</v>
      </c>
      <c r="DS254" s="397">
        <f>+DS279*DS301/1000</f>
        <v>223.67224628083005</v>
      </c>
      <c r="DT254" s="397">
        <f>+DT279*DT301/1000</f>
        <v>253.12676010792774</v>
      </c>
      <c r="DU254" s="397">
        <f>+DU279*DU301/1000</f>
        <v>270.18794588201445</v>
      </c>
      <c r="DV254" s="376">
        <f>+DV279*DV301/1000</f>
        <v>147.19971891904135</v>
      </c>
      <c r="DW254" s="376">
        <f>+DW279*DW301/1000</f>
        <v>161.98725598978021</v>
      </c>
      <c r="DX254" s="376">
        <f>+DX279*DX301/1000</f>
        <v>101.70312284442969</v>
      </c>
      <c r="DY254" s="376">
        <f>+DY279*DY301/1000</f>
        <v>174.08286332842013</v>
      </c>
      <c r="DZ254" s="376">
        <f>+DZ279*DZ301/1000</f>
        <v>96.465311379807233</v>
      </c>
      <c r="EA254" s="376">
        <f>+EA279*EA301/1000</f>
        <v>133.23642996115564</v>
      </c>
      <c r="EB254" s="376">
        <f>+EB279*EB301/1000</f>
        <v>309.44535984697814</v>
      </c>
      <c r="EC254" s="376">
        <f>+EC279*EC301/1000</f>
        <v>262.5833104756951</v>
      </c>
      <c r="ED254" s="376">
        <f>+ED279*ED301/1000</f>
        <v>233.3840463507978</v>
      </c>
      <c r="EE254" s="380">
        <f>+EE279*EE301/1000</f>
        <v>223.9319924735905</v>
      </c>
      <c r="EF254" s="380">
        <f>+EF279*EF301/1000</f>
        <v>201.53879322623143</v>
      </c>
      <c r="EG254" s="380">
        <f>+EG279*EG301/1000</f>
        <v>185.01261218168048</v>
      </c>
      <c r="EH254" s="380">
        <f>+EH279*EH301/1000</f>
        <v>159.55487674548121</v>
      </c>
      <c r="EI254" s="380">
        <f>+EI279*EI301/1000</f>
        <v>169.2558132516065</v>
      </c>
      <c r="EJ254" s="380">
        <f>+EJ279*EJ301/1000</f>
        <v>183.05016203161247</v>
      </c>
      <c r="EK254" s="380">
        <f>+EK279*EK301/1000</f>
        <v>197.96875023718889</v>
      </c>
      <c r="EL254" s="380">
        <f>+EL279*EL301/1000</f>
        <v>165.50187519828989</v>
      </c>
      <c r="EM254" s="380">
        <f>+EM279*EM301/1000</f>
        <v>175.56438921034592</v>
      </c>
      <c r="EN254" s="380">
        <f>+EN279*EN301/1000</f>
        <v>189.87288693098915</v>
      </c>
      <c r="EO254" s="380">
        <f>+EO279*EO301/1000</f>
        <v>205.34752721586477</v>
      </c>
      <c r="EP254" s="380">
        <f>+EP279*EP301/1000</f>
        <v>171.67053275246295</v>
      </c>
      <c r="EQ254" s="380">
        <f>+EQ279*EQ301/1000</f>
        <v>182.10810114381272</v>
      </c>
      <c r="ER254" s="380">
        <f>+ER279*ER301/1000</f>
        <v>196.94991138703347</v>
      </c>
      <c r="ES254" s="380">
        <f>+ES279*ES301/1000</f>
        <v>213.00132916507673</v>
      </c>
      <c r="ET254" s="380">
        <f>+ET279*ET301/1000</f>
        <v>178.06911118200412</v>
      </c>
      <c r="EU254" s="380">
        <f>+EU279*EU301/1000</f>
        <v>188.89571314187</v>
      </c>
      <c r="EV254" s="380">
        <f>+EV279*EV301/1000</f>
        <v>204.29071376293246</v>
      </c>
      <c r="EW254" s="380">
        <f>+EW279*EW301/1000</f>
        <v>220.94040693461147</v>
      </c>
      <c r="EX254" s="379"/>
      <c r="EY254" s="379"/>
      <c r="EZ254" s="376"/>
      <c r="FA254" s="376"/>
      <c r="FB254" s="376"/>
      <c r="FC254" s="376"/>
      <c r="FD254" s="376"/>
      <c r="FE254" s="376"/>
      <c r="FF254" s="376"/>
      <c r="FG254" s="376"/>
      <c r="FH254" s="376"/>
      <c r="FI254" s="376"/>
      <c r="FJ254" s="376"/>
      <c r="FK254" s="376"/>
      <c r="FL254" s="376"/>
      <c r="FM254" s="376"/>
      <c r="FN254" s="376"/>
      <c r="FO254" s="376"/>
      <c r="FP254" s="376"/>
      <c r="FQ254" s="376"/>
      <c r="FR254" s="376"/>
      <c r="FS254" s="376"/>
      <c r="FT254" s="376"/>
      <c r="FU254" s="376">
        <f>CH254+CI254+CJ254+CK254</f>
        <v>599.67702299999996</v>
      </c>
      <c r="FV254" s="376">
        <f>CL254+CM254+CN254+CO254</f>
        <v>288.88288275000002</v>
      </c>
      <c r="FW254" s="376">
        <f>CP254+CQ254+CR254+CS254</f>
        <v>428.83199099185498</v>
      </c>
      <c r="FX254" s="376">
        <f>CT254+CU254+CV254+CW254</f>
        <v>691.56669151203664</v>
      </c>
      <c r="FY254" s="376">
        <f>CX254+CY254+CZ254+DA254</f>
        <v>1189.9519902037341</v>
      </c>
      <c r="FZ254" s="376">
        <f>DB254+DC254+DD254+DE254</f>
        <v>842.61329450483959</v>
      </c>
      <c r="GA254" s="376">
        <f>SUM(DF254:DI254)</f>
        <v>1016.969857488063</v>
      </c>
      <c r="GB254" s="376">
        <f>SUM(DJ254:DM254)</f>
        <v>1556.0938214892708</v>
      </c>
      <c r="GC254" s="376">
        <f>SUM(DN254:DQ254)</f>
        <v>986.88987176161561</v>
      </c>
      <c r="GD254" s="376">
        <f>SUM(DR254:DU254)</f>
        <v>954.97855229732829</v>
      </c>
      <c r="GE254" s="376">
        <f>SUM(DV254:DY254)</f>
        <v>584.97296108167131</v>
      </c>
      <c r="GF254" s="376">
        <f>SUM(DZ254:EC254)</f>
        <v>801.730411663636</v>
      </c>
      <c r="GG254" s="380">
        <f>SUM(ED254:EG254)</f>
        <v>843.86744423230016</v>
      </c>
      <c r="GH254" s="380">
        <f>SUM(EH254:EK254)</f>
        <v>709.82960226588898</v>
      </c>
      <c r="GI254" s="380">
        <f>SUM(EL254:EO254)</f>
        <v>736.28667855548974</v>
      </c>
      <c r="GJ254" s="380">
        <f>SUM(EP254:ES254)</f>
        <v>763.72987444838589</v>
      </c>
      <c r="GK254" s="380">
        <f>SUM(ET254:EW254)</f>
        <v>792.19594502141808</v>
      </c>
      <c r="GN254" s="70"/>
    </row>
    <row r="255" spans="1:196" s="382" customFormat="1">
      <c r="A255" s="396" t="s">
        <v>198</v>
      </c>
      <c r="CE255" s="382">
        <f t="shared" ref="CE255:EH255" si="478">CE254/CD254-1</f>
        <v>9.496676163343043E-4</v>
      </c>
      <c r="CF255" s="382">
        <f t="shared" si="478"/>
        <v>-0.13629032258064511</v>
      </c>
      <c r="CG255" s="382">
        <f t="shared" si="478"/>
        <v>2.9523809523809508E-2</v>
      </c>
      <c r="CH255" s="382">
        <f t="shared" si="478"/>
        <v>1.2488436632747568E-2</v>
      </c>
      <c r="CI255" s="382">
        <f t="shared" si="478"/>
        <v>-0.30452261306532658</v>
      </c>
      <c r="CJ255" s="382">
        <f t="shared" si="478"/>
        <v>-0.36</v>
      </c>
      <c r="CK255" s="382">
        <f t="shared" si="478"/>
        <v>-0.13005780346820806</v>
      </c>
      <c r="CL255" s="382">
        <f t="shared" si="478"/>
        <v>-0.19202657807308987</v>
      </c>
      <c r="CM255" s="382">
        <f t="shared" si="478"/>
        <v>-0.33203124999999989</v>
      </c>
      <c r="CN255" s="382">
        <f t="shared" si="478"/>
        <v>0.66666666666666652</v>
      </c>
      <c r="CO255" s="382">
        <f t="shared" si="478"/>
        <v>-2.0833333333333259E-3</v>
      </c>
      <c r="CP255" s="382">
        <f t="shared" si="478"/>
        <v>0.24008350730688943</v>
      </c>
      <c r="CQ255" s="382">
        <f t="shared" si="478"/>
        <v>-0.2138888888888888</v>
      </c>
      <c r="CR255" s="382">
        <f t="shared" si="478"/>
        <v>0.35618374558303878</v>
      </c>
      <c r="CS255" s="382">
        <f t="shared" si="478"/>
        <v>0.25842105263157866</v>
      </c>
      <c r="CT255" s="382">
        <f t="shared" si="478"/>
        <v>-0.28816394813885415</v>
      </c>
      <c r="CU255" s="382">
        <f t="shared" si="478"/>
        <v>0.39692567567567538</v>
      </c>
      <c r="CV255" s="382">
        <f t="shared" si="478"/>
        <v>0.46381411884205215</v>
      </c>
      <c r="CW255" s="382">
        <f t="shared" si="478"/>
        <v>0.29112412177985947</v>
      </c>
      <c r="CX255" s="382">
        <f t="shared" si="478"/>
        <v>0.81327906942501627</v>
      </c>
      <c r="CY255" s="382">
        <f t="shared" si="478"/>
        <v>-0.11402846194712257</v>
      </c>
      <c r="CZ255" s="382">
        <f t="shared" si="478"/>
        <v>-0.55142783978882504</v>
      </c>
      <c r="DA255" s="382">
        <f t="shared" si="478"/>
        <v>-0.34076999012833165</v>
      </c>
      <c r="DB255" s="382">
        <f t="shared" si="478"/>
        <v>-0.13710691823899379</v>
      </c>
      <c r="DC255" s="382">
        <f t="shared" si="478"/>
        <v>0.46471088435374153</v>
      </c>
      <c r="DD255" s="382">
        <f t="shared" si="478"/>
        <v>0.26868650217706835</v>
      </c>
      <c r="DE255" s="382">
        <f t="shared" si="478"/>
        <v>0.9640699523052465</v>
      </c>
      <c r="DF255" s="382">
        <f t="shared" si="478"/>
        <v>-0.23707786951594623</v>
      </c>
      <c r="DG255" s="382">
        <f t="shared" si="478"/>
        <v>-0.29108897157217939</v>
      </c>
      <c r="DH255" s="382">
        <f t="shared" si="478"/>
        <v>0.20635605830823955</v>
      </c>
      <c r="DI255" s="382">
        <f t="shared" si="478"/>
        <v>4.2616365330848227E-2</v>
      </c>
      <c r="DJ255" s="383">
        <f t="shared" si="478"/>
        <v>0.17148337181992224</v>
      </c>
      <c r="DK255" s="383">
        <f t="shared" si="478"/>
        <v>0.14654313971857125</v>
      </c>
      <c r="DL255" s="383">
        <f t="shared" si="478"/>
        <v>0.1697019302912488</v>
      </c>
      <c r="DM255" s="383">
        <f t="shared" si="478"/>
        <v>0.17408595253367531</v>
      </c>
      <c r="DN255" s="383">
        <f t="shared" si="478"/>
        <v>-5.2136363636363536E-2</v>
      </c>
      <c r="DO255" s="383">
        <f t="shared" si="478"/>
        <v>-0.43183534743202423</v>
      </c>
      <c r="DP255" s="383">
        <f t="shared" si="478"/>
        <v>-0.59443099273607736</v>
      </c>
      <c r="DQ255" s="383">
        <f t="shared" si="478"/>
        <v>0.5298507462686568</v>
      </c>
      <c r="DR255" s="383">
        <f t="shared" si="478"/>
        <v>0.2860365853658533</v>
      </c>
      <c r="DS255" s="383">
        <f t="shared" si="478"/>
        <v>7.5390766993820524E-2</v>
      </c>
      <c r="DT255" s="383">
        <f t="shared" si="478"/>
        <v>0.13168604651162785</v>
      </c>
      <c r="DU255" s="383">
        <f t="shared" si="478"/>
        <v>6.7401746724890632E-2</v>
      </c>
      <c r="DV255" s="382">
        <f t="shared" si="478"/>
        <v>-0.45519509229578858</v>
      </c>
      <c r="DW255" s="382">
        <f t="shared" si="478"/>
        <v>0.10045900345008052</v>
      </c>
      <c r="DX255" s="382">
        <f>DX254/DW254-1</f>
        <v>-0.37215355477812317</v>
      </c>
      <c r="DY255" s="382">
        <f t="shared" si="478"/>
        <v>0.71167667677919999</v>
      </c>
      <c r="DZ255" s="382">
        <f t="shared" si="478"/>
        <v>-0.44586555198245836</v>
      </c>
      <c r="EA255" s="382">
        <f t="shared" si="478"/>
        <v>0.38118488454955202</v>
      </c>
      <c r="EB255" s="382">
        <f t="shared" si="478"/>
        <v>1.3225281549287629</v>
      </c>
      <c r="EC255" s="382">
        <f t="shared" si="478"/>
        <v>-0.15143884980035405</v>
      </c>
      <c r="ED255" s="382">
        <f t="shared" si="478"/>
        <v>-0.11119999999999997</v>
      </c>
      <c r="EE255" s="384">
        <f t="shared" si="478"/>
        <v>-4.049999999999998E-2</v>
      </c>
      <c r="EF255" s="384">
        <f t="shared" si="478"/>
        <v>-0.10000000000000009</v>
      </c>
      <c r="EG255" s="384">
        <f t="shared" si="478"/>
        <v>-8.1999999999999851E-2</v>
      </c>
      <c r="EH255" s="384">
        <f t="shared" si="478"/>
        <v>-0.13760000000000017</v>
      </c>
      <c r="EI255" s="384">
        <f>EI254/EH254-1</f>
        <v>6.0800000000000187E-2</v>
      </c>
      <c r="EJ255" s="384">
        <f>EJ254/EI254-1</f>
        <v>8.150000000000035E-2</v>
      </c>
      <c r="EK255" s="384">
        <f>EK254/EJ254-1</f>
        <v>8.1499999999999906E-2</v>
      </c>
      <c r="EL255" s="384">
        <f t="shared" ref="EL255" si="479">EL254/EK254-1</f>
        <v>-0.16400000000000003</v>
      </c>
      <c r="EM255" s="384">
        <f>EM254/EL254-1</f>
        <v>6.0799999999999965E-2</v>
      </c>
      <c r="EN255" s="384">
        <f>EN254/EM254-1</f>
        <v>8.1500000000000128E-2</v>
      </c>
      <c r="EO255" s="384">
        <f>EO254/EN254-1</f>
        <v>8.1499999999999906E-2</v>
      </c>
      <c r="EP255" s="384">
        <f t="shared" ref="EP255" si="480">EP254/EO254-1</f>
        <v>-0.16400000000000003</v>
      </c>
      <c r="EQ255" s="384">
        <f>EQ254/EP254-1</f>
        <v>6.0800000000000187E-2</v>
      </c>
      <c r="ER255" s="384">
        <f>ER254/EQ254-1</f>
        <v>8.1500000000000128E-2</v>
      </c>
      <c r="ES255" s="384">
        <f>ES254/ER254-1</f>
        <v>8.1500000000000128E-2</v>
      </c>
      <c r="ET255" s="384">
        <f t="shared" ref="ET255" si="481">ET254/ES254-1</f>
        <v>-0.16400000000000015</v>
      </c>
      <c r="EU255" s="384">
        <f>EU254/ET254-1</f>
        <v>6.0800000000000187E-2</v>
      </c>
      <c r="EV255" s="384">
        <f>EV254/EU254-1</f>
        <v>8.150000000000035E-2</v>
      </c>
      <c r="EW255" s="384">
        <f>EW254/EV254-1</f>
        <v>8.1500000000000128E-2</v>
      </c>
      <c r="FZ255" s="386" t="s">
        <v>199</v>
      </c>
      <c r="GA255" s="386" t="s">
        <v>199</v>
      </c>
      <c r="GB255" s="386" t="s">
        <v>199</v>
      </c>
      <c r="GC255" s="386" t="s">
        <v>199</v>
      </c>
      <c r="GD255" s="386" t="s">
        <v>199</v>
      </c>
      <c r="GE255" s="386" t="s">
        <v>199</v>
      </c>
      <c r="GF255" s="386" t="s">
        <v>199</v>
      </c>
      <c r="GG255" s="386" t="s">
        <v>199</v>
      </c>
      <c r="GH255" s="386" t="s">
        <v>199</v>
      </c>
      <c r="GI255" s="386" t="s">
        <v>199</v>
      </c>
      <c r="GJ255" s="386" t="s">
        <v>199</v>
      </c>
      <c r="GK255" s="386" t="s">
        <v>199</v>
      </c>
      <c r="GN255" s="70"/>
    </row>
    <row r="256" spans="1:196" s="382" customFormat="1">
      <c r="A256" s="396" t="s">
        <v>200</v>
      </c>
      <c r="CH256" s="382">
        <f t="shared" ref="CH256:ES256" si="482">CH254/CD254-1</f>
        <v>-9.8830484330484358E-2</v>
      </c>
      <c r="CI256" s="382">
        <f t="shared" si="482"/>
        <v>-0.37385161290322577</v>
      </c>
      <c r="CJ256" s="382">
        <f t="shared" si="482"/>
        <v>-0.53603047619047617</v>
      </c>
      <c r="CK256" s="382">
        <f t="shared" si="482"/>
        <v>-0.60794819611470863</v>
      </c>
      <c r="CL256" s="382">
        <f t="shared" si="482"/>
        <v>-0.68713969849246226</v>
      </c>
      <c r="CM256" s="382">
        <f t="shared" si="482"/>
        <v>-0.69951445086705211</v>
      </c>
      <c r="CN256" s="382">
        <f t="shared" si="482"/>
        <v>-0.21748554913294804</v>
      </c>
      <c r="CO256" s="382">
        <f t="shared" si="482"/>
        <v>-0.10237230066445191</v>
      </c>
      <c r="CP256" s="382">
        <f t="shared" si="482"/>
        <v>0.37768554687500022</v>
      </c>
      <c r="CQ256" s="382">
        <f t="shared" si="482"/>
        <v>0.62135416666666687</v>
      </c>
      <c r="CR256" s="382">
        <f t="shared" si="482"/>
        <v>0.31931250000000011</v>
      </c>
      <c r="CS256" s="382">
        <f t="shared" si="482"/>
        <v>0.66371670146137762</v>
      </c>
      <c r="CT256" s="382">
        <f t="shared" si="482"/>
        <v>-4.4988888888889189E-2</v>
      </c>
      <c r="CU256" s="382">
        <f t="shared" si="482"/>
        <v>0.69706231448763156</v>
      </c>
      <c r="CV256" s="382">
        <f t="shared" si="482"/>
        <v>0.83174572368421007</v>
      </c>
      <c r="CW256" s="382">
        <f t="shared" si="482"/>
        <v>0.87934800031367621</v>
      </c>
      <c r="CX256" s="382">
        <f t="shared" si="482"/>
        <v>3.7873135734340213</v>
      </c>
      <c r="CY256" s="382">
        <f t="shared" si="482"/>
        <v>2.0362557175744036</v>
      </c>
      <c r="CZ256" s="382">
        <f t="shared" si="482"/>
        <v>-6.9567803278688611E-2</v>
      </c>
      <c r="DA256" s="382">
        <f t="shared" si="482"/>
        <v>-0.52493426783479347</v>
      </c>
      <c r="DB256" s="382">
        <f t="shared" si="482"/>
        <v>-0.77392838169302236</v>
      </c>
      <c r="DC256" s="382">
        <f t="shared" si="482"/>
        <v>-0.6262525986947316</v>
      </c>
      <c r="DD256" s="382">
        <f t="shared" si="482"/>
        <v>5.7061327739388101E-2</v>
      </c>
      <c r="DE256" s="382">
        <f t="shared" si="482"/>
        <v>2.1493444783573805</v>
      </c>
      <c r="DF256" s="382">
        <f t="shared" si="482"/>
        <v>1.7844754464285719</v>
      </c>
      <c r="DG256" s="382">
        <f t="shared" si="482"/>
        <v>0.34766893142235133</v>
      </c>
      <c r="DH256" s="382">
        <f t="shared" si="482"/>
        <v>0.28145808852330578</v>
      </c>
      <c r="DI256" s="382">
        <f t="shared" si="482"/>
        <v>-0.31974460837719698</v>
      </c>
      <c r="DJ256" s="383">
        <f t="shared" si="482"/>
        <v>4.454681288553819E-2</v>
      </c>
      <c r="DK256" s="383">
        <f t="shared" si="482"/>
        <v>0.68937699429618893</v>
      </c>
      <c r="DL256" s="383">
        <f t="shared" si="482"/>
        <v>0.63804667586206909</v>
      </c>
      <c r="DM256" s="383">
        <f t="shared" si="482"/>
        <v>0.84459754870033721</v>
      </c>
      <c r="DN256" s="383">
        <f t="shared" si="482"/>
        <v>0.49248976314733017</v>
      </c>
      <c r="DO256" s="383">
        <f t="shared" si="482"/>
        <v>-0.26040294659300189</v>
      </c>
      <c r="DP256" s="383">
        <f t="shared" si="482"/>
        <v>-0.74356061577934573</v>
      </c>
      <c r="DQ256" s="383">
        <f t="shared" si="482"/>
        <v>-0.66585582386363629</v>
      </c>
      <c r="DR256" s="383">
        <f t="shared" si="482"/>
        <v>-0.54664192314954696</v>
      </c>
      <c r="DS256" s="383">
        <f t="shared" si="482"/>
        <v>-0.14190879741727203</v>
      </c>
      <c r="DT256" s="383">
        <f t="shared" si="482"/>
        <v>1.3943886815920394</v>
      </c>
      <c r="DU256" s="383">
        <f t="shared" si="482"/>
        <v>0.67060392479674746</v>
      </c>
      <c r="DV256" s="382">
        <f t="shared" si="482"/>
        <v>-0.29228046276750064</v>
      </c>
      <c r="DW256" s="382">
        <f t="shared" si="482"/>
        <v>-0.27578294275098258</v>
      </c>
      <c r="DX256" s="382">
        <f t="shared" si="482"/>
        <v>-0.59821267889232377</v>
      </c>
      <c r="DY256" s="382">
        <f t="shared" si="482"/>
        <v>-0.3556971508845973</v>
      </c>
      <c r="DZ256" s="382">
        <f t="shared" si="482"/>
        <v>-0.34466375283731099</v>
      </c>
      <c r="EA256" s="382">
        <f t="shared" si="482"/>
        <v>-0.17748819716063635</v>
      </c>
      <c r="EB256" s="382">
        <f t="shared" si="482"/>
        <v>2.0426338070299144</v>
      </c>
      <c r="EC256" s="382">
        <f t="shared" si="482"/>
        <v>0.50838115513019999</v>
      </c>
      <c r="ED256" s="382">
        <f t="shared" si="482"/>
        <v>1.4193572073997505</v>
      </c>
      <c r="EE256" s="384">
        <f t="shared" si="482"/>
        <v>0.68071144310063447</v>
      </c>
      <c r="EF256" s="384">
        <f t="shared" si="482"/>
        <v>-0.34870959666064116</v>
      </c>
      <c r="EG256" s="384">
        <f t="shared" si="482"/>
        <v>-0.29541366567999994</v>
      </c>
      <c r="EH256" s="384">
        <f t="shared" si="482"/>
        <v>-0.31634197264000008</v>
      </c>
      <c r="EI256" s="384">
        <f t="shared" si="482"/>
        <v>-0.24416421529599996</v>
      </c>
      <c r="EJ256" s="384">
        <f t="shared" si="482"/>
        <v>-9.1737332047359677E-2</v>
      </c>
      <c r="EK256" s="384">
        <f t="shared" si="482"/>
        <v>7.0028404565120272E-2</v>
      </c>
      <c r="EL256" s="384">
        <f t="shared" si="482"/>
        <v>3.7272432996800386E-2</v>
      </c>
      <c r="EM256" s="384">
        <f t="shared" si="482"/>
        <v>3.7272432996800164E-2</v>
      </c>
      <c r="EN256" s="384">
        <f t="shared" si="482"/>
        <v>3.7272432996800164E-2</v>
      </c>
      <c r="EO256" s="384">
        <f t="shared" si="482"/>
        <v>3.7272432996800164E-2</v>
      </c>
      <c r="EP256" s="384">
        <f t="shared" si="482"/>
        <v>3.7272432996800164E-2</v>
      </c>
      <c r="EQ256" s="384">
        <f t="shared" si="482"/>
        <v>3.7272432996800386E-2</v>
      </c>
      <c r="ER256" s="384">
        <f t="shared" si="482"/>
        <v>3.7272432996800164E-2</v>
      </c>
      <c r="ES256" s="384">
        <f t="shared" si="482"/>
        <v>3.7272432996800386E-2</v>
      </c>
      <c r="ET256" s="384">
        <f t="shared" ref="ET256:EW256" si="483">ET254/EP254-1</f>
        <v>3.7272432996800164E-2</v>
      </c>
      <c r="EU256" s="384">
        <f t="shared" si="483"/>
        <v>3.7272432996800164E-2</v>
      </c>
      <c r="EV256" s="384">
        <f t="shared" si="483"/>
        <v>3.7272432996800386E-2</v>
      </c>
      <c r="EW256" s="384">
        <f t="shared" si="483"/>
        <v>3.7272432996800386E-2</v>
      </c>
      <c r="FV256" s="382">
        <f t="shared" ref="FV256:GK256" si="484">FV254/FU254-1</f>
        <v>-0.51826921547734539</v>
      </c>
      <c r="FW256" s="382">
        <f t="shared" si="484"/>
        <v>0.48444929277089521</v>
      </c>
      <c r="FX256" s="382">
        <f t="shared" si="484"/>
        <v>0.61267514093922149</v>
      </c>
      <c r="FY256" s="382">
        <f t="shared" si="484"/>
        <v>0.72066122444681557</v>
      </c>
      <c r="FZ256" s="382">
        <f t="shared" si="484"/>
        <v>-0.29189303312936676</v>
      </c>
      <c r="GA256" s="382">
        <f t="shared" si="484"/>
        <v>0.20692358418779011</v>
      </c>
      <c r="GB256" s="382">
        <f t="shared" si="484"/>
        <v>0.53012777127225319</v>
      </c>
      <c r="GC256" s="382">
        <f t="shared" si="484"/>
        <v>-0.36579025111923802</v>
      </c>
      <c r="GD256" s="382">
        <f t="shared" si="484"/>
        <v>-3.2335238588805271E-2</v>
      </c>
      <c r="GE256" s="382">
        <f t="shared" si="484"/>
        <v>-0.38744911110889257</v>
      </c>
      <c r="GF256" s="382">
        <f t="shared" si="484"/>
        <v>0.37054268317147399</v>
      </c>
      <c r="GG256" s="387">
        <f t="shared" si="484"/>
        <v>5.2557607838808806E-2</v>
      </c>
      <c r="GH256" s="387">
        <f t="shared" si="484"/>
        <v>-0.15883755545084544</v>
      </c>
      <c r="GI256" s="387">
        <f t="shared" si="484"/>
        <v>3.7272432996800386E-2</v>
      </c>
      <c r="GJ256" s="387">
        <f t="shared" si="484"/>
        <v>3.7272432996800386E-2</v>
      </c>
      <c r="GK256" s="387">
        <f t="shared" si="484"/>
        <v>3.7272432996800386E-2</v>
      </c>
      <c r="GN256" s="70"/>
    </row>
    <row r="257" spans="1:217" s="382" customFormat="1">
      <c r="A257" s="396" t="s">
        <v>261</v>
      </c>
      <c r="CD257" s="382">
        <f t="shared" ref="CD257:EO257" si="485">CD254/CD$4</f>
        <v>0.24195772058823528</v>
      </c>
      <c r="CE257" s="382">
        <f t="shared" si="485"/>
        <v>0.22695951765719208</v>
      </c>
      <c r="CF257" s="382">
        <f t="shared" si="485"/>
        <v>0.15577515400410677</v>
      </c>
      <c r="CG257" s="382">
        <f t="shared" si="485"/>
        <v>0.14745547514159849</v>
      </c>
      <c r="CH257" s="382">
        <f t="shared" si="485"/>
        <v>0.16981594488188978</v>
      </c>
      <c r="CI257" s="382">
        <f t="shared" si="485"/>
        <v>0.1144969465648855</v>
      </c>
      <c r="CJ257" s="382">
        <f t="shared" si="485"/>
        <v>7.3893396780965709E-2</v>
      </c>
      <c r="CK257" s="382">
        <f t="shared" si="485"/>
        <v>7.4140745762711874E-2</v>
      </c>
      <c r="CL257" s="382">
        <f t="shared" si="485"/>
        <v>7.205897941747573E-2</v>
      </c>
      <c r="CM257" s="382">
        <f t="shared" si="485"/>
        <v>5.2629661146496816E-2</v>
      </c>
      <c r="CN257" s="382">
        <f t="shared" si="485"/>
        <v>7.7878009425070685E-2</v>
      </c>
      <c r="CO257" s="382">
        <f t="shared" si="485"/>
        <v>8.6071425000000007E-2</v>
      </c>
      <c r="CP257" s="382">
        <f t="shared" si="485"/>
        <v>0.12290006358173078</v>
      </c>
      <c r="CQ257" s="382">
        <f t="shared" si="485"/>
        <v>7.8268844992697192E-2</v>
      </c>
      <c r="CR257" s="382">
        <f t="shared" si="485"/>
        <v>8.3406964513772011E-2</v>
      </c>
      <c r="CS257" s="382">
        <f t="shared" si="485"/>
        <v>0.12403628541126129</v>
      </c>
      <c r="CT257" s="382">
        <f t="shared" si="485"/>
        <v>9.9240457990152423E-2</v>
      </c>
      <c r="CU257" s="382">
        <f t="shared" si="485"/>
        <v>0.11163129225117925</v>
      </c>
      <c r="CV257" s="382">
        <f t="shared" si="485"/>
        <v>0.12153616445506535</v>
      </c>
      <c r="CW257" s="382">
        <f t="shared" si="485"/>
        <v>0.17420048886426573</v>
      </c>
      <c r="CX257" s="382">
        <f t="shared" si="485"/>
        <v>0.2838455789343925</v>
      </c>
      <c r="CY257" s="382">
        <f t="shared" si="485"/>
        <v>0.23586906863058521</v>
      </c>
      <c r="CZ257" s="382">
        <f t="shared" si="485"/>
        <v>0.11239706392041127</v>
      </c>
      <c r="DA257" s="382">
        <f t="shared" si="485"/>
        <v>8.6314228698408865E-2</v>
      </c>
      <c r="DB257" s="382">
        <f t="shared" si="485"/>
        <v>8.3087303606272422E-2</v>
      </c>
      <c r="DC257" s="382">
        <f t="shared" si="485"/>
        <v>0.10111102073442227</v>
      </c>
      <c r="DD257" s="382">
        <f t="shared" si="485"/>
        <v>0.10904714305646927</v>
      </c>
      <c r="DE257" s="382">
        <f t="shared" si="485"/>
        <v>0.18134996094431563</v>
      </c>
      <c r="DF257" s="382">
        <f t="shared" si="485"/>
        <v>0.16477211436263314</v>
      </c>
      <c r="DG257" s="382">
        <f t="shared" si="485"/>
        <v>0.1079816053424362</v>
      </c>
      <c r="DH257" s="382">
        <f t="shared" si="485"/>
        <v>8.9850252639638403E-2</v>
      </c>
      <c r="DI257" s="382">
        <f t="shared" si="485"/>
        <v>8.088651111935459E-2</v>
      </c>
      <c r="DJ257" s="383">
        <f t="shared" si="485"/>
        <v>8.9228553213666503E-2</v>
      </c>
      <c r="DK257" s="383">
        <f t="shared" si="485"/>
        <v>9.1542495645200506E-2</v>
      </c>
      <c r="DL257" s="383">
        <f t="shared" si="485"/>
        <v>9.5582684989681588E-2</v>
      </c>
      <c r="DM257" s="383">
        <f t="shared" si="485"/>
        <v>0.10029314692782242</v>
      </c>
      <c r="DN257" s="383">
        <f t="shared" si="485"/>
        <v>7.7931027562018487E-2</v>
      </c>
      <c r="DO257" s="383">
        <f t="shared" si="485"/>
        <v>3.9795810100266567E-2</v>
      </c>
      <c r="DP257" s="383">
        <f t="shared" si="485"/>
        <v>1.8996703347954707E-2</v>
      </c>
      <c r="DQ257" s="383">
        <f>DQ254/DQ$4</f>
        <v>2.8885640688676321E-2</v>
      </c>
      <c r="DR257" s="383">
        <f>DR254/DR$4</f>
        <v>3.885514665170111E-2</v>
      </c>
      <c r="DS257" s="383">
        <f t="shared" si="485"/>
        <v>4.173768357544879E-2</v>
      </c>
      <c r="DT257" s="383">
        <f t="shared" si="485"/>
        <v>4.3642544846194439E-2</v>
      </c>
      <c r="DU257" s="383">
        <f t="shared" si="485"/>
        <v>4.380479018839404E-2</v>
      </c>
      <c r="DV257" s="382">
        <f t="shared" si="485"/>
        <v>2.6895618293265366E-2</v>
      </c>
      <c r="DW257" s="382">
        <f t="shared" si="485"/>
        <v>2.7761312080510747E-2</v>
      </c>
      <c r="DX257" s="382">
        <f t="shared" si="485"/>
        <v>1.4914668256992182E-2</v>
      </c>
      <c r="DY257" s="382">
        <f t="shared" si="485"/>
        <v>2.2732157655839663E-2</v>
      </c>
      <c r="DZ257" s="382">
        <f t="shared" si="485"/>
        <v>1.296925401718301E-2</v>
      </c>
      <c r="EA257" s="382">
        <f t="shared" si="485"/>
        <v>1.7337206240879068E-2</v>
      </c>
      <c r="EB257" s="382">
        <f t="shared" si="485"/>
        <v>3.3468025075381588E-2</v>
      </c>
      <c r="EC257" s="382">
        <f t="shared" si="485"/>
        <v>2.5567995177769729E-2</v>
      </c>
      <c r="ED257" s="382">
        <f t="shared" si="485"/>
        <v>2.2762513054793505E-2</v>
      </c>
      <c r="EE257" s="384">
        <f t="shared" si="485"/>
        <v>1.9953816613687607E-2</v>
      </c>
      <c r="EF257" s="384">
        <f t="shared" si="485"/>
        <v>1.680383342600798E-2</v>
      </c>
      <c r="EG257" s="384">
        <f t="shared" si="485"/>
        <v>1.1426473625533532E-2</v>
      </c>
      <c r="EH257" s="384">
        <f t="shared" si="485"/>
        <v>9.1514990133546477E-3</v>
      </c>
      <c r="EI257" s="384">
        <f t="shared" si="485"/>
        <v>8.8101211275799021E-3</v>
      </c>
      <c r="EJ257" s="384">
        <f t="shared" si="485"/>
        <v>8.2694054049405052E-3</v>
      </c>
      <c r="EK257" s="384">
        <f t="shared" si="485"/>
        <v>8.0742576748948081E-3</v>
      </c>
      <c r="EL257" s="384">
        <f t="shared" si="485"/>
        <v>6.9127705272871371E-3</v>
      </c>
      <c r="EM257" s="384">
        <f t="shared" si="485"/>
        <v>7.0132934395578279E-3</v>
      </c>
      <c r="EN257" s="384">
        <f t="shared" si="485"/>
        <v>7.0658449851861991E-3</v>
      </c>
      <c r="EO257" s="384">
        <f t="shared" si="485"/>
        <v>7.1420047203650909E-3</v>
      </c>
      <c r="EP257" s="384">
        <f t="shared" ref="EP257:EW257" si="486">EP254/EP$4</f>
        <v>6.0926707827804027E-3</v>
      </c>
      <c r="EQ257" s="384">
        <f t="shared" si="486"/>
        <v>6.1987323890165145E-3</v>
      </c>
      <c r="ER257" s="384">
        <f t="shared" si="486"/>
        <v>6.2097715038106835E-3</v>
      </c>
      <c r="ES257" s="384">
        <f t="shared" si="486"/>
        <v>6.4323207750868767E-3</v>
      </c>
      <c r="ET257" s="384">
        <f t="shared" si="486"/>
        <v>5.6149129501894138E-3</v>
      </c>
      <c r="EU257" s="384">
        <f t="shared" si="486"/>
        <v>5.7145988874899292E-3</v>
      </c>
      <c r="EV257" s="384">
        <f t="shared" si="486"/>
        <v>5.6245027328113012E-3</v>
      </c>
      <c r="EW257" s="384">
        <f t="shared" si="486"/>
        <v>5.8146483544562677E-3</v>
      </c>
      <c r="FU257" s="382">
        <f t="shared" ref="FU257:GD257" si="487">FU254/FU$4</f>
        <v>0.10891337141300399</v>
      </c>
      <c r="FV257" s="382">
        <f t="shared" si="487"/>
        <v>7.2383583750939617E-2</v>
      </c>
      <c r="FW257" s="382">
        <f t="shared" si="487"/>
        <v>0.10038202036326194</v>
      </c>
      <c r="FX257" s="382">
        <f t="shared" si="487"/>
        <v>0.12977419619291361</v>
      </c>
      <c r="FY257" s="382">
        <f t="shared" si="487"/>
        <v>0.18377636914343384</v>
      </c>
      <c r="FZ257" s="382">
        <f t="shared" si="487"/>
        <v>0.12518396887607183</v>
      </c>
      <c r="GA257" s="382">
        <f t="shared" si="487"/>
        <v>0.1041657131504725</v>
      </c>
      <c r="GB257" s="382">
        <f t="shared" si="487"/>
        <v>9.4687466319171881E-2</v>
      </c>
      <c r="GC257" s="382">
        <f t="shared" si="487"/>
        <v>4.1815595600254885E-2</v>
      </c>
      <c r="GD257" s="382">
        <f t="shared" si="487"/>
        <v>4.2106638108347812E-2</v>
      </c>
      <c r="GE257" s="382">
        <f>GE254/GE$4</f>
        <v>2.2686560445284908E-2</v>
      </c>
      <c r="GF257" s="382">
        <f>GF254/GF$4</f>
        <v>2.3145310536205894E-2</v>
      </c>
      <c r="GG257" s="384">
        <f>GG254/GG$4</f>
        <v>1.6992657661440029E-2</v>
      </c>
      <c r="GH257" s="384">
        <f>GH254/GH$4</f>
        <v>8.5212928167127736E-3</v>
      </c>
      <c r="GI257" s="384">
        <f t="shared" ref="GI257:GK257" si="488">GI254/GI$4</f>
        <v>7.0391658105727435E-3</v>
      </c>
      <c r="GJ257" s="384">
        <f t="shared" si="488"/>
        <v>6.2403776617139814E-3</v>
      </c>
      <c r="GK257" s="384">
        <f t="shared" si="488"/>
        <v>5.6956738501916428E-3</v>
      </c>
      <c r="GN257" s="70"/>
    </row>
    <row r="258" spans="1:217" s="379" customFormat="1">
      <c r="A258" s="395" t="s">
        <v>290</v>
      </c>
      <c r="B258" s="376"/>
      <c r="C258" s="376"/>
      <c r="D258" s="376"/>
      <c r="E258" s="376"/>
      <c r="F258" s="376"/>
      <c r="G258" s="376"/>
      <c r="H258" s="376"/>
      <c r="I258" s="376"/>
      <c r="J258" s="376"/>
      <c r="K258" s="376"/>
      <c r="L258" s="376"/>
      <c r="M258" s="376"/>
      <c r="N258" s="376"/>
      <c r="O258" s="376"/>
      <c r="P258" s="376"/>
      <c r="Q258" s="376"/>
      <c r="R258" s="376"/>
      <c r="S258" s="376"/>
      <c r="T258" s="376"/>
      <c r="U258" s="376"/>
      <c r="V258" s="376"/>
      <c r="W258" s="376"/>
      <c r="X258" s="376"/>
      <c r="Y258" s="376"/>
      <c r="Z258" s="376"/>
      <c r="AA258" s="376"/>
      <c r="AB258" s="376"/>
      <c r="AC258" s="376"/>
      <c r="AD258" s="376"/>
      <c r="AE258" s="376"/>
      <c r="AF258" s="376"/>
      <c r="AG258" s="376"/>
      <c r="AH258" s="376"/>
      <c r="AI258" s="376"/>
      <c r="AJ258" s="376"/>
      <c r="AK258" s="376"/>
      <c r="AL258" s="376"/>
      <c r="AM258" s="376"/>
      <c r="AN258" s="376"/>
      <c r="AO258" s="376"/>
      <c r="AP258" s="376"/>
      <c r="AQ258" s="376"/>
      <c r="AR258" s="376"/>
      <c r="AS258" s="376"/>
      <c r="AT258" s="376"/>
      <c r="AU258" s="376"/>
      <c r="AV258" s="376"/>
      <c r="AW258" s="376"/>
      <c r="AX258" s="376"/>
      <c r="AY258" s="376"/>
      <c r="AZ258" s="376"/>
      <c r="BA258" s="376"/>
      <c r="BB258" s="376"/>
      <c r="BC258" s="376"/>
      <c r="BD258" s="376"/>
      <c r="BE258" s="376"/>
      <c r="BF258" s="376"/>
      <c r="BG258" s="376"/>
      <c r="BH258" s="376"/>
      <c r="BI258" s="376"/>
      <c r="BJ258" s="376"/>
      <c r="BK258" s="376"/>
      <c r="BL258" s="376"/>
      <c r="BM258" s="376"/>
      <c r="BN258" s="376"/>
      <c r="BO258" s="376"/>
      <c r="BP258" s="376"/>
      <c r="BQ258" s="376"/>
      <c r="BR258" s="376"/>
      <c r="BS258" s="376"/>
      <c r="BT258" s="376"/>
      <c r="BU258" s="376"/>
      <c r="BV258" s="376"/>
      <c r="BW258" s="376"/>
      <c r="BX258" s="376"/>
      <c r="BY258" s="376"/>
      <c r="BZ258" s="376"/>
      <c r="CA258" s="376"/>
      <c r="CB258" s="376"/>
      <c r="CC258" s="376"/>
      <c r="CD258" s="376"/>
      <c r="CE258" s="376"/>
      <c r="CF258" s="376"/>
      <c r="CG258" s="376"/>
      <c r="CH258" s="376"/>
      <c r="CI258" s="376"/>
      <c r="CJ258" s="376"/>
      <c r="CK258" s="376"/>
      <c r="CL258" s="376"/>
      <c r="CM258" s="376"/>
      <c r="CN258" s="376"/>
      <c r="CO258" s="376"/>
      <c r="CP258" s="376"/>
      <c r="CQ258" s="376"/>
      <c r="CR258" s="376"/>
      <c r="CS258" s="376"/>
      <c r="CT258" s="376">
        <v>20</v>
      </c>
      <c r="CU258" s="376">
        <v>50</v>
      </c>
      <c r="CV258" s="376">
        <v>100</v>
      </c>
      <c r="CW258" s="376">
        <v>150</v>
      </c>
      <c r="CX258" s="376">
        <f>CX261*CX4</f>
        <v>98.82</v>
      </c>
      <c r="CY258" s="376">
        <f>CY282*CY304/1000</f>
        <v>93.878999999999991</v>
      </c>
      <c r="CZ258" s="376">
        <f>CZ282*CZ304/1000</f>
        <v>0</v>
      </c>
      <c r="DA258" s="376">
        <f>DA282*DA304/1000</f>
        <v>0</v>
      </c>
      <c r="DB258" s="376">
        <f>DB282*DB304/1000</f>
        <v>0</v>
      </c>
      <c r="DC258" s="376">
        <f>DC282*DC304/1000</f>
        <v>0</v>
      </c>
      <c r="DD258" s="376">
        <f>DD282*DD304/1000</f>
        <v>0</v>
      </c>
      <c r="DE258" s="376">
        <f>DE282*DE304/1000</f>
        <v>0</v>
      </c>
      <c r="DF258" s="376">
        <f>DF282*DF304/1000</f>
        <v>0</v>
      </c>
      <c r="DG258" s="376">
        <f>DG282*DG304/1000</f>
        <v>0</v>
      </c>
      <c r="DH258" s="376">
        <f>DH282*DH304/1000</f>
        <v>0</v>
      </c>
      <c r="DI258" s="376">
        <f>DI282*DI304/1000</f>
        <v>0</v>
      </c>
      <c r="DJ258" s="397">
        <f>DJ282*DJ304/1000</f>
        <v>0</v>
      </c>
      <c r="DK258" s="397">
        <f>DK282*DK304/1000</f>
        <v>0</v>
      </c>
      <c r="DL258" s="397">
        <f>DL282*DL304/1000</f>
        <v>0</v>
      </c>
      <c r="DM258" s="397">
        <f>DM282*DM304/1000</f>
        <v>0</v>
      </c>
      <c r="DN258" s="397">
        <f>DN282*DN304/1000</f>
        <v>0</v>
      </c>
      <c r="DO258" s="397">
        <f>DO282*DO304/1000</f>
        <v>0</v>
      </c>
      <c r="DP258" s="397">
        <f>DP282*DP304/1000</f>
        <v>0</v>
      </c>
      <c r="DQ258" s="397">
        <f>DQ282*DQ304/1000</f>
        <v>0</v>
      </c>
      <c r="DR258" s="397">
        <f>DR282*DR304/1000</f>
        <v>0</v>
      </c>
      <c r="DS258" s="397">
        <f>DS282*DS304/1000</f>
        <v>0</v>
      </c>
      <c r="DT258" s="397">
        <f>DT282*DT304/1000</f>
        <v>0</v>
      </c>
      <c r="DU258" s="397">
        <f>DU282*DU304/1000</f>
        <v>0</v>
      </c>
      <c r="DV258" s="376">
        <f>DV282*DV304/1000</f>
        <v>0</v>
      </c>
      <c r="DW258" s="376">
        <f>DW282*DW304/1000</f>
        <v>0</v>
      </c>
      <c r="DX258" s="376">
        <f>DX282*DX304/1000</f>
        <v>0</v>
      </c>
      <c r="DY258" s="376">
        <f>DY282*DY304/1000</f>
        <v>0</v>
      </c>
      <c r="DZ258" s="376">
        <f>DZ282*DZ304/1000</f>
        <v>0</v>
      </c>
      <c r="EA258" s="376">
        <f>EA282*EA304/1000</f>
        <v>0</v>
      </c>
      <c r="EB258" s="376">
        <f>EB282*EB304/1000</f>
        <v>0</v>
      </c>
      <c r="EC258" s="376">
        <f>EC282*EC304/1000</f>
        <v>0</v>
      </c>
      <c r="ED258" s="376">
        <f>ED282*ED304/1000</f>
        <v>0</v>
      </c>
      <c r="EE258" s="380">
        <f>EE282*EE304/1000</f>
        <v>0</v>
      </c>
      <c r="EF258" s="380">
        <f>EF282*EF304/1000</f>
        <v>0</v>
      </c>
      <c r="EG258" s="380">
        <f>EG282*EG304/1000</f>
        <v>0</v>
      </c>
      <c r="EH258" s="380">
        <f>EH282*EH304/1000</f>
        <v>0</v>
      </c>
      <c r="EI258" s="380">
        <f>EI282*EI304/1000</f>
        <v>0</v>
      </c>
      <c r="EJ258" s="380">
        <f>EJ282*EJ304/1000</f>
        <v>0</v>
      </c>
      <c r="EK258" s="380">
        <f>EK282*EK304/1000</f>
        <v>0</v>
      </c>
      <c r="EL258" s="380">
        <f>EL282*EL304/1000</f>
        <v>0</v>
      </c>
      <c r="EM258" s="380">
        <f>EM282*EM304/1000</f>
        <v>0</v>
      </c>
      <c r="EN258" s="380">
        <f>EN282*EN304/1000</f>
        <v>0</v>
      </c>
      <c r="EO258" s="380">
        <f>EO282*EO304/1000</f>
        <v>0</v>
      </c>
      <c r="EP258" s="380">
        <f>EP282*EP304/1000</f>
        <v>0</v>
      </c>
      <c r="EQ258" s="380">
        <f>EQ282*EQ304/1000</f>
        <v>0</v>
      </c>
      <c r="ER258" s="380">
        <f>ER282*ER304/1000</f>
        <v>0</v>
      </c>
      <c r="ES258" s="380">
        <f>ES282*ES304/1000</f>
        <v>0</v>
      </c>
      <c r="ET258" s="380">
        <f>ET282*ET304/1000</f>
        <v>0</v>
      </c>
      <c r="EU258" s="380">
        <f>EU282*EU304/1000</f>
        <v>0</v>
      </c>
      <c r="EV258" s="380">
        <f>EV282*EV304/1000</f>
        <v>0</v>
      </c>
      <c r="EW258" s="380">
        <f>EW282*EW304/1000</f>
        <v>0</v>
      </c>
      <c r="EZ258" s="376"/>
      <c r="FA258" s="376"/>
      <c r="FB258" s="376"/>
      <c r="FC258" s="376"/>
      <c r="FD258" s="376"/>
      <c r="FE258" s="376"/>
      <c r="FF258" s="376"/>
      <c r="FG258" s="376"/>
      <c r="FH258" s="376"/>
      <c r="FI258" s="376"/>
      <c r="FJ258" s="376"/>
      <c r="FK258" s="376"/>
      <c r="FL258" s="376"/>
      <c r="FM258" s="376"/>
      <c r="FN258" s="376"/>
      <c r="FO258" s="376"/>
      <c r="FP258" s="376"/>
      <c r="FQ258" s="376"/>
      <c r="FR258" s="376"/>
      <c r="FS258" s="376"/>
      <c r="FT258" s="376"/>
      <c r="FU258" s="376"/>
      <c r="FV258" s="376"/>
      <c r="FW258" s="376"/>
      <c r="FX258" s="376">
        <f>CT258+CU258+CV258+CW258</f>
        <v>320</v>
      </c>
      <c r="FY258" s="376">
        <f>CX258+CY258+CZ258+DA258</f>
        <v>192.69899999999998</v>
      </c>
      <c r="FZ258" s="376">
        <f>DB258+DC258+DD258+DE258</f>
        <v>0</v>
      </c>
      <c r="GA258" s="376">
        <f>SUM(DF258:DI258)</f>
        <v>0</v>
      </c>
      <c r="GB258" s="376">
        <f>SUM(DG258:DJ258)</f>
        <v>0</v>
      </c>
      <c r="GC258" s="376">
        <f>SUM(DH258:DQ258)</f>
        <v>0</v>
      </c>
      <c r="GD258" s="376">
        <f>SUM(DR258:DU258)</f>
        <v>0</v>
      </c>
      <c r="GE258" s="376">
        <f>SUM(DV258:DY258)</f>
        <v>0</v>
      </c>
      <c r="GF258" s="376">
        <f>SUM(DZ258:EC258)</f>
        <v>0</v>
      </c>
      <c r="GG258" s="380">
        <f>SUM(EA258:ED258)</f>
        <v>0</v>
      </c>
      <c r="GH258" s="380">
        <f>SUM(EH258:EK258)</f>
        <v>0</v>
      </c>
      <c r="GI258" s="380">
        <f>SUM(EL258:EO258)</f>
        <v>0</v>
      </c>
      <c r="GJ258" s="380">
        <f>SUM(EP258:ES258)</f>
        <v>0</v>
      </c>
      <c r="GK258" s="380">
        <f>SUM(ET258:EW258)</f>
        <v>0</v>
      </c>
      <c r="GN258" s="70"/>
    </row>
    <row r="259" spans="1:217" s="382" customFormat="1">
      <c r="A259" s="396" t="s">
        <v>198</v>
      </c>
      <c r="CU259" s="382">
        <f t="shared" ref="CU259:CZ259" si="489">CU258/CT258-1</f>
        <v>1.5</v>
      </c>
      <c r="CV259" s="382">
        <f t="shared" si="489"/>
        <v>1</v>
      </c>
      <c r="CW259" s="382">
        <f t="shared" si="489"/>
        <v>0.5</v>
      </c>
      <c r="CX259" s="382">
        <f t="shared" si="489"/>
        <v>-0.34120000000000006</v>
      </c>
      <c r="CY259" s="382">
        <f t="shared" si="489"/>
        <v>-5.0000000000000044E-2</v>
      </c>
      <c r="CZ259" s="382">
        <f t="shared" si="489"/>
        <v>-1</v>
      </c>
      <c r="DA259" s="386" t="s">
        <v>199</v>
      </c>
      <c r="DB259" s="386" t="s">
        <v>199</v>
      </c>
      <c r="DC259" s="386" t="s">
        <v>199</v>
      </c>
      <c r="DD259" s="386" t="s">
        <v>199</v>
      </c>
      <c r="DE259" s="386" t="s">
        <v>199</v>
      </c>
      <c r="DF259" s="386" t="s">
        <v>199</v>
      </c>
      <c r="DG259" s="386" t="s">
        <v>199</v>
      </c>
      <c r="DH259" s="386" t="s">
        <v>199</v>
      </c>
      <c r="DI259" s="386" t="s">
        <v>199</v>
      </c>
      <c r="DJ259" s="386" t="s">
        <v>199</v>
      </c>
      <c r="DK259" s="386" t="s">
        <v>199</v>
      </c>
      <c r="DL259" s="386" t="s">
        <v>199</v>
      </c>
      <c r="DM259" s="386" t="s">
        <v>199</v>
      </c>
      <c r="DN259" s="386" t="s">
        <v>199</v>
      </c>
      <c r="DO259" s="386" t="s">
        <v>199</v>
      </c>
      <c r="DP259" s="386" t="s">
        <v>199</v>
      </c>
      <c r="DQ259" s="386" t="s">
        <v>199</v>
      </c>
      <c r="DR259" s="386" t="s">
        <v>199</v>
      </c>
      <c r="DS259" s="386" t="s">
        <v>199</v>
      </c>
      <c r="DT259" s="386" t="s">
        <v>199</v>
      </c>
      <c r="DU259" s="386" t="s">
        <v>199</v>
      </c>
      <c r="DV259" s="386" t="s">
        <v>199</v>
      </c>
      <c r="DW259" s="386" t="s">
        <v>199</v>
      </c>
      <c r="DX259" s="386" t="s">
        <v>199</v>
      </c>
      <c r="DY259" s="386" t="s">
        <v>199</v>
      </c>
      <c r="DZ259" s="386" t="s">
        <v>199</v>
      </c>
      <c r="EA259" s="386" t="s">
        <v>199</v>
      </c>
      <c r="EB259" s="386" t="s">
        <v>199</v>
      </c>
      <c r="EC259" s="386" t="s">
        <v>199</v>
      </c>
      <c r="ED259" s="386" t="s">
        <v>199</v>
      </c>
      <c r="EE259" s="467" t="s">
        <v>199</v>
      </c>
      <c r="EF259" s="467" t="s">
        <v>199</v>
      </c>
      <c r="EG259" s="467" t="s">
        <v>199</v>
      </c>
      <c r="EH259" s="467" t="s">
        <v>199</v>
      </c>
      <c r="EI259" s="467" t="s">
        <v>199</v>
      </c>
      <c r="EJ259" s="467" t="s">
        <v>199</v>
      </c>
      <c r="EK259" s="467" t="s">
        <v>199</v>
      </c>
      <c r="EL259" s="467" t="s">
        <v>199</v>
      </c>
      <c r="EM259" s="467" t="s">
        <v>199</v>
      </c>
      <c r="EN259" s="467" t="s">
        <v>199</v>
      </c>
      <c r="EO259" s="467" t="s">
        <v>199</v>
      </c>
      <c r="EP259" s="467" t="s">
        <v>199</v>
      </c>
      <c r="EQ259" s="467" t="s">
        <v>199</v>
      </c>
      <c r="ER259" s="467" t="s">
        <v>199</v>
      </c>
      <c r="ES259" s="467" t="s">
        <v>199</v>
      </c>
      <c r="ET259" s="467" t="s">
        <v>199</v>
      </c>
      <c r="EU259" s="467" t="s">
        <v>199</v>
      </c>
      <c r="EV259" s="467" t="s">
        <v>199</v>
      </c>
      <c r="EW259" s="467" t="s">
        <v>199</v>
      </c>
      <c r="FZ259" s="386" t="s">
        <v>199</v>
      </c>
      <c r="GA259" s="386" t="s">
        <v>199</v>
      </c>
      <c r="GB259" s="386" t="s">
        <v>199</v>
      </c>
      <c r="GC259" s="386" t="s">
        <v>199</v>
      </c>
      <c r="GD259" s="386" t="s">
        <v>199</v>
      </c>
      <c r="GE259" s="386" t="s">
        <v>199</v>
      </c>
      <c r="GF259" s="386" t="s">
        <v>199</v>
      </c>
      <c r="GG259" s="386" t="s">
        <v>199</v>
      </c>
      <c r="GH259" s="386" t="s">
        <v>199</v>
      </c>
      <c r="GI259" s="386" t="s">
        <v>199</v>
      </c>
      <c r="GJ259" s="386" t="s">
        <v>199</v>
      </c>
      <c r="GK259" s="386" t="s">
        <v>199</v>
      </c>
      <c r="GN259" s="70"/>
    </row>
    <row r="260" spans="1:217" s="382" customFormat="1">
      <c r="A260" s="396" t="s">
        <v>200</v>
      </c>
      <c r="CX260" s="382">
        <f t="shared" ref="CX260:DC260" si="490">CX258/CT258-1</f>
        <v>3.9409999999999998</v>
      </c>
      <c r="CY260" s="382">
        <f t="shared" si="490"/>
        <v>0.8775799999999998</v>
      </c>
      <c r="CZ260" s="382">
        <f t="shared" si="490"/>
        <v>-1</v>
      </c>
      <c r="DA260" s="382">
        <f t="shared" si="490"/>
        <v>-1</v>
      </c>
      <c r="DB260" s="382">
        <f t="shared" si="490"/>
        <v>-1</v>
      </c>
      <c r="DC260" s="382">
        <f t="shared" si="490"/>
        <v>-1</v>
      </c>
      <c r="DD260" s="386" t="s">
        <v>199</v>
      </c>
      <c r="DE260" s="386" t="s">
        <v>199</v>
      </c>
      <c r="DF260" s="386" t="s">
        <v>199</v>
      </c>
      <c r="DG260" s="386" t="s">
        <v>199</v>
      </c>
      <c r="DH260" s="386" t="s">
        <v>199</v>
      </c>
      <c r="DI260" s="386" t="s">
        <v>199</v>
      </c>
      <c r="DJ260" s="386" t="s">
        <v>199</v>
      </c>
      <c r="DK260" s="386" t="s">
        <v>199</v>
      </c>
      <c r="DL260" s="386" t="s">
        <v>199</v>
      </c>
      <c r="DM260" s="386" t="s">
        <v>199</v>
      </c>
      <c r="DN260" s="386" t="s">
        <v>199</v>
      </c>
      <c r="DO260" s="386" t="s">
        <v>199</v>
      </c>
      <c r="DP260" s="386" t="s">
        <v>199</v>
      </c>
      <c r="DQ260" s="386" t="s">
        <v>199</v>
      </c>
      <c r="DR260" s="386" t="s">
        <v>199</v>
      </c>
      <c r="DS260" s="386" t="s">
        <v>199</v>
      </c>
      <c r="DT260" s="386" t="s">
        <v>199</v>
      </c>
      <c r="DU260" s="386" t="s">
        <v>199</v>
      </c>
      <c r="DV260" s="386" t="s">
        <v>199</v>
      </c>
      <c r="DW260" s="386" t="s">
        <v>199</v>
      </c>
      <c r="DX260" s="386" t="s">
        <v>199</v>
      </c>
      <c r="DY260" s="386" t="s">
        <v>199</v>
      </c>
      <c r="DZ260" s="386" t="s">
        <v>199</v>
      </c>
      <c r="EA260" s="386" t="s">
        <v>199</v>
      </c>
      <c r="EB260" s="386" t="s">
        <v>199</v>
      </c>
      <c r="EC260" s="386" t="s">
        <v>199</v>
      </c>
      <c r="ED260" s="386" t="s">
        <v>199</v>
      </c>
      <c r="EE260" s="467" t="s">
        <v>199</v>
      </c>
      <c r="EF260" s="467" t="s">
        <v>199</v>
      </c>
      <c r="EG260" s="467" t="s">
        <v>199</v>
      </c>
      <c r="EH260" s="467" t="s">
        <v>199</v>
      </c>
      <c r="EI260" s="467" t="s">
        <v>199</v>
      </c>
      <c r="EJ260" s="467" t="s">
        <v>199</v>
      </c>
      <c r="EK260" s="467" t="s">
        <v>199</v>
      </c>
      <c r="EL260" s="467" t="s">
        <v>199</v>
      </c>
      <c r="EM260" s="467" t="s">
        <v>199</v>
      </c>
      <c r="EN260" s="467" t="s">
        <v>199</v>
      </c>
      <c r="EO260" s="467" t="s">
        <v>199</v>
      </c>
      <c r="EP260" s="467" t="s">
        <v>199</v>
      </c>
      <c r="EQ260" s="467" t="s">
        <v>199</v>
      </c>
      <c r="ER260" s="467" t="s">
        <v>199</v>
      </c>
      <c r="ES260" s="467" t="s">
        <v>199</v>
      </c>
      <c r="ET260" s="467" t="s">
        <v>199</v>
      </c>
      <c r="EU260" s="467" t="s">
        <v>199</v>
      </c>
      <c r="EV260" s="467" t="s">
        <v>199</v>
      </c>
      <c r="EW260" s="467" t="s">
        <v>199</v>
      </c>
      <c r="FZ260" s="386" t="s">
        <v>199</v>
      </c>
      <c r="GA260" s="386" t="s">
        <v>199</v>
      </c>
      <c r="GB260" s="386" t="s">
        <v>199</v>
      </c>
      <c r="GC260" s="386" t="s">
        <v>199</v>
      </c>
      <c r="GD260" s="386" t="s">
        <v>199</v>
      </c>
      <c r="GE260" s="386" t="s">
        <v>199</v>
      </c>
      <c r="GF260" s="386" t="s">
        <v>199</v>
      </c>
      <c r="GG260" s="386" t="s">
        <v>199</v>
      </c>
      <c r="GH260" s="386" t="s">
        <v>199</v>
      </c>
      <c r="GI260" s="386" t="s">
        <v>199</v>
      </c>
      <c r="GJ260" s="386" t="s">
        <v>199</v>
      </c>
      <c r="GK260" s="386" t="s">
        <v>199</v>
      </c>
      <c r="GN260" s="70"/>
    </row>
    <row r="261" spans="1:217" s="382" customFormat="1">
      <c r="A261" s="396" t="s">
        <v>261</v>
      </c>
      <c r="CT261" s="382">
        <f>CT258/CT$4</f>
        <v>2.032520325203252E-2</v>
      </c>
      <c r="CU261" s="382">
        <f>CU258/CU$4</f>
        <v>4.0916530278232409E-2</v>
      </c>
      <c r="CV261" s="382">
        <f>CV258/CV$4</f>
        <v>6.0864272671941569E-2</v>
      </c>
      <c r="CW261" s="382">
        <f>CW258/CW$4</f>
        <v>0.10135135135135136</v>
      </c>
      <c r="CX261" s="382">
        <v>0.06</v>
      </c>
      <c r="CY261" s="382">
        <f t="shared" ref="CY261:EW261" si="491">CY258/CY$4</f>
        <v>5.3461845102505692E-2</v>
      </c>
      <c r="CZ261" s="382">
        <f t="shared" si="491"/>
        <v>0</v>
      </c>
      <c r="DA261" s="382">
        <f t="shared" si="491"/>
        <v>0</v>
      </c>
      <c r="DB261" s="382">
        <f t="shared" si="491"/>
        <v>0</v>
      </c>
      <c r="DC261" s="382">
        <f t="shared" si="491"/>
        <v>0</v>
      </c>
      <c r="DD261" s="382">
        <f t="shared" si="491"/>
        <v>0</v>
      </c>
      <c r="DE261" s="382">
        <f t="shared" si="491"/>
        <v>0</v>
      </c>
      <c r="DF261" s="382">
        <f t="shared" si="491"/>
        <v>0</v>
      </c>
      <c r="DG261" s="382">
        <f t="shared" si="491"/>
        <v>0</v>
      </c>
      <c r="DH261" s="382">
        <f t="shared" si="491"/>
        <v>0</v>
      </c>
      <c r="DI261" s="382">
        <f t="shared" si="491"/>
        <v>0</v>
      </c>
      <c r="DJ261" s="383">
        <f t="shared" si="491"/>
        <v>0</v>
      </c>
      <c r="DK261" s="383">
        <f>DK258/DK$4</f>
        <v>0</v>
      </c>
      <c r="DL261" s="383">
        <f>DL258/DL$4</f>
        <v>0</v>
      </c>
      <c r="DM261" s="383">
        <f>DM258/DM$4</f>
        <v>0</v>
      </c>
      <c r="DN261" s="383">
        <f>DN258/DN$4</f>
        <v>0</v>
      </c>
      <c r="DO261" s="383">
        <f>DO258/DO$4</f>
        <v>0</v>
      </c>
      <c r="DP261" s="383">
        <f t="shared" si="491"/>
        <v>0</v>
      </c>
      <c r="DQ261" s="383">
        <f>DQ258/DQ$4</f>
        <v>0</v>
      </c>
      <c r="DR261" s="383">
        <f>DR258/DR$4</f>
        <v>0</v>
      </c>
      <c r="DS261" s="383">
        <f t="shared" si="491"/>
        <v>0</v>
      </c>
      <c r="DT261" s="383">
        <f t="shared" si="491"/>
        <v>0</v>
      </c>
      <c r="DU261" s="383">
        <f t="shared" si="491"/>
        <v>0</v>
      </c>
      <c r="DV261" s="382">
        <f t="shared" si="491"/>
        <v>0</v>
      </c>
      <c r="DW261" s="382">
        <f t="shared" si="491"/>
        <v>0</v>
      </c>
      <c r="DX261" s="382">
        <f t="shared" si="491"/>
        <v>0</v>
      </c>
      <c r="DY261" s="382">
        <f t="shared" si="491"/>
        <v>0</v>
      </c>
      <c r="DZ261" s="382">
        <f t="shared" si="491"/>
        <v>0</v>
      </c>
      <c r="EA261" s="382">
        <f t="shared" si="491"/>
        <v>0</v>
      </c>
      <c r="EB261" s="382">
        <f t="shared" si="491"/>
        <v>0</v>
      </c>
      <c r="EC261" s="382">
        <f t="shared" si="491"/>
        <v>0</v>
      </c>
      <c r="ED261" s="382">
        <f t="shared" si="491"/>
        <v>0</v>
      </c>
      <c r="EE261" s="384">
        <f t="shared" si="491"/>
        <v>0</v>
      </c>
      <c r="EF261" s="384">
        <f t="shared" si="491"/>
        <v>0</v>
      </c>
      <c r="EG261" s="384">
        <f t="shared" si="491"/>
        <v>0</v>
      </c>
      <c r="EH261" s="384">
        <f t="shared" si="491"/>
        <v>0</v>
      </c>
      <c r="EI261" s="384">
        <f t="shared" si="491"/>
        <v>0</v>
      </c>
      <c r="EJ261" s="384">
        <f t="shared" si="491"/>
        <v>0</v>
      </c>
      <c r="EK261" s="384">
        <f t="shared" si="491"/>
        <v>0</v>
      </c>
      <c r="EL261" s="384">
        <f t="shared" si="491"/>
        <v>0</v>
      </c>
      <c r="EM261" s="384">
        <f t="shared" si="491"/>
        <v>0</v>
      </c>
      <c r="EN261" s="384">
        <f t="shared" si="491"/>
        <v>0</v>
      </c>
      <c r="EO261" s="384">
        <f t="shared" si="491"/>
        <v>0</v>
      </c>
      <c r="EP261" s="384">
        <f t="shared" si="491"/>
        <v>0</v>
      </c>
      <c r="EQ261" s="384">
        <f t="shared" si="491"/>
        <v>0</v>
      </c>
      <c r="ER261" s="384">
        <f t="shared" si="491"/>
        <v>0</v>
      </c>
      <c r="ES261" s="384">
        <f t="shared" si="491"/>
        <v>0</v>
      </c>
      <c r="ET261" s="384">
        <f t="shared" si="491"/>
        <v>0</v>
      </c>
      <c r="EU261" s="384">
        <f t="shared" si="491"/>
        <v>0</v>
      </c>
      <c r="EV261" s="384">
        <f t="shared" si="491"/>
        <v>0</v>
      </c>
      <c r="EW261" s="384">
        <f t="shared" si="491"/>
        <v>0</v>
      </c>
      <c r="FT261" s="382">
        <f t="shared" ref="FT261:GD261" si="492">FT258/FT$4</f>
        <v>0</v>
      </c>
      <c r="FU261" s="382">
        <f t="shared" si="492"/>
        <v>0</v>
      </c>
      <c r="FV261" s="382">
        <f t="shared" si="492"/>
        <v>0</v>
      </c>
      <c r="FW261" s="382">
        <f t="shared" si="492"/>
        <v>0</v>
      </c>
      <c r="FX261" s="382">
        <f t="shared" si="492"/>
        <v>6.0048789641583784E-2</v>
      </c>
      <c r="FY261" s="382">
        <f t="shared" si="492"/>
        <v>2.9760463320463316E-2</v>
      </c>
      <c r="FZ261" s="382">
        <f t="shared" si="492"/>
        <v>0</v>
      </c>
      <c r="GA261" s="382">
        <f t="shared" si="492"/>
        <v>0</v>
      </c>
      <c r="GB261" s="382">
        <f t="shared" si="492"/>
        <v>0</v>
      </c>
      <c r="GC261" s="382">
        <f t="shared" si="492"/>
        <v>0</v>
      </c>
      <c r="GD261" s="382">
        <f t="shared" si="492"/>
        <v>0</v>
      </c>
      <c r="GE261" s="382">
        <f>GE258/GE$4</f>
        <v>0</v>
      </c>
      <c r="GF261" s="382">
        <f>GF258/GF$4</f>
        <v>0</v>
      </c>
      <c r="GG261" s="384">
        <f>GG258/GG$4</f>
        <v>0</v>
      </c>
      <c r="GH261" s="384">
        <f>GH258/GH$4</f>
        <v>0</v>
      </c>
      <c r="GI261" s="384">
        <f t="shared" ref="GI261:GK261" si="493">GI258/GI$4</f>
        <v>0</v>
      </c>
      <c r="GJ261" s="384">
        <f t="shared" si="493"/>
        <v>0</v>
      </c>
      <c r="GK261" s="384">
        <f t="shared" si="493"/>
        <v>0</v>
      </c>
      <c r="GN261" s="70"/>
    </row>
    <row r="262" spans="1:217" s="379" customFormat="1">
      <c r="A262" s="405" t="s">
        <v>267</v>
      </c>
      <c r="B262" s="376"/>
      <c r="C262" s="376"/>
      <c r="D262" s="376"/>
      <c r="E262" s="376"/>
      <c r="F262" s="376"/>
      <c r="G262" s="376"/>
      <c r="H262" s="376"/>
      <c r="I262" s="376"/>
      <c r="J262" s="376"/>
      <c r="K262" s="376"/>
      <c r="L262" s="376"/>
      <c r="M262" s="376"/>
      <c r="N262" s="376"/>
      <c r="O262" s="376"/>
      <c r="P262" s="376"/>
      <c r="Q262" s="376"/>
      <c r="R262" s="376"/>
      <c r="S262" s="376"/>
      <c r="T262" s="376"/>
      <c r="U262" s="376"/>
      <c r="V262" s="376"/>
      <c r="W262" s="376"/>
      <c r="X262" s="376"/>
      <c r="Y262" s="376"/>
      <c r="Z262" s="376"/>
      <c r="AA262" s="376"/>
      <c r="AB262" s="376"/>
      <c r="AC262" s="376"/>
      <c r="AD262" s="376"/>
      <c r="AE262" s="376"/>
      <c r="AF262" s="376"/>
      <c r="AG262" s="376"/>
      <c r="AH262" s="376"/>
      <c r="AI262" s="376"/>
      <c r="AJ262" s="376"/>
      <c r="AK262" s="376"/>
      <c r="AL262" s="376"/>
      <c r="AM262" s="376"/>
      <c r="AN262" s="376"/>
      <c r="AO262" s="376"/>
      <c r="AP262" s="376"/>
      <c r="AQ262" s="376"/>
      <c r="AR262" s="376"/>
      <c r="AS262" s="376"/>
      <c r="AT262" s="376"/>
      <c r="AU262" s="376"/>
      <c r="AV262" s="376"/>
      <c r="AW262" s="376"/>
      <c r="AX262" s="376"/>
      <c r="AY262" s="376"/>
      <c r="AZ262" s="376"/>
      <c r="BA262" s="376"/>
      <c r="BB262" s="376"/>
      <c r="BC262" s="376"/>
      <c r="BD262" s="376"/>
      <c r="BE262" s="376"/>
      <c r="BF262" s="376"/>
      <c r="BG262" s="376"/>
      <c r="BH262" s="376"/>
      <c r="BI262" s="376"/>
      <c r="BJ262" s="376"/>
      <c r="BK262" s="376"/>
      <c r="BL262" s="376"/>
      <c r="BM262" s="376"/>
      <c r="BN262" s="376"/>
      <c r="BO262" s="376"/>
      <c r="BP262" s="376"/>
      <c r="BQ262" s="376"/>
      <c r="BR262" s="376"/>
      <c r="BS262" s="376"/>
      <c r="BT262" s="376"/>
      <c r="BU262" s="376"/>
      <c r="BV262" s="376"/>
      <c r="BW262" s="376"/>
      <c r="BX262" s="376"/>
      <c r="BY262" s="376"/>
      <c r="BZ262" s="376"/>
      <c r="CA262" s="376"/>
      <c r="CB262" s="376"/>
      <c r="CC262" s="376"/>
      <c r="CD262" s="376">
        <f t="shared" ref="CD262:DM262" si="494">CD246-CD250-CD266</f>
        <v>115.71799999999996</v>
      </c>
      <c r="CE262" s="376">
        <f t="shared" si="494"/>
        <v>105.02300000000002</v>
      </c>
      <c r="CF262" s="376">
        <f t="shared" si="494"/>
        <v>91.963500000000039</v>
      </c>
      <c r="CG262" s="376">
        <f t="shared" si="494"/>
        <v>98.728249999999974</v>
      </c>
      <c r="CH262" s="376">
        <f t="shared" si="494"/>
        <v>97.655124999999913</v>
      </c>
      <c r="CI262" s="376">
        <f t="shared" si="494"/>
        <v>97.700900000000019</v>
      </c>
      <c r="CJ262" s="376">
        <f t="shared" si="494"/>
        <v>82.972336000000027</v>
      </c>
      <c r="CK262" s="376">
        <f t="shared" si="494"/>
        <v>72.838615999999945</v>
      </c>
      <c r="CL262" s="376">
        <f t="shared" si="494"/>
        <v>70.085251200000044</v>
      </c>
      <c r="CM262" s="376">
        <f t="shared" si="494"/>
        <v>71.912859200000014</v>
      </c>
      <c r="CN262" s="376">
        <f t="shared" si="494"/>
        <v>72.193432000000001</v>
      </c>
      <c r="CO262" s="376">
        <f t="shared" si="494"/>
        <v>72.722574849999972</v>
      </c>
      <c r="CP262" s="376">
        <f t="shared" si="494"/>
        <v>70.785147100000003</v>
      </c>
      <c r="CQ262" s="376">
        <f t="shared" si="494"/>
        <v>97.138896192499999</v>
      </c>
      <c r="CR262" s="376">
        <f t="shared" si="494"/>
        <v>92.878097380499952</v>
      </c>
      <c r="CS262" s="376">
        <f t="shared" si="494"/>
        <v>141.03586833514504</v>
      </c>
      <c r="CT262" s="376">
        <f t="shared" si="494"/>
        <v>110.54138933768998</v>
      </c>
      <c r="CU262" s="376">
        <f t="shared" si="494"/>
        <v>111.85856086905895</v>
      </c>
      <c r="CV262" s="376">
        <f t="shared" si="494"/>
        <v>157.93108180032766</v>
      </c>
      <c r="CW262" s="376">
        <f t="shared" si="494"/>
        <v>172.08527648088676</v>
      </c>
      <c r="CX262" s="376">
        <f t="shared" si="494"/>
        <v>176.75610231781877</v>
      </c>
      <c r="CY262" s="376">
        <f t="shared" si="494"/>
        <v>172.87357048469244</v>
      </c>
      <c r="CZ262" s="376">
        <f t="shared" si="494"/>
        <v>156.89045083956017</v>
      </c>
      <c r="DA262" s="376">
        <f t="shared" si="494"/>
        <v>129.42800447695788</v>
      </c>
      <c r="DB262" s="376">
        <f t="shared" si="494"/>
        <v>81.120072312821492</v>
      </c>
      <c r="DC262" s="376">
        <f t="shared" si="494"/>
        <v>115.35430852226617</v>
      </c>
      <c r="DD262" s="376">
        <f t="shared" si="494"/>
        <v>112.81765285529886</v>
      </c>
      <c r="DE262" s="376">
        <f t="shared" si="494"/>
        <v>118.69417142438182</v>
      </c>
      <c r="DF262" s="376">
        <f t="shared" si="494"/>
        <v>125.63621374833724</v>
      </c>
      <c r="DG262" s="376">
        <f t="shared" si="494"/>
        <v>97.457871811746585</v>
      </c>
      <c r="DH262" s="376">
        <f t="shared" si="494"/>
        <v>117.36381771869171</v>
      </c>
      <c r="DI262" s="376">
        <f t="shared" si="494"/>
        <v>125.22403442881364</v>
      </c>
      <c r="DJ262" s="397">
        <f t="shared" si="494"/>
        <v>152.96177402140046</v>
      </c>
      <c r="DK262" s="397">
        <f t="shared" si="494"/>
        <v>164.4601052740899</v>
      </c>
      <c r="DL262" s="397">
        <f t="shared" si="494"/>
        <v>177.02227797283675</v>
      </c>
      <c r="DM262" s="397">
        <f t="shared" si="494"/>
        <v>166.36960625966228</v>
      </c>
      <c r="DN262" s="397">
        <f>DN246-DN250-DN266</f>
        <v>169.10968240906396</v>
      </c>
      <c r="DO262" s="397">
        <f>DO246-DO250-DO266</f>
        <v>183.74274584325411</v>
      </c>
      <c r="DP262" s="397">
        <f>DP246-DP250-DP266</f>
        <v>67.418987868632243</v>
      </c>
      <c r="DQ262" s="397">
        <f>DQ246-DQ250-DQ266</f>
        <v>168.66958287063986</v>
      </c>
      <c r="DR262" s="397">
        <f>DR246-DR250-DR266</f>
        <v>106.82157391384897</v>
      </c>
      <c r="DS262" s="397">
        <f>DS285*DS307/1000</f>
        <v>28.891845426203442</v>
      </c>
      <c r="DT262" s="397">
        <f>DT285*DT307/1000</f>
        <v>31.75476465479996</v>
      </c>
      <c r="DU262" s="397">
        <f>DU285*DU307/1000</f>
        <v>20.355618368461514</v>
      </c>
      <c r="DV262" s="376">
        <f>DV285*DV307/1000</f>
        <v>17.790810454035359</v>
      </c>
      <c r="DW262" s="376">
        <f>DW285*DW307/1000</f>
        <v>18.564323952036897</v>
      </c>
      <c r="DX262" s="376">
        <f>DX285*DX307/1000</f>
        <v>16.676951016913147</v>
      </c>
      <c r="DY262" s="376">
        <f>DY285*DY307/1000</f>
        <v>23.878361683307464</v>
      </c>
      <c r="DZ262" s="376">
        <f>DZ285*DZ307/1000</f>
        <v>19.10268934664597</v>
      </c>
      <c r="EA262" s="376">
        <f>EA285*EA307/1000</f>
        <v>20.248850707444731</v>
      </c>
      <c r="EB262" s="376">
        <f>EB285*EB307/1000</f>
        <v>20.046362200370282</v>
      </c>
      <c r="EC262" s="376">
        <f>EC285*EC307/1000</f>
        <v>20.046362200370282</v>
      </c>
      <c r="ED262" s="376">
        <f>ED285*ED307/1000</f>
        <v>20.447289444377688</v>
      </c>
      <c r="EE262" s="380">
        <f>EE285*EE307/1000</f>
        <v>20.856235233265245</v>
      </c>
      <c r="EF262" s="380">
        <f>EF285*EF307/1000</f>
        <v>20.647672880932589</v>
      </c>
      <c r="EG262" s="380">
        <f>EG285*EG307/1000</f>
        <v>21.267103067360566</v>
      </c>
      <c r="EH262" s="380">
        <f>EH285*EH307/1000</f>
        <v>21.692445128707778</v>
      </c>
      <c r="EI262" s="380">
        <f>EI285*EI307/1000</f>
        <v>21.692445128707778</v>
      </c>
      <c r="EJ262" s="380">
        <f>EJ285*EJ307/1000</f>
        <v>21.692445128707778</v>
      </c>
      <c r="EK262" s="380">
        <f>EK285*EK307/1000</f>
        <v>21.692445128707778</v>
      </c>
      <c r="EL262" s="380">
        <f>EL285*EL307/1000</f>
        <v>22.126294031281933</v>
      </c>
      <c r="EM262" s="380">
        <f>EM285*EM307/1000</f>
        <v>22.126294031281933</v>
      </c>
      <c r="EN262" s="380">
        <f>EN285*EN307/1000</f>
        <v>22.126294031281933</v>
      </c>
      <c r="EO262" s="380">
        <f>EO285*EO307/1000</f>
        <v>22.126294031281933</v>
      </c>
      <c r="EP262" s="380">
        <f>EP285*EP307/1000</f>
        <v>22.568819911907571</v>
      </c>
      <c r="EQ262" s="380">
        <f>EQ285*EQ307/1000</f>
        <v>22.568819911907571</v>
      </c>
      <c r="ER262" s="380">
        <f>ER285*ER307/1000</f>
        <v>22.568819911907571</v>
      </c>
      <c r="ES262" s="380">
        <f>ES285*ES307/1000</f>
        <v>22.568819911907571</v>
      </c>
      <c r="ET262" s="380">
        <f>ET285*ET307/1000</f>
        <v>23.020196310145725</v>
      </c>
      <c r="EU262" s="380">
        <f>EU285*EU307/1000</f>
        <v>23.020196310145725</v>
      </c>
      <c r="EV262" s="380">
        <f>EV285*EV307/1000</f>
        <v>23.020196310145725</v>
      </c>
      <c r="EW262" s="380">
        <f>EW285*EW307/1000</f>
        <v>23.020196310145725</v>
      </c>
      <c r="EZ262" s="376"/>
      <c r="FA262" s="376"/>
      <c r="FB262" s="376"/>
      <c r="FC262" s="376"/>
      <c r="FD262" s="376"/>
      <c r="FE262" s="376"/>
      <c r="FF262" s="376"/>
      <c r="FG262" s="376"/>
      <c r="FH262" s="376"/>
      <c r="FI262" s="376"/>
      <c r="FJ262" s="376"/>
      <c r="FK262" s="376"/>
      <c r="FL262" s="376"/>
      <c r="FM262" s="376"/>
      <c r="FN262" s="376"/>
      <c r="FO262" s="376">
        <f>BJ262+BK262+BL262+BM262</f>
        <v>0</v>
      </c>
      <c r="FP262" s="376">
        <f>BN262+BO262+BP262+BQ262</f>
        <v>0</v>
      </c>
      <c r="FQ262" s="376">
        <f>BR262+BS262+BT262+BU262</f>
        <v>0</v>
      </c>
      <c r="FR262" s="376">
        <f>BV262+BW262+BX262+BY262</f>
        <v>0</v>
      </c>
      <c r="FS262" s="376">
        <f>BZ262+CA262+CB262+CC262</f>
        <v>0</v>
      </c>
      <c r="FT262" s="376">
        <f>CD262+CE262+CF262+CG262</f>
        <v>411.43275000000006</v>
      </c>
      <c r="FU262" s="376">
        <f>CH262+CI262+CJ262+CK262</f>
        <v>351.16697699999992</v>
      </c>
      <c r="FV262" s="376">
        <f>CL262+CM262+CN262+CO262</f>
        <v>286.91411725</v>
      </c>
      <c r="FW262" s="376">
        <f>CP262+CQ262+CR262+CS262</f>
        <v>401.83800900814498</v>
      </c>
      <c r="FX262" s="376">
        <f>CT262+CU262+CV262+CW262</f>
        <v>552.41630848796331</v>
      </c>
      <c r="FY262" s="376">
        <f>CX262+CY262+CZ262+DA262</f>
        <v>635.94812811902921</v>
      </c>
      <c r="FZ262" s="376">
        <f>DB262+DC262+DD262+DE262</f>
        <v>427.98620511476832</v>
      </c>
      <c r="GA262" s="376">
        <f>SUM(DF262:DI262)</f>
        <v>465.68193770758921</v>
      </c>
      <c r="GB262" s="376">
        <f>SUM(DJ262:DM262)</f>
        <v>660.81376352798941</v>
      </c>
      <c r="GC262" s="376">
        <f>SUM(DN262:DQ262)</f>
        <v>588.94099899159016</v>
      </c>
      <c r="GD262" s="376">
        <f>SUM(DR262:DU262)</f>
        <v>187.82380236331389</v>
      </c>
      <c r="GE262" s="376">
        <f>SUM(DV262:DY262)</f>
        <v>76.910447106292864</v>
      </c>
      <c r="GF262" s="376">
        <f>SUM(DZ262:EC262)</f>
        <v>79.44426445483127</v>
      </c>
      <c r="GG262" s="380">
        <f>SUM(ED262:EG262)</f>
        <v>83.218300625936081</v>
      </c>
      <c r="GH262" s="380">
        <f>SUM(EH262:EK262)</f>
        <v>86.769780514831112</v>
      </c>
      <c r="GI262" s="380">
        <f>SUM(EL262:EO262)</f>
        <v>88.505176125127733</v>
      </c>
      <c r="GJ262" s="380">
        <f>SUM(EP262:ES262)</f>
        <v>90.275279647630285</v>
      </c>
      <c r="GK262" s="380">
        <f>SUM(ET262:EW262)</f>
        <v>92.080785240582898</v>
      </c>
      <c r="GN262" s="70"/>
      <c r="GS262" s="453"/>
      <c r="GT262" s="453"/>
      <c r="GU262" s="453"/>
      <c r="GV262" s="453"/>
      <c r="GW262" s="453"/>
      <c r="GX262" s="453"/>
      <c r="GY262" s="453"/>
      <c r="GZ262" s="453"/>
      <c r="HA262" s="453"/>
      <c r="HB262" s="453"/>
      <c r="HC262" s="453"/>
      <c r="HD262" s="453"/>
      <c r="HE262" s="453"/>
      <c r="HF262" s="453"/>
      <c r="HG262" s="453"/>
      <c r="HH262" s="453"/>
      <c r="HI262" s="453"/>
    </row>
    <row r="263" spans="1:217" s="382" customFormat="1">
      <c r="A263" s="381" t="s">
        <v>198</v>
      </c>
      <c r="CE263" s="382">
        <f t="shared" ref="CE263:EH263" si="495">CE262/CD262-1</f>
        <v>-9.2422959263035454E-2</v>
      </c>
      <c r="CF263" s="382">
        <f t="shared" si="495"/>
        <v>-0.1243489521342942</v>
      </c>
      <c r="CG263" s="382">
        <f t="shared" si="495"/>
        <v>7.3559075067824997E-2</v>
      </c>
      <c r="CH263" s="382">
        <f t="shared" si="495"/>
        <v>-1.0869482645545325E-2</v>
      </c>
      <c r="CI263" s="382">
        <f t="shared" si="495"/>
        <v>4.6874139990205066E-4</v>
      </c>
      <c r="CJ263" s="382">
        <f t="shared" si="495"/>
        <v>-0.15075156933047684</v>
      </c>
      <c r="CK263" s="382">
        <f t="shared" si="495"/>
        <v>-0.12213371936400685</v>
      </c>
      <c r="CL263" s="382">
        <f t="shared" si="495"/>
        <v>-3.7800893965364457E-2</v>
      </c>
      <c r="CM263" s="382">
        <f t="shared" si="495"/>
        <v>2.6076927295082042E-2</v>
      </c>
      <c r="CN263" s="382">
        <f t="shared" si="495"/>
        <v>3.9015664669885819E-3</v>
      </c>
      <c r="CO263" s="382">
        <f t="shared" si="495"/>
        <v>7.3295151004868497E-3</v>
      </c>
      <c r="CP263" s="382">
        <f t="shared" si="495"/>
        <v>-2.6641352482309255E-2</v>
      </c>
      <c r="CQ263" s="382">
        <f t="shared" si="495"/>
        <v>0.372306199424427</v>
      </c>
      <c r="CR263" s="382">
        <f t="shared" si="495"/>
        <v>-4.3862952730659321E-2</v>
      </c>
      <c r="CS263" s="382">
        <f t="shared" si="495"/>
        <v>0.51850514074759646</v>
      </c>
      <c r="CT263" s="382">
        <f t="shared" si="495"/>
        <v>-0.21621789802428637</v>
      </c>
      <c r="CU263" s="382">
        <f t="shared" si="495"/>
        <v>1.1915641184363723E-2</v>
      </c>
      <c r="CV263" s="382">
        <f t="shared" si="495"/>
        <v>0.4118819388817363</v>
      </c>
      <c r="CW263" s="382">
        <f t="shared" si="495"/>
        <v>8.9622603221665154E-2</v>
      </c>
      <c r="CX263" s="382">
        <f t="shared" si="495"/>
        <v>2.7142507089796153E-2</v>
      </c>
      <c r="CY263" s="382">
        <f t="shared" si="495"/>
        <v>-2.1965475489753028E-2</v>
      </c>
      <c r="CZ263" s="382">
        <f t="shared" si="495"/>
        <v>-9.2455541933447405E-2</v>
      </c>
      <c r="DA263" s="382">
        <f t="shared" si="495"/>
        <v>-0.17504217889389606</v>
      </c>
      <c r="DB263" s="382">
        <f t="shared" si="495"/>
        <v>-0.37324172893924723</v>
      </c>
      <c r="DC263" s="382">
        <f t="shared" si="495"/>
        <v>0.42201930093735585</v>
      </c>
      <c r="DD263" s="382">
        <f t="shared" si="495"/>
        <v>-2.1990125028383045E-2</v>
      </c>
      <c r="DE263" s="382">
        <f t="shared" si="495"/>
        <v>5.2088644111575766E-2</v>
      </c>
      <c r="DF263" s="382">
        <f t="shared" si="495"/>
        <v>5.8486800494479851E-2</v>
      </c>
      <c r="DG263" s="382">
        <f t="shared" si="495"/>
        <v>-0.22428518892677618</v>
      </c>
      <c r="DH263" s="382">
        <f t="shared" si="495"/>
        <v>0.2042518016953645</v>
      </c>
      <c r="DI263" s="382">
        <f t="shared" si="495"/>
        <v>6.6973083041333981E-2</v>
      </c>
      <c r="DJ263" s="383">
        <f t="shared" si="495"/>
        <v>0.22150491891678303</v>
      </c>
      <c r="DK263" s="383">
        <f t="shared" si="495"/>
        <v>7.5171272863772787E-2</v>
      </c>
      <c r="DL263" s="383">
        <f t="shared" si="495"/>
        <v>7.63843162924569E-2</v>
      </c>
      <c r="DM263" s="383">
        <f t="shared" si="495"/>
        <v>-6.0177011815479409E-2</v>
      </c>
      <c r="DN263" s="383">
        <f t="shared" si="495"/>
        <v>1.6469812070872392E-2</v>
      </c>
      <c r="DO263" s="383">
        <f t="shared" si="495"/>
        <v>8.6530015465311028E-2</v>
      </c>
      <c r="DP263" s="383">
        <f t="shared" si="495"/>
        <v>-0.63307945813466004</v>
      </c>
      <c r="DQ263" s="383">
        <f t="shared" si="495"/>
        <v>1.5018112582659531</v>
      </c>
      <c r="DR263" s="383">
        <f t="shared" si="495"/>
        <v>-0.36668146030944337</v>
      </c>
      <c r="DS263" s="383">
        <f t="shared" si="495"/>
        <v>-0.72953173813461536</v>
      </c>
      <c r="DT263" s="383">
        <f t="shared" si="495"/>
        <v>9.9090909090908896E-2</v>
      </c>
      <c r="DU263" s="383">
        <f t="shared" si="495"/>
        <v>-0.35897435897435892</v>
      </c>
      <c r="DV263" s="382">
        <f t="shared" si="495"/>
        <v>-0.12600000000000022</v>
      </c>
      <c r="DW263" s="382">
        <f t="shared" si="495"/>
        <v>4.3478260869565188E-2</v>
      </c>
      <c r="DX263" s="382">
        <f>DX262/DW262-1</f>
        <v>-0.10166666666666657</v>
      </c>
      <c r="DY263" s="382">
        <f t="shared" si="495"/>
        <v>0.4318181818181821</v>
      </c>
      <c r="DZ263" s="382">
        <f t="shared" si="495"/>
        <v>-0.20000000000000007</v>
      </c>
      <c r="EA263" s="382">
        <f t="shared" si="495"/>
        <v>6.0000000000000053E-2</v>
      </c>
      <c r="EB263" s="382">
        <f t="shared" si="495"/>
        <v>-1.000000000000012E-2</v>
      </c>
      <c r="EC263" s="382">
        <f t="shared" si="495"/>
        <v>0</v>
      </c>
      <c r="ED263" s="382">
        <f t="shared" si="495"/>
        <v>2.0000000000000018E-2</v>
      </c>
      <c r="EE263" s="384">
        <f t="shared" si="495"/>
        <v>2.000000000000024E-2</v>
      </c>
      <c r="EF263" s="384">
        <f t="shared" si="495"/>
        <v>-1.000000000000012E-2</v>
      </c>
      <c r="EG263" s="384">
        <f t="shared" si="495"/>
        <v>3.0000000000000027E-2</v>
      </c>
      <c r="EH263" s="384">
        <f t="shared" si="495"/>
        <v>2.0000000000000018E-2</v>
      </c>
      <c r="EI263" s="384">
        <f>EI262/EH262-1</f>
        <v>0</v>
      </c>
      <c r="EJ263" s="384">
        <f>EJ262/EI262-1</f>
        <v>0</v>
      </c>
      <c r="EK263" s="384">
        <f>EK262/EJ262-1</f>
        <v>0</v>
      </c>
      <c r="EL263" s="384">
        <f t="shared" ref="EL263" si="496">EL262/EK262-1</f>
        <v>2.0000000000000018E-2</v>
      </c>
      <c r="EM263" s="384">
        <f>EM262/EL262-1</f>
        <v>0</v>
      </c>
      <c r="EN263" s="384">
        <f>EN262/EM262-1</f>
        <v>0</v>
      </c>
      <c r="EO263" s="384">
        <f>EO262/EN262-1</f>
        <v>0</v>
      </c>
      <c r="EP263" s="384">
        <f t="shared" ref="EP263" si="497">EP262/EO262-1</f>
        <v>2.0000000000000018E-2</v>
      </c>
      <c r="EQ263" s="384">
        <f>EQ262/EP262-1</f>
        <v>0</v>
      </c>
      <c r="ER263" s="384">
        <f>ER262/EQ262-1</f>
        <v>0</v>
      </c>
      <c r="ES263" s="384">
        <f>ES262/ER262-1</f>
        <v>0</v>
      </c>
      <c r="ET263" s="384">
        <f t="shared" ref="ET263" si="498">ET262/ES262-1</f>
        <v>2.0000000000000018E-2</v>
      </c>
      <c r="EU263" s="384">
        <f>EU262/ET262-1</f>
        <v>0</v>
      </c>
      <c r="EV263" s="384">
        <f>EV262/EU262-1</f>
        <v>0</v>
      </c>
      <c r="EW263" s="384">
        <f>EW262/EV262-1</f>
        <v>0</v>
      </c>
      <c r="FZ263" s="386" t="s">
        <v>199</v>
      </c>
      <c r="GA263" s="386" t="s">
        <v>199</v>
      </c>
      <c r="GB263" s="386" t="s">
        <v>199</v>
      </c>
      <c r="GC263" s="386" t="s">
        <v>199</v>
      </c>
      <c r="GD263" s="386" t="s">
        <v>199</v>
      </c>
      <c r="GE263" s="386" t="s">
        <v>199</v>
      </c>
      <c r="GF263" s="386" t="s">
        <v>199</v>
      </c>
      <c r="GG263" s="386" t="s">
        <v>199</v>
      </c>
      <c r="GH263" s="386" t="s">
        <v>199</v>
      </c>
      <c r="GI263" s="386" t="s">
        <v>199</v>
      </c>
      <c r="GJ263" s="386" t="s">
        <v>199</v>
      </c>
      <c r="GK263" s="386" t="s">
        <v>199</v>
      </c>
      <c r="GN263" s="70"/>
      <c r="GS263" s="453"/>
      <c r="GT263" s="453"/>
      <c r="GU263" s="453"/>
      <c r="GV263" s="453"/>
      <c r="GW263" s="453"/>
      <c r="GX263" s="453"/>
      <c r="GY263" s="453"/>
      <c r="GZ263" s="453"/>
      <c r="HA263" s="453"/>
      <c r="HB263" s="453"/>
      <c r="HC263" s="453"/>
      <c r="HD263" s="453"/>
      <c r="HE263" s="453"/>
      <c r="HF263" s="453"/>
      <c r="HG263" s="453"/>
      <c r="HH263" s="453"/>
      <c r="HI263" s="453"/>
    </row>
    <row r="264" spans="1:217" s="382" customFormat="1">
      <c r="A264" s="381" t="s">
        <v>200</v>
      </c>
      <c r="CH264" s="382">
        <f t="shared" ref="CH264:ES264" si="499">CH262/CD262-1</f>
        <v>-0.15609390933130585</v>
      </c>
      <c r="CI264" s="382">
        <f t="shared" si="499"/>
        <v>-6.9719013930282014E-2</v>
      </c>
      <c r="CJ264" s="382">
        <f t="shared" si="499"/>
        <v>-9.7768832199731537E-2</v>
      </c>
      <c r="CK264" s="382">
        <f t="shared" si="499"/>
        <v>-0.26223126612697012</v>
      </c>
      <c r="CL264" s="382">
        <f t="shared" si="499"/>
        <v>-0.28231876002411438</v>
      </c>
      <c r="CM264" s="382">
        <f t="shared" si="499"/>
        <v>-0.26394885615178565</v>
      </c>
      <c r="CN264" s="382">
        <f t="shared" si="499"/>
        <v>-0.129909612283304</v>
      </c>
      <c r="CO264" s="382">
        <f t="shared" si="499"/>
        <v>-1.5931267831883478E-3</v>
      </c>
      <c r="CP264" s="382">
        <f t="shared" si="499"/>
        <v>9.9863507373711968E-3</v>
      </c>
      <c r="CQ264" s="382">
        <f t="shared" si="499"/>
        <v>0.35078617750884789</v>
      </c>
      <c r="CR264" s="382">
        <f t="shared" si="499"/>
        <v>0.28651727459777709</v>
      </c>
      <c r="CS264" s="382">
        <f t="shared" si="499"/>
        <v>0.93936846468995849</v>
      </c>
      <c r="CT264" s="382">
        <f t="shared" si="499"/>
        <v>0.56164667117983536</v>
      </c>
      <c r="CU264" s="382">
        <f t="shared" si="499"/>
        <v>0.15153213855126602</v>
      </c>
      <c r="CV264" s="382">
        <f t="shared" si="499"/>
        <v>0.70041254347966198</v>
      </c>
      <c r="CW264" s="382">
        <f t="shared" si="499"/>
        <v>0.22015256482101897</v>
      </c>
      <c r="CX264" s="382">
        <f t="shared" si="499"/>
        <v>0.59900380641907081</v>
      </c>
      <c r="CY264" s="382">
        <f t="shared" si="499"/>
        <v>0.54546571260698884</v>
      </c>
      <c r="CZ264" s="382">
        <f t="shared" si="499"/>
        <v>-6.5891460306918281E-3</v>
      </c>
      <c r="DA264" s="382">
        <f t="shared" si="499"/>
        <v>-0.24788449585148997</v>
      </c>
      <c r="DB264" s="382">
        <f t="shared" si="499"/>
        <v>-0.54106211186439035</v>
      </c>
      <c r="DC264" s="382">
        <f t="shared" si="499"/>
        <v>-0.33272444018572211</v>
      </c>
      <c r="DD264" s="382">
        <f t="shared" si="499"/>
        <v>-0.28091447088345223</v>
      </c>
      <c r="DE264" s="382">
        <f t="shared" si="499"/>
        <v>-8.2932848234456125E-2</v>
      </c>
      <c r="DF264" s="382">
        <f t="shared" si="499"/>
        <v>0.54876851272825755</v>
      </c>
      <c r="DG264" s="382">
        <f t="shared" si="499"/>
        <v>-0.15514320132277626</v>
      </c>
      <c r="DH264" s="382">
        <f t="shared" si="499"/>
        <v>4.0296573703973548E-2</v>
      </c>
      <c r="DI264" s="382">
        <f t="shared" si="499"/>
        <v>5.5014184151341405E-2</v>
      </c>
      <c r="DJ264" s="383">
        <f t="shared" si="499"/>
        <v>0.21749748307282823</v>
      </c>
      <c r="DK264" s="383">
        <f t="shared" si="499"/>
        <v>0.687499451986469</v>
      </c>
      <c r="DL264" s="383">
        <f t="shared" si="499"/>
        <v>0.50832071939871515</v>
      </c>
      <c r="DM264" s="383">
        <f t="shared" si="499"/>
        <v>0.32857567653467301</v>
      </c>
      <c r="DN264" s="383">
        <f t="shared" si="499"/>
        <v>0.10556826037729072</v>
      </c>
      <c r="DO264" s="383">
        <f t="shared" si="499"/>
        <v>0.11724813465872286</v>
      </c>
      <c r="DP264" s="383">
        <f t="shared" si="499"/>
        <v>-0.61914969889282878</v>
      </c>
      <c r="DQ264" s="383">
        <f t="shared" si="499"/>
        <v>1.3824499935330081E-2</v>
      </c>
      <c r="DR264" s="383">
        <f t="shared" si="499"/>
        <v>-0.36832964031322946</v>
      </c>
      <c r="DS264" s="383">
        <f t="shared" si="499"/>
        <v>-0.8427592594547908</v>
      </c>
      <c r="DT264" s="383">
        <f t="shared" si="499"/>
        <v>-0.52899375000000015</v>
      </c>
      <c r="DU264" s="383">
        <f t="shared" si="499"/>
        <v>-0.87931660218740726</v>
      </c>
      <c r="DV264" s="382">
        <f t="shared" si="499"/>
        <v>-0.83345302075043803</v>
      </c>
      <c r="DW264" s="382">
        <f t="shared" si="499"/>
        <v>-0.35745454545454569</v>
      </c>
      <c r="DX264" s="382">
        <f t="shared" si="499"/>
        <v>-0.47482051282051285</v>
      </c>
      <c r="DY264" s="382">
        <f t="shared" si="499"/>
        <v>0.17305999999999999</v>
      </c>
      <c r="DZ264" s="382">
        <f t="shared" si="499"/>
        <v>7.3739130434782751E-2</v>
      </c>
      <c r="EA264" s="382">
        <f t="shared" si="499"/>
        <v>9.0740000000000265E-2</v>
      </c>
      <c r="EB264" s="382">
        <f t="shared" si="499"/>
        <v>0.20204000000000022</v>
      </c>
      <c r="EC264" s="382">
        <f t="shared" si="499"/>
        <v>-0.16047999999999996</v>
      </c>
      <c r="ED264" s="382">
        <f t="shared" si="499"/>
        <v>7.0388000000000117E-2</v>
      </c>
      <c r="EE264" s="384">
        <f t="shared" si="499"/>
        <v>2.9996000000000134E-2</v>
      </c>
      <c r="EF264" s="384">
        <f t="shared" si="499"/>
        <v>2.9995999999999912E-2</v>
      </c>
      <c r="EG264" s="384">
        <f t="shared" si="499"/>
        <v>6.0895879999999902E-2</v>
      </c>
      <c r="EH264" s="384">
        <f t="shared" si="499"/>
        <v>6.0895879999999902E-2</v>
      </c>
      <c r="EI264" s="384">
        <f t="shared" si="499"/>
        <v>4.0093999999999852E-2</v>
      </c>
      <c r="EJ264" s="384">
        <f t="shared" si="499"/>
        <v>5.0599999999999978E-2</v>
      </c>
      <c r="EK264" s="384">
        <f t="shared" si="499"/>
        <v>2.0000000000000018E-2</v>
      </c>
      <c r="EL264" s="384">
        <f t="shared" si="499"/>
        <v>2.0000000000000018E-2</v>
      </c>
      <c r="EM264" s="384">
        <f t="shared" si="499"/>
        <v>2.0000000000000018E-2</v>
      </c>
      <c r="EN264" s="384">
        <f t="shared" si="499"/>
        <v>2.0000000000000018E-2</v>
      </c>
      <c r="EO264" s="384">
        <f t="shared" si="499"/>
        <v>2.0000000000000018E-2</v>
      </c>
      <c r="EP264" s="384">
        <f t="shared" si="499"/>
        <v>2.0000000000000018E-2</v>
      </c>
      <c r="EQ264" s="384">
        <f t="shared" si="499"/>
        <v>2.0000000000000018E-2</v>
      </c>
      <c r="ER264" s="384">
        <f t="shared" si="499"/>
        <v>2.0000000000000018E-2</v>
      </c>
      <c r="ES264" s="384">
        <f t="shared" si="499"/>
        <v>2.0000000000000018E-2</v>
      </c>
      <c r="ET264" s="384">
        <f t="shared" ref="ET264:EW264" si="500">ET262/EP262-1</f>
        <v>2.0000000000000018E-2</v>
      </c>
      <c r="EU264" s="384">
        <f t="shared" si="500"/>
        <v>2.0000000000000018E-2</v>
      </c>
      <c r="EV264" s="384">
        <f t="shared" si="500"/>
        <v>2.0000000000000018E-2</v>
      </c>
      <c r="EW264" s="384">
        <f t="shared" si="500"/>
        <v>2.0000000000000018E-2</v>
      </c>
      <c r="FU264" s="382">
        <f t="shared" ref="FU264:GK264" si="501">FU262/FT262-1</f>
        <v>-0.14647782170962353</v>
      </c>
      <c r="FV264" s="382">
        <f t="shared" si="501"/>
        <v>-0.18296953859075404</v>
      </c>
      <c r="FW264" s="382">
        <f t="shared" si="501"/>
        <v>0.40055154085710987</v>
      </c>
      <c r="FX264" s="382">
        <f t="shared" si="501"/>
        <v>0.37472388401358581</v>
      </c>
      <c r="FY264" s="382">
        <f t="shared" si="501"/>
        <v>0.1512117190379545</v>
      </c>
      <c r="FZ264" s="382">
        <f t="shared" si="501"/>
        <v>-0.3270108265266205</v>
      </c>
      <c r="GA264" s="382">
        <f t="shared" si="501"/>
        <v>8.8076980384712344E-2</v>
      </c>
      <c r="GB264" s="382">
        <f t="shared" si="501"/>
        <v>0.41902382295730622</v>
      </c>
      <c r="GC264" s="382">
        <f t="shared" si="501"/>
        <v>-0.10876402475741564</v>
      </c>
      <c r="GD264" s="382">
        <f t="shared" si="501"/>
        <v>-0.68108214119085986</v>
      </c>
      <c r="GE264" s="382">
        <f t="shared" si="501"/>
        <v>-0.59051810186696996</v>
      </c>
      <c r="GF264" s="382">
        <f t="shared" si="501"/>
        <v>3.2945034697777542E-2</v>
      </c>
      <c r="GG264" s="387">
        <f t="shared" si="501"/>
        <v>4.7505458034048154E-2</v>
      </c>
      <c r="GH264" s="387">
        <f t="shared" si="501"/>
        <v>4.2676669220377716E-2</v>
      </c>
      <c r="GI264" s="387">
        <f t="shared" si="501"/>
        <v>2.0000000000000018E-2</v>
      </c>
      <c r="GJ264" s="387">
        <f t="shared" si="501"/>
        <v>2.0000000000000018E-2</v>
      </c>
      <c r="GK264" s="387">
        <f t="shared" si="501"/>
        <v>2.0000000000000018E-2</v>
      </c>
      <c r="GN264" s="70"/>
      <c r="GS264" s="453"/>
      <c r="GT264" s="453"/>
      <c r="GU264" s="453"/>
      <c r="GV264" s="453"/>
      <c r="GW264" s="453"/>
      <c r="GX264" s="453"/>
      <c r="GY264" s="453"/>
      <c r="GZ264" s="453"/>
      <c r="HA264" s="453"/>
      <c r="HB264" s="453"/>
      <c r="HC264" s="453"/>
      <c r="HD264" s="453"/>
      <c r="HE264" s="453"/>
      <c r="HF264" s="453"/>
      <c r="HG264" s="453"/>
      <c r="HH264" s="453"/>
      <c r="HI264" s="453"/>
    </row>
    <row r="265" spans="1:217" s="382" customFormat="1">
      <c r="A265" s="381" t="s">
        <v>261</v>
      </c>
      <c r="CD265" s="382">
        <f t="shared" ref="CD265:EO265" si="502">CD262/CD$4</f>
        <v>0.1063584558823529</v>
      </c>
      <c r="CE265" s="382">
        <f t="shared" si="502"/>
        <v>9.0459086993970733E-2</v>
      </c>
      <c r="CF265" s="382">
        <f t="shared" si="502"/>
        <v>6.2945585215605782E-2</v>
      </c>
      <c r="CG265" s="382">
        <f t="shared" si="502"/>
        <v>6.2132315921963485E-2</v>
      </c>
      <c r="CH265" s="382">
        <f t="shared" si="502"/>
        <v>6.9903453829634865E-2</v>
      </c>
      <c r="CI265" s="382">
        <f t="shared" si="502"/>
        <v>6.7800763358778646E-2</v>
      </c>
      <c r="CJ265" s="382">
        <f t="shared" si="502"/>
        <v>5.8063216235129479E-2</v>
      </c>
      <c r="CK265" s="382">
        <f t="shared" si="502"/>
        <v>5.8788229217110528E-2</v>
      </c>
      <c r="CL265" s="382">
        <f t="shared" si="502"/>
        <v>6.8043933203883536E-2</v>
      </c>
      <c r="CM265" s="382">
        <f t="shared" si="502"/>
        <v>7.6340614861995768E-2</v>
      </c>
      <c r="CN265" s="382">
        <f t="shared" si="502"/>
        <v>6.804281998114986E-2</v>
      </c>
      <c r="CO265" s="382">
        <f t="shared" si="502"/>
        <v>7.5910829697285978E-2</v>
      </c>
      <c r="CP265" s="382">
        <f t="shared" si="502"/>
        <v>8.5078301802884615E-2</v>
      </c>
      <c r="CQ265" s="382">
        <f t="shared" si="502"/>
        <v>9.4585098532132428E-2</v>
      </c>
      <c r="CR265" s="382">
        <f t="shared" si="502"/>
        <v>7.1062048493113969E-2</v>
      </c>
      <c r="CS265" s="382">
        <f t="shared" si="502"/>
        <v>0.12751886829579118</v>
      </c>
      <c r="CT265" s="382">
        <f t="shared" si="502"/>
        <v>0.11233881030253047</v>
      </c>
      <c r="CU265" s="382">
        <f t="shared" si="502"/>
        <v>9.1537283853567061E-2</v>
      </c>
      <c r="CV265" s="382">
        <f t="shared" si="502"/>
        <v>9.612360426069852E-2</v>
      </c>
      <c r="CW265" s="382">
        <f t="shared" si="502"/>
        <v>0.11627383546005862</v>
      </c>
      <c r="CX265" s="382">
        <f t="shared" si="502"/>
        <v>0.10732003783716987</v>
      </c>
      <c r="CY265" s="382">
        <f t="shared" si="502"/>
        <v>9.8447363601761068E-2</v>
      </c>
      <c r="CZ265" s="382">
        <f t="shared" si="502"/>
        <v>9.4912553441960174E-2</v>
      </c>
      <c r="DA265" s="382">
        <f t="shared" si="502"/>
        <v>9.1210714923860375E-2</v>
      </c>
      <c r="DB265" s="382">
        <f t="shared" si="502"/>
        <v>6.3773641755362806E-2</v>
      </c>
      <c r="DC265" s="382">
        <f t="shared" si="502"/>
        <v>7.5345727316960265E-2</v>
      </c>
      <c r="DD265" s="382">
        <f t="shared" si="502"/>
        <v>6.2641672879122076E-2</v>
      </c>
      <c r="DE265" s="382">
        <f t="shared" si="502"/>
        <v>5.5803559672958074E-2</v>
      </c>
      <c r="DF265" s="382">
        <f t="shared" si="502"/>
        <v>7.0345024495149636E-2</v>
      </c>
      <c r="DG265" s="382">
        <f t="shared" si="502"/>
        <v>5.0444033028854342E-2</v>
      </c>
      <c r="DH265" s="382">
        <f t="shared" si="502"/>
        <v>4.1900684655013107E-2</v>
      </c>
      <c r="DI265" s="382">
        <f t="shared" si="502"/>
        <v>3.8601736876946249E-2</v>
      </c>
      <c r="DJ265" s="383">
        <f t="shared" si="502"/>
        <v>4.4401095506937723E-2</v>
      </c>
      <c r="DK265" s="383">
        <f t="shared" si="502"/>
        <v>4.2716910460802573E-2</v>
      </c>
      <c r="DL265" s="383">
        <f t="shared" si="502"/>
        <v>4.1043885456257069E-2</v>
      </c>
      <c r="DM265" s="383">
        <f t="shared" si="502"/>
        <v>3.447360262322053E-2</v>
      </c>
      <c r="DN265" s="383">
        <f t="shared" si="502"/>
        <v>2.8725952507060296E-2</v>
      </c>
      <c r="DO265" s="383">
        <f t="shared" si="502"/>
        <v>2.8052327609657115E-2</v>
      </c>
      <c r="DP265" s="383">
        <f t="shared" si="502"/>
        <v>1.2114822617903368E-2</v>
      </c>
      <c r="DQ265" s="383">
        <f>DQ262/DQ$4</f>
        <v>3.0124947824725818E-2</v>
      </c>
      <c r="DR265" s="383">
        <f>DR262/DR$4</f>
        <v>1.9955459352484394E-2</v>
      </c>
      <c r="DS265" s="383">
        <f t="shared" si="502"/>
        <v>5.3912755040499052E-3</v>
      </c>
      <c r="DT265" s="383">
        <f t="shared" si="502"/>
        <v>5.4749594232413722E-3</v>
      </c>
      <c r="DU265" s="383">
        <f t="shared" si="502"/>
        <v>3.3001975305547199E-3</v>
      </c>
      <c r="DV265" s="382">
        <f t="shared" si="502"/>
        <v>3.2506505488827625E-3</v>
      </c>
      <c r="DW265" s="382">
        <f t="shared" si="502"/>
        <v>3.1815465213430845E-3</v>
      </c>
      <c r="DX265" s="382">
        <f t="shared" si="502"/>
        <v>2.4456593366935248E-3</v>
      </c>
      <c r="DY265" s="382">
        <f t="shared" si="502"/>
        <v>3.1180937168069291E-3</v>
      </c>
      <c r="DZ265" s="382">
        <f t="shared" si="502"/>
        <v>2.5682561638405445E-3</v>
      </c>
      <c r="EA265" s="382">
        <f t="shared" si="502"/>
        <v>2.6348537029856514E-3</v>
      </c>
      <c r="EB265" s="382">
        <f t="shared" si="502"/>
        <v>2.168111853814653E-3</v>
      </c>
      <c r="EC265" s="382">
        <f t="shared" si="502"/>
        <v>1.9519340019834744E-3</v>
      </c>
      <c r="ED265" s="382">
        <f t="shared" si="502"/>
        <v>1.9942738168709341E-3</v>
      </c>
      <c r="EE265" s="384">
        <f t="shared" si="502"/>
        <v>1.8584280365637573E-3</v>
      </c>
      <c r="EF265" s="384">
        <f t="shared" si="502"/>
        <v>1.7215546951123387E-3</v>
      </c>
      <c r="EG265" s="384">
        <f t="shared" si="502"/>
        <v>1.3134671708330211E-3</v>
      </c>
      <c r="EH265" s="384">
        <f t="shared" si="502"/>
        <v>1.2442013321177997E-3</v>
      </c>
      <c r="EI265" s="384">
        <f t="shared" si="502"/>
        <v>1.1291374013440696E-3</v>
      </c>
      <c r="EJ265" s="384">
        <f t="shared" si="502"/>
        <v>9.7996975803131049E-4</v>
      </c>
      <c r="EK265" s="384">
        <f t="shared" si="502"/>
        <v>8.8473757276263736E-4</v>
      </c>
      <c r="EL265" s="384">
        <f t="shared" si="502"/>
        <v>9.2418284127765275E-4</v>
      </c>
      <c r="EM265" s="384">
        <f t="shared" si="502"/>
        <v>8.838819390952692E-4</v>
      </c>
      <c r="EN265" s="384">
        <f t="shared" si="502"/>
        <v>8.2339804407415029E-4</v>
      </c>
      <c r="EO265" s="384">
        <f t="shared" si="502"/>
        <v>7.6955441615560248E-4</v>
      </c>
      <c r="EP265" s="384">
        <f t="shared" ref="EP265:EW265" si="503">EP262/EP$4</f>
        <v>8.0097840598761163E-4</v>
      </c>
      <c r="EQ265" s="384">
        <f t="shared" si="503"/>
        <v>7.6821445114813038E-4</v>
      </c>
      <c r="ER265" s="384">
        <f t="shared" si="503"/>
        <v>7.1158810774070555E-4</v>
      </c>
      <c r="ES265" s="384">
        <f t="shared" si="503"/>
        <v>6.8154452255107898E-4</v>
      </c>
      <c r="ET265" s="384">
        <f t="shared" si="503"/>
        <v>7.2587770849053684E-4</v>
      </c>
      <c r="EU265" s="384">
        <f t="shared" si="503"/>
        <v>6.9642230644459933E-4</v>
      </c>
      <c r="EV265" s="384">
        <f t="shared" si="503"/>
        <v>6.3378875462013421E-4</v>
      </c>
      <c r="EW265" s="384">
        <f t="shared" si="503"/>
        <v>6.0583914210705697E-4</v>
      </c>
      <c r="FO265" s="382">
        <f>FO262/FO$4</f>
        <v>0</v>
      </c>
      <c r="FP265" s="382">
        <f>FP262/FP$4</f>
        <v>0</v>
      </c>
      <c r="FQ265" s="382">
        <f>FQ262/FQ$4</f>
        <v>0</v>
      </c>
      <c r="FR265" s="382">
        <f>FR262/FR$4</f>
        <v>0</v>
      </c>
      <c r="FS265" s="382">
        <f>FS262/FS$4</f>
        <v>0</v>
      </c>
      <c r="FT265" s="382">
        <f t="shared" ref="FT265:GF265" si="504">FT262/FT$4</f>
        <v>7.76434704661257E-2</v>
      </c>
      <c r="FU265" s="382">
        <f t="shared" si="504"/>
        <v>6.3778964220849971E-2</v>
      </c>
      <c r="FV265" s="382">
        <f t="shared" si="504"/>
        <v>7.1890282448008019E-2</v>
      </c>
      <c r="FW265" s="382">
        <f t="shared" si="504"/>
        <v>9.4063204355839175E-2</v>
      </c>
      <c r="FX265" s="382">
        <f t="shared" si="504"/>
        <v>0.10366228344679364</v>
      </c>
      <c r="FY265" s="382">
        <f t="shared" si="504"/>
        <v>9.8215927122629998E-2</v>
      </c>
      <c r="FZ265" s="382">
        <f t="shared" si="504"/>
        <v>6.3584341868187247E-2</v>
      </c>
      <c r="GA265" s="382">
        <f t="shared" si="504"/>
        <v>4.7698651818866046E-2</v>
      </c>
      <c r="GB265" s="382">
        <f t="shared" si="504"/>
        <v>4.0210159640257356E-2</v>
      </c>
      <c r="GC265" s="382">
        <f t="shared" si="504"/>
        <v>2.495406970008009E-2</v>
      </c>
      <c r="GD265" s="382">
        <f t="shared" si="504"/>
        <v>8.2814727673418825E-3</v>
      </c>
      <c r="GE265" s="382">
        <f t="shared" si="504"/>
        <v>2.9827592439904153E-3</v>
      </c>
      <c r="GF265" s="382">
        <f t="shared" si="504"/>
        <v>2.2934918575833966E-3</v>
      </c>
      <c r="GG265" s="384">
        <f>GG262/GG$4</f>
        <v>1.6757372302587117E-3</v>
      </c>
      <c r="GH265" s="384">
        <f>GH262/GH$4</f>
        <v>1.0416453541082559E-3</v>
      </c>
      <c r="GI265" s="384">
        <f t="shared" ref="GI265:GK265" si="505">GI262/GI$4</f>
        <v>8.4614135768553908E-4</v>
      </c>
      <c r="GJ265" s="384">
        <f t="shared" si="505"/>
        <v>7.3763231918214968E-4</v>
      </c>
      <c r="GK265" s="384">
        <f t="shared" si="505"/>
        <v>6.620358560226171E-4</v>
      </c>
      <c r="GN265" s="70"/>
      <c r="GS265" s="453"/>
      <c r="GT265" s="453"/>
      <c r="GU265" s="453"/>
      <c r="GV265" s="453"/>
      <c r="GW265" s="453"/>
      <c r="GX265" s="453"/>
      <c r="GY265" s="453"/>
      <c r="GZ265" s="453"/>
      <c r="HA265" s="453"/>
      <c r="HB265" s="453"/>
      <c r="HC265" s="453"/>
      <c r="HD265" s="453"/>
      <c r="HE265" s="453"/>
      <c r="HF265" s="453"/>
      <c r="HG265" s="453"/>
      <c r="HH265" s="453"/>
      <c r="HI265" s="453"/>
    </row>
    <row r="266" spans="1:217" s="379" customFormat="1">
      <c r="A266" s="405" t="s">
        <v>291</v>
      </c>
      <c r="B266" s="376"/>
      <c r="C266" s="376"/>
      <c r="D266" s="376"/>
      <c r="E266" s="376"/>
      <c r="F266" s="376"/>
      <c r="G266" s="376"/>
      <c r="H266" s="376"/>
      <c r="I266" s="376"/>
      <c r="J266" s="376"/>
      <c r="K266" s="376"/>
      <c r="L266" s="376"/>
      <c r="M266" s="376"/>
      <c r="N266" s="376"/>
      <c r="O266" s="376"/>
      <c r="P266" s="376"/>
      <c r="Q266" s="376"/>
      <c r="R266" s="376"/>
      <c r="S266" s="376"/>
      <c r="T266" s="376"/>
      <c r="U266" s="376"/>
      <c r="V266" s="376"/>
      <c r="W266" s="376"/>
      <c r="X266" s="376"/>
      <c r="Y266" s="376"/>
      <c r="Z266" s="376"/>
      <c r="AA266" s="376"/>
      <c r="AB266" s="376"/>
      <c r="AC266" s="376"/>
      <c r="AD266" s="376"/>
      <c r="AE266" s="376"/>
      <c r="AF266" s="376"/>
      <c r="AG266" s="376"/>
      <c r="AH266" s="376"/>
      <c r="AI266" s="376"/>
      <c r="AJ266" s="376"/>
      <c r="AK266" s="376"/>
      <c r="AL266" s="376"/>
      <c r="AM266" s="376"/>
      <c r="AN266" s="376"/>
      <c r="AO266" s="376"/>
      <c r="AP266" s="376"/>
      <c r="AQ266" s="376"/>
      <c r="AR266" s="376"/>
      <c r="AS266" s="376"/>
      <c r="AT266" s="376"/>
      <c r="AU266" s="376"/>
      <c r="AV266" s="376"/>
      <c r="AW266" s="376"/>
      <c r="AX266" s="376"/>
      <c r="AY266" s="376"/>
      <c r="AZ266" s="376"/>
      <c r="BA266" s="376"/>
      <c r="BB266" s="376"/>
      <c r="BC266" s="376"/>
      <c r="BD266" s="376"/>
      <c r="BE266" s="376"/>
      <c r="BF266" s="376"/>
      <c r="BG266" s="376"/>
      <c r="BH266" s="376"/>
      <c r="BI266" s="376"/>
      <c r="BJ266" s="376"/>
      <c r="BK266" s="376"/>
      <c r="BL266" s="376"/>
      <c r="BM266" s="376"/>
      <c r="BN266" s="376"/>
      <c r="BO266" s="376"/>
      <c r="BP266" s="376"/>
      <c r="BQ266" s="376"/>
      <c r="BR266" s="376"/>
      <c r="BS266" s="376"/>
      <c r="BT266" s="376"/>
      <c r="BU266" s="376"/>
      <c r="BV266" s="376"/>
      <c r="BW266" s="376"/>
      <c r="BX266" s="376"/>
      <c r="BY266" s="376"/>
      <c r="BZ266" s="376"/>
      <c r="CA266" s="376"/>
      <c r="CB266" s="376"/>
      <c r="CC266" s="376"/>
      <c r="CD266" s="376"/>
      <c r="CE266" s="376"/>
      <c r="CF266" s="376"/>
      <c r="CG266" s="376"/>
      <c r="CH266" s="376"/>
      <c r="CI266" s="376"/>
      <c r="CJ266" s="376"/>
      <c r="CK266" s="376"/>
      <c r="CL266" s="376"/>
      <c r="CM266" s="376"/>
      <c r="CN266" s="376"/>
      <c r="CO266" s="376"/>
      <c r="CP266" s="376"/>
      <c r="CQ266" s="376"/>
      <c r="CR266" s="376"/>
      <c r="CS266" s="376"/>
      <c r="CT266" s="376"/>
      <c r="CU266" s="376"/>
      <c r="CV266" s="376"/>
      <c r="CW266" s="376"/>
      <c r="CX266" s="376">
        <v>5</v>
      </c>
      <c r="CY266" s="376">
        <v>7</v>
      </c>
      <c r="CZ266" s="376">
        <f>+CZ289*CZ310/1000</f>
        <v>29.75</v>
      </c>
      <c r="DA266" s="376">
        <f>+DA289*DA310/1000</f>
        <v>105</v>
      </c>
      <c r="DB266" s="376">
        <f>+DB289*DB310/1000</f>
        <v>67.5</v>
      </c>
      <c r="DC266" s="376">
        <f>+DC289*DC310/1000</f>
        <v>58.333333333333336</v>
      </c>
      <c r="DD266" s="376">
        <f>+DD289*DD310/1000</f>
        <v>35</v>
      </c>
      <c r="DE266" s="376">
        <f>+DE289*DE310/1000</f>
        <v>72.794117647058826</v>
      </c>
      <c r="DF266" s="376">
        <f>+DF289*DF310/1000</f>
        <v>33</v>
      </c>
      <c r="DG266" s="376">
        <f>+DG289*DG310/1000</f>
        <v>48.166666666666671</v>
      </c>
      <c r="DH266" s="376">
        <f>+DH289*DH310/1000</f>
        <v>38.550724637681157</v>
      </c>
      <c r="DI266" s="376">
        <f>+DI289*DI310/1000</f>
        <v>42</v>
      </c>
      <c r="DJ266" s="397">
        <f>+DJ289*DJ310/1000</f>
        <v>47</v>
      </c>
      <c r="DK266" s="397">
        <f>+DK289*DK310/1000</f>
        <v>85.909090909090907</v>
      </c>
      <c r="DL266" s="397">
        <f>+DL289*DL310/1000</f>
        <v>186.66666666666666</v>
      </c>
      <c r="DM266" s="397">
        <f>+DM289*DM310/1000</f>
        <v>146.66666666666666</v>
      </c>
      <c r="DN266" s="397">
        <f>+DN289*DN310/1000</f>
        <v>43.083333333333329</v>
      </c>
      <c r="DO266" s="397">
        <f>+DO289*DO310/1000</f>
        <v>48</v>
      </c>
      <c r="DP266" s="397">
        <f>+DP289*DP310/1000</f>
        <v>60</v>
      </c>
      <c r="DQ266" s="397">
        <f>+DQ289*DQ310/1000</f>
        <v>60</v>
      </c>
      <c r="DR266" s="397">
        <f>+DR289*DR310/1000</f>
        <v>60</v>
      </c>
      <c r="DS266" s="397">
        <f>+DS289*DS310/1000</f>
        <v>53.333333333333336</v>
      </c>
      <c r="DT266" s="397">
        <f>+DT289*DT310/1000</f>
        <v>58.666666666666671</v>
      </c>
      <c r="DU266" s="397">
        <f>+DU289*DU310/1000</f>
        <v>441.22222222222223</v>
      </c>
      <c r="DV266" s="376">
        <f>+DV289*DV310/1000</f>
        <v>673.01834862385317</v>
      </c>
      <c r="DW266" s="376">
        <f>+DW289*DW310/1000</f>
        <v>1116.1814260563381</v>
      </c>
      <c r="DX266" s="376">
        <f>+DX289*DX310/1000</f>
        <v>1712.0723433530909</v>
      </c>
      <c r="DY266" s="376">
        <f>+DY289*DY310/1000</f>
        <v>1833.7313511201635</v>
      </c>
      <c r="DZ266" s="376">
        <f>+DZ289*DZ310/1000</f>
        <v>1746.6811128712877</v>
      </c>
      <c r="EA266" s="376">
        <f>+EA289*EA310/1000</f>
        <v>1058.5902237548939</v>
      </c>
      <c r="EB266" s="376">
        <f>+EB289*EB310/1000</f>
        <v>1882.5666488103057</v>
      </c>
      <c r="EC266" s="376">
        <f>+EC289*EC310/1000</f>
        <v>2429.8382679157853</v>
      </c>
      <c r="ED266" s="376">
        <f>+ED289*ED310/1000</f>
        <v>2405.053917583044</v>
      </c>
      <c r="EE266" s="380">
        <f>+EE289*EE310/1000</f>
        <v>2650.6099225682733</v>
      </c>
      <c r="EF266" s="380">
        <f>+EF289*EF310/1000</f>
        <v>3261.5755097202609</v>
      </c>
      <c r="EG266" s="380">
        <f>+EG289*EG310/1000</f>
        <v>7208.081876481775</v>
      </c>
      <c r="EH266" s="380">
        <f>+EH289*EH310/1000</f>
        <v>8406.7858925406945</v>
      </c>
      <c r="EI266" s="380">
        <f>+EI289*EI310/1000</f>
        <v>9509.7562016420361</v>
      </c>
      <c r="EJ266" s="380">
        <f>+EJ289*EJ310/1000</f>
        <v>11483.030613482761</v>
      </c>
      <c r="EK266" s="380">
        <f>+EK289*EK310/1000</f>
        <v>13136.587021824278</v>
      </c>
      <c r="EL266" s="380">
        <f>+EL289*EL310/1000</f>
        <v>12854.150400855056</v>
      </c>
      <c r="EM266" s="380">
        <f>+EM289*EM310/1000</f>
        <v>13372.172662009516</v>
      </c>
      <c r="EN266" s="380">
        <f>+EN289*EN310/1000</f>
        <v>14451.306995833686</v>
      </c>
      <c r="EO266" s="380">
        <f>+EO289*EO310/1000</f>
        <v>15629.088515994134</v>
      </c>
      <c r="EP266" s="380">
        <f>+EP289*EP310/1000</f>
        <v>16258.940783188697</v>
      </c>
      <c r="EQ266" s="380">
        <f>+EQ289*EQ310/1000</f>
        <v>17081.643186818048</v>
      </c>
      <c r="ER266" s="380">
        <f>+ER289*ER310/1000</f>
        <v>18649.738031367946</v>
      </c>
      <c r="ES266" s="380">
        <f>+ES289*ES310/1000</f>
        <v>19403.187447835211</v>
      </c>
      <c r="ET266" s="380">
        <f>+ET289*ET310/1000</f>
        <v>19185.871748419457</v>
      </c>
      <c r="EU266" s="380">
        <f>+EU289*EU310/1000</f>
        <v>20156.676858889477</v>
      </c>
      <c r="EV266" s="380">
        <f>+EV289*EV310/1000</f>
        <v>22639.979447904669</v>
      </c>
      <c r="EW266" s="380">
        <f>+EW289*EW310/1000</f>
        <v>23554.634617600015</v>
      </c>
      <c r="EZ266" s="376"/>
      <c r="FA266" s="376"/>
      <c r="FB266" s="376"/>
      <c r="FC266" s="376"/>
      <c r="FD266" s="376"/>
      <c r="FE266" s="376"/>
      <c r="FF266" s="376"/>
      <c r="FG266" s="376"/>
      <c r="FH266" s="376"/>
      <c r="FI266" s="376"/>
      <c r="FJ266" s="376"/>
      <c r="FK266" s="376"/>
      <c r="FL266" s="376"/>
      <c r="FM266" s="376"/>
      <c r="FN266" s="376"/>
      <c r="FO266" s="376"/>
      <c r="FP266" s="376"/>
      <c r="FQ266" s="376"/>
      <c r="FR266" s="376"/>
      <c r="FS266" s="376"/>
      <c r="FT266" s="376"/>
      <c r="FU266" s="376"/>
      <c r="FV266" s="376"/>
      <c r="FW266" s="376"/>
      <c r="FX266" s="376"/>
      <c r="FY266" s="376">
        <f>CX266+CY266+CZ266+DA266</f>
        <v>146.75</v>
      </c>
      <c r="FZ266" s="376">
        <f>DB266+DC266+DD266+DE266</f>
        <v>233.62745098039215</v>
      </c>
      <c r="GA266" s="376">
        <f>SUM(DF266:DI266)</f>
        <v>161.71739130434781</v>
      </c>
      <c r="GB266" s="376">
        <f>SUM(DJ266:DM266)</f>
        <v>466.24242424242425</v>
      </c>
      <c r="GC266" s="376">
        <f>SUM(DN266:DQ266)</f>
        <v>211.08333333333331</v>
      </c>
      <c r="GD266" s="376">
        <f>SUM(DR266:DU266)</f>
        <v>613.22222222222217</v>
      </c>
      <c r="GE266" s="376">
        <f>SUM(DV266:DY266)</f>
        <v>5335.0034691534456</v>
      </c>
      <c r="GF266" s="376">
        <f>SUM(DZ266:EC266)</f>
        <v>7117.6762533522724</v>
      </c>
      <c r="GG266" s="380">
        <f>SUM(ED266:EG266)</f>
        <v>15525.321226353353</v>
      </c>
      <c r="GH266" s="380">
        <f>SUM(EH266:EK266)</f>
        <v>42536.159729489773</v>
      </c>
      <c r="GI266" s="380">
        <f>SUM(EL266:EO266)</f>
        <v>56306.718574692386</v>
      </c>
      <c r="GJ266" s="380">
        <f>SUM(EP266:ES266)</f>
        <v>71393.509449209902</v>
      </c>
      <c r="GK266" s="380">
        <f>SUM(ET266:EW266)</f>
        <v>85537.162672813618</v>
      </c>
      <c r="GN266" s="70"/>
      <c r="GO266" s="468"/>
      <c r="GP266" s="468"/>
      <c r="GQ266" s="468"/>
      <c r="GR266" s="468"/>
      <c r="GS266" s="453"/>
      <c r="GT266" s="453"/>
      <c r="GU266" s="453"/>
      <c r="GV266" s="453"/>
      <c r="GW266" s="453"/>
      <c r="GX266" s="453"/>
      <c r="GY266" s="453"/>
      <c r="GZ266" s="453"/>
      <c r="HA266" s="453"/>
      <c r="HB266" s="453"/>
      <c r="HC266" s="453"/>
      <c r="HD266" s="453"/>
      <c r="HE266" s="453"/>
      <c r="HF266" s="453"/>
      <c r="HG266" s="453"/>
      <c r="HH266" s="453"/>
      <c r="HI266" s="453"/>
    </row>
    <row r="267" spans="1:217" s="382" customFormat="1">
      <c r="A267" s="381" t="s">
        <v>198</v>
      </c>
      <c r="CY267" s="382">
        <f>CY266/CX266-1</f>
        <v>0.39999999999999991</v>
      </c>
      <c r="CZ267" s="382">
        <f t="shared" ref="CZ267:EW267" si="506">CZ266/CY266-1</f>
        <v>3.25</v>
      </c>
      <c r="DA267" s="382">
        <f t="shared" si="506"/>
        <v>2.5294117647058822</v>
      </c>
      <c r="DB267" s="382">
        <f t="shared" si="506"/>
        <v>-0.3571428571428571</v>
      </c>
      <c r="DC267" s="382">
        <f t="shared" si="506"/>
        <v>-0.13580246913580241</v>
      </c>
      <c r="DD267" s="382">
        <v>-0.55000000000000004</v>
      </c>
      <c r="DE267" s="382">
        <f t="shared" si="506"/>
        <v>1.0798319327731094</v>
      </c>
      <c r="DF267" s="382">
        <f t="shared" si="506"/>
        <v>-0.54666666666666663</v>
      </c>
      <c r="DG267" s="382">
        <f t="shared" si="506"/>
        <v>0.45959595959595978</v>
      </c>
      <c r="DH267" s="382">
        <f t="shared" si="506"/>
        <v>-0.19963893485783069</v>
      </c>
      <c r="DI267" s="382">
        <f t="shared" si="506"/>
        <v>8.9473684210526372E-2</v>
      </c>
      <c r="DJ267" s="383">
        <f t="shared" si="506"/>
        <v>0.11904761904761907</v>
      </c>
      <c r="DK267" s="383">
        <f t="shared" si="506"/>
        <v>0.82785299806576407</v>
      </c>
      <c r="DL267" s="383">
        <f t="shared" si="506"/>
        <v>1.1728395061728394</v>
      </c>
      <c r="DM267" s="383">
        <f t="shared" si="506"/>
        <v>-0.2142857142857143</v>
      </c>
      <c r="DN267" s="383">
        <f t="shared" si="506"/>
        <v>-0.70625000000000004</v>
      </c>
      <c r="DO267" s="383">
        <f t="shared" si="506"/>
        <v>0.11411992263056114</v>
      </c>
      <c r="DP267" s="383">
        <f t="shared" si="506"/>
        <v>0.25</v>
      </c>
      <c r="DQ267" s="383">
        <f t="shared" si="506"/>
        <v>0</v>
      </c>
      <c r="DR267" s="383">
        <f t="shared" si="506"/>
        <v>0</v>
      </c>
      <c r="DS267" s="383">
        <f t="shared" si="506"/>
        <v>-0.11111111111111105</v>
      </c>
      <c r="DT267" s="383">
        <f t="shared" si="506"/>
        <v>0.10000000000000009</v>
      </c>
      <c r="DU267" s="383">
        <f t="shared" si="506"/>
        <v>6.520833333333333</v>
      </c>
      <c r="DV267" s="382">
        <f t="shared" si="506"/>
        <v>0.52535007242877829</v>
      </c>
      <c r="DW267" s="382">
        <f t="shared" si="506"/>
        <v>0.65847101841820166</v>
      </c>
      <c r="DX267" s="382">
        <f>DX266/DW266-1</f>
        <v>0.53386564530296687</v>
      </c>
      <c r="DY267" s="382">
        <f t="shared" si="506"/>
        <v>7.1059501801660874E-2</v>
      </c>
      <c r="DZ267" s="382">
        <f t="shared" si="506"/>
        <v>-4.7471642013264259E-2</v>
      </c>
      <c r="EA267" s="382">
        <f t="shared" si="506"/>
        <v>-0.39394190733835399</v>
      </c>
      <c r="EB267" s="382">
        <f t="shared" si="506"/>
        <v>0.7783714666594117</v>
      </c>
      <c r="EC267" s="382">
        <f t="shared" si="506"/>
        <v>0.29070504327234836</v>
      </c>
      <c r="ED267" s="382">
        <f t="shared" si="506"/>
        <v>-1.0200000000000098E-2</v>
      </c>
      <c r="EE267" s="384">
        <f t="shared" si="506"/>
        <v>0.1021000000000003</v>
      </c>
      <c r="EF267" s="384">
        <f t="shared" si="506"/>
        <v>0.23050000000000015</v>
      </c>
      <c r="EG267" s="384">
        <f t="shared" si="506"/>
        <v>1.2099999999999995</v>
      </c>
      <c r="EH267" s="384">
        <f t="shared" si="506"/>
        <v>0.16630000000000011</v>
      </c>
      <c r="EI267" s="384">
        <f t="shared" si="506"/>
        <v>0.13120000000000021</v>
      </c>
      <c r="EJ267" s="384">
        <f t="shared" si="506"/>
        <v>0.20750000000000024</v>
      </c>
      <c r="EK267" s="384">
        <f t="shared" si="506"/>
        <v>0.14399999999999991</v>
      </c>
      <c r="EL267" s="384">
        <f t="shared" si="506"/>
        <v>-2.1499999999999964E-2</v>
      </c>
      <c r="EM267" s="384">
        <f t="shared" si="506"/>
        <v>4.0300000000000002E-2</v>
      </c>
      <c r="EN267" s="384">
        <f t="shared" si="506"/>
        <v>8.0700000000000216E-2</v>
      </c>
      <c r="EO267" s="384">
        <f t="shared" si="506"/>
        <v>8.1500000000000128E-2</v>
      </c>
      <c r="EP267" s="384">
        <f t="shared" si="506"/>
        <v>4.0300000000000002E-2</v>
      </c>
      <c r="EQ267" s="384">
        <f t="shared" si="506"/>
        <v>5.06000000000002E-2</v>
      </c>
      <c r="ER267" s="384">
        <f t="shared" si="506"/>
        <v>9.1800000000000104E-2</v>
      </c>
      <c r="ES267" s="384">
        <f t="shared" si="506"/>
        <v>4.0399999999999991E-2</v>
      </c>
      <c r="ET267" s="384">
        <f t="shared" si="506"/>
        <v>-1.1199999999999988E-2</v>
      </c>
      <c r="EU267" s="384">
        <f t="shared" si="506"/>
        <v>5.0599999999999756E-2</v>
      </c>
      <c r="EV267" s="384">
        <f t="shared" si="506"/>
        <v>0.12320000000000042</v>
      </c>
      <c r="EW267" s="384">
        <f t="shared" si="506"/>
        <v>4.0399999999999991E-2</v>
      </c>
      <c r="FZ267" s="386" t="s">
        <v>199</v>
      </c>
      <c r="GA267" s="386" t="s">
        <v>199</v>
      </c>
      <c r="GB267" s="386" t="s">
        <v>199</v>
      </c>
      <c r="GC267" s="386" t="s">
        <v>199</v>
      </c>
      <c r="GD267" s="386" t="s">
        <v>199</v>
      </c>
      <c r="GE267" s="386" t="s">
        <v>199</v>
      </c>
      <c r="GF267" s="386" t="s">
        <v>199</v>
      </c>
      <c r="GG267" s="386" t="s">
        <v>199</v>
      </c>
      <c r="GH267" s="386" t="s">
        <v>199</v>
      </c>
      <c r="GI267" s="386" t="s">
        <v>199</v>
      </c>
      <c r="GJ267" s="386" t="s">
        <v>199</v>
      </c>
      <c r="GK267" s="386" t="s">
        <v>199</v>
      </c>
      <c r="GN267" s="70"/>
      <c r="GS267" s="453"/>
      <c r="GT267" s="453"/>
      <c r="GU267" s="453"/>
      <c r="GV267" s="453"/>
      <c r="GW267" s="453"/>
      <c r="GX267" s="453"/>
      <c r="GY267" s="453"/>
      <c r="GZ267" s="453"/>
      <c r="HA267" s="453"/>
      <c r="HB267" s="453"/>
      <c r="HC267" s="453"/>
      <c r="HD267" s="453"/>
      <c r="HE267" s="453"/>
      <c r="HF267" s="453"/>
      <c r="HG267" s="453"/>
      <c r="HH267" s="453"/>
      <c r="HI267" s="453"/>
    </row>
    <row r="268" spans="1:217" s="382" customFormat="1">
      <c r="A268" s="381" t="s">
        <v>200</v>
      </c>
      <c r="DB268" s="382">
        <f>DB266/CX266-1</f>
        <v>12.5</v>
      </c>
      <c r="DC268" s="382">
        <f t="shared" ref="DC268:EW268" si="507">DC266/CY266-1</f>
        <v>7.3333333333333339</v>
      </c>
      <c r="DD268" s="382">
        <f t="shared" si="507"/>
        <v>0.17647058823529416</v>
      </c>
      <c r="DE268" s="382">
        <f t="shared" si="507"/>
        <v>-0.30672268907563027</v>
      </c>
      <c r="DF268" s="382">
        <f t="shared" si="507"/>
        <v>-0.51111111111111107</v>
      </c>
      <c r="DG268" s="382">
        <f t="shared" si="507"/>
        <v>-0.17428571428571427</v>
      </c>
      <c r="DH268" s="382">
        <f t="shared" si="507"/>
        <v>0.10144927536231885</v>
      </c>
      <c r="DI268" s="382">
        <f t="shared" si="507"/>
        <v>-0.42303030303030309</v>
      </c>
      <c r="DJ268" s="383">
        <f t="shared" si="507"/>
        <v>0.42424242424242431</v>
      </c>
      <c r="DK268" s="383">
        <f t="shared" si="507"/>
        <v>0.78357974205725056</v>
      </c>
      <c r="DL268" s="383">
        <f t="shared" si="507"/>
        <v>3.8421052631578947</v>
      </c>
      <c r="DM268" s="383">
        <f t="shared" si="507"/>
        <v>2.4920634920634916</v>
      </c>
      <c r="DN268" s="383">
        <f t="shared" si="507"/>
        <v>-8.3333333333333481E-2</v>
      </c>
      <c r="DO268" s="383">
        <f t="shared" si="507"/>
        <v>-0.44126984126984126</v>
      </c>
      <c r="DP268" s="383">
        <f t="shared" si="507"/>
        <v>-0.6785714285714286</v>
      </c>
      <c r="DQ268" s="383">
        <f t="shared" si="507"/>
        <v>-0.59090909090909083</v>
      </c>
      <c r="DR268" s="383">
        <f t="shared" si="507"/>
        <v>0.39264990328820137</v>
      </c>
      <c r="DS268" s="383">
        <f t="shared" si="507"/>
        <v>0.11111111111111116</v>
      </c>
      <c r="DT268" s="383">
        <f t="shared" si="507"/>
        <v>-2.2222222222222143E-2</v>
      </c>
      <c r="DU268" s="383">
        <f t="shared" si="507"/>
        <v>6.3537037037037036</v>
      </c>
      <c r="DV268" s="382">
        <f t="shared" si="507"/>
        <v>10.216972477064219</v>
      </c>
      <c r="DW268" s="382">
        <f t="shared" si="507"/>
        <v>19.928401738556339</v>
      </c>
      <c r="DX268" s="382">
        <f>DX266/DT266-1</f>
        <v>28.183051307154955</v>
      </c>
      <c r="DY268" s="382">
        <f>DY266/DU266-1</f>
        <v>3.1560267338407133</v>
      </c>
      <c r="DZ268" s="382">
        <f>DZ266/DV266-1</f>
        <v>1.5952949372670071</v>
      </c>
      <c r="EA268" s="382">
        <f>EA266/DW266-1</f>
        <v>-5.1596632014316746E-2</v>
      </c>
      <c r="EB268" s="382">
        <f t="shared" si="507"/>
        <v>9.9583587176755639E-2</v>
      </c>
      <c r="EC268" s="382">
        <f t="shared" si="507"/>
        <v>0.32507865256897128</v>
      </c>
      <c r="ED268" s="382">
        <f t="shared" si="507"/>
        <v>0.37692787759609314</v>
      </c>
      <c r="EE268" s="384">
        <f t="shared" si="507"/>
        <v>1.5039055369001741</v>
      </c>
      <c r="EF268" s="384">
        <f t="shared" si="507"/>
        <v>0.73251529329993414</v>
      </c>
      <c r="EG268" s="384">
        <f t="shared" si="507"/>
        <v>1.9664862767449001</v>
      </c>
      <c r="EH268" s="384">
        <f t="shared" si="507"/>
        <v>2.4954667049581505</v>
      </c>
      <c r="EI268" s="384">
        <f t="shared" si="507"/>
        <v>2.5877614886568008</v>
      </c>
      <c r="EJ268" s="384">
        <f t="shared" si="507"/>
        <v>2.5207005262520008</v>
      </c>
      <c r="EK268" s="384">
        <f t="shared" si="507"/>
        <v>0.82248027241280086</v>
      </c>
      <c r="EL268" s="384">
        <f t="shared" si="507"/>
        <v>0.5290207892960006</v>
      </c>
      <c r="EM268" s="384">
        <f t="shared" si="507"/>
        <v>0.40615304729900026</v>
      </c>
      <c r="EN268" s="384">
        <f t="shared" si="507"/>
        <v>0.2584924208828403</v>
      </c>
      <c r="EO268" s="384">
        <f t="shared" si="507"/>
        <v>0.18973737166502791</v>
      </c>
      <c r="EP268" s="384">
        <f t="shared" si="507"/>
        <v>0.26487867934913489</v>
      </c>
      <c r="EQ268" s="384">
        <f t="shared" si="507"/>
        <v>0.27740223062981961</v>
      </c>
      <c r="ER268" s="384">
        <f t="shared" si="507"/>
        <v>0.29052258295700661</v>
      </c>
      <c r="ES268" s="384">
        <f t="shared" si="507"/>
        <v>0.2414791449916498</v>
      </c>
      <c r="ET268" s="384">
        <f t="shared" si="507"/>
        <v>0.18001978137820185</v>
      </c>
      <c r="EU268" s="384">
        <f t="shared" si="507"/>
        <v>0.1800197813782014</v>
      </c>
      <c r="EV268" s="384">
        <f t="shared" si="507"/>
        <v>0.21395696871587866</v>
      </c>
      <c r="EW268" s="384">
        <f t="shared" si="507"/>
        <v>0.21395696871587844</v>
      </c>
      <c r="FZ268" s="382">
        <f t="shared" ref="FZ268:GK268" si="508">FZ266/FY266-1</f>
        <v>0.59200988743027017</v>
      </c>
      <c r="GA268" s="382">
        <f t="shared" si="508"/>
        <v>-0.30779798938130598</v>
      </c>
      <c r="GB268" s="382">
        <f t="shared" si="508"/>
        <v>1.8830691645586124</v>
      </c>
      <c r="GC268" s="382">
        <f t="shared" si="508"/>
        <v>-0.54726699597036266</v>
      </c>
      <c r="GD268" s="382">
        <f t="shared" si="508"/>
        <v>1.9051190946177128</v>
      </c>
      <c r="GE268" s="382">
        <f t="shared" si="508"/>
        <v>7.6999512995798174</v>
      </c>
      <c r="GF268" s="382">
        <f t="shared" si="508"/>
        <v>0.33414650890221442</v>
      </c>
      <c r="GG268" s="387">
        <f t="shared" si="508"/>
        <v>1.1812345312897956</v>
      </c>
      <c r="GH268" s="387">
        <f t="shared" si="508"/>
        <v>1.7397925691409881</v>
      </c>
      <c r="GI268" s="387">
        <f t="shared" si="508"/>
        <v>0.3237377077003889</v>
      </c>
      <c r="GJ268" s="387">
        <f t="shared" si="508"/>
        <v>0.26793944410922266</v>
      </c>
      <c r="GK268" s="387">
        <f t="shared" si="508"/>
        <v>0.1981083901424634</v>
      </c>
      <c r="GN268" s="70"/>
      <c r="GS268" s="453"/>
      <c r="GT268" s="453"/>
      <c r="GU268" s="453"/>
      <c r="GV268" s="453"/>
      <c r="GW268" s="453"/>
      <c r="GX268" s="453"/>
      <c r="GY268" s="453"/>
      <c r="GZ268" s="453"/>
      <c r="HA268" s="453"/>
      <c r="HB268" s="453"/>
      <c r="HC268" s="453"/>
      <c r="HD268" s="453"/>
      <c r="HE268" s="453"/>
      <c r="HF268" s="453"/>
      <c r="HG268" s="453"/>
      <c r="HH268" s="453"/>
      <c r="HI268" s="453"/>
    </row>
    <row r="269" spans="1:217" s="382" customFormat="1">
      <c r="A269" s="381" t="s">
        <v>261</v>
      </c>
      <c r="CX269" s="382">
        <f>CX266/CX4</f>
        <v>3.0358227079538553E-3</v>
      </c>
      <c r="CY269" s="382">
        <f>CY266/CY4</f>
        <v>3.986332574031891E-3</v>
      </c>
      <c r="CZ269" s="382">
        <f>CZ266/CZ4</f>
        <v>1.7997580157289778E-2</v>
      </c>
      <c r="DA269" s="382">
        <f>DA266/DA4</f>
        <v>7.399577167019028E-2</v>
      </c>
      <c r="DB269" s="382">
        <f>DB266/DB4</f>
        <v>5.3066037735849059E-2</v>
      </c>
      <c r="DC269" s="382">
        <f>DC266/DC4</f>
        <v>3.8101458741563253E-2</v>
      </c>
      <c r="DD269" s="382">
        <f>DD266/DD4</f>
        <v>1.943364797334814E-2</v>
      </c>
      <c r="DE269" s="382">
        <f>DE266/DE4</f>
        <v>3.4223844685970298E-2</v>
      </c>
      <c r="DF269" s="382">
        <f>DF266/DF4</f>
        <v>1.8477043673012318E-2</v>
      </c>
      <c r="DG269" s="382">
        <f>DG266/DG4</f>
        <v>2.4930986887508628E-2</v>
      </c>
      <c r="DH269" s="382">
        <f>DH266/DH4</f>
        <v>1.3763200513274244E-2</v>
      </c>
      <c r="DI269" s="382">
        <f>DI266/DI4</f>
        <v>1.2946979038224414E-2</v>
      </c>
      <c r="DJ269" s="383">
        <f>DJ266/DJ4</f>
        <v>1.3642960812772133E-2</v>
      </c>
      <c r="DK269" s="383">
        <f>DK266/DK4</f>
        <v>2.2314049586776859E-2</v>
      </c>
      <c r="DL269" s="383">
        <f>DL266/DL4</f>
        <v>4.3280006182858023E-2</v>
      </c>
      <c r="DM269" s="383">
        <f>DM266/DM4</f>
        <v>3.0390937974858406E-2</v>
      </c>
      <c r="DN269" s="383">
        <f>DN266/DN4</f>
        <v>7.3183851424041668E-3</v>
      </c>
      <c r="DO269" s="383">
        <f>DO266/DO4</f>
        <v>7.3282442748091601E-3</v>
      </c>
      <c r="DP269" s="383">
        <f>DP266/DP4</f>
        <v>1.078167115902965E-2</v>
      </c>
      <c r="DQ269" s="383">
        <f>DQ266/DQ4</f>
        <v>1.0716199321307376E-2</v>
      </c>
      <c r="DR269" s="383">
        <f>DR266/DR4</f>
        <v>1.1208668036614982E-2</v>
      </c>
      <c r="DS269" s="383">
        <f>DS266/DS4</f>
        <v>9.9521054923182185E-3</v>
      </c>
      <c r="DT269" s="383">
        <f>DT266/DT4</f>
        <v>1.0114942528735633E-2</v>
      </c>
      <c r="DU269" s="383">
        <f>DU266/DU4</f>
        <v>7.1534082720853154E-2</v>
      </c>
      <c r="DV269" s="382">
        <f>DV266/DV4</f>
        <v>0.12297064656017781</v>
      </c>
      <c r="DW269" s="382">
        <f>DW266/DW4</f>
        <v>0.1912907328288497</v>
      </c>
      <c r="DX269" s="382">
        <f>DX266/DX4</f>
        <v>0.25107381483400659</v>
      </c>
      <c r="DY269" s="382">
        <f>DY266/DY4</f>
        <v>0.23945303618701533</v>
      </c>
      <c r="DZ269" s="382">
        <f>DZ266/DZ4</f>
        <v>0.23483209369068134</v>
      </c>
      <c r="EA269" s="382">
        <f>EA266/EA4</f>
        <v>0.13774758929796929</v>
      </c>
      <c r="EB269" s="382">
        <f>EB266/EB4</f>
        <v>0.20360876582417323</v>
      </c>
      <c r="EC269" s="382">
        <f>EC266/EC4</f>
        <v>0.23659574176395184</v>
      </c>
      <c r="ED269" s="382">
        <f>ED266/ED4</f>
        <v>0.23457075173930012</v>
      </c>
      <c r="EE269" s="384">
        <f>EE266/EE4</f>
        <v>0.23618681602891381</v>
      </c>
      <c r="EF269" s="384">
        <f>EF266/EF4</f>
        <v>0.27194254115714778</v>
      </c>
      <c r="EG269" s="384">
        <f>EG266/EG4</f>
        <v>0.4451748260892921</v>
      </c>
      <c r="EH269" s="384">
        <f>EH266/EH4</f>
        <v>0.48218327368203634</v>
      </c>
      <c r="EI269" s="384">
        <f>EI266/EI4</f>
        <v>0.49500281509193766</v>
      </c>
      <c r="EJ269" s="384">
        <f>EJ266/EJ4</f>
        <v>0.51875308039242585</v>
      </c>
      <c r="EK269" s="384">
        <f>EK266/EK4</f>
        <v>0.53578248312325338</v>
      </c>
      <c r="EL269" s="384">
        <f>EL266/EL4</f>
        <v>0.53689900454532813</v>
      </c>
      <c r="EM269" s="384">
        <f>EM266/EM4</f>
        <v>0.53417991669565357</v>
      </c>
      <c r="EN269" s="384">
        <f>EN266/EN4</f>
        <v>0.53778449738856415</v>
      </c>
      <c r="EO269" s="384">
        <f>EO266/EO4</f>
        <v>0.5435810475521039</v>
      </c>
      <c r="EP269" s="384">
        <f>EP266/EP4</f>
        <v>0.57703772383306284</v>
      </c>
      <c r="EQ269" s="384">
        <f>EQ266/EQ4</f>
        <v>0.58143780652643318</v>
      </c>
      <c r="ER269" s="384">
        <f>ER266/ER4</f>
        <v>0.58802063410497996</v>
      </c>
      <c r="ES269" s="384">
        <f>ES266/ES4</f>
        <v>0.58594716855916473</v>
      </c>
      <c r="ET269" s="384">
        <f>ET266/ET4</f>
        <v>0.60497297384028625</v>
      </c>
      <c r="EU269" s="384">
        <f>EU266/EU4</f>
        <v>0.6097932093715247</v>
      </c>
      <c r="EV269" s="384">
        <f>EV266/EV4</f>
        <v>0.62332067831189142</v>
      </c>
      <c r="EW269" s="384">
        <f>EW266/EW4</f>
        <v>0.61990434126239835</v>
      </c>
      <c r="FY269" s="382">
        <f t="shared" ref="FY269:GE269" si="509">FY266/FY$4</f>
        <v>2.2664092664092663E-2</v>
      </c>
      <c r="FZ269" s="382">
        <f t="shared" si="509"/>
        <v>3.4709174116831401E-2</v>
      </c>
      <c r="GA269" s="382">
        <f t="shared" si="509"/>
        <v>1.6564313356995576E-2</v>
      </c>
      <c r="GB269" s="382">
        <f t="shared" si="509"/>
        <v>2.8370599016820267E-2</v>
      </c>
      <c r="GC269" s="382">
        <f t="shared" si="509"/>
        <v>8.9438300636978645E-3</v>
      </c>
      <c r="GD269" s="382">
        <f t="shared" si="509"/>
        <v>2.7038016852831664E-2</v>
      </c>
      <c r="GE269" s="382">
        <f t="shared" si="509"/>
        <v>0.20690337285838456</v>
      </c>
      <c r="GF269" s="382">
        <f>GF266/GF$4</f>
        <v>0.20548157433390896</v>
      </c>
      <c r="GG269" s="384">
        <f>GG266/GG$4</f>
        <v>0.31262785463102583</v>
      </c>
      <c r="GH269" s="384">
        <f>GH266/GH$4</f>
        <v>0.51063392002307106</v>
      </c>
      <c r="GI269" s="384">
        <f t="shared" ref="GI269:GK269" si="510">GI266/GI$4</f>
        <v>0.53831250766904248</v>
      </c>
      <c r="GJ269" s="384">
        <f t="shared" si="510"/>
        <v>0.58335083707443036</v>
      </c>
      <c r="GK269" s="384">
        <f t="shared" si="510"/>
        <v>0.61498898563784155</v>
      </c>
      <c r="GN269" s="70"/>
      <c r="GS269" s="453"/>
      <c r="GT269" s="453"/>
      <c r="GU269" s="453"/>
      <c r="GV269" s="453"/>
      <c r="GW269" s="453"/>
      <c r="GX269" s="453"/>
      <c r="GY269" s="453"/>
      <c r="GZ269" s="453"/>
      <c r="HA269" s="453"/>
      <c r="HB269" s="453"/>
      <c r="HC269" s="453"/>
      <c r="HD269" s="453"/>
      <c r="HE269" s="453"/>
      <c r="HF269" s="453"/>
      <c r="HG269" s="453"/>
      <c r="HH269" s="453"/>
      <c r="HI269" s="453"/>
    </row>
    <row r="270" spans="1:217" s="418" customFormat="1">
      <c r="CR270" s="379"/>
      <c r="CT270" s="457"/>
      <c r="CU270" s="457"/>
      <c r="CV270" s="457"/>
      <c r="CW270" s="457"/>
      <c r="CX270" s="457"/>
      <c r="CY270" s="457"/>
      <c r="CZ270" s="94"/>
      <c r="DA270" s="457"/>
      <c r="DB270" s="94"/>
      <c r="DD270" s="457"/>
      <c r="DE270" s="94"/>
      <c r="DF270" s="457"/>
      <c r="DG270" s="457"/>
      <c r="DH270" s="457"/>
      <c r="DI270" s="457"/>
      <c r="DJ270" s="469"/>
      <c r="DK270" s="469"/>
      <c r="DL270" s="469"/>
      <c r="DM270" s="469"/>
      <c r="DN270" s="458"/>
      <c r="DO270" s="458"/>
      <c r="DP270" s="458"/>
      <c r="DQ270" s="426"/>
      <c r="DR270" s="458"/>
      <c r="DS270" s="458"/>
      <c r="DT270" s="458"/>
      <c r="DU270" s="458"/>
      <c r="DV270" s="458"/>
      <c r="DW270" s="458"/>
      <c r="DY270" s="379"/>
      <c r="DZ270" s="379"/>
      <c r="EA270" s="379"/>
      <c r="EB270" s="379"/>
      <c r="EC270" s="379"/>
      <c r="ED270" s="379"/>
      <c r="FZ270" s="470"/>
      <c r="GB270" s="115"/>
      <c r="GN270" s="70"/>
      <c r="GS270" s="453"/>
      <c r="GT270" s="453"/>
      <c r="GU270" s="453"/>
      <c r="GV270" s="453"/>
      <c r="GW270" s="453"/>
      <c r="GX270" s="453"/>
      <c r="GY270" s="453"/>
      <c r="GZ270" s="453"/>
      <c r="HA270" s="453"/>
      <c r="HB270" s="453"/>
      <c r="HC270" s="453"/>
      <c r="HD270" s="453"/>
      <c r="HE270" s="453"/>
      <c r="HF270" s="453"/>
      <c r="HG270" s="453"/>
      <c r="HH270" s="453"/>
      <c r="HI270" s="453"/>
    </row>
    <row r="271" spans="1:217">
      <c r="A271" s="82" t="s">
        <v>282</v>
      </c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/>
      <c r="CE271" s="83"/>
      <c r="CF271" s="83"/>
      <c r="CG271" s="83"/>
      <c r="CH271" s="83"/>
      <c r="CI271" s="83"/>
      <c r="CJ271" s="83"/>
      <c r="CK271" s="83"/>
      <c r="CL271" s="83"/>
      <c r="CM271" s="83"/>
      <c r="CN271" s="83"/>
      <c r="CO271" s="83"/>
      <c r="CP271" s="83"/>
      <c r="CQ271" s="83"/>
      <c r="CR271" s="84"/>
      <c r="CS271" s="83"/>
      <c r="CT271" s="85"/>
      <c r="CU271" s="85"/>
      <c r="CV271" s="85"/>
      <c r="CW271" s="85"/>
      <c r="CX271" s="85"/>
      <c r="CY271" s="85"/>
      <c r="CZ271" s="86"/>
      <c r="DA271" s="85"/>
      <c r="DB271" s="87"/>
      <c r="DC271" s="83"/>
      <c r="DD271" s="83"/>
      <c r="DE271" s="88"/>
      <c r="DF271" s="84"/>
      <c r="DG271" s="83"/>
      <c r="DH271" s="116"/>
      <c r="DI271" s="84"/>
      <c r="DJ271" s="91"/>
      <c r="DK271" s="91"/>
      <c r="DL271" s="91"/>
      <c r="DM271" s="91"/>
      <c r="DN271" s="91"/>
      <c r="DO271" s="91"/>
      <c r="DP271" s="93"/>
      <c r="DQ271" s="91"/>
      <c r="DR271" s="91"/>
      <c r="DS271" s="91"/>
      <c r="DT271" s="91"/>
      <c r="DU271" s="91"/>
      <c r="DV271" s="91"/>
      <c r="DW271" s="91"/>
      <c r="DX271" s="84"/>
      <c r="DY271" s="84"/>
      <c r="DZ271" s="84"/>
      <c r="EA271" s="84"/>
      <c r="EB271" s="84"/>
      <c r="EC271" s="84"/>
      <c r="ED271" s="84"/>
      <c r="EE271" s="84"/>
      <c r="EF271" s="84"/>
      <c r="EG271" s="84"/>
      <c r="EH271" s="84"/>
      <c r="EI271" s="84"/>
      <c r="EJ271" s="84"/>
      <c r="EK271" s="84"/>
      <c r="EL271" s="84"/>
      <c r="EM271" s="84"/>
      <c r="EN271" s="84"/>
      <c r="EO271" s="84"/>
      <c r="EP271" s="84"/>
      <c r="EQ271" s="84"/>
      <c r="ER271" s="84"/>
      <c r="ES271" s="84"/>
      <c r="ET271" s="84"/>
      <c r="EU271" s="84"/>
      <c r="EV271" s="84"/>
      <c r="EW271" s="84"/>
      <c r="EZ271" s="83"/>
      <c r="FA271" s="83"/>
      <c r="FB271" s="83"/>
      <c r="FC271" s="83"/>
      <c r="FD271" s="83"/>
      <c r="FE271" s="83"/>
      <c r="FF271" s="83"/>
      <c r="FG271" s="83"/>
      <c r="FH271" s="83"/>
      <c r="FI271" s="83"/>
      <c r="FJ271" s="83"/>
      <c r="FK271" s="83"/>
      <c r="FL271" s="83"/>
      <c r="FM271" s="83"/>
      <c r="FN271" s="83"/>
      <c r="FO271" s="83"/>
      <c r="FP271" s="83"/>
      <c r="FQ271" s="83"/>
      <c r="FR271" s="83"/>
      <c r="FS271" s="83"/>
      <c r="FT271" s="83"/>
      <c r="FU271" s="83"/>
      <c r="FV271" s="83"/>
      <c r="FW271" s="83"/>
      <c r="FX271" s="83"/>
      <c r="FY271" s="83"/>
      <c r="FZ271" s="83"/>
      <c r="GA271" s="83"/>
      <c r="GB271" s="83"/>
      <c r="GC271" s="83"/>
      <c r="GD271" s="83"/>
      <c r="GE271" s="83"/>
      <c r="GF271" s="83"/>
      <c r="GG271" s="83"/>
      <c r="GH271" s="83"/>
      <c r="GI271" s="83"/>
      <c r="GJ271" s="83"/>
      <c r="GK271" s="83"/>
      <c r="GN271" s="48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</row>
    <row r="272" spans="1:217" s="379" customFormat="1">
      <c r="A272" s="405" t="s">
        <v>288</v>
      </c>
      <c r="BJ272" s="376">
        <f>BJ275+BJ285+BJ289</f>
        <v>11225</v>
      </c>
      <c r="BK272" s="376">
        <f>BK275+BK285+BK289</f>
        <v>10300</v>
      </c>
      <c r="BL272" s="376">
        <f>BL275+BL285+BL289</f>
        <v>14485</v>
      </c>
      <c r="BM272" s="376">
        <f>BM275+BM285+BM289</f>
        <v>8775</v>
      </c>
      <c r="BN272" s="376">
        <f>BN275+BN285+BN289</f>
        <v>7805</v>
      </c>
      <c r="BO272" s="376">
        <f>BO275+BO285+BO289</f>
        <v>11040</v>
      </c>
      <c r="BP272" s="376">
        <f>BP275+BP285+BP289</f>
        <v>14040</v>
      </c>
      <c r="BQ272" s="376">
        <f>BQ275+BQ285+BQ289</f>
        <v>15815</v>
      </c>
      <c r="BR272" s="376">
        <f>BR275+BR285+BR289</f>
        <v>15950</v>
      </c>
      <c r="BS272" s="376">
        <f>BS275+BS285+BS289</f>
        <v>17820</v>
      </c>
      <c r="BT272" s="376">
        <f>BT275+BT285+BT289</f>
        <v>16950</v>
      </c>
      <c r="BU272" s="376">
        <f>BU275+BU285+BU289</f>
        <v>16145</v>
      </c>
      <c r="BV272" s="376">
        <f>BV275+BV285+BV289</f>
        <v>18090</v>
      </c>
      <c r="BW272" s="376">
        <f>BW275+BW285+BW289</f>
        <v>15950</v>
      </c>
      <c r="BX272" s="376">
        <f>BX275+BX285+BX289</f>
        <v>16790</v>
      </c>
      <c r="BY272" s="376">
        <f>BY275+BY285+BY289</f>
        <v>14110</v>
      </c>
      <c r="BZ272" s="376">
        <f>BZ275+BZ285+BZ289</f>
        <v>18133</v>
      </c>
      <c r="CA272" s="376">
        <f>CA275+CA285+CA289</f>
        <v>14000</v>
      </c>
      <c r="CB272" s="376">
        <f>CB275+CB285+CB289</f>
        <v>11980</v>
      </c>
      <c r="CC272" s="376">
        <f>CC275+CC285+CC289</f>
        <v>10215</v>
      </c>
      <c r="CD272" s="376">
        <f>CD275+CD285+CD289</f>
        <v>9870</v>
      </c>
      <c r="CE272" s="376">
        <f>CE275+CE285+CE289</f>
        <v>10120</v>
      </c>
      <c r="CF272" s="376">
        <f>CF275+CF285+CF289</f>
        <v>9880</v>
      </c>
      <c r="CG272" s="376">
        <f>CG275+CG285+CG289</f>
        <v>9705</v>
      </c>
      <c r="CH272" s="376">
        <f>CH275+CH285+CH289</f>
        <v>8375</v>
      </c>
      <c r="CI272" s="376">
        <f>CI275+CI285+CI289</f>
        <v>8745</v>
      </c>
      <c r="CJ272" s="376">
        <f>CJ275+CJ285+CJ289</f>
        <v>8110</v>
      </c>
      <c r="CK272" s="376">
        <f>CK275+CK285+CK289</f>
        <v>7055</v>
      </c>
      <c r="CL272" s="376">
        <f>CL275+CL285+CL289</f>
        <v>6080</v>
      </c>
      <c r="CM272" s="376">
        <f>CM275+CM285+CM289</f>
        <v>4770</v>
      </c>
      <c r="CN272" s="376">
        <f>CN275+CN285+CN289</f>
        <v>5955</v>
      </c>
      <c r="CO272" s="376">
        <f>CO275+CO285+CO289</f>
        <v>6045</v>
      </c>
      <c r="CP272" s="376">
        <f>CP275+CP285+CP289</f>
        <v>6015</v>
      </c>
      <c r="CQ272" s="376">
        <f>CQ275+CQ285+CQ289</f>
        <v>6015</v>
      </c>
      <c r="CR272" s="376">
        <f>CR275+CR285+CR289</f>
        <v>7675</v>
      </c>
      <c r="CS272" s="376">
        <f>CS275+CS285+CS289</f>
        <v>8015</v>
      </c>
      <c r="CT272" s="376">
        <f>CT275+CT285+CT289</f>
        <v>6000</v>
      </c>
      <c r="CU272" s="376">
        <f>CU275+CU285+CU289</f>
        <v>7085</v>
      </c>
      <c r="CV272" s="376">
        <f>CV275+CV285+CV289</f>
        <v>7875</v>
      </c>
      <c r="CW272" s="376">
        <f>CW275+CW285+CW289</f>
        <v>8680</v>
      </c>
      <c r="CX272" s="376">
        <f>CX275+CX285+CX289</f>
        <v>8000</v>
      </c>
      <c r="CY272" s="376">
        <f>CY275+CY285+CY289</f>
        <v>7190</v>
      </c>
      <c r="CZ272" s="376">
        <f>CZ275+CZ285+CZ289</f>
        <v>5975</v>
      </c>
      <c r="DA272" s="376">
        <f>DA275+DA285+DA289</f>
        <v>4850</v>
      </c>
      <c r="DB272" s="376">
        <f>DB275+DB285+DB289</f>
        <v>4670</v>
      </c>
      <c r="DC272" s="376">
        <f>DC275+DC285+DC289</f>
        <v>4934.9999999999991</v>
      </c>
      <c r="DD272" s="376">
        <f>DD275+DD285+DD289</f>
        <v>5300</v>
      </c>
      <c r="DE272" s="376">
        <f>DE275+DE285+DE289</f>
        <v>6035</v>
      </c>
      <c r="DF272" s="376">
        <f>DF275+DF285+DF289</f>
        <v>4690</v>
      </c>
      <c r="DG272" s="376">
        <f>DG275+DG285+DG289</f>
        <v>4130</v>
      </c>
      <c r="DH272" s="376">
        <f>DH275+DH285+DH289</f>
        <v>4674.9999999999991</v>
      </c>
      <c r="DI272" s="376">
        <f>DI275+DI285+DI289</f>
        <v>4160</v>
      </c>
      <c r="DJ272" s="397">
        <f>DJ275+DJ285+DJ289</f>
        <v>4175</v>
      </c>
      <c r="DK272" s="397">
        <f>DK275+DK285+DK289</f>
        <v>3950</v>
      </c>
      <c r="DL272" s="397">
        <f>DL275+DL285+DL289</f>
        <v>4110</v>
      </c>
      <c r="DM272" s="397">
        <f>DM275+DM285+DM289</f>
        <v>4510.0000000000009</v>
      </c>
      <c r="DN272" s="397">
        <f>DN275+DN285+DN289</f>
        <v>4505.0000000000009</v>
      </c>
      <c r="DO272" s="397">
        <f>DO275+DO285+DO289</f>
        <v>3410</v>
      </c>
      <c r="DP272" s="397">
        <f>DP275+DP285+DP289</f>
        <v>1045</v>
      </c>
      <c r="DQ272" s="397">
        <f>DQ275+DQ285+DQ289</f>
        <v>1100</v>
      </c>
      <c r="DR272" s="397">
        <f>DR275+DR285+DR289</f>
        <v>1115.3333333333333</v>
      </c>
      <c r="DS272" s="397">
        <f>DS275+DS285+DS289</f>
        <v>1325</v>
      </c>
      <c r="DT272" s="397">
        <f>DT275+DT285+DT289</f>
        <v>1735</v>
      </c>
      <c r="DU272" s="397">
        <f>DU275+DU285+DU289</f>
        <v>1930</v>
      </c>
      <c r="DV272" s="376">
        <f>DV275+DV285+DV289</f>
        <v>1179.4954128440368</v>
      </c>
      <c r="DW272" s="376">
        <f>DW275+DW285+DW289</f>
        <v>1320</v>
      </c>
      <c r="DX272" s="376">
        <f>DX275+DX285+DX289</f>
        <v>934.99999999999955</v>
      </c>
      <c r="DY272" s="376">
        <f>DY275+DY285+DY289</f>
        <v>1440</v>
      </c>
      <c r="DZ272" s="376">
        <f>DZ275+DZ285+DZ289</f>
        <v>855</v>
      </c>
      <c r="EA272" s="376">
        <f>EA275+EA285+EA289</f>
        <v>970</v>
      </c>
      <c r="EB272" s="376">
        <f>EB275+EB285+EB289</f>
        <v>1920</v>
      </c>
      <c r="EC272" s="376">
        <f>EC275+EC285+EC289</f>
        <v>1670</v>
      </c>
      <c r="ED272" s="376">
        <f>ED275+ED285+ED289</f>
        <v>1496.9084092126407</v>
      </c>
      <c r="EE272" s="380">
        <f>EE275+EE285+EE289</f>
        <v>1443.243277986074</v>
      </c>
      <c r="EF272" s="380">
        <f>EF275+EF285+EF289</f>
        <v>1333.929738618104</v>
      </c>
      <c r="EG272" s="380">
        <f>EG275+EG285+EG289</f>
        <v>1328.4028523835029</v>
      </c>
      <c r="EH272" s="380">
        <f>EH275+EH285+EH289</f>
        <v>1235.0997517011249</v>
      </c>
      <c r="EI272" s="380">
        <f>EI275+EI285+EI289</f>
        <v>1301.173727806492</v>
      </c>
      <c r="EJ272" s="380">
        <f>EJ275+EJ285+EJ289</f>
        <v>1390.2903946490674</v>
      </c>
      <c r="EK272" s="380">
        <f>EK275+EK285+EK289</f>
        <v>1471.0882531415648</v>
      </c>
      <c r="EL272" s="380">
        <f>EL275+EL285+EL289</f>
        <v>1335.574004455045</v>
      </c>
      <c r="EM272" s="380">
        <f>EM275+EM285+EM289</f>
        <v>1373.3603112306992</v>
      </c>
      <c r="EN272" s="380">
        <f>EN275+EN285+EN289</f>
        <v>1421.4349668768032</v>
      </c>
      <c r="EO272" s="380">
        <f>EO275+EO285+EO289</f>
        <v>1479.1370684633509</v>
      </c>
      <c r="EP272" s="380">
        <f>EP275+EP285+EP289</f>
        <v>1365.3804052878227</v>
      </c>
      <c r="EQ272" s="380">
        <f>EQ275+EQ285+EQ289</f>
        <v>1407.5289779777243</v>
      </c>
      <c r="ER272" s="380">
        <f>ER275+ER285+ER289</f>
        <v>1464.0854504845668</v>
      </c>
      <c r="ES272" s="380">
        <f>ES275+ES285+ES289</f>
        <v>1519.2078594830878</v>
      </c>
      <c r="ET272" s="380">
        <f>ET275+ET285+ET289</f>
        <v>1384.1655851350415</v>
      </c>
      <c r="EU272" s="380">
        <f>EU275+EU285+EU289</f>
        <v>1426.8451680308617</v>
      </c>
      <c r="EV272" s="380">
        <f>EV275+EV285+EV289</f>
        <v>1488.165035772518</v>
      </c>
      <c r="EW272" s="380">
        <f>EW275+EW285+EW289</f>
        <v>1544.0234287022972</v>
      </c>
      <c r="FO272" s="376">
        <f>BJ272+BK272+BL272+BM272</f>
        <v>44785</v>
      </c>
      <c r="FP272" s="376">
        <f>BN272+BO272+BP272+BQ272</f>
        <v>48700</v>
      </c>
      <c r="FQ272" s="376">
        <f>BR272+BS272+BT272+BU272</f>
        <v>66865</v>
      </c>
      <c r="FR272" s="376">
        <f>BV272+BW272+BX272+BY272</f>
        <v>64940</v>
      </c>
      <c r="FS272" s="376">
        <f>BZ272+CA272+CB272+CC272</f>
        <v>54328</v>
      </c>
      <c r="FT272" s="376">
        <f>CD272+CE272+CF272+CG272</f>
        <v>39575</v>
      </c>
      <c r="FU272" s="376">
        <f>CH272+CI272+CJ272+CK272</f>
        <v>32285</v>
      </c>
      <c r="FV272" s="376">
        <f>CL272+CM272+CN272+CO272</f>
        <v>22850</v>
      </c>
      <c r="FW272" s="376">
        <f>CP272+CQ272+CR272+CS272</f>
        <v>27720</v>
      </c>
      <c r="FX272" s="376">
        <f>CT272+CU272+CV272+CW272</f>
        <v>29640</v>
      </c>
      <c r="FY272" s="376">
        <f>CX272+CY272+CZ272+DA272</f>
        <v>26015</v>
      </c>
      <c r="FZ272" s="376">
        <f>DB272+DC272+DD272+DE272</f>
        <v>20940</v>
      </c>
      <c r="GA272" s="376">
        <f>SUM(DF272:DI272)</f>
        <v>17655</v>
      </c>
      <c r="GB272" s="376">
        <f>SUM(DJ272:DM272)</f>
        <v>16745</v>
      </c>
      <c r="GC272" s="376">
        <f>SUM(DN272:DQ272)</f>
        <v>10060</v>
      </c>
      <c r="GD272" s="376">
        <f>SUM(DR272:DU272)</f>
        <v>6105.333333333333</v>
      </c>
      <c r="GE272" s="376">
        <f>SUM(DV272:DY272)</f>
        <v>4874.4954128440368</v>
      </c>
      <c r="GF272" s="376">
        <f>SUM(DZ272:EC272)</f>
        <v>5415</v>
      </c>
      <c r="GG272" s="380">
        <f>SUM(ED272:EG272)</f>
        <v>5602.4842782003216</v>
      </c>
      <c r="GH272" s="380">
        <f>SUM(EH272:EK272)</f>
        <v>5397.6521272982491</v>
      </c>
      <c r="GI272" s="380">
        <f>SUM(EL272:EO272)</f>
        <v>5609.5063510258988</v>
      </c>
      <c r="GJ272" s="380">
        <f>SUM(EP272:ES272)</f>
        <v>5756.202693233201</v>
      </c>
      <c r="GK272" s="380">
        <f>SUM(ET272:EW272)</f>
        <v>5843.1992176407184</v>
      </c>
      <c r="GN272" s="70"/>
      <c r="GS272" s="453"/>
      <c r="GT272" s="453"/>
      <c r="GU272" s="453"/>
      <c r="GV272" s="453"/>
      <c r="GW272" s="453"/>
      <c r="GX272" s="453"/>
      <c r="GY272" s="453"/>
      <c r="GZ272" s="453"/>
      <c r="HA272" s="453"/>
      <c r="HB272" s="453"/>
      <c r="HC272" s="453"/>
      <c r="HD272" s="453"/>
      <c r="HE272" s="453"/>
      <c r="HF272" s="453"/>
      <c r="HG272" s="453"/>
      <c r="HH272" s="453"/>
      <c r="HI272" s="453"/>
    </row>
    <row r="273" spans="1:196" s="382" customFormat="1">
      <c r="A273" s="381" t="s">
        <v>198</v>
      </c>
      <c r="BK273" s="382">
        <f t="shared" ref="BK273:DV273" si="511">BK272/BJ272-1</f>
        <v>-8.2405345211581271E-2</v>
      </c>
      <c r="BL273" s="382">
        <f t="shared" si="511"/>
        <v>0.40631067961165046</v>
      </c>
      <c r="BM273" s="382">
        <f t="shared" si="511"/>
        <v>-0.39420089748015186</v>
      </c>
      <c r="BN273" s="382">
        <f t="shared" si="511"/>
        <v>-0.11054131054131056</v>
      </c>
      <c r="BO273" s="382">
        <f t="shared" si="511"/>
        <v>0.41447789878283148</v>
      </c>
      <c r="BP273" s="382">
        <f t="shared" si="511"/>
        <v>0.27173913043478271</v>
      </c>
      <c r="BQ273" s="382">
        <f t="shared" si="511"/>
        <v>0.12642450142450135</v>
      </c>
      <c r="BR273" s="382">
        <f t="shared" si="511"/>
        <v>8.5361998103066217E-3</v>
      </c>
      <c r="BS273" s="382">
        <f t="shared" si="511"/>
        <v>0.11724137931034484</v>
      </c>
      <c r="BT273" s="382">
        <f t="shared" si="511"/>
        <v>-4.8821548821548877E-2</v>
      </c>
      <c r="BU273" s="382">
        <f t="shared" si="511"/>
        <v>-4.7492625368731556E-2</v>
      </c>
      <c r="BV273" s="382">
        <f t="shared" si="511"/>
        <v>0.12047073397336638</v>
      </c>
      <c r="BW273" s="382">
        <f t="shared" si="511"/>
        <v>-0.11829740187949145</v>
      </c>
      <c r="BX273" s="382">
        <f t="shared" si="511"/>
        <v>5.2664576802507801E-2</v>
      </c>
      <c r="BY273" s="382">
        <f t="shared" si="511"/>
        <v>-0.15961882072662303</v>
      </c>
      <c r="BZ273" s="382">
        <f t="shared" si="511"/>
        <v>0.28511693834160168</v>
      </c>
      <c r="CA273" s="382">
        <f t="shared" si="511"/>
        <v>-0.22792698395191091</v>
      </c>
      <c r="CB273" s="382">
        <f t="shared" si="511"/>
        <v>-0.14428571428571424</v>
      </c>
      <c r="CC273" s="382">
        <f t="shared" si="511"/>
        <v>-0.14732888146911516</v>
      </c>
      <c r="CD273" s="382">
        <f t="shared" si="511"/>
        <v>-3.3773861967694607E-2</v>
      </c>
      <c r="CE273" s="382">
        <f t="shared" si="511"/>
        <v>2.5329280648429542E-2</v>
      </c>
      <c r="CF273" s="382">
        <f t="shared" si="511"/>
        <v>-2.371541501976282E-2</v>
      </c>
      <c r="CG273" s="382">
        <f t="shared" si="511"/>
        <v>-1.7712550607287492E-2</v>
      </c>
      <c r="CH273" s="382">
        <f t="shared" si="511"/>
        <v>-0.1370427614631633</v>
      </c>
      <c r="CI273" s="382">
        <f t="shared" si="511"/>
        <v>4.4179104477611864E-2</v>
      </c>
      <c r="CJ273" s="382">
        <f t="shared" si="511"/>
        <v>-7.2612921669525488E-2</v>
      </c>
      <c r="CK273" s="382">
        <f t="shared" si="511"/>
        <v>-0.13008631319358821</v>
      </c>
      <c r="CL273" s="382">
        <f t="shared" si="511"/>
        <v>-0.13819985825655567</v>
      </c>
      <c r="CM273" s="382">
        <f t="shared" si="511"/>
        <v>-0.21546052631578949</v>
      </c>
      <c r="CN273" s="382">
        <f t="shared" si="511"/>
        <v>0.2484276729559749</v>
      </c>
      <c r="CO273" s="382">
        <f t="shared" si="511"/>
        <v>1.5113350125944613E-2</v>
      </c>
      <c r="CP273" s="382">
        <f t="shared" si="511"/>
        <v>-4.9627791563275903E-3</v>
      </c>
      <c r="CQ273" s="382">
        <f t="shared" si="511"/>
        <v>0</v>
      </c>
      <c r="CR273" s="382">
        <f t="shared" si="511"/>
        <v>0.2759767248545304</v>
      </c>
      <c r="CS273" s="382">
        <f t="shared" si="511"/>
        <v>4.4299674267100908E-2</v>
      </c>
      <c r="CT273" s="382">
        <f t="shared" si="511"/>
        <v>-0.25140361821584534</v>
      </c>
      <c r="CU273" s="382">
        <f t="shared" si="511"/>
        <v>0.1808333333333334</v>
      </c>
      <c r="CV273" s="382">
        <f t="shared" si="511"/>
        <v>0.1115031757233591</v>
      </c>
      <c r="CW273" s="382">
        <f t="shared" si="511"/>
        <v>0.10222222222222221</v>
      </c>
      <c r="CX273" s="382">
        <f t="shared" si="511"/>
        <v>-7.8341013824884786E-2</v>
      </c>
      <c r="CY273" s="382">
        <f t="shared" si="511"/>
        <v>-0.10124999999999995</v>
      </c>
      <c r="CZ273" s="382">
        <f t="shared" si="511"/>
        <v>-0.16898470097357443</v>
      </c>
      <c r="DA273" s="382">
        <f t="shared" si="511"/>
        <v>-0.18828451882845187</v>
      </c>
      <c r="DB273" s="382">
        <f t="shared" si="511"/>
        <v>-3.7113402061855649E-2</v>
      </c>
      <c r="DC273" s="382">
        <f t="shared" si="511"/>
        <v>5.6745182012847728E-2</v>
      </c>
      <c r="DD273" s="382">
        <f t="shared" si="511"/>
        <v>7.3961499493414573E-2</v>
      </c>
      <c r="DE273" s="382">
        <f t="shared" si="511"/>
        <v>0.13867924528301878</v>
      </c>
      <c r="DF273" s="382">
        <f t="shared" si="511"/>
        <v>-0.22286661143330566</v>
      </c>
      <c r="DG273" s="382">
        <f t="shared" si="511"/>
        <v>-0.11940298507462688</v>
      </c>
      <c r="DH273" s="382">
        <f t="shared" si="511"/>
        <v>0.13196125907990286</v>
      </c>
      <c r="DI273" s="382">
        <f t="shared" si="511"/>
        <v>-0.11016042780748647</v>
      </c>
      <c r="DJ273" s="383">
        <f t="shared" si="511"/>
        <v>3.6057692307691624E-3</v>
      </c>
      <c r="DK273" s="383">
        <f t="shared" si="511"/>
        <v>-5.3892215568862256E-2</v>
      </c>
      <c r="DL273" s="383">
        <f t="shared" si="511"/>
        <v>4.0506329113924044E-2</v>
      </c>
      <c r="DM273" s="383">
        <f t="shared" si="511"/>
        <v>9.7323600973236335E-2</v>
      </c>
      <c r="DN273" s="383">
        <f t="shared" si="511"/>
        <v>-1.1086474501108556E-3</v>
      </c>
      <c r="DO273" s="383">
        <f t="shared" si="511"/>
        <v>-0.24306326304106562</v>
      </c>
      <c r="DP273" s="383">
        <f t="shared" si="511"/>
        <v>-0.69354838709677424</v>
      </c>
      <c r="DQ273" s="383">
        <f t="shared" si="511"/>
        <v>5.2631578947368363E-2</v>
      </c>
      <c r="DR273" s="383">
        <f t="shared" si="511"/>
        <v>1.3939393939393918E-2</v>
      </c>
      <c r="DS273" s="383">
        <f t="shared" si="511"/>
        <v>0.18798565451285132</v>
      </c>
      <c r="DT273" s="383">
        <f t="shared" si="511"/>
        <v>0.30943396226415087</v>
      </c>
      <c r="DU273" s="383">
        <f t="shared" si="511"/>
        <v>0.11239193083573484</v>
      </c>
      <c r="DV273" s="382">
        <f t="shared" si="511"/>
        <v>-0.3888624803916908</v>
      </c>
      <c r="DW273" s="382">
        <f t="shared" ref="DW273:EH273" si="512">DW272/DV272-1</f>
        <v>0.11912262279780639</v>
      </c>
      <c r="DX273" s="382">
        <f>DX272/DW272-1</f>
        <v>-0.29166666666666696</v>
      </c>
      <c r="DY273" s="382">
        <f t="shared" si="512"/>
        <v>0.54010695187165858</v>
      </c>
      <c r="DZ273" s="382">
        <f t="shared" si="512"/>
        <v>-0.40625</v>
      </c>
      <c r="EA273" s="382">
        <f t="shared" si="512"/>
        <v>0.13450292397660824</v>
      </c>
      <c r="EB273" s="382">
        <f t="shared" si="512"/>
        <v>0.97938144329896915</v>
      </c>
      <c r="EC273" s="382">
        <f t="shared" si="512"/>
        <v>-0.13020833333333337</v>
      </c>
      <c r="ED273" s="382">
        <f t="shared" si="512"/>
        <v>-0.10364765915410734</v>
      </c>
      <c r="EE273" s="384">
        <f t="shared" si="512"/>
        <v>-3.5850644499214268E-2</v>
      </c>
      <c r="EF273" s="384">
        <f t="shared" si="512"/>
        <v>-7.5741589124536213E-2</v>
      </c>
      <c r="EG273" s="384">
        <f t="shared" si="512"/>
        <v>-4.1433113563588142E-3</v>
      </c>
      <c r="EH273" s="384">
        <f t="shared" si="512"/>
        <v>-7.0237052348214868E-2</v>
      </c>
      <c r="EI273" s="384">
        <f>EI272/EH272-1</f>
        <v>5.3496874251947935E-2</v>
      </c>
      <c r="EJ273" s="384">
        <f>EJ272/EI272-1</f>
        <v>6.8489445289375395E-2</v>
      </c>
      <c r="EK273" s="384">
        <f>EK272/EJ272-1</f>
        <v>5.8115814367610596E-2</v>
      </c>
      <c r="EL273" s="384">
        <f t="shared" ref="EL273" si="513">EL272/EK272-1</f>
        <v>-9.2118367743827645E-2</v>
      </c>
      <c r="EM273" s="384">
        <f>EM272/EL272-1</f>
        <v>2.8292184970365675E-2</v>
      </c>
      <c r="EN273" s="384">
        <f>EN272/EM272-1</f>
        <v>3.5005129573770111E-2</v>
      </c>
      <c r="EO273" s="384">
        <f>EO272/EN272-1</f>
        <v>4.0594260681043881E-2</v>
      </c>
      <c r="EP273" s="384">
        <f t="shared" ref="EP273" si="514">EP272/EO272-1</f>
        <v>-7.6907452054939096E-2</v>
      </c>
      <c r="EQ273" s="384">
        <f>EQ272/EP272-1</f>
        <v>3.0869472365847139E-2</v>
      </c>
      <c r="ER273" s="384">
        <f>ER272/EQ272-1</f>
        <v>4.0181391212350315E-2</v>
      </c>
      <c r="ES273" s="384">
        <f>ES272/ER272-1</f>
        <v>3.764972118278842E-2</v>
      </c>
      <c r="ET273" s="384">
        <f t="shared" ref="ET273" si="515">ET272/ES272-1</f>
        <v>-8.8889926092137639E-2</v>
      </c>
      <c r="EU273" s="384">
        <f>EU272/ET272-1</f>
        <v>3.0834159839089104E-2</v>
      </c>
      <c r="EV273" s="384">
        <f>EV272/EU272-1</f>
        <v>4.2975838665299415E-2</v>
      </c>
      <c r="EW273" s="384">
        <f>EW272/EV272-1</f>
        <v>3.7535079501973767E-2</v>
      </c>
      <c r="FZ273" s="386" t="s">
        <v>199</v>
      </c>
      <c r="GA273" s="386" t="s">
        <v>199</v>
      </c>
      <c r="GB273" s="386" t="s">
        <v>199</v>
      </c>
      <c r="GC273" s="386" t="s">
        <v>199</v>
      </c>
      <c r="GD273" s="386" t="s">
        <v>199</v>
      </c>
      <c r="GE273" s="386" t="s">
        <v>199</v>
      </c>
      <c r="GF273" s="386" t="s">
        <v>199</v>
      </c>
      <c r="GG273" s="386" t="s">
        <v>199</v>
      </c>
      <c r="GH273" s="386" t="s">
        <v>199</v>
      </c>
      <c r="GI273" s="386" t="s">
        <v>199</v>
      </c>
      <c r="GJ273" s="386" t="s">
        <v>199</v>
      </c>
      <c r="GK273" s="386" t="s">
        <v>199</v>
      </c>
      <c r="GN273" s="70"/>
    </row>
    <row r="274" spans="1:196" s="382" customFormat="1">
      <c r="A274" s="381" t="s">
        <v>200</v>
      </c>
      <c r="BN274" s="382">
        <f t="shared" ref="BN274:DY274" si="516">BN272/BJ272-1</f>
        <v>-0.30467706013363027</v>
      </c>
      <c r="BO274" s="382">
        <f t="shared" si="516"/>
        <v>7.1844660194174681E-2</v>
      </c>
      <c r="BP274" s="382">
        <f t="shared" si="516"/>
        <v>-3.072143596824306E-2</v>
      </c>
      <c r="BQ274" s="382">
        <f t="shared" si="516"/>
        <v>0.80227920227920224</v>
      </c>
      <c r="BR274" s="382">
        <f t="shared" si="516"/>
        <v>1.0435618193465728</v>
      </c>
      <c r="BS274" s="382">
        <f t="shared" si="516"/>
        <v>0.61413043478260865</v>
      </c>
      <c r="BT274" s="382">
        <f t="shared" si="516"/>
        <v>0.20726495726495719</v>
      </c>
      <c r="BU274" s="382">
        <f t="shared" si="516"/>
        <v>2.0866266202971939E-2</v>
      </c>
      <c r="BV274" s="382">
        <f t="shared" si="516"/>
        <v>0.13416927899686515</v>
      </c>
      <c r="BW274" s="382">
        <f t="shared" si="516"/>
        <v>-0.10493827160493829</v>
      </c>
      <c r="BX274" s="382">
        <f t="shared" si="516"/>
        <v>-9.4395280235988199E-3</v>
      </c>
      <c r="BY274" s="382">
        <f t="shared" si="516"/>
        <v>-0.12604521523691548</v>
      </c>
      <c r="BZ274" s="382">
        <f t="shared" si="516"/>
        <v>2.3770038695412055E-3</v>
      </c>
      <c r="CA274" s="382">
        <f t="shared" si="516"/>
        <v>-0.12225705329153602</v>
      </c>
      <c r="CB274" s="382">
        <f t="shared" si="516"/>
        <v>-0.2864800476474092</v>
      </c>
      <c r="CC274" s="382">
        <f t="shared" si="516"/>
        <v>-0.27604535790219697</v>
      </c>
      <c r="CD274" s="382">
        <f t="shared" si="516"/>
        <v>-0.45568852368609714</v>
      </c>
      <c r="CE274" s="382">
        <f t="shared" si="516"/>
        <v>-0.27714285714285714</v>
      </c>
      <c r="CF274" s="382">
        <f t="shared" si="516"/>
        <v>-0.17529215358931549</v>
      </c>
      <c r="CG274" s="382">
        <f t="shared" si="516"/>
        <v>-4.9926578560939849E-2</v>
      </c>
      <c r="CH274" s="382">
        <f t="shared" si="516"/>
        <v>-0.1514690982776089</v>
      </c>
      <c r="CI274" s="382">
        <f t="shared" si="516"/>
        <v>-0.13586956521739135</v>
      </c>
      <c r="CJ274" s="382">
        <f t="shared" si="516"/>
        <v>-0.17914979757085026</v>
      </c>
      <c r="CK274" s="382">
        <f t="shared" si="516"/>
        <v>-0.27305512622359607</v>
      </c>
      <c r="CL274" s="382">
        <f t="shared" si="516"/>
        <v>-0.27402985074626862</v>
      </c>
      <c r="CM274" s="382">
        <f t="shared" si="516"/>
        <v>-0.45454545454545459</v>
      </c>
      <c r="CN274" s="382">
        <f t="shared" si="516"/>
        <v>-0.26572133168927248</v>
      </c>
      <c r="CO274" s="382">
        <f t="shared" si="516"/>
        <v>-0.14316087880935502</v>
      </c>
      <c r="CP274" s="382">
        <f t="shared" si="516"/>
        <v>-1.0690789473684181E-2</v>
      </c>
      <c r="CQ274" s="382">
        <f t="shared" si="516"/>
        <v>0.26100628930817615</v>
      </c>
      <c r="CR274" s="382">
        <f t="shared" si="516"/>
        <v>0.28883291351805207</v>
      </c>
      <c r="CS274" s="382">
        <f t="shared" si="516"/>
        <v>0.32588916459884198</v>
      </c>
      <c r="CT274" s="382">
        <f t="shared" si="516"/>
        <v>-2.4937655860348684E-3</v>
      </c>
      <c r="CU274" s="382">
        <f t="shared" si="516"/>
        <v>0.17788861180382387</v>
      </c>
      <c r="CV274" s="382">
        <f t="shared" si="516"/>
        <v>2.6058631921824116E-2</v>
      </c>
      <c r="CW274" s="382">
        <f t="shared" si="516"/>
        <v>8.2969432314410563E-2</v>
      </c>
      <c r="CX274" s="382">
        <f t="shared" si="516"/>
        <v>0.33333333333333326</v>
      </c>
      <c r="CY274" s="382">
        <f t="shared" si="516"/>
        <v>1.4820042342978068E-2</v>
      </c>
      <c r="CZ274" s="382">
        <f t="shared" si="516"/>
        <v>-0.2412698412698413</v>
      </c>
      <c r="DA274" s="382">
        <f t="shared" si="516"/>
        <v>-0.44124423963133641</v>
      </c>
      <c r="DB274" s="382">
        <f t="shared" si="516"/>
        <v>-0.41625000000000001</v>
      </c>
      <c r="DC274" s="382">
        <f t="shared" si="516"/>
        <v>-0.31363004172461761</v>
      </c>
      <c r="DD274" s="382">
        <f t="shared" si="516"/>
        <v>-0.11297071129707115</v>
      </c>
      <c r="DE274" s="382">
        <f t="shared" si="516"/>
        <v>0.24432989690721651</v>
      </c>
      <c r="DF274" s="382">
        <f t="shared" si="516"/>
        <v>4.282655246252709E-3</v>
      </c>
      <c r="DG274" s="382">
        <f t="shared" si="516"/>
        <v>-0.16312056737588632</v>
      </c>
      <c r="DH274" s="382">
        <f t="shared" si="516"/>
        <v>-0.11792452830188693</v>
      </c>
      <c r="DI274" s="382">
        <f t="shared" si="516"/>
        <v>-0.3106876553438277</v>
      </c>
      <c r="DJ274" s="383">
        <f t="shared" si="516"/>
        <v>-0.10980810234541583</v>
      </c>
      <c r="DK274" s="383">
        <f t="shared" si="516"/>
        <v>-4.3583535108958849E-2</v>
      </c>
      <c r="DL274" s="383">
        <f t="shared" si="516"/>
        <v>-0.12085561497326192</v>
      </c>
      <c r="DM274" s="383">
        <f t="shared" si="516"/>
        <v>8.4134615384615641E-2</v>
      </c>
      <c r="DN274" s="383">
        <f t="shared" si="516"/>
        <v>7.9041916167664983E-2</v>
      </c>
      <c r="DO274" s="383">
        <f t="shared" si="516"/>
        <v>-0.13670886075949362</v>
      </c>
      <c r="DP274" s="383">
        <f t="shared" si="516"/>
        <v>-0.74574209245742096</v>
      </c>
      <c r="DQ274" s="383">
        <f t="shared" si="516"/>
        <v>-0.75609756097560976</v>
      </c>
      <c r="DR274" s="383">
        <f t="shared" si="516"/>
        <v>-0.75242323344432116</v>
      </c>
      <c r="DS274" s="383">
        <f t="shared" si="516"/>
        <v>-0.61143695014662758</v>
      </c>
      <c r="DT274" s="383">
        <f t="shared" si="516"/>
        <v>0.66028708133971281</v>
      </c>
      <c r="DU274" s="383">
        <f t="shared" si="516"/>
        <v>0.75454545454545463</v>
      </c>
      <c r="DV274" s="382">
        <f t="shared" si="516"/>
        <v>5.7527267941455573E-2</v>
      </c>
      <c r="DW274" s="382">
        <f t="shared" si="516"/>
        <v>-3.7735849056603765E-3</v>
      </c>
      <c r="DX274" s="382">
        <f t="shared" si="516"/>
        <v>-0.46109510086455363</v>
      </c>
      <c r="DY274" s="382">
        <f t="shared" si="516"/>
        <v>-0.25388601036269431</v>
      </c>
      <c r="DZ274" s="382">
        <f t="shared" ref="DZ274:EW274" si="517">DZ272/DV272-1</f>
        <v>-0.2751137556877844</v>
      </c>
      <c r="EA274" s="382">
        <f t="shared" si="517"/>
        <v>-0.26515151515151514</v>
      </c>
      <c r="EB274" s="382">
        <f t="shared" si="517"/>
        <v>1.0534759358288781</v>
      </c>
      <c r="EC274" s="382">
        <f t="shared" si="517"/>
        <v>0.15972222222222232</v>
      </c>
      <c r="ED274" s="382">
        <f t="shared" si="517"/>
        <v>0.75077006925455048</v>
      </c>
      <c r="EE274" s="384">
        <f t="shared" si="517"/>
        <v>0.48787966802688043</v>
      </c>
      <c r="EF274" s="384">
        <f t="shared" si="517"/>
        <v>-0.30524492780307078</v>
      </c>
      <c r="EG274" s="384">
        <f t="shared" si="517"/>
        <v>-0.20454919018951923</v>
      </c>
      <c r="EH274" s="384">
        <f t="shared" si="517"/>
        <v>-0.17489958363533054</v>
      </c>
      <c r="EI274" s="384">
        <f t="shared" si="517"/>
        <v>-9.8437700938284078E-2</v>
      </c>
      <c r="EJ274" s="384">
        <f t="shared" si="517"/>
        <v>4.2251592718332232E-2</v>
      </c>
      <c r="EK274" s="384">
        <f t="shared" si="517"/>
        <v>0.10741124238181721</v>
      </c>
      <c r="EL274" s="384">
        <f t="shared" si="517"/>
        <v>8.1349099629835608E-2</v>
      </c>
      <c r="EM274" s="384">
        <f t="shared" si="517"/>
        <v>5.5478051763232727E-2</v>
      </c>
      <c r="EN274" s="384">
        <f t="shared" si="517"/>
        <v>2.2401487018542721E-2</v>
      </c>
      <c r="EO274" s="384">
        <f t="shared" si="517"/>
        <v>5.4713340988195025E-3</v>
      </c>
      <c r="EP274" s="384">
        <f t="shared" si="517"/>
        <v>2.2317296333526304E-2</v>
      </c>
      <c r="EQ274" s="384">
        <f t="shared" si="517"/>
        <v>2.4879608408375997E-2</v>
      </c>
      <c r="ER274" s="384">
        <f t="shared" si="517"/>
        <v>3.0005230349353207E-2</v>
      </c>
      <c r="ES274" s="384">
        <f t="shared" si="517"/>
        <v>2.709065432412272E-2</v>
      </c>
      <c r="ET274" s="384">
        <f t="shared" si="517"/>
        <v>1.3758202310848899E-2</v>
      </c>
      <c r="EU274" s="384">
        <f t="shared" si="517"/>
        <v>1.3723475932190032E-2</v>
      </c>
      <c r="EV274" s="384">
        <f t="shared" si="517"/>
        <v>1.6446844192039123E-2</v>
      </c>
      <c r="EW274" s="384">
        <f t="shared" si="517"/>
        <v>1.6334545048794613E-2</v>
      </c>
      <c r="FP274" s="382">
        <f t="shared" ref="FP274:GK274" si="518">FP272/FO272-1</f>
        <v>8.7417662163670862E-2</v>
      </c>
      <c r="FQ274" s="382">
        <f t="shared" si="518"/>
        <v>0.37299794661190955</v>
      </c>
      <c r="FR274" s="382">
        <f t="shared" si="518"/>
        <v>-2.8789351678755737E-2</v>
      </c>
      <c r="FS274" s="382">
        <f t="shared" si="518"/>
        <v>-0.16341238065906993</v>
      </c>
      <c r="FT274" s="382">
        <f t="shared" si="518"/>
        <v>-0.27155426299514063</v>
      </c>
      <c r="FU274" s="382">
        <f t="shared" si="518"/>
        <v>-0.1842072015161087</v>
      </c>
      <c r="FV274" s="382">
        <f t="shared" si="518"/>
        <v>-0.29224097878271649</v>
      </c>
      <c r="FW274" s="382">
        <f t="shared" si="518"/>
        <v>0.21312910284463893</v>
      </c>
      <c r="FX274" s="382">
        <f t="shared" si="518"/>
        <v>6.9264069264069361E-2</v>
      </c>
      <c r="FY274" s="382">
        <f t="shared" si="518"/>
        <v>-0.1223009446693657</v>
      </c>
      <c r="FZ274" s="382">
        <f t="shared" si="518"/>
        <v>-0.1950797616759562</v>
      </c>
      <c r="GA274" s="382">
        <f t="shared" si="518"/>
        <v>-0.15687679083094552</v>
      </c>
      <c r="GB274" s="382">
        <f t="shared" si="518"/>
        <v>-5.1543472104219723E-2</v>
      </c>
      <c r="GC274" s="382">
        <f t="shared" si="518"/>
        <v>-0.39922364885040307</v>
      </c>
      <c r="GD274" s="382">
        <f t="shared" si="518"/>
        <v>-0.39310801855533473</v>
      </c>
      <c r="GE274" s="382">
        <f t="shared" si="518"/>
        <v>-0.20160044559226298</v>
      </c>
      <c r="GF274" s="382">
        <f t="shared" si="518"/>
        <v>0.11088421290371153</v>
      </c>
      <c r="GG274" s="387">
        <f t="shared" si="518"/>
        <v>3.4623135401721461E-2</v>
      </c>
      <c r="GH274" s="387">
        <f t="shared" si="518"/>
        <v>-3.6560950594558439E-2</v>
      </c>
      <c r="GI274" s="387">
        <f t="shared" si="518"/>
        <v>3.9249328917699611E-2</v>
      </c>
      <c r="GJ274" s="387">
        <f t="shared" si="518"/>
        <v>2.6151381784329963E-2</v>
      </c>
      <c r="GK274" s="387">
        <f t="shared" si="518"/>
        <v>1.5113526928054011E-2</v>
      </c>
      <c r="GN274" s="70"/>
    </row>
    <row r="275" spans="1:196" s="379" customFormat="1">
      <c r="A275" s="405" t="s">
        <v>266</v>
      </c>
      <c r="BJ275" s="376">
        <v>8500</v>
      </c>
      <c r="BK275" s="376">
        <v>7090</v>
      </c>
      <c r="BL275" s="376">
        <v>8860</v>
      </c>
      <c r="BM275" s="376">
        <v>5550</v>
      </c>
      <c r="BN275" s="376">
        <v>5055</v>
      </c>
      <c r="BO275" s="376">
        <v>5950</v>
      </c>
      <c r="BP275" s="376">
        <v>7140</v>
      </c>
      <c r="BQ275" s="376">
        <v>7515</v>
      </c>
      <c r="BR275" s="376">
        <v>6850</v>
      </c>
      <c r="BS275" s="376">
        <v>6900</v>
      </c>
      <c r="BT275" s="376">
        <v>7670</v>
      </c>
      <c r="BU275" s="376">
        <v>7305</v>
      </c>
      <c r="BV275" s="376">
        <v>7690</v>
      </c>
      <c r="BW275" s="376">
        <v>6550</v>
      </c>
      <c r="BX275" s="376">
        <v>6895</v>
      </c>
      <c r="BY275" s="376">
        <v>5860</v>
      </c>
      <c r="BZ275" s="376">
        <v>9333</v>
      </c>
      <c r="CA275" s="376">
        <v>6000</v>
      </c>
      <c r="CB275" s="376">
        <v>6240</v>
      </c>
      <c r="CC275" s="376">
        <v>4990</v>
      </c>
      <c r="CD275" s="376">
        <v>5265</v>
      </c>
      <c r="CE275" s="376">
        <v>5270</v>
      </c>
      <c r="CF275" s="376">
        <v>5355</v>
      </c>
      <c r="CG275" s="376">
        <v>5405</v>
      </c>
      <c r="CH275" s="376">
        <v>4975</v>
      </c>
      <c r="CI275" s="376">
        <v>4325</v>
      </c>
      <c r="CJ275" s="376">
        <v>3460</v>
      </c>
      <c r="CK275" s="376">
        <v>3010</v>
      </c>
      <c r="CL275" s="376">
        <v>2560</v>
      </c>
      <c r="CM275" s="376">
        <v>1710</v>
      </c>
      <c r="CN275" s="376">
        <v>2280</v>
      </c>
      <c r="CO275" s="376">
        <v>2395</v>
      </c>
      <c r="CP275" s="376">
        <v>2700</v>
      </c>
      <c r="CQ275" s="376">
        <v>2830</v>
      </c>
      <c r="CR275" s="376">
        <v>3800</v>
      </c>
      <c r="CS275" s="376">
        <v>3985</v>
      </c>
      <c r="CT275" s="376">
        <v>2600</v>
      </c>
      <c r="CU275" s="376">
        <v>3615</v>
      </c>
      <c r="CV275" s="376">
        <v>4225</v>
      </c>
      <c r="CW275" s="376">
        <v>4995</v>
      </c>
      <c r="CX275" s="376">
        <f>5400-CX289</f>
        <v>5391.1764705882351</v>
      </c>
      <c r="CY275" s="376">
        <f>4340-CY289</f>
        <v>4327.5</v>
      </c>
      <c r="CZ275" s="376">
        <f>2550-CZ289</f>
        <v>2532.5</v>
      </c>
      <c r="DA275" s="376">
        <f>1650-DA289</f>
        <v>1590</v>
      </c>
      <c r="DB275" s="376">
        <f>2010-DB289</f>
        <v>1960</v>
      </c>
      <c r="DC275" s="376">
        <f>2330-DC289</f>
        <v>2296.6666666666665</v>
      </c>
      <c r="DD275" s="376">
        <f>2795-DD289</f>
        <v>2775</v>
      </c>
      <c r="DE275" s="376">
        <f>3660-DE289</f>
        <v>3633.5294117647059</v>
      </c>
      <c r="DF275" s="376">
        <f>2930-DF289</f>
        <v>2918</v>
      </c>
      <c r="DG275" s="376">
        <f>2205-DG289</f>
        <v>2177.4761904761904</v>
      </c>
      <c r="DH275" s="376">
        <f>2650-DH289</f>
        <v>2626.8115942028985</v>
      </c>
      <c r="DI275" s="376">
        <f>2305-DI289</f>
        <v>2282.2972972972975</v>
      </c>
      <c r="DJ275" s="397">
        <f>2350-DJ289</f>
        <v>2324.9333333333334</v>
      </c>
      <c r="DK275" s="397">
        <f>2250-DK289</f>
        <v>2221.3636363636365</v>
      </c>
      <c r="DL275" s="397">
        <f>2645-DL289</f>
        <v>2598.3333333333335</v>
      </c>
      <c r="DM275" s="397">
        <f>2970-DM289</f>
        <v>2933.3333333333335</v>
      </c>
      <c r="DN275" s="397">
        <f>3105-DN289</f>
        <v>3089.3333333333335</v>
      </c>
      <c r="DO275" s="397">
        <f>2080-DO289</f>
        <v>2065</v>
      </c>
      <c r="DP275" s="397">
        <f t="shared" ref="DP275:EW275" si="519">DP279+DP282</f>
        <v>670</v>
      </c>
      <c r="DQ275" s="397">
        <f t="shared" si="519"/>
        <v>820</v>
      </c>
      <c r="DR275" s="397">
        <f t="shared" si="519"/>
        <v>917</v>
      </c>
      <c r="DS275" s="397">
        <f t="shared" si="519"/>
        <v>1146.6666666666667</v>
      </c>
      <c r="DT275" s="397">
        <f t="shared" si="519"/>
        <v>1526.6666666666667</v>
      </c>
      <c r="DU275" s="397">
        <f t="shared" si="519"/>
        <v>1752.2222222222222</v>
      </c>
      <c r="DV275" s="376">
        <f t="shared" si="519"/>
        <v>1004.8623853211009</v>
      </c>
      <c r="DW275" s="376">
        <f t="shared" si="519"/>
        <v>1105.8098591549297</v>
      </c>
      <c r="DX275" s="376">
        <f>DX279+DX282</f>
        <v>687.40474174428402</v>
      </c>
      <c r="DY275" s="376">
        <f>DY279+DY282</f>
        <v>1153.5437881873727</v>
      </c>
      <c r="DZ275" s="376">
        <f t="shared" si="519"/>
        <v>626.68465718752327</v>
      </c>
      <c r="EA275" s="376">
        <f t="shared" si="519"/>
        <v>786.87943262411352</v>
      </c>
      <c r="EB275" s="376">
        <f t="shared" si="519"/>
        <v>1707.9903147699758</v>
      </c>
      <c r="EC275" s="376">
        <f t="shared" si="519"/>
        <v>1420.9159078735941</v>
      </c>
      <c r="ED275" s="376">
        <f t="shared" si="519"/>
        <v>1250.4059989287628</v>
      </c>
      <c r="EE275" s="380">
        <f t="shared" si="519"/>
        <v>1187.8856989823246</v>
      </c>
      <c r="EF275" s="380">
        <f t="shared" si="519"/>
        <v>1069.0971290840921</v>
      </c>
      <c r="EG275" s="380">
        <f t="shared" si="519"/>
        <v>962.18741617568287</v>
      </c>
      <c r="EH275" s="380">
        <f t="shared" si="519"/>
        <v>846.72492623460096</v>
      </c>
      <c r="EI275" s="380">
        <f t="shared" si="519"/>
        <v>880.59392328398508</v>
      </c>
      <c r="EJ275" s="380">
        <f t="shared" si="519"/>
        <v>924.6236194481844</v>
      </c>
      <c r="EK275" s="380">
        <f t="shared" si="519"/>
        <v>970.85480042059362</v>
      </c>
      <c r="EL275" s="380">
        <f t="shared" si="519"/>
        <v>854.35222437012237</v>
      </c>
      <c r="EM275" s="380">
        <f t="shared" si="519"/>
        <v>888.5263133449273</v>
      </c>
      <c r="EN275" s="380">
        <f t="shared" si="519"/>
        <v>932.9526290121737</v>
      </c>
      <c r="EO275" s="380">
        <f t="shared" si="519"/>
        <v>979.60026046278244</v>
      </c>
      <c r="EP275" s="380">
        <f t="shared" si="519"/>
        <v>862.0482292072486</v>
      </c>
      <c r="EQ275" s="380">
        <f t="shared" si="519"/>
        <v>896.53015837553858</v>
      </c>
      <c r="ER275" s="380">
        <f t="shared" si="519"/>
        <v>941.35666629431557</v>
      </c>
      <c r="ES275" s="380">
        <f t="shared" si="519"/>
        <v>988.42449960903139</v>
      </c>
      <c r="ET275" s="380">
        <f t="shared" si="519"/>
        <v>869.81355965594764</v>
      </c>
      <c r="EU275" s="380">
        <f t="shared" si="519"/>
        <v>904.60610204218563</v>
      </c>
      <c r="EV275" s="380">
        <f t="shared" si="519"/>
        <v>949.83640714429498</v>
      </c>
      <c r="EW275" s="380">
        <f t="shared" si="519"/>
        <v>997.32822750150979</v>
      </c>
      <c r="EZ275" s="376"/>
      <c r="FA275" s="376"/>
      <c r="FB275" s="376"/>
      <c r="FC275" s="376"/>
      <c r="FD275" s="376"/>
      <c r="FE275" s="376"/>
      <c r="FF275" s="376"/>
      <c r="FG275" s="376"/>
      <c r="FH275" s="376"/>
      <c r="FI275" s="376"/>
      <c r="FJ275" s="376"/>
      <c r="FK275" s="376"/>
      <c r="FL275" s="376"/>
      <c r="FM275" s="376"/>
      <c r="FN275" s="376"/>
      <c r="FO275" s="376">
        <f>BJ275+BK275+BL275+BM275</f>
        <v>30000</v>
      </c>
      <c r="FP275" s="376">
        <f>BN275+BO275+BP275+BQ275</f>
        <v>25660</v>
      </c>
      <c r="FQ275" s="376">
        <f>BR275+BS275+BT275+BU275</f>
        <v>28725</v>
      </c>
      <c r="FR275" s="376">
        <f>BV275+BW275+BX275+BY275</f>
        <v>26995</v>
      </c>
      <c r="FS275" s="376">
        <f>BZ275+CA275+CB275+CC275</f>
        <v>26563</v>
      </c>
      <c r="FT275" s="376">
        <f>CD275+CE275+CF275+CG275</f>
        <v>21295</v>
      </c>
      <c r="FU275" s="376">
        <f>CH275+CI275+CJ275+CK275</f>
        <v>15770</v>
      </c>
      <c r="FV275" s="376">
        <f>CL275+CM275+CN275+CO275</f>
        <v>8945</v>
      </c>
      <c r="FW275" s="376">
        <f>CP275+CQ275+CR275+CS275</f>
        <v>13315</v>
      </c>
      <c r="FX275" s="376">
        <f>CT275+CU275+CV275+CW275</f>
        <v>15435</v>
      </c>
      <c r="FY275" s="376">
        <f>CX275+CY275+CZ275+DA275</f>
        <v>13841.176470588234</v>
      </c>
      <c r="FZ275" s="376">
        <f>DB275+DC275+DD275+DE275</f>
        <v>10665.196078431372</v>
      </c>
      <c r="GA275" s="376">
        <f>SUM(DF275:DI275)</f>
        <v>10004.585081976387</v>
      </c>
      <c r="GB275" s="376">
        <f>SUM(DJ275:DM275)</f>
        <v>10077.963636363638</v>
      </c>
      <c r="GC275" s="376">
        <f>SUM(DN275:DQ275)</f>
        <v>6644.3333333333339</v>
      </c>
      <c r="GD275" s="376">
        <f>SUM(DR275:DU275)</f>
        <v>5342.5555555555566</v>
      </c>
      <c r="GE275" s="376">
        <f>SUM(DV275:DY275)</f>
        <v>3951.6207744076873</v>
      </c>
      <c r="GF275" s="376">
        <f>SUM(DZ275:EC275)</f>
        <v>4542.4703124552061</v>
      </c>
      <c r="GG275" s="380">
        <f>SUM(ED275:EG275)</f>
        <v>4469.5762431708627</v>
      </c>
      <c r="GH275" s="380">
        <f>SUM(EH275:EK275)</f>
        <v>3622.7972693873639</v>
      </c>
      <c r="GI275" s="380">
        <f>SUM(EL275:EO275)</f>
        <v>3655.4314271900062</v>
      </c>
      <c r="GJ275" s="380">
        <f>SUM(EP275:ES275)</f>
        <v>3688.3595534861342</v>
      </c>
      <c r="GK275" s="380">
        <f>SUM(ET275:EW275)</f>
        <v>3721.5842963439381</v>
      </c>
      <c r="GN275" s="70"/>
    </row>
    <row r="276" spans="1:196" s="382" customFormat="1">
      <c r="A276" s="381" t="s">
        <v>198</v>
      </c>
      <c r="BK276" s="382">
        <f t="shared" ref="BK276:DV276" si="520">BK275/BJ275-1</f>
        <v>-0.16588235294117648</v>
      </c>
      <c r="BL276" s="382">
        <f t="shared" si="520"/>
        <v>0.2496473906911143</v>
      </c>
      <c r="BM276" s="382">
        <f t="shared" si="520"/>
        <v>-0.37358916478555304</v>
      </c>
      <c r="BN276" s="382">
        <f t="shared" si="520"/>
        <v>-8.9189189189189166E-2</v>
      </c>
      <c r="BO276" s="382">
        <f t="shared" si="520"/>
        <v>0.17705242334322446</v>
      </c>
      <c r="BP276" s="382">
        <f t="shared" si="520"/>
        <v>0.19999999999999996</v>
      </c>
      <c r="BQ276" s="382">
        <f t="shared" si="520"/>
        <v>5.252100840336138E-2</v>
      </c>
      <c r="BR276" s="382">
        <f t="shared" si="520"/>
        <v>-8.8489687292082508E-2</v>
      </c>
      <c r="BS276" s="382">
        <f t="shared" si="520"/>
        <v>7.2992700729928028E-3</v>
      </c>
      <c r="BT276" s="382">
        <f t="shared" si="520"/>
        <v>0.11159420289855082</v>
      </c>
      <c r="BU276" s="382">
        <f t="shared" si="520"/>
        <v>-4.7588005215123852E-2</v>
      </c>
      <c r="BV276" s="382">
        <f t="shared" si="520"/>
        <v>5.2703627652292973E-2</v>
      </c>
      <c r="BW276" s="382">
        <f t="shared" si="520"/>
        <v>-0.14824447334200264</v>
      </c>
      <c r="BX276" s="382">
        <f t="shared" si="520"/>
        <v>5.2671755725190783E-2</v>
      </c>
      <c r="BY276" s="382">
        <f t="shared" si="520"/>
        <v>-0.15010877447425675</v>
      </c>
      <c r="BZ276" s="382">
        <f t="shared" si="520"/>
        <v>0.59266211604095553</v>
      </c>
      <c r="CA276" s="382">
        <f t="shared" si="520"/>
        <v>-0.35711989713918357</v>
      </c>
      <c r="CB276" s="382">
        <f t="shared" si="520"/>
        <v>4.0000000000000036E-2</v>
      </c>
      <c r="CC276" s="382">
        <f t="shared" si="520"/>
        <v>-0.20032051282051277</v>
      </c>
      <c r="CD276" s="382">
        <f t="shared" si="520"/>
        <v>5.5110220440881763E-2</v>
      </c>
      <c r="CE276" s="382">
        <f t="shared" si="520"/>
        <v>9.496676163343043E-4</v>
      </c>
      <c r="CF276" s="382">
        <f t="shared" si="520"/>
        <v>1.6129032258064502E-2</v>
      </c>
      <c r="CG276" s="382">
        <f t="shared" si="520"/>
        <v>9.3370681605975392E-3</v>
      </c>
      <c r="CH276" s="382">
        <f t="shared" si="520"/>
        <v>-7.9555966697502312E-2</v>
      </c>
      <c r="CI276" s="382">
        <f t="shared" si="520"/>
        <v>-0.1306532663316583</v>
      </c>
      <c r="CJ276" s="382">
        <f t="shared" si="520"/>
        <v>-0.19999999999999996</v>
      </c>
      <c r="CK276" s="382">
        <f t="shared" si="520"/>
        <v>-0.13005780346820806</v>
      </c>
      <c r="CL276" s="382">
        <f t="shared" si="520"/>
        <v>-0.14950166112956809</v>
      </c>
      <c r="CM276" s="382">
        <f t="shared" si="520"/>
        <v>-0.33203125</v>
      </c>
      <c r="CN276" s="382">
        <f t="shared" si="520"/>
        <v>0.33333333333333326</v>
      </c>
      <c r="CO276" s="382">
        <f t="shared" si="520"/>
        <v>5.0438596491228171E-2</v>
      </c>
      <c r="CP276" s="382">
        <f t="shared" si="520"/>
        <v>0.12734864300626314</v>
      </c>
      <c r="CQ276" s="382">
        <f t="shared" si="520"/>
        <v>4.8148148148148051E-2</v>
      </c>
      <c r="CR276" s="382">
        <f t="shared" si="520"/>
        <v>0.34275618374558303</v>
      </c>
      <c r="CS276" s="382">
        <f t="shared" si="520"/>
        <v>4.8684210526315885E-2</v>
      </c>
      <c r="CT276" s="382">
        <f t="shared" si="520"/>
        <v>-0.34755332496863234</v>
      </c>
      <c r="CU276" s="382">
        <f t="shared" si="520"/>
        <v>0.39038461538461533</v>
      </c>
      <c r="CV276" s="382">
        <f t="shared" si="520"/>
        <v>0.16874135546334723</v>
      </c>
      <c r="CW276" s="382">
        <f t="shared" si="520"/>
        <v>0.18224852071005926</v>
      </c>
      <c r="CX276" s="382">
        <f t="shared" si="520"/>
        <v>7.9314608726373415E-2</v>
      </c>
      <c r="CY276" s="382">
        <f t="shared" si="520"/>
        <v>-0.19729950900163662</v>
      </c>
      <c r="CZ276" s="382">
        <f t="shared" si="520"/>
        <v>-0.41478913922588101</v>
      </c>
      <c r="DA276" s="382">
        <f t="shared" si="520"/>
        <v>-0.37216189536031585</v>
      </c>
      <c r="DB276" s="382">
        <f t="shared" si="520"/>
        <v>0.23270440251572322</v>
      </c>
      <c r="DC276" s="382">
        <f t="shared" si="520"/>
        <v>0.17176870748299322</v>
      </c>
      <c r="DD276" s="382">
        <f t="shared" si="520"/>
        <v>0.20827285921625549</v>
      </c>
      <c r="DE276" s="382">
        <f t="shared" si="520"/>
        <v>0.30937996820349767</v>
      </c>
      <c r="DF276" s="382">
        <f t="shared" si="520"/>
        <v>-0.1969240731746803</v>
      </c>
      <c r="DG276" s="382">
        <f t="shared" si="520"/>
        <v>-0.25377786481282028</v>
      </c>
      <c r="DH276" s="382">
        <f t="shared" si="520"/>
        <v>0.20635605830823955</v>
      </c>
      <c r="DI276" s="382">
        <f t="shared" si="520"/>
        <v>-0.13115302889095981</v>
      </c>
      <c r="DJ276" s="383">
        <f t="shared" si="520"/>
        <v>1.8681192886888853E-2</v>
      </c>
      <c r="DK276" s="383">
        <f t="shared" si="520"/>
        <v>-4.4547383567857257E-2</v>
      </c>
      <c r="DL276" s="383">
        <f t="shared" si="520"/>
        <v>0.1697019302912488</v>
      </c>
      <c r="DM276" s="383">
        <f t="shared" si="520"/>
        <v>0.12892880051314948</v>
      </c>
      <c r="DN276" s="383">
        <f t="shared" si="520"/>
        <v>5.3181818181818219E-2</v>
      </c>
      <c r="DO276" s="383">
        <f t="shared" si="520"/>
        <v>-0.33157099697885195</v>
      </c>
      <c r="DP276" s="383">
        <f t="shared" si="520"/>
        <v>-0.67554479418886193</v>
      </c>
      <c r="DQ276" s="383">
        <f t="shared" si="520"/>
        <v>0.22388059701492535</v>
      </c>
      <c r="DR276" s="383">
        <f t="shared" si="520"/>
        <v>0.11829268292682937</v>
      </c>
      <c r="DS276" s="383">
        <f t="shared" si="520"/>
        <v>0.2504543802253727</v>
      </c>
      <c r="DT276" s="383">
        <f t="shared" si="520"/>
        <v>0.33139534883720922</v>
      </c>
      <c r="DU276" s="383">
        <f t="shared" si="520"/>
        <v>0.1477438136826783</v>
      </c>
      <c r="DV276" s="382">
        <f t="shared" si="520"/>
        <v>-0.42652114978504074</v>
      </c>
      <c r="DW276" s="382">
        <f t="shared" ref="DW276:EH276" si="521">DW275/DV275-1</f>
        <v>0.10045900345008074</v>
      </c>
      <c r="DX276" s="382">
        <f>DX275/DW275-1</f>
        <v>-0.37836985621596353</v>
      </c>
      <c r="DY276" s="382">
        <f t="shared" si="521"/>
        <v>0.67811438899921539</v>
      </c>
      <c r="DZ276" s="382">
        <f t="shared" si="521"/>
        <v>-0.45673093331613568</v>
      </c>
      <c r="EA276" s="382">
        <f t="shared" si="521"/>
        <v>0.25562262231777444</v>
      </c>
      <c r="EB276" s="382">
        <f t="shared" si="521"/>
        <v>1.1705870606810866</v>
      </c>
      <c r="EC276" s="382">
        <f t="shared" si="521"/>
        <v>-0.1680773037258374</v>
      </c>
      <c r="ED276" s="382">
        <f t="shared" si="521"/>
        <v>-0.12</v>
      </c>
      <c r="EE276" s="384">
        <f t="shared" si="521"/>
        <v>-5.0000000000000044E-2</v>
      </c>
      <c r="EF276" s="384">
        <f t="shared" si="521"/>
        <v>-9.9999999999999978E-2</v>
      </c>
      <c r="EG276" s="384">
        <f t="shared" si="521"/>
        <v>-9.9999999999999978E-2</v>
      </c>
      <c r="EH276" s="384">
        <f t="shared" si="521"/>
        <v>-0.12</v>
      </c>
      <c r="EI276" s="384">
        <f>EI275/EH275-1</f>
        <v>4.0000000000000036E-2</v>
      </c>
      <c r="EJ276" s="384">
        <f>EJ275/EI275-1</f>
        <v>5.0000000000000044E-2</v>
      </c>
      <c r="EK276" s="384">
        <f>EK275/EJ275-1</f>
        <v>5.0000000000000044E-2</v>
      </c>
      <c r="EL276" s="384">
        <f t="shared" ref="EL276" si="522">EL275/EK275-1</f>
        <v>-0.12</v>
      </c>
      <c r="EM276" s="384">
        <f>EM275/EL275-1</f>
        <v>4.0000000000000036E-2</v>
      </c>
      <c r="EN276" s="384">
        <f>EN275/EM275-1</f>
        <v>5.0000000000000044E-2</v>
      </c>
      <c r="EO276" s="384">
        <f>EO275/EN275-1</f>
        <v>5.0000000000000044E-2</v>
      </c>
      <c r="EP276" s="384">
        <f t="shared" ref="EP276" si="523">EP275/EO275-1</f>
        <v>-0.12</v>
      </c>
      <c r="EQ276" s="384">
        <f>EQ275/EP275-1</f>
        <v>4.0000000000000036E-2</v>
      </c>
      <c r="ER276" s="384">
        <f>ER275/EQ275-1</f>
        <v>5.0000000000000044E-2</v>
      </c>
      <c r="ES276" s="384">
        <f>ES275/ER275-1</f>
        <v>5.0000000000000044E-2</v>
      </c>
      <c r="ET276" s="384">
        <f t="shared" ref="ET276" si="524">ET275/ES275-1</f>
        <v>-0.12</v>
      </c>
      <c r="EU276" s="384">
        <f>EU275/ET275-1</f>
        <v>4.0000000000000036E-2</v>
      </c>
      <c r="EV276" s="384">
        <f>EV275/EU275-1</f>
        <v>5.0000000000000044E-2</v>
      </c>
      <c r="EW276" s="384">
        <f>EW275/EV275-1</f>
        <v>5.0000000000000044E-2</v>
      </c>
      <c r="EX276" s="384"/>
      <c r="FZ276" s="386" t="s">
        <v>199</v>
      </c>
      <c r="GA276" s="386" t="s">
        <v>199</v>
      </c>
      <c r="GB276" s="386" t="s">
        <v>199</v>
      </c>
      <c r="GC276" s="386" t="s">
        <v>199</v>
      </c>
      <c r="GD276" s="386" t="s">
        <v>199</v>
      </c>
      <c r="GE276" s="386" t="s">
        <v>199</v>
      </c>
      <c r="GF276" s="386" t="s">
        <v>199</v>
      </c>
      <c r="GG276" s="386" t="s">
        <v>199</v>
      </c>
      <c r="GH276" s="386" t="s">
        <v>199</v>
      </c>
      <c r="GI276" s="386" t="s">
        <v>199</v>
      </c>
      <c r="GJ276" s="386" t="s">
        <v>199</v>
      </c>
      <c r="GK276" s="386" t="s">
        <v>199</v>
      </c>
      <c r="GN276" s="70"/>
    </row>
    <row r="277" spans="1:196" s="382" customFormat="1">
      <c r="A277" s="381" t="s">
        <v>200</v>
      </c>
      <c r="BN277" s="382">
        <f t="shared" ref="BN277:DY277" si="525">BN275/BJ275-1</f>
        <v>-0.4052941176470588</v>
      </c>
      <c r="BO277" s="382">
        <f t="shared" si="525"/>
        <v>-0.16078984485190406</v>
      </c>
      <c r="BP277" s="382">
        <f t="shared" si="525"/>
        <v>-0.19413092550790068</v>
      </c>
      <c r="BQ277" s="382">
        <f t="shared" si="525"/>
        <v>0.35405405405405399</v>
      </c>
      <c r="BR277" s="382">
        <f t="shared" si="525"/>
        <v>0.35509396636993085</v>
      </c>
      <c r="BS277" s="382">
        <f t="shared" si="525"/>
        <v>0.15966386554621859</v>
      </c>
      <c r="BT277" s="382">
        <f t="shared" si="525"/>
        <v>7.4229691876750659E-2</v>
      </c>
      <c r="BU277" s="382">
        <f t="shared" si="525"/>
        <v>-2.7944111776447067E-2</v>
      </c>
      <c r="BV277" s="382">
        <f t="shared" si="525"/>
        <v>0.1226277372262774</v>
      </c>
      <c r="BW277" s="382">
        <f t="shared" si="525"/>
        <v>-5.0724637681159424E-2</v>
      </c>
      <c r="BX277" s="382">
        <f t="shared" si="525"/>
        <v>-0.10104302477183835</v>
      </c>
      <c r="BY277" s="382">
        <f t="shared" si="525"/>
        <v>-0.19780971937029435</v>
      </c>
      <c r="BZ277" s="382">
        <f t="shared" si="525"/>
        <v>0.21365409622886866</v>
      </c>
      <c r="CA277" s="382">
        <f t="shared" si="525"/>
        <v>-8.3969465648854991E-2</v>
      </c>
      <c r="CB277" s="382">
        <f t="shared" si="525"/>
        <v>-9.499637418419149E-2</v>
      </c>
      <c r="CC277" s="382">
        <f t="shared" si="525"/>
        <v>-0.14846416382252559</v>
      </c>
      <c r="CD277" s="382">
        <f t="shared" si="525"/>
        <v>-0.43587270973963355</v>
      </c>
      <c r="CE277" s="382">
        <f t="shared" si="525"/>
        <v>-0.1216666666666667</v>
      </c>
      <c r="CF277" s="382">
        <f t="shared" si="525"/>
        <v>-0.14182692307692313</v>
      </c>
      <c r="CG277" s="382">
        <f t="shared" si="525"/>
        <v>8.3166332665330689E-2</v>
      </c>
      <c r="CH277" s="382">
        <f t="shared" si="525"/>
        <v>-5.5080721747388428E-2</v>
      </c>
      <c r="CI277" s="382">
        <f t="shared" si="525"/>
        <v>-0.1793168880455408</v>
      </c>
      <c r="CJ277" s="382">
        <f t="shared" si="525"/>
        <v>-0.35387488328664796</v>
      </c>
      <c r="CK277" s="382">
        <f t="shared" si="525"/>
        <v>-0.44310823311748382</v>
      </c>
      <c r="CL277" s="382">
        <f t="shared" si="525"/>
        <v>-0.48542713567839191</v>
      </c>
      <c r="CM277" s="382">
        <f t="shared" si="525"/>
        <v>-0.60462427745664737</v>
      </c>
      <c r="CN277" s="382">
        <f t="shared" si="525"/>
        <v>-0.34104046242774566</v>
      </c>
      <c r="CO277" s="382">
        <f t="shared" si="525"/>
        <v>-0.20431893687707636</v>
      </c>
      <c r="CP277" s="382">
        <f t="shared" si="525"/>
        <v>5.46875E-2</v>
      </c>
      <c r="CQ277" s="382">
        <f t="shared" si="525"/>
        <v>0.65497076023391809</v>
      </c>
      <c r="CR277" s="382">
        <f t="shared" si="525"/>
        <v>0.66666666666666674</v>
      </c>
      <c r="CS277" s="382">
        <f t="shared" si="525"/>
        <v>0.66388308977035493</v>
      </c>
      <c r="CT277" s="382">
        <f t="shared" si="525"/>
        <v>-3.703703703703709E-2</v>
      </c>
      <c r="CU277" s="382">
        <f t="shared" si="525"/>
        <v>0.27738515901060068</v>
      </c>
      <c r="CV277" s="382">
        <f t="shared" si="525"/>
        <v>0.11184210526315796</v>
      </c>
      <c r="CW277" s="382">
        <f t="shared" si="525"/>
        <v>0.25345043914680043</v>
      </c>
      <c r="CX277" s="382">
        <f t="shared" si="525"/>
        <v>1.0735294117647056</v>
      </c>
      <c r="CY277" s="382">
        <f t="shared" si="525"/>
        <v>0.19709543568464727</v>
      </c>
      <c r="CZ277" s="382">
        <f t="shared" si="525"/>
        <v>-0.40059171597633136</v>
      </c>
      <c r="DA277" s="382">
        <f t="shared" si="525"/>
        <v>-0.68168168168168175</v>
      </c>
      <c r="DB277" s="382">
        <f t="shared" si="525"/>
        <v>-0.63644298963447898</v>
      </c>
      <c r="DC277" s="382">
        <f t="shared" si="525"/>
        <v>-0.46928557673791649</v>
      </c>
      <c r="DD277" s="382">
        <f t="shared" si="525"/>
        <v>9.5755182625863799E-2</v>
      </c>
      <c r="DE277" s="382">
        <f t="shared" si="525"/>
        <v>1.2852386237513875</v>
      </c>
      <c r="DF277" s="382">
        <f t="shared" si="525"/>
        <v>0.48877551020408161</v>
      </c>
      <c r="DG277" s="382">
        <f t="shared" si="525"/>
        <v>-5.1897159444329266E-2</v>
      </c>
      <c r="DH277" s="382">
        <f t="shared" si="525"/>
        <v>-5.3401227314270772E-2</v>
      </c>
      <c r="DI277" s="382">
        <f t="shared" si="525"/>
        <v>-0.37187867809528807</v>
      </c>
      <c r="DJ277" s="383">
        <f t="shared" si="525"/>
        <v>-0.20324423120859036</v>
      </c>
      <c r="DK277" s="383">
        <f t="shared" si="525"/>
        <v>2.015518979238462E-2</v>
      </c>
      <c r="DL277" s="383">
        <f t="shared" si="525"/>
        <v>-1.084137931034479E-2</v>
      </c>
      <c r="DM277" s="383">
        <f t="shared" si="525"/>
        <v>0.28525470227169558</v>
      </c>
      <c r="DN277" s="383">
        <f t="shared" si="525"/>
        <v>0.32878362103572867</v>
      </c>
      <c r="DO277" s="383">
        <f t="shared" si="525"/>
        <v>-7.0390832821772054E-2</v>
      </c>
      <c r="DP277" s="383">
        <f t="shared" si="525"/>
        <v>-0.74214239897370105</v>
      </c>
      <c r="DQ277" s="383">
        <f t="shared" si="525"/>
        <v>-0.72045454545454546</v>
      </c>
      <c r="DR277" s="383">
        <f t="shared" si="525"/>
        <v>-0.70317220543806647</v>
      </c>
      <c r="DS277" s="383">
        <f t="shared" si="525"/>
        <v>-0.44471347861178367</v>
      </c>
      <c r="DT277" s="383">
        <f t="shared" si="525"/>
        <v>1.2786069651741294</v>
      </c>
      <c r="DU277" s="383">
        <f t="shared" si="525"/>
        <v>1.1368563685636857</v>
      </c>
      <c r="DV277" s="382">
        <f t="shared" si="525"/>
        <v>9.5815033065540733E-2</v>
      </c>
      <c r="DW277" s="382">
        <f t="shared" si="525"/>
        <v>-3.5630936783491607E-2</v>
      </c>
      <c r="DX277" s="382">
        <f t="shared" si="525"/>
        <v>-0.54973488532033798</v>
      </c>
      <c r="DY277" s="382">
        <f t="shared" si="525"/>
        <v>-0.34166809805413101</v>
      </c>
      <c r="DZ277" s="382">
        <f t="shared" ref="DZ277:EW277" si="526">DZ275/DV275-1</f>
        <v>-0.37634778021144855</v>
      </c>
      <c r="EA277" s="382">
        <f t="shared" si="526"/>
        <v>-0.2884134409640241</v>
      </c>
      <c r="EB277" s="382">
        <f t="shared" si="526"/>
        <v>1.4846938216282362</v>
      </c>
      <c r="EC277" s="382">
        <f t="shared" si="526"/>
        <v>0.23178324258185112</v>
      </c>
      <c r="ED277" s="382">
        <f t="shared" si="526"/>
        <v>0.99527144088769814</v>
      </c>
      <c r="EE277" s="384">
        <f t="shared" si="526"/>
        <v>0.50961589505640159</v>
      </c>
      <c r="EF277" s="384">
        <f t="shared" si="526"/>
        <v>-0.37406136332332007</v>
      </c>
      <c r="EG277" s="384">
        <f t="shared" si="526"/>
        <v>-0.32284000000000002</v>
      </c>
      <c r="EH277" s="384">
        <f t="shared" si="526"/>
        <v>-0.32284000000000002</v>
      </c>
      <c r="EI277" s="384">
        <f t="shared" si="526"/>
        <v>-0.25868799999999992</v>
      </c>
      <c r="EJ277" s="384">
        <f t="shared" si="526"/>
        <v>-0.13513599999999981</v>
      </c>
      <c r="EK277" s="384">
        <f t="shared" si="526"/>
        <v>9.008000000000127E-3</v>
      </c>
      <c r="EL277" s="384">
        <f t="shared" si="526"/>
        <v>9.008000000000127E-3</v>
      </c>
      <c r="EM277" s="384">
        <f t="shared" si="526"/>
        <v>9.008000000000127E-3</v>
      </c>
      <c r="EN277" s="384">
        <f t="shared" si="526"/>
        <v>9.008000000000127E-3</v>
      </c>
      <c r="EO277" s="384">
        <f t="shared" si="526"/>
        <v>9.008000000000127E-3</v>
      </c>
      <c r="EP277" s="384">
        <f t="shared" si="526"/>
        <v>9.008000000000127E-3</v>
      </c>
      <c r="EQ277" s="384">
        <f t="shared" si="526"/>
        <v>9.008000000000127E-3</v>
      </c>
      <c r="ER277" s="384">
        <f t="shared" si="526"/>
        <v>9.008000000000127E-3</v>
      </c>
      <c r="ES277" s="384">
        <f t="shared" si="526"/>
        <v>9.008000000000127E-3</v>
      </c>
      <c r="ET277" s="384">
        <f t="shared" si="526"/>
        <v>9.008000000000127E-3</v>
      </c>
      <c r="EU277" s="384">
        <f t="shared" si="526"/>
        <v>9.008000000000127E-3</v>
      </c>
      <c r="EV277" s="384">
        <f t="shared" si="526"/>
        <v>9.008000000000127E-3</v>
      </c>
      <c r="EW277" s="384">
        <f t="shared" si="526"/>
        <v>9.0080000000003491E-3</v>
      </c>
      <c r="FP277" s="382">
        <f t="shared" ref="FP277:GK277" si="527">FP275/FO275-1</f>
        <v>-0.14466666666666672</v>
      </c>
      <c r="FQ277" s="382">
        <f t="shared" si="527"/>
        <v>0.11944660950896346</v>
      </c>
      <c r="FR277" s="382">
        <f t="shared" si="527"/>
        <v>-6.0226283724978291E-2</v>
      </c>
      <c r="FS277" s="382">
        <f t="shared" si="527"/>
        <v>-1.6002963511761448E-2</v>
      </c>
      <c r="FT277" s="382">
        <f t="shared" si="527"/>
        <v>-0.19832097278168881</v>
      </c>
      <c r="FU277" s="382">
        <f t="shared" si="527"/>
        <v>-0.25945057525240667</v>
      </c>
      <c r="FV277" s="382">
        <f t="shared" si="527"/>
        <v>-0.43278376664552953</v>
      </c>
      <c r="FW277" s="382">
        <f t="shared" si="527"/>
        <v>0.48854108440469535</v>
      </c>
      <c r="FX277" s="382">
        <f t="shared" si="527"/>
        <v>0.15921892602328191</v>
      </c>
      <c r="FY277" s="382">
        <f t="shared" si="527"/>
        <v>-0.10326035175975157</v>
      </c>
      <c r="FZ277" s="382">
        <f t="shared" si="527"/>
        <v>-0.22945884686216178</v>
      </c>
      <c r="GA277" s="382">
        <f t="shared" si="527"/>
        <v>-6.1940820552841336E-2</v>
      </c>
      <c r="GB277" s="382">
        <f t="shared" si="527"/>
        <v>7.3344925137819317E-3</v>
      </c>
      <c r="GC277" s="382">
        <f t="shared" si="527"/>
        <v>-0.34070675653571192</v>
      </c>
      <c r="GD277" s="382">
        <f t="shared" si="527"/>
        <v>-0.19592300874596558</v>
      </c>
      <c r="GE277" s="382">
        <f t="shared" si="527"/>
        <v>-0.2603500827804176</v>
      </c>
      <c r="GF277" s="382">
        <f t="shared" si="527"/>
        <v>0.14952080975839133</v>
      </c>
      <c r="GG277" s="387">
        <f t="shared" si="527"/>
        <v>-1.6047230751177866E-2</v>
      </c>
      <c r="GH277" s="387">
        <f t="shared" si="527"/>
        <v>-0.18945397230381866</v>
      </c>
      <c r="GI277" s="387">
        <f t="shared" si="527"/>
        <v>9.008000000000127E-3</v>
      </c>
      <c r="GJ277" s="387">
        <f t="shared" si="527"/>
        <v>9.008000000000127E-3</v>
      </c>
      <c r="GK277" s="387">
        <f t="shared" si="527"/>
        <v>9.008000000000127E-3</v>
      </c>
      <c r="GN277" s="70"/>
    </row>
    <row r="278" spans="1:196" s="382" customFormat="1">
      <c r="A278" s="381" t="s">
        <v>281</v>
      </c>
      <c r="BJ278" s="382">
        <f>BJ275/BJ272</f>
        <v>0.75723830734966591</v>
      </c>
      <c r="BK278" s="382">
        <f>BK275/BK272</f>
        <v>0.68834951456310678</v>
      </c>
      <c r="BL278" s="382">
        <f>BL275/BL272</f>
        <v>0.61166724197445632</v>
      </c>
      <c r="BM278" s="382">
        <f>BM275/BM272</f>
        <v>0.63247863247863245</v>
      </c>
      <c r="BN278" s="382">
        <f>BN275/BN272</f>
        <v>0.64766175528507364</v>
      </c>
      <c r="BO278" s="382">
        <f>BO275/BO272</f>
        <v>0.53894927536231885</v>
      </c>
      <c r="BP278" s="382">
        <f>BP275/BP272</f>
        <v>0.50854700854700852</v>
      </c>
      <c r="BQ278" s="382">
        <f>BQ275/BQ272</f>
        <v>0.47518178944040468</v>
      </c>
      <c r="BR278" s="382">
        <f>BR275/BR272</f>
        <v>0.42946708463949845</v>
      </c>
      <c r="BS278" s="382">
        <f>BS275/BS272</f>
        <v>0.38720538720538722</v>
      </c>
      <c r="BT278" s="382">
        <f>BT275/BT272</f>
        <v>0.45250737463126844</v>
      </c>
      <c r="BU278" s="382">
        <f>BU275/BU272</f>
        <v>0.45246206255806753</v>
      </c>
      <c r="BV278" s="382">
        <f>BV275/BV272</f>
        <v>0.42509673852957436</v>
      </c>
      <c r="BW278" s="382">
        <f>BW275/BW272</f>
        <v>0.41065830721003133</v>
      </c>
      <c r="BX278" s="382">
        <f>BX275/BX272</f>
        <v>0.41066110780226323</v>
      </c>
      <c r="BY278" s="382">
        <f>BY275/BY272</f>
        <v>0.41530829199149538</v>
      </c>
      <c r="BZ278" s="382">
        <f>BZ275/BZ272</f>
        <v>0.51469696134120113</v>
      </c>
      <c r="CA278" s="382">
        <f>CA275/CA272</f>
        <v>0.42857142857142855</v>
      </c>
      <c r="CB278" s="382">
        <f>CB275/CB272</f>
        <v>0.52086811352253759</v>
      </c>
      <c r="CC278" s="382">
        <f>CC275/CC272</f>
        <v>0.48849730788056778</v>
      </c>
      <c r="CD278" s="382">
        <f>CD275/CD272</f>
        <v>0.53343465045592708</v>
      </c>
      <c r="CE278" s="382">
        <f>CE275/CE272</f>
        <v>0.52075098814229248</v>
      </c>
      <c r="CF278" s="382">
        <f>CF275/CF272</f>
        <v>0.542004048582996</v>
      </c>
      <c r="CG278" s="382">
        <f>CG275/CG272</f>
        <v>0.55692941782586292</v>
      </c>
      <c r="CH278" s="382">
        <f>CH275/CH272</f>
        <v>0.59402985074626868</v>
      </c>
      <c r="CI278" s="382">
        <f>CI275/CI272</f>
        <v>0.49456832475700402</v>
      </c>
      <c r="CJ278" s="382">
        <f>CJ275/CJ272</f>
        <v>0.42663378545006164</v>
      </c>
      <c r="CK278" s="382">
        <f>CK275/CK272</f>
        <v>0.42664776754075123</v>
      </c>
      <c r="CL278" s="382">
        <f>CL275/CL272</f>
        <v>0.42105263157894735</v>
      </c>
      <c r="CM278" s="382">
        <f>CM275/CM272</f>
        <v>0.35849056603773582</v>
      </c>
      <c r="CN278" s="382">
        <f>CN275/CN272</f>
        <v>0.38287153652392947</v>
      </c>
      <c r="CO278" s="382">
        <f>CO275/CO272</f>
        <v>0.39619520264681557</v>
      </c>
      <c r="CP278" s="382">
        <f>CP275/CP272</f>
        <v>0.44887780548628431</v>
      </c>
      <c r="CQ278" s="382">
        <f>CQ275/CQ272</f>
        <v>0.47049044056525352</v>
      </c>
      <c r="CR278" s="382">
        <f>CR275/CR272</f>
        <v>0.49511400651465798</v>
      </c>
      <c r="CS278" s="382">
        <f>CS275/CS272</f>
        <v>0.49719276356830944</v>
      </c>
      <c r="CT278" s="382">
        <f>CT275/CT272</f>
        <v>0.43333333333333335</v>
      </c>
      <c r="CU278" s="382">
        <f>CU275/CU272</f>
        <v>0.51023288637967534</v>
      </c>
      <c r="CV278" s="382">
        <f>CV275/CV272</f>
        <v>0.53650793650793649</v>
      </c>
      <c r="CW278" s="382">
        <f>CW275/CW272</f>
        <v>0.57546082949308752</v>
      </c>
      <c r="CX278" s="382">
        <f>CX275/CX272</f>
        <v>0.67389705882352935</v>
      </c>
      <c r="CY278" s="382">
        <f>CY275/CY272</f>
        <v>0.60187760778859523</v>
      </c>
      <c r="CZ278" s="382">
        <f>CZ275/CZ272</f>
        <v>0.42384937238493725</v>
      </c>
      <c r="DA278" s="382">
        <f>DA275/DA272</f>
        <v>0.32783505154639175</v>
      </c>
      <c r="DB278" s="382">
        <f>DB275/DB272</f>
        <v>0.41970021413276232</v>
      </c>
      <c r="DC278" s="382">
        <f>DC275/DC272</f>
        <v>0.46538331644714631</v>
      </c>
      <c r="DD278" s="382">
        <f>DD275/DD272</f>
        <v>0.52358490566037741</v>
      </c>
      <c r="DE278" s="382">
        <f>DE275/DE272</f>
        <v>0.60207612456747406</v>
      </c>
      <c r="DF278" s="382">
        <f>DF275/DF272</f>
        <v>0.62217484008528789</v>
      </c>
      <c r="DG278" s="382">
        <f>DG275/DG272</f>
        <v>0.52723394442522764</v>
      </c>
      <c r="DH278" s="382">
        <f>DH275/DH272</f>
        <v>0.56188483298457736</v>
      </c>
      <c r="DI278" s="382">
        <f>DI275/DI272</f>
        <v>0.54862915800415801</v>
      </c>
      <c r="DJ278" s="383">
        <f>DJ275/DJ272</f>
        <v>0.55687025948103797</v>
      </c>
      <c r="DK278" s="383">
        <f>DK275/DK272</f>
        <v>0.56237054085155358</v>
      </c>
      <c r="DL278" s="383">
        <f>DL275/DL272</f>
        <v>0.6321978913219789</v>
      </c>
      <c r="DM278" s="383">
        <f>DM275/DM272</f>
        <v>0.65040650406504052</v>
      </c>
      <c r="DN278" s="383">
        <f>DN275/DN272</f>
        <v>0.6857565667776544</v>
      </c>
      <c r="DO278" s="383">
        <f>DO275/DO272</f>
        <v>0.6055718475073314</v>
      </c>
      <c r="DP278" s="383">
        <f>DP275/DP272</f>
        <v>0.64114832535885169</v>
      </c>
      <c r="DQ278" s="383">
        <f>DQ275/DQ272</f>
        <v>0.74545454545454548</v>
      </c>
      <c r="DR278" s="383">
        <f>DR275/DR272</f>
        <v>0.82217573221757323</v>
      </c>
      <c r="DS278" s="383">
        <f>DS275/DS272</f>
        <v>0.86540880503144657</v>
      </c>
      <c r="DT278" s="383">
        <f>DT275/DT272</f>
        <v>0.87992315081652261</v>
      </c>
      <c r="DU278" s="383">
        <f>DU275/DU272</f>
        <v>0.90788716177317208</v>
      </c>
      <c r="DV278" s="382">
        <f>DV275/DV272</f>
        <v>0.85194259712985643</v>
      </c>
      <c r="DW278" s="382">
        <f>DW275/DW272</f>
        <v>0.83773474178403762</v>
      </c>
      <c r="DX278" s="382">
        <f>DX275/DX272</f>
        <v>0.73519223715966242</v>
      </c>
      <c r="DY278" s="382">
        <f>DY275/DY272</f>
        <v>0.80107207513011991</v>
      </c>
      <c r="DZ278" s="382">
        <f>DZ275/DZ272</f>
        <v>0.73296451133043661</v>
      </c>
      <c r="EA278" s="382">
        <f>EA275/EA272</f>
        <v>0.81121590992176651</v>
      </c>
      <c r="EB278" s="382">
        <f>EB275/EB272</f>
        <v>0.88957828894269575</v>
      </c>
      <c r="EC278" s="382">
        <f>EC275/EC272</f>
        <v>0.85084784902610422</v>
      </c>
      <c r="ED278" s="382">
        <f>ED275/ED272</f>
        <v>0.83532565602090791</v>
      </c>
      <c r="EE278" s="384">
        <f>EE275/EE272</f>
        <v>0.82306685026790516</v>
      </c>
      <c r="EF278" s="384">
        <f>EF275/EF272</f>
        <v>0.80146434863325899</v>
      </c>
      <c r="EG278" s="384">
        <f>EG275/EG272</f>
        <v>0.7243189928787539</v>
      </c>
      <c r="EH278" s="384">
        <f>EH275/EH272</f>
        <v>0.68555185528002227</v>
      </c>
      <c r="EI278" s="384">
        <f>EI275/EI272</f>
        <v>0.6767689083059516</v>
      </c>
      <c r="EJ278" s="384">
        <f>EJ275/EJ272</f>
        <v>0.66505790661207509</v>
      </c>
      <c r="EK278" s="384">
        <f>EK275/EK272</f>
        <v>0.65995687094047306</v>
      </c>
      <c r="EL278" s="384">
        <f>EL275/EL272</f>
        <v>0.63968916849255697</v>
      </c>
      <c r="EM278" s="384">
        <f>EM275/EM272</f>
        <v>0.64697247042817108</v>
      </c>
      <c r="EN278" s="384">
        <f>EN275/EN272</f>
        <v>0.65634563012198177</v>
      </c>
      <c r="EO278" s="384">
        <f>EO275/EO272</f>
        <v>0.66227821704209711</v>
      </c>
      <c r="EP278" s="384">
        <f>EP275/EP272</f>
        <v>0.63136121323311989</v>
      </c>
      <c r="EQ278" s="384">
        <f>EQ275/EQ272</f>
        <v>0.63695325098289179</v>
      </c>
      <c r="ER278" s="384">
        <f>ER275/ER272</f>
        <v>0.64296565885738144</v>
      </c>
      <c r="ES278" s="384">
        <f>ES275/ES272</f>
        <v>0.65061834260477303</v>
      </c>
      <c r="ET278" s="384">
        <f>ET275/ET272</f>
        <v>0.62840282188571184</v>
      </c>
      <c r="EU278" s="384">
        <f>EU275/EU272</f>
        <v>0.63399037422581761</v>
      </c>
      <c r="EV278" s="384">
        <f>EV275/EV272</f>
        <v>0.63826012862291681</v>
      </c>
      <c r="EW278" s="384">
        <f>EW275/EW272</f>
        <v>0.64592816984631674</v>
      </c>
      <c r="FO278" s="382">
        <f>FO275/FO272</f>
        <v>0.66986714301663508</v>
      </c>
      <c r="FP278" s="382">
        <f>FP275/FP272</f>
        <v>0.52689938398357294</v>
      </c>
      <c r="FQ278" s="382">
        <f>FQ275/FQ272</f>
        <v>0.42959694907649743</v>
      </c>
      <c r="FR278" s="382">
        <f>FR275/FR272</f>
        <v>0.41569140745303357</v>
      </c>
      <c r="FS278" s="382">
        <f>FS275/FS272</f>
        <v>0.48893756442350167</v>
      </c>
      <c r="FT278" s="382">
        <f>FT275/FT272</f>
        <v>0.53809222994314587</v>
      </c>
      <c r="FU278" s="382">
        <f>FU275/FU272</f>
        <v>0.48846213411801148</v>
      </c>
      <c r="FV278" s="382">
        <f>FV275/FV272</f>
        <v>0.39146608315098469</v>
      </c>
      <c r="FW278" s="382">
        <f>FW275/FW272</f>
        <v>0.48033910533910534</v>
      </c>
      <c r="FX278" s="382">
        <f>FX275/FX272</f>
        <v>0.52074898785425106</v>
      </c>
      <c r="FY278" s="382">
        <f>FY275/FY272</f>
        <v>0.53204599156595178</v>
      </c>
      <c r="FZ278" s="382">
        <f>FZ275/FZ272</f>
        <v>0.50932168473884298</v>
      </c>
      <c r="GA278" s="382">
        <f>GA275/GA272</f>
        <v>0.56667148581004745</v>
      </c>
      <c r="GB278" s="382">
        <f>GB275/GB272</f>
        <v>0.60184912728358542</v>
      </c>
      <c r="GC278" s="382">
        <f>GC275/GC272</f>
        <v>0.66047051027170323</v>
      </c>
      <c r="GD278" s="382">
        <f>GD275/GD272</f>
        <v>0.87506369658586325</v>
      </c>
      <c r="GE278" s="382">
        <f>GE275/GE272</f>
        <v>0.81067278553496558</v>
      </c>
      <c r="GF278" s="382">
        <f>GF275/GF272</f>
        <v>0.8388680170739069</v>
      </c>
      <c r="GG278" s="384">
        <f>GG275/GG272</f>
        <v>0.79778470071969909</v>
      </c>
      <c r="GH278" s="384">
        <f>GH275/GH272</f>
        <v>0.67118020649484234</v>
      </c>
      <c r="GI278" s="384">
        <f>GI275/GI272</f>
        <v>0.65164939630052832</v>
      </c>
      <c r="GJ278" s="384">
        <f>GJ275/GJ272</f>
        <v>0.64076262599683054</v>
      </c>
      <c r="GK278" s="384">
        <f>GK275/GK272</f>
        <v>0.63690867925714589</v>
      </c>
      <c r="GN278" s="70"/>
    </row>
    <row r="279" spans="1:196" s="382" customFormat="1">
      <c r="A279" s="395" t="s">
        <v>289</v>
      </c>
      <c r="B279" s="464"/>
      <c r="C279" s="464"/>
      <c r="D279" s="464"/>
      <c r="E279" s="464"/>
      <c r="F279" s="464"/>
      <c r="G279" s="464"/>
      <c r="H279" s="464"/>
      <c r="I279" s="464"/>
      <c r="J279" s="464"/>
      <c r="K279" s="464"/>
      <c r="L279" s="464"/>
      <c r="M279" s="464"/>
      <c r="N279" s="464"/>
      <c r="O279" s="464"/>
      <c r="P279" s="464"/>
      <c r="Q279" s="464"/>
      <c r="R279" s="464"/>
      <c r="S279" s="464"/>
      <c r="T279" s="464"/>
      <c r="U279" s="464"/>
      <c r="V279" s="464"/>
      <c r="W279" s="464"/>
      <c r="X279" s="464"/>
      <c r="Y279" s="464"/>
      <c r="Z279" s="464"/>
      <c r="AA279" s="464"/>
      <c r="AB279" s="464"/>
      <c r="AC279" s="464"/>
      <c r="AD279" s="464"/>
      <c r="AE279" s="464"/>
      <c r="AF279" s="464"/>
      <c r="AG279" s="464"/>
      <c r="AH279" s="464"/>
      <c r="AI279" s="464"/>
      <c r="AJ279" s="464"/>
      <c r="AK279" s="464"/>
      <c r="AL279" s="464"/>
      <c r="AM279" s="464"/>
      <c r="AN279" s="464"/>
      <c r="AO279" s="464"/>
      <c r="AP279" s="464"/>
      <c r="AQ279" s="464"/>
      <c r="AR279" s="464"/>
      <c r="AS279" s="464"/>
      <c r="AT279" s="464"/>
      <c r="AU279" s="464"/>
      <c r="AV279" s="464"/>
      <c r="AW279" s="464"/>
      <c r="AX279" s="464"/>
      <c r="AY279" s="464"/>
      <c r="AZ279" s="464"/>
      <c r="BA279" s="464"/>
      <c r="BB279" s="464"/>
      <c r="BC279" s="464"/>
      <c r="BD279" s="464"/>
      <c r="BE279" s="464"/>
      <c r="BF279" s="464"/>
      <c r="BG279" s="464"/>
      <c r="BH279" s="464"/>
      <c r="BI279" s="464"/>
      <c r="BJ279" s="376">
        <f>BJ275-BJ282</f>
        <v>8500</v>
      </c>
      <c r="BK279" s="376">
        <f>BK275-BK282</f>
        <v>7090</v>
      </c>
      <c r="BL279" s="376">
        <f>BL275-BL282</f>
        <v>8860</v>
      </c>
      <c r="BM279" s="376">
        <f>BM275-BM282</f>
        <v>5550</v>
      </c>
      <c r="BN279" s="376">
        <f>BN275-BN282</f>
        <v>5055</v>
      </c>
      <c r="BO279" s="376">
        <f>BO275-BO282</f>
        <v>5950</v>
      </c>
      <c r="BP279" s="376">
        <f>BP275-BP282</f>
        <v>7140</v>
      </c>
      <c r="BQ279" s="376">
        <f>BQ275-BQ282</f>
        <v>7515</v>
      </c>
      <c r="BR279" s="376">
        <f>BR275-BR282</f>
        <v>6850</v>
      </c>
      <c r="BS279" s="376">
        <f>BS275-BS282</f>
        <v>6900</v>
      </c>
      <c r="BT279" s="376">
        <f>BT275-BT282</f>
        <v>7670</v>
      </c>
      <c r="BU279" s="376">
        <f>BU275-BU282</f>
        <v>7305</v>
      </c>
      <c r="BV279" s="376">
        <f>BV275-BV282</f>
        <v>7690</v>
      </c>
      <c r="BW279" s="376">
        <f>BW275-BW282</f>
        <v>6550</v>
      </c>
      <c r="BX279" s="376">
        <f>BX275-BX282</f>
        <v>6895</v>
      </c>
      <c r="BY279" s="376">
        <f>BY275-BY282</f>
        <v>5860</v>
      </c>
      <c r="BZ279" s="376">
        <f>BZ275-BZ282</f>
        <v>9333</v>
      </c>
      <c r="CA279" s="376">
        <f>CA275-CA282</f>
        <v>6000</v>
      </c>
      <c r="CB279" s="376">
        <f>CB275-CB282</f>
        <v>6240</v>
      </c>
      <c r="CC279" s="376">
        <f>CC275-CC282</f>
        <v>4990</v>
      </c>
      <c r="CD279" s="376">
        <f>CD275-CD282</f>
        <v>5265</v>
      </c>
      <c r="CE279" s="376">
        <f>CE275-CE282</f>
        <v>5270</v>
      </c>
      <c r="CF279" s="376">
        <f>CF275-CF282</f>
        <v>5355</v>
      </c>
      <c r="CG279" s="376">
        <f>CG275-CG282</f>
        <v>5405</v>
      </c>
      <c r="CH279" s="376">
        <f>CH275-CH282</f>
        <v>4975</v>
      </c>
      <c r="CI279" s="376">
        <f>CI275-CI282</f>
        <v>4325</v>
      </c>
      <c r="CJ279" s="376">
        <f>CJ275-CJ282</f>
        <v>3460</v>
      </c>
      <c r="CK279" s="376">
        <f>CK275-CK282</f>
        <v>3010</v>
      </c>
      <c r="CL279" s="376">
        <f>CL275-CL282</f>
        <v>2560</v>
      </c>
      <c r="CM279" s="376">
        <f>CM275-CM282</f>
        <v>1710</v>
      </c>
      <c r="CN279" s="376">
        <f>CN275-CN282</f>
        <v>2280</v>
      </c>
      <c r="CO279" s="376">
        <f>CO275-CO282</f>
        <v>2395</v>
      </c>
      <c r="CP279" s="376">
        <f>CP275-CP282</f>
        <v>2700</v>
      </c>
      <c r="CQ279" s="376">
        <f>CQ275-CQ282</f>
        <v>2830</v>
      </c>
      <c r="CR279" s="376">
        <f>CR275-CR282</f>
        <v>3800</v>
      </c>
      <c r="CS279" s="376">
        <f>CS275-CS282</f>
        <v>3985</v>
      </c>
      <c r="CT279" s="376">
        <f>CT275-CT282</f>
        <v>2466.6666666666665</v>
      </c>
      <c r="CU279" s="376">
        <f>CU275-CU282</f>
        <v>3281.6666666666665</v>
      </c>
      <c r="CV279" s="376">
        <f>CV275-CV282</f>
        <v>3558.3333333333335</v>
      </c>
      <c r="CW279" s="376">
        <f>CW275-CW282</f>
        <v>3995</v>
      </c>
      <c r="CX279" s="376">
        <f>CX275-CX282</f>
        <v>4995.8964705882354</v>
      </c>
      <c r="CY279" s="376">
        <f>CY275-CY282</f>
        <v>3951.9839999999999</v>
      </c>
      <c r="CZ279" s="376">
        <f>CZ275-CZ282</f>
        <v>2532.5</v>
      </c>
      <c r="DA279" s="376">
        <f>DA275-DA282</f>
        <v>1590</v>
      </c>
      <c r="DB279" s="376">
        <f>DB275-DB282</f>
        <v>1960</v>
      </c>
      <c r="DC279" s="376">
        <f>DC275-DC282</f>
        <v>2296.6666666666665</v>
      </c>
      <c r="DD279" s="376">
        <f>DD275-DD282</f>
        <v>2775</v>
      </c>
      <c r="DE279" s="376">
        <f>DE275-DE282</f>
        <v>3633.5294117647059</v>
      </c>
      <c r="DF279" s="376">
        <f>DF275-DF282</f>
        <v>2918</v>
      </c>
      <c r="DG279" s="376">
        <f>DG275-DG282</f>
        <v>2177.4761904761904</v>
      </c>
      <c r="DH279" s="376">
        <f>DH275-DH282</f>
        <v>2626.8115942028985</v>
      </c>
      <c r="DI279" s="376">
        <f>DI275-DI282</f>
        <v>2282.2972972972975</v>
      </c>
      <c r="DJ279" s="397">
        <f>DJ275-DJ282</f>
        <v>2324.9333333333334</v>
      </c>
      <c r="DK279" s="397">
        <f>DK275-DK282</f>
        <v>2221.3636363636365</v>
      </c>
      <c r="DL279" s="397">
        <f>DL275-DL282</f>
        <v>2598.3333333333335</v>
      </c>
      <c r="DM279" s="397">
        <f>DM275-DM282</f>
        <v>2933.3333333333335</v>
      </c>
      <c r="DN279" s="397">
        <f>DN275-DN282</f>
        <v>3089.3333333333335</v>
      </c>
      <c r="DO279" s="397">
        <f>DO275-DO282</f>
        <v>2065</v>
      </c>
      <c r="DP279" s="397">
        <v>670</v>
      </c>
      <c r="DQ279" s="397">
        <v>820</v>
      </c>
      <c r="DR279" s="397">
        <v>917</v>
      </c>
      <c r="DS279" s="397">
        <v>1146.6666666666667</v>
      </c>
      <c r="DT279" s="397">
        <v>1526.6666666666667</v>
      </c>
      <c r="DU279" s="397">
        <v>1752.2222222222222</v>
      </c>
      <c r="DV279" s="376">
        <v>1004.8623853211009</v>
      </c>
      <c r="DW279" s="376">
        <v>1105.8098591549297</v>
      </c>
      <c r="DX279" s="376">
        <v>687.40474174428402</v>
      </c>
      <c r="DY279" s="376">
        <v>1153.5437881873727</v>
      </c>
      <c r="DZ279" s="376">
        <v>626.68465718752327</v>
      </c>
      <c r="EA279" s="376">
        <v>786.87943262411352</v>
      </c>
      <c r="EB279" s="376">
        <v>1707.9903147699758</v>
      </c>
      <c r="EC279" s="376">
        <v>1420.9159078735941</v>
      </c>
      <c r="ED279" s="376">
        <f t="shared" ref="ED279:EH279" si="528">EC279*(1+ED280)</f>
        <v>1250.4059989287628</v>
      </c>
      <c r="EE279" s="380">
        <f t="shared" si="528"/>
        <v>1187.8856989823246</v>
      </c>
      <c r="EF279" s="380">
        <f t="shared" si="528"/>
        <v>1069.0971290840921</v>
      </c>
      <c r="EG279" s="380">
        <f t="shared" si="528"/>
        <v>962.18741617568287</v>
      </c>
      <c r="EH279" s="380">
        <f t="shared" si="528"/>
        <v>846.72492623460096</v>
      </c>
      <c r="EI279" s="380">
        <f>EH279*(1+EI280)</f>
        <v>880.59392328398508</v>
      </c>
      <c r="EJ279" s="380">
        <f>EI279*(1+EJ280)</f>
        <v>924.6236194481844</v>
      </c>
      <c r="EK279" s="380">
        <f>EJ279*(1+EK280)</f>
        <v>970.85480042059362</v>
      </c>
      <c r="EL279" s="380">
        <f t="shared" ref="EL279" si="529">EK279*(1+EL280)</f>
        <v>854.35222437012237</v>
      </c>
      <c r="EM279" s="380">
        <f>EL279*(1+EM280)</f>
        <v>888.5263133449273</v>
      </c>
      <c r="EN279" s="380">
        <f>EM279*(1+EN280)</f>
        <v>932.9526290121737</v>
      </c>
      <c r="EO279" s="380">
        <f>EN279*(1+EO280)</f>
        <v>979.60026046278244</v>
      </c>
      <c r="EP279" s="380">
        <f t="shared" ref="EP279" si="530">EO279*(1+EP280)</f>
        <v>862.0482292072486</v>
      </c>
      <c r="EQ279" s="380">
        <f>EP279*(1+EQ280)</f>
        <v>896.53015837553858</v>
      </c>
      <c r="ER279" s="380">
        <f>EQ279*(1+ER280)</f>
        <v>941.35666629431557</v>
      </c>
      <c r="ES279" s="380">
        <f>ER279*(1+ES280)</f>
        <v>988.42449960903139</v>
      </c>
      <c r="ET279" s="380">
        <f t="shared" ref="ET279" si="531">ES279*(1+ET280)</f>
        <v>869.81355965594764</v>
      </c>
      <c r="EU279" s="380">
        <f>ET279*(1+EU280)</f>
        <v>904.60610204218563</v>
      </c>
      <c r="EV279" s="380">
        <f>EU279*(1+EV280)</f>
        <v>949.83640714429498</v>
      </c>
      <c r="EW279" s="380">
        <f>EV279*(1+EW280)</f>
        <v>997.32822750150979</v>
      </c>
      <c r="EX279" s="379"/>
      <c r="EY279" s="379"/>
      <c r="EZ279" s="376"/>
      <c r="FA279" s="376"/>
      <c r="FB279" s="376"/>
      <c r="FC279" s="376"/>
      <c r="FD279" s="376"/>
      <c r="FE279" s="376"/>
      <c r="FF279" s="376"/>
      <c r="FG279" s="376"/>
      <c r="FH279" s="376"/>
      <c r="FI279" s="376"/>
      <c r="FJ279" s="376"/>
      <c r="FK279" s="376"/>
      <c r="FL279" s="376"/>
      <c r="FM279" s="376"/>
      <c r="FN279" s="376"/>
      <c r="FO279" s="376"/>
      <c r="FP279" s="376"/>
      <c r="FQ279" s="376"/>
      <c r="FR279" s="376"/>
      <c r="FS279" s="376"/>
      <c r="FT279" s="376"/>
      <c r="FU279" s="376">
        <f>CH279+CI279+CJ279+CK279</f>
        <v>15770</v>
      </c>
      <c r="FV279" s="376">
        <f>CL279+CM279+CN279+CO279</f>
        <v>8945</v>
      </c>
      <c r="FW279" s="376">
        <f>CP279+CQ279+CR279+CS279</f>
        <v>13315</v>
      </c>
      <c r="FX279" s="376">
        <f>CT279+CU279+CV279+CW279</f>
        <v>13301.666666666666</v>
      </c>
      <c r="FY279" s="376">
        <f>CX279+CY279+CZ279+DA279</f>
        <v>13070.380470588236</v>
      </c>
      <c r="FZ279" s="376">
        <f>DB279+DC279+DD279+DE279</f>
        <v>10665.196078431372</v>
      </c>
      <c r="GA279" s="376">
        <f>SUM(DF279:DI279)</f>
        <v>10004.585081976387</v>
      </c>
      <c r="GB279" s="376">
        <f>SUM(DJ279:DM279)</f>
        <v>10077.963636363638</v>
      </c>
      <c r="GC279" s="376">
        <f>SUM(DN279:DQ279)</f>
        <v>6644.3333333333339</v>
      </c>
      <c r="GD279" s="376">
        <f>SUM(DR279:DU279)</f>
        <v>5342.5555555555566</v>
      </c>
      <c r="GE279" s="376">
        <f>SUM(DV279:DY279)</f>
        <v>3951.6207744076873</v>
      </c>
      <c r="GF279" s="376">
        <f>SUM(DZ279:EC279)</f>
        <v>4542.4703124552061</v>
      </c>
      <c r="GG279" s="380">
        <f>SUM(ED279:EG279)</f>
        <v>4469.5762431708627</v>
      </c>
      <c r="GH279" s="380">
        <f>SUM(EH279:EK279)</f>
        <v>3622.7972693873639</v>
      </c>
      <c r="GI279" s="380">
        <f>SUM(EL279:EO279)</f>
        <v>3655.4314271900062</v>
      </c>
      <c r="GJ279" s="380">
        <f>SUM(EP279:ES279)</f>
        <v>3688.3595534861342</v>
      </c>
      <c r="GK279" s="380">
        <f>SUM(ET279:EW279)</f>
        <v>3721.5842963439381</v>
      </c>
      <c r="GN279" s="70"/>
    </row>
    <row r="280" spans="1:196" s="382" customFormat="1">
      <c r="A280" s="396" t="s">
        <v>198</v>
      </c>
      <c r="B280" s="464"/>
      <c r="C280" s="464"/>
      <c r="D280" s="464"/>
      <c r="E280" s="464"/>
      <c r="F280" s="464"/>
      <c r="G280" s="464"/>
      <c r="H280" s="464"/>
      <c r="I280" s="464"/>
      <c r="J280" s="464"/>
      <c r="K280" s="464"/>
      <c r="L280" s="464"/>
      <c r="M280" s="464"/>
      <c r="N280" s="464"/>
      <c r="O280" s="464"/>
      <c r="P280" s="464"/>
      <c r="Q280" s="464"/>
      <c r="R280" s="464"/>
      <c r="S280" s="464"/>
      <c r="T280" s="464"/>
      <c r="U280" s="464"/>
      <c r="V280" s="464"/>
      <c r="W280" s="464"/>
      <c r="X280" s="464"/>
      <c r="Y280" s="464"/>
      <c r="Z280" s="464"/>
      <c r="AA280" s="464"/>
      <c r="AB280" s="464"/>
      <c r="AC280" s="464"/>
      <c r="AD280" s="464"/>
      <c r="AE280" s="464"/>
      <c r="AF280" s="464"/>
      <c r="AG280" s="464"/>
      <c r="AH280" s="464"/>
      <c r="AI280" s="464"/>
      <c r="AJ280" s="464"/>
      <c r="AK280" s="464"/>
      <c r="AL280" s="464"/>
      <c r="AM280" s="464"/>
      <c r="AN280" s="464"/>
      <c r="AO280" s="464"/>
      <c r="AP280" s="464"/>
      <c r="AQ280" s="464"/>
      <c r="AR280" s="464"/>
      <c r="AS280" s="464"/>
      <c r="AT280" s="464"/>
      <c r="AU280" s="464"/>
      <c r="AV280" s="464"/>
      <c r="AW280" s="464"/>
      <c r="AX280" s="464"/>
      <c r="AY280" s="464"/>
      <c r="AZ280" s="464"/>
      <c r="BA280" s="464"/>
      <c r="BB280" s="464"/>
      <c r="BC280" s="464"/>
      <c r="BD280" s="464"/>
      <c r="BE280" s="464"/>
      <c r="BF280" s="464"/>
      <c r="BG280" s="464"/>
      <c r="BH280" s="464"/>
      <c r="BI280" s="464"/>
      <c r="BK280" s="382">
        <f t="shared" ref="BK280:DV280" si="532">BK279/BJ279-1</f>
        <v>-0.16588235294117648</v>
      </c>
      <c r="BL280" s="382">
        <f t="shared" si="532"/>
        <v>0.2496473906911143</v>
      </c>
      <c r="BM280" s="382">
        <f t="shared" si="532"/>
        <v>-0.37358916478555304</v>
      </c>
      <c r="BN280" s="382">
        <f t="shared" si="532"/>
        <v>-8.9189189189189166E-2</v>
      </c>
      <c r="BO280" s="382">
        <f t="shared" si="532"/>
        <v>0.17705242334322446</v>
      </c>
      <c r="BP280" s="382">
        <f t="shared" si="532"/>
        <v>0.19999999999999996</v>
      </c>
      <c r="BQ280" s="382">
        <f t="shared" si="532"/>
        <v>5.252100840336138E-2</v>
      </c>
      <c r="BR280" s="382">
        <f t="shared" si="532"/>
        <v>-8.8489687292082508E-2</v>
      </c>
      <c r="BS280" s="382">
        <f t="shared" si="532"/>
        <v>7.2992700729928028E-3</v>
      </c>
      <c r="BT280" s="382">
        <f t="shared" si="532"/>
        <v>0.11159420289855082</v>
      </c>
      <c r="BU280" s="382">
        <f t="shared" si="532"/>
        <v>-4.7588005215123852E-2</v>
      </c>
      <c r="BV280" s="382">
        <f t="shared" si="532"/>
        <v>5.2703627652292973E-2</v>
      </c>
      <c r="BW280" s="382">
        <f t="shared" si="532"/>
        <v>-0.14824447334200264</v>
      </c>
      <c r="BX280" s="382">
        <f t="shared" si="532"/>
        <v>5.2671755725190783E-2</v>
      </c>
      <c r="BY280" s="382">
        <f t="shared" si="532"/>
        <v>-0.15010877447425675</v>
      </c>
      <c r="BZ280" s="382">
        <f t="shared" si="532"/>
        <v>0.59266211604095553</v>
      </c>
      <c r="CA280" s="382">
        <f t="shared" si="532"/>
        <v>-0.35711989713918357</v>
      </c>
      <c r="CB280" s="382">
        <f t="shared" si="532"/>
        <v>4.0000000000000036E-2</v>
      </c>
      <c r="CC280" s="382">
        <f t="shared" si="532"/>
        <v>-0.20032051282051277</v>
      </c>
      <c r="CD280" s="382">
        <f t="shared" si="532"/>
        <v>5.5110220440881763E-2</v>
      </c>
      <c r="CE280" s="382">
        <f t="shared" si="532"/>
        <v>9.496676163343043E-4</v>
      </c>
      <c r="CF280" s="382">
        <f t="shared" si="532"/>
        <v>1.6129032258064502E-2</v>
      </c>
      <c r="CG280" s="382">
        <f t="shared" si="532"/>
        <v>9.3370681605975392E-3</v>
      </c>
      <c r="CH280" s="382">
        <f t="shared" si="532"/>
        <v>-7.9555966697502312E-2</v>
      </c>
      <c r="CI280" s="382">
        <f t="shared" si="532"/>
        <v>-0.1306532663316583</v>
      </c>
      <c r="CJ280" s="382">
        <f t="shared" si="532"/>
        <v>-0.19999999999999996</v>
      </c>
      <c r="CK280" s="382">
        <f t="shared" si="532"/>
        <v>-0.13005780346820806</v>
      </c>
      <c r="CL280" s="382">
        <f t="shared" si="532"/>
        <v>-0.14950166112956809</v>
      </c>
      <c r="CM280" s="382">
        <f t="shared" si="532"/>
        <v>-0.33203125</v>
      </c>
      <c r="CN280" s="382">
        <f t="shared" si="532"/>
        <v>0.33333333333333326</v>
      </c>
      <c r="CO280" s="382">
        <f t="shared" si="532"/>
        <v>5.0438596491228171E-2</v>
      </c>
      <c r="CP280" s="382">
        <f t="shared" si="532"/>
        <v>0.12734864300626314</v>
      </c>
      <c r="CQ280" s="382">
        <f t="shared" si="532"/>
        <v>4.8148148148148051E-2</v>
      </c>
      <c r="CR280" s="382">
        <f t="shared" si="532"/>
        <v>0.34275618374558303</v>
      </c>
      <c r="CS280" s="382">
        <f t="shared" si="532"/>
        <v>4.8684210526315885E-2</v>
      </c>
      <c r="CT280" s="382">
        <f t="shared" si="532"/>
        <v>-0.3810121288163949</v>
      </c>
      <c r="CU280" s="382">
        <f t="shared" si="532"/>
        <v>0.33040540540540553</v>
      </c>
      <c r="CV280" s="382">
        <f t="shared" si="532"/>
        <v>8.4306754697816233E-2</v>
      </c>
      <c r="CW280" s="382">
        <f t="shared" si="532"/>
        <v>0.12271662763466029</v>
      </c>
      <c r="CX280" s="382">
        <f t="shared" si="532"/>
        <v>0.25053728925863217</v>
      </c>
      <c r="CY280" s="382">
        <f t="shared" si="532"/>
        <v>-0.20895398388135955</v>
      </c>
      <c r="CZ280" s="382">
        <f t="shared" si="532"/>
        <v>-0.35918262826975011</v>
      </c>
      <c r="DA280" s="382">
        <f t="shared" si="532"/>
        <v>-0.37216189536031585</v>
      </c>
      <c r="DB280" s="382">
        <f t="shared" si="532"/>
        <v>0.23270440251572322</v>
      </c>
      <c r="DC280" s="382">
        <f t="shared" si="532"/>
        <v>0.17176870748299322</v>
      </c>
      <c r="DD280" s="382">
        <f t="shared" si="532"/>
        <v>0.20827285921625549</v>
      </c>
      <c r="DE280" s="382">
        <f t="shared" si="532"/>
        <v>0.30937996820349767</v>
      </c>
      <c r="DF280" s="382">
        <f t="shared" si="532"/>
        <v>-0.1969240731746803</v>
      </c>
      <c r="DG280" s="382">
        <f t="shared" si="532"/>
        <v>-0.25377786481282028</v>
      </c>
      <c r="DH280" s="382">
        <f t="shared" si="532"/>
        <v>0.20635605830823955</v>
      </c>
      <c r="DI280" s="382">
        <f t="shared" si="532"/>
        <v>-0.13115302889095981</v>
      </c>
      <c r="DJ280" s="383">
        <f t="shared" si="532"/>
        <v>1.8681192886888853E-2</v>
      </c>
      <c r="DK280" s="383">
        <f t="shared" si="532"/>
        <v>-4.4547383567857257E-2</v>
      </c>
      <c r="DL280" s="383">
        <f t="shared" si="532"/>
        <v>0.1697019302912488</v>
      </c>
      <c r="DM280" s="383">
        <f t="shared" si="532"/>
        <v>0.12892880051314948</v>
      </c>
      <c r="DN280" s="383">
        <f t="shared" si="532"/>
        <v>5.3181818181818219E-2</v>
      </c>
      <c r="DO280" s="383">
        <f t="shared" si="532"/>
        <v>-0.33157099697885195</v>
      </c>
      <c r="DP280" s="383">
        <f t="shared" si="532"/>
        <v>-0.67554479418886193</v>
      </c>
      <c r="DQ280" s="383">
        <f t="shared" si="532"/>
        <v>0.22388059701492535</v>
      </c>
      <c r="DR280" s="383">
        <f t="shared" si="532"/>
        <v>0.11829268292682937</v>
      </c>
      <c r="DS280" s="383">
        <f t="shared" si="532"/>
        <v>0.2504543802253727</v>
      </c>
      <c r="DT280" s="383">
        <f t="shared" si="532"/>
        <v>0.33139534883720922</v>
      </c>
      <c r="DU280" s="383">
        <f t="shared" si="532"/>
        <v>0.1477438136826783</v>
      </c>
      <c r="DV280" s="382">
        <f t="shared" si="532"/>
        <v>-0.42652114978504074</v>
      </c>
      <c r="DW280" s="382">
        <f t="shared" ref="DW280:EC280" si="533">DW279/DV279-1</f>
        <v>0.10045900345008074</v>
      </c>
      <c r="DX280" s="382">
        <f t="shared" si="533"/>
        <v>-0.37836985621596353</v>
      </c>
      <c r="DY280" s="382">
        <f t="shared" si="533"/>
        <v>0.67811438899921539</v>
      </c>
      <c r="DZ280" s="382">
        <f t="shared" si="533"/>
        <v>-0.45673093331613568</v>
      </c>
      <c r="EA280" s="382">
        <f t="shared" si="533"/>
        <v>0.25562262231777444</v>
      </c>
      <c r="EB280" s="382">
        <f t="shared" si="533"/>
        <v>1.1705870606810866</v>
      </c>
      <c r="EC280" s="382">
        <f t="shared" si="533"/>
        <v>-0.1680773037258374</v>
      </c>
      <c r="ED280" s="382">
        <v>-0.12</v>
      </c>
      <c r="EE280" s="384">
        <v>-0.05</v>
      </c>
      <c r="EF280" s="384">
        <v>-0.1</v>
      </c>
      <c r="EG280" s="384">
        <v>-0.1</v>
      </c>
      <c r="EH280" s="384">
        <v>-0.12</v>
      </c>
      <c r="EI280" s="384">
        <v>0.04</v>
      </c>
      <c r="EJ280" s="384">
        <v>0.05</v>
      </c>
      <c r="EK280" s="384">
        <v>0.05</v>
      </c>
      <c r="EL280" s="384">
        <v>-0.12</v>
      </c>
      <c r="EM280" s="384">
        <v>0.04</v>
      </c>
      <c r="EN280" s="384">
        <v>0.05</v>
      </c>
      <c r="EO280" s="384">
        <v>0.05</v>
      </c>
      <c r="EP280" s="384">
        <v>-0.12</v>
      </c>
      <c r="EQ280" s="384">
        <v>0.04</v>
      </c>
      <c r="ER280" s="384">
        <v>0.05</v>
      </c>
      <c r="ES280" s="384">
        <v>0.05</v>
      </c>
      <c r="ET280" s="384">
        <v>-0.12</v>
      </c>
      <c r="EU280" s="384">
        <v>0.04</v>
      </c>
      <c r="EV280" s="384">
        <v>0.05</v>
      </c>
      <c r="EW280" s="384">
        <v>0.05</v>
      </c>
      <c r="FZ280" s="386" t="s">
        <v>199</v>
      </c>
      <c r="GA280" s="386" t="s">
        <v>199</v>
      </c>
      <c r="GB280" s="386" t="s">
        <v>199</v>
      </c>
      <c r="GC280" s="386" t="s">
        <v>199</v>
      </c>
      <c r="GD280" s="386" t="s">
        <v>199</v>
      </c>
      <c r="GE280" s="386" t="s">
        <v>199</v>
      </c>
      <c r="GF280" s="386" t="s">
        <v>199</v>
      </c>
      <c r="GG280" s="386" t="s">
        <v>199</v>
      </c>
      <c r="GH280" s="386" t="s">
        <v>199</v>
      </c>
      <c r="GI280" s="386" t="s">
        <v>199</v>
      </c>
      <c r="GJ280" s="386" t="s">
        <v>199</v>
      </c>
      <c r="GK280" s="386" t="s">
        <v>199</v>
      </c>
      <c r="GN280" s="70"/>
    </row>
    <row r="281" spans="1:196" s="382" customFormat="1">
      <c r="A281" s="396" t="s">
        <v>200</v>
      </c>
      <c r="B281" s="464"/>
      <c r="C281" s="464"/>
      <c r="D281" s="464"/>
      <c r="E281" s="464"/>
      <c r="F281" s="464"/>
      <c r="G281" s="464"/>
      <c r="H281" s="464"/>
      <c r="I281" s="464"/>
      <c r="J281" s="464"/>
      <c r="K281" s="464"/>
      <c r="L281" s="464"/>
      <c r="M281" s="464"/>
      <c r="N281" s="464"/>
      <c r="O281" s="464"/>
      <c r="P281" s="464"/>
      <c r="Q281" s="464"/>
      <c r="R281" s="464"/>
      <c r="S281" s="464"/>
      <c r="T281" s="464"/>
      <c r="U281" s="464"/>
      <c r="V281" s="464"/>
      <c r="W281" s="464"/>
      <c r="X281" s="464"/>
      <c r="Y281" s="464"/>
      <c r="Z281" s="464"/>
      <c r="AA281" s="464"/>
      <c r="AB281" s="464"/>
      <c r="AC281" s="464"/>
      <c r="AD281" s="464"/>
      <c r="AE281" s="464"/>
      <c r="AF281" s="464"/>
      <c r="AG281" s="464"/>
      <c r="AH281" s="464"/>
      <c r="AI281" s="464"/>
      <c r="AJ281" s="464"/>
      <c r="AK281" s="464"/>
      <c r="AL281" s="464"/>
      <c r="AM281" s="464"/>
      <c r="AN281" s="464"/>
      <c r="AO281" s="464"/>
      <c r="AP281" s="464"/>
      <c r="AQ281" s="464"/>
      <c r="AR281" s="464"/>
      <c r="AS281" s="464"/>
      <c r="AT281" s="464"/>
      <c r="AU281" s="464"/>
      <c r="AV281" s="464"/>
      <c r="AW281" s="464"/>
      <c r="AX281" s="464"/>
      <c r="AY281" s="464"/>
      <c r="AZ281" s="464"/>
      <c r="BA281" s="464"/>
      <c r="BB281" s="464"/>
      <c r="BC281" s="464"/>
      <c r="BD281" s="464"/>
      <c r="BE281" s="464"/>
      <c r="BF281" s="464"/>
      <c r="BG281" s="464"/>
      <c r="BH281" s="464"/>
      <c r="BI281" s="464"/>
      <c r="BJ281" s="464"/>
      <c r="BK281" s="464"/>
      <c r="BL281" s="464"/>
      <c r="BM281" s="464"/>
      <c r="BN281" s="382">
        <f t="shared" ref="BN281:DR281" si="534">BN279/BJ279-1</f>
        <v>-0.4052941176470588</v>
      </c>
      <c r="BO281" s="382">
        <f t="shared" si="534"/>
        <v>-0.16078984485190406</v>
      </c>
      <c r="BP281" s="382">
        <f t="shared" si="534"/>
        <v>-0.19413092550790068</v>
      </c>
      <c r="BQ281" s="382">
        <f t="shared" si="534"/>
        <v>0.35405405405405399</v>
      </c>
      <c r="BR281" s="382">
        <f t="shared" si="534"/>
        <v>0.35509396636993085</v>
      </c>
      <c r="BS281" s="382">
        <f t="shared" si="534"/>
        <v>0.15966386554621859</v>
      </c>
      <c r="BT281" s="382">
        <f t="shared" si="534"/>
        <v>7.4229691876750659E-2</v>
      </c>
      <c r="BU281" s="382">
        <f t="shared" si="534"/>
        <v>-2.7944111776447067E-2</v>
      </c>
      <c r="BV281" s="382">
        <f t="shared" si="534"/>
        <v>0.1226277372262774</v>
      </c>
      <c r="BW281" s="382">
        <f t="shared" si="534"/>
        <v>-5.0724637681159424E-2</v>
      </c>
      <c r="BX281" s="382">
        <f t="shared" si="534"/>
        <v>-0.10104302477183835</v>
      </c>
      <c r="BY281" s="382">
        <f t="shared" si="534"/>
        <v>-0.19780971937029435</v>
      </c>
      <c r="BZ281" s="382">
        <f t="shared" si="534"/>
        <v>0.21365409622886866</v>
      </c>
      <c r="CA281" s="382">
        <f t="shared" si="534"/>
        <v>-8.3969465648854991E-2</v>
      </c>
      <c r="CB281" s="382">
        <f t="shared" si="534"/>
        <v>-9.499637418419149E-2</v>
      </c>
      <c r="CC281" s="382">
        <f t="shared" si="534"/>
        <v>-0.14846416382252559</v>
      </c>
      <c r="CD281" s="382">
        <f t="shared" si="534"/>
        <v>-0.43587270973963355</v>
      </c>
      <c r="CE281" s="382">
        <f t="shared" si="534"/>
        <v>-0.1216666666666667</v>
      </c>
      <c r="CF281" s="382">
        <f t="shared" si="534"/>
        <v>-0.14182692307692313</v>
      </c>
      <c r="CG281" s="382">
        <f t="shared" si="534"/>
        <v>8.3166332665330689E-2</v>
      </c>
      <c r="CH281" s="382">
        <f t="shared" si="534"/>
        <v>-5.5080721747388428E-2</v>
      </c>
      <c r="CI281" s="382">
        <f t="shared" si="534"/>
        <v>-0.1793168880455408</v>
      </c>
      <c r="CJ281" s="382">
        <f t="shared" si="534"/>
        <v>-0.35387488328664796</v>
      </c>
      <c r="CK281" s="382">
        <f t="shared" si="534"/>
        <v>-0.44310823311748382</v>
      </c>
      <c r="CL281" s="382">
        <f t="shared" si="534"/>
        <v>-0.48542713567839191</v>
      </c>
      <c r="CM281" s="382">
        <f t="shared" si="534"/>
        <v>-0.60462427745664737</v>
      </c>
      <c r="CN281" s="382">
        <f t="shared" si="534"/>
        <v>-0.34104046242774566</v>
      </c>
      <c r="CO281" s="382">
        <f t="shared" si="534"/>
        <v>-0.20431893687707636</v>
      </c>
      <c r="CP281" s="382">
        <f t="shared" si="534"/>
        <v>5.46875E-2</v>
      </c>
      <c r="CQ281" s="382">
        <f t="shared" si="534"/>
        <v>0.65497076023391809</v>
      </c>
      <c r="CR281" s="382">
        <f t="shared" si="534"/>
        <v>0.66666666666666674</v>
      </c>
      <c r="CS281" s="382">
        <f t="shared" si="534"/>
        <v>0.66388308977035493</v>
      </c>
      <c r="CT281" s="382">
        <f t="shared" si="534"/>
        <v>-8.6419753086419804E-2</v>
      </c>
      <c r="CU281" s="382">
        <f t="shared" si="534"/>
        <v>0.15959952885747941</v>
      </c>
      <c r="CV281" s="382">
        <f t="shared" si="534"/>
        <v>-6.3596491228070096E-2</v>
      </c>
      <c r="CW281" s="382">
        <f t="shared" si="534"/>
        <v>2.5094102885820924E-3</v>
      </c>
      <c r="CX281" s="382">
        <f t="shared" si="534"/>
        <v>1.0253634340222577</v>
      </c>
      <c r="CY281" s="382">
        <f t="shared" si="534"/>
        <v>0.2042612493651601</v>
      </c>
      <c r="CZ281" s="382">
        <f t="shared" si="534"/>
        <v>-0.28829039812646373</v>
      </c>
      <c r="DA281" s="382">
        <f t="shared" si="534"/>
        <v>-0.60200250312891113</v>
      </c>
      <c r="DB281" s="382">
        <f t="shared" si="534"/>
        <v>-0.60767801904245178</v>
      </c>
      <c r="DC281" s="382">
        <f t="shared" si="534"/>
        <v>-0.41885729631833868</v>
      </c>
      <c r="DD281" s="382">
        <f t="shared" si="534"/>
        <v>9.5755182625863799E-2</v>
      </c>
      <c r="DE281" s="382">
        <f t="shared" si="534"/>
        <v>1.2852386237513875</v>
      </c>
      <c r="DF281" s="382">
        <f t="shared" si="534"/>
        <v>0.48877551020408161</v>
      </c>
      <c r="DG281" s="382">
        <f t="shared" si="534"/>
        <v>-5.1897159444329266E-2</v>
      </c>
      <c r="DH281" s="382">
        <f t="shared" si="534"/>
        <v>-5.3401227314270772E-2</v>
      </c>
      <c r="DI281" s="382">
        <f t="shared" si="534"/>
        <v>-0.37187867809528807</v>
      </c>
      <c r="DJ281" s="383">
        <f t="shared" si="534"/>
        <v>-0.20324423120859036</v>
      </c>
      <c r="DK281" s="383">
        <f t="shared" si="534"/>
        <v>2.015518979238462E-2</v>
      </c>
      <c r="DL281" s="383">
        <f t="shared" si="534"/>
        <v>-1.084137931034479E-2</v>
      </c>
      <c r="DM281" s="383">
        <f t="shared" si="534"/>
        <v>0.28525470227169558</v>
      </c>
      <c r="DN281" s="383">
        <f t="shared" si="534"/>
        <v>0.32878362103572867</v>
      </c>
      <c r="DO281" s="383">
        <f t="shared" si="534"/>
        <v>-7.0390832821772054E-2</v>
      </c>
      <c r="DP281" s="383">
        <f t="shared" si="534"/>
        <v>-0.74214239897370105</v>
      </c>
      <c r="DQ281" s="383">
        <f t="shared" si="534"/>
        <v>-0.72045454545454546</v>
      </c>
      <c r="DR281" s="383">
        <f t="shared" si="534"/>
        <v>-0.70317220543806647</v>
      </c>
      <c r="DS281" s="383">
        <f>DS279/DO279-1</f>
        <v>-0.44471347861178367</v>
      </c>
      <c r="DT281" s="383">
        <f>DT279/DP279-1</f>
        <v>1.2786069651741294</v>
      </c>
      <c r="DU281" s="383">
        <f>DU279/DQ279-1</f>
        <v>1.1368563685636857</v>
      </c>
      <c r="DV281" s="382">
        <f>DV279/DR279-1</f>
        <v>9.5815033065540733E-2</v>
      </c>
      <c r="DW281" s="382">
        <f>DW279/DS279-1</f>
        <v>-3.5630936783491607E-2</v>
      </c>
      <c r="DX281" s="382">
        <f t="shared" ref="DX281:EW281" si="535">DX279/DT279-1</f>
        <v>-0.54973488532033798</v>
      </c>
      <c r="DY281" s="382">
        <f t="shared" si="535"/>
        <v>-0.34166809805413101</v>
      </c>
      <c r="DZ281" s="382">
        <f t="shared" si="535"/>
        <v>-0.37634778021144855</v>
      </c>
      <c r="EA281" s="382">
        <f t="shared" si="535"/>
        <v>-0.2884134409640241</v>
      </c>
      <c r="EB281" s="382">
        <f t="shared" si="535"/>
        <v>1.4846938216282362</v>
      </c>
      <c r="EC281" s="382">
        <f t="shared" si="535"/>
        <v>0.23178324258185112</v>
      </c>
      <c r="ED281" s="382">
        <f t="shared" si="535"/>
        <v>0.99527144088769814</v>
      </c>
      <c r="EE281" s="384">
        <f t="shared" si="535"/>
        <v>0.50961589505640159</v>
      </c>
      <c r="EF281" s="384">
        <f t="shared" si="535"/>
        <v>-0.37406136332332007</v>
      </c>
      <c r="EG281" s="384">
        <f t="shared" si="535"/>
        <v>-0.32284000000000002</v>
      </c>
      <c r="EH281" s="384">
        <f t="shared" si="535"/>
        <v>-0.32284000000000002</v>
      </c>
      <c r="EI281" s="384">
        <f t="shared" si="535"/>
        <v>-0.25868799999999992</v>
      </c>
      <c r="EJ281" s="384">
        <f t="shared" si="535"/>
        <v>-0.13513599999999981</v>
      </c>
      <c r="EK281" s="384">
        <f t="shared" si="535"/>
        <v>9.008000000000127E-3</v>
      </c>
      <c r="EL281" s="384">
        <f t="shared" si="535"/>
        <v>9.008000000000127E-3</v>
      </c>
      <c r="EM281" s="384">
        <f t="shared" si="535"/>
        <v>9.008000000000127E-3</v>
      </c>
      <c r="EN281" s="384">
        <f t="shared" si="535"/>
        <v>9.008000000000127E-3</v>
      </c>
      <c r="EO281" s="384">
        <f t="shared" si="535"/>
        <v>9.008000000000127E-3</v>
      </c>
      <c r="EP281" s="384">
        <f t="shared" si="535"/>
        <v>9.008000000000127E-3</v>
      </c>
      <c r="EQ281" s="384">
        <f t="shared" si="535"/>
        <v>9.008000000000127E-3</v>
      </c>
      <c r="ER281" s="384">
        <f t="shared" si="535"/>
        <v>9.008000000000127E-3</v>
      </c>
      <c r="ES281" s="384">
        <f t="shared" si="535"/>
        <v>9.008000000000127E-3</v>
      </c>
      <c r="ET281" s="384">
        <f t="shared" si="535"/>
        <v>9.008000000000127E-3</v>
      </c>
      <c r="EU281" s="384">
        <f t="shared" si="535"/>
        <v>9.008000000000127E-3</v>
      </c>
      <c r="EV281" s="384">
        <f t="shared" si="535"/>
        <v>9.008000000000127E-3</v>
      </c>
      <c r="EW281" s="384">
        <f t="shared" si="535"/>
        <v>9.0080000000003491E-3</v>
      </c>
      <c r="FV281" s="382">
        <f t="shared" ref="FV281:GK281" si="536">FV279/FU279-1</f>
        <v>-0.43278376664552953</v>
      </c>
      <c r="FW281" s="382">
        <f t="shared" si="536"/>
        <v>0.48854108440469535</v>
      </c>
      <c r="FX281" s="382">
        <f t="shared" si="536"/>
        <v>-1.0013768932282119E-3</v>
      </c>
      <c r="FY281" s="382">
        <f t="shared" si="536"/>
        <v>-1.738776063739611E-2</v>
      </c>
      <c r="FZ281" s="382">
        <f t="shared" si="536"/>
        <v>-0.18401793257427779</v>
      </c>
      <c r="GA281" s="382">
        <f t="shared" si="536"/>
        <v>-6.1940820552841336E-2</v>
      </c>
      <c r="GB281" s="382">
        <f t="shared" si="536"/>
        <v>7.3344925137819317E-3</v>
      </c>
      <c r="GC281" s="382">
        <f t="shared" si="536"/>
        <v>-0.34070675653571192</v>
      </c>
      <c r="GD281" s="382">
        <f t="shared" si="536"/>
        <v>-0.19592300874596558</v>
      </c>
      <c r="GE281" s="382">
        <f t="shared" si="536"/>
        <v>-0.2603500827804176</v>
      </c>
      <c r="GF281" s="382">
        <f t="shared" si="536"/>
        <v>0.14952080975839133</v>
      </c>
      <c r="GG281" s="387">
        <f t="shared" si="536"/>
        <v>-1.6047230751177866E-2</v>
      </c>
      <c r="GH281" s="387">
        <f t="shared" si="536"/>
        <v>-0.18945397230381866</v>
      </c>
      <c r="GI281" s="387">
        <f t="shared" si="536"/>
        <v>9.008000000000127E-3</v>
      </c>
      <c r="GJ281" s="387">
        <f t="shared" si="536"/>
        <v>9.008000000000127E-3</v>
      </c>
      <c r="GK281" s="387">
        <f t="shared" si="536"/>
        <v>9.008000000000127E-3</v>
      </c>
      <c r="GN281" s="70"/>
    </row>
    <row r="282" spans="1:196" s="382" customFormat="1">
      <c r="A282" s="395" t="s">
        <v>290</v>
      </c>
      <c r="B282" s="464"/>
      <c r="C282" s="464"/>
      <c r="D282" s="464"/>
      <c r="E282" s="464"/>
      <c r="F282" s="464"/>
      <c r="G282" s="464"/>
      <c r="H282" s="464"/>
      <c r="I282" s="464"/>
      <c r="J282" s="464"/>
      <c r="K282" s="464"/>
      <c r="L282" s="464"/>
      <c r="M282" s="464"/>
      <c r="N282" s="464"/>
      <c r="O282" s="464"/>
      <c r="P282" s="464"/>
      <c r="Q282" s="464"/>
      <c r="R282" s="464"/>
      <c r="S282" s="464"/>
      <c r="T282" s="464"/>
      <c r="U282" s="464"/>
      <c r="V282" s="464"/>
      <c r="W282" s="464"/>
      <c r="X282" s="464"/>
      <c r="Y282" s="464"/>
      <c r="Z282" s="464"/>
      <c r="AA282" s="464"/>
      <c r="AB282" s="464"/>
      <c r="AC282" s="464"/>
      <c r="AD282" s="464"/>
      <c r="AE282" s="464"/>
      <c r="AF282" s="464"/>
      <c r="AG282" s="464"/>
      <c r="AH282" s="464"/>
      <c r="AI282" s="464"/>
      <c r="AJ282" s="464"/>
      <c r="AK282" s="464"/>
      <c r="AL282" s="464"/>
      <c r="AM282" s="464"/>
      <c r="AN282" s="464"/>
      <c r="AO282" s="464"/>
      <c r="AP282" s="464"/>
      <c r="AQ282" s="464"/>
      <c r="AR282" s="464"/>
      <c r="AS282" s="464"/>
      <c r="AT282" s="464"/>
      <c r="AU282" s="464"/>
      <c r="AV282" s="464"/>
      <c r="AW282" s="464"/>
      <c r="AX282" s="464"/>
      <c r="AY282" s="464"/>
      <c r="AZ282" s="464"/>
      <c r="BA282" s="464"/>
      <c r="BB282" s="464"/>
      <c r="BC282" s="464"/>
      <c r="BD282" s="464"/>
      <c r="BE282" s="464"/>
      <c r="BF282" s="464"/>
      <c r="BG282" s="464"/>
      <c r="BH282" s="464"/>
      <c r="BI282" s="464"/>
      <c r="BJ282" s="464"/>
      <c r="BK282" s="464"/>
      <c r="BL282" s="464"/>
      <c r="BM282" s="464"/>
      <c r="BN282" s="464"/>
      <c r="BO282" s="464"/>
      <c r="BP282" s="464"/>
      <c r="BQ282" s="464"/>
      <c r="BR282" s="464"/>
      <c r="BS282" s="464"/>
      <c r="BT282" s="464"/>
      <c r="BU282" s="464"/>
      <c r="BV282" s="464"/>
      <c r="BW282" s="464"/>
      <c r="BX282" s="464"/>
      <c r="BY282" s="464"/>
      <c r="BZ282" s="464"/>
      <c r="CA282" s="464"/>
      <c r="CB282" s="464"/>
      <c r="CC282" s="464"/>
      <c r="CD282" s="376"/>
      <c r="CE282" s="376"/>
      <c r="CF282" s="376"/>
      <c r="CG282" s="376"/>
      <c r="CH282" s="376"/>
      <c r="CI282" s="376"/>
      <c r="CJ282" s="376"/>
      <c r="CK282" s="376"/>
      <c r="CL282" s="376"/>
      <c r="CM282" s="376"/>
      <c r="CN282" s="376"/>
      <c r="CO282" s="376"/>
      <c r="CP282" s="376"/>
      <c r="CQ282" s="376"/>
      <c r="CR282" s="376"/>
      <c r="CS282" s="376"/>
      <c r="CT282" s="376">
        <f>CT258/CT304*1000</f>
        <v>133.33333333333334</v>
      </c>
      <c r="CU282" s="376">
        <f>CU258/CU304*1000</f>
        <v>333.33333333333331</v>
      </c>
      <c r="CV282" s="376">
        <f>CV258/CV304*1000</f>
        <v>666.66666666666663</v>
      </c>
      <c r="CW282" s="376">
        <f>CW258/CW304*1000</f>
        <v>1000</v>
      </c>
      <c r="CX282" s="376">
        <f>CX258/CX304*1000</f>
        <v>395.28</v>
      </c>
      <c r="CY282" s="376">
        <f>CX282*(1+CY283)</f>
        <v>375.51599999999996</v>
      </c>
      <c r="CZ282" s="376">
        <f>CY282*(1+CZ283)</f>
        <v>0</v>
      </c>
      <c r="DA282" s="376">
        <v>0</v>
      </c>
      <c r="DB282" s="376">
        <v>0</v>
      </c>
      <c r="DC282" s="376">
        <v>0</v>
      </c>
      <c r="DD282" s="376">
        <v>0</v>
      </c>
      <c r="DE282" s="376">
        <v>0</v>
      </c>
      <c r="DF282" s="376">
        <v>0</v>
      </c>
      <c r="DG282" s="376">
        <v>0</v>
      </c>
      <c r="DH282" s="376">
        <v>0</v>
      </c>
      <c r="DI282" s="376">
        <v>0</v>
      </c>
      <c r="DJ282" s="397">
        <v>0</v>
      </c>
      <c r="DK282" s="397">
        <v>0</v>
      </c>
      <c r="DL282" s="397">
        <v>0</v>
      </c>
      <c r="DM282" s="397">
        <v>0</v>
      </c>
      <c r="DN282" s="397">
        <v>0</v>
      </c>
      <c r="DO282" s="397">
        <v>0</v>
      </c>
      <c r="DP282" s="397">
        <v>0</v>
      </c>
      <c r="DQ282" s="397">
        <v>0</v>
      </c>
      <c r="DR282" s="397">
        <v>0</v>
      </c>
      <c r="DS282" s="397">
        <v>0</v>
      </c>
      <c r="DT282" s="397">
        <v>0</v>
      </c>
      <c r="DU282" s="397">
        <v>0</v>
      </c>
      <c r="DV282" s="376">
        <v>0</v>
      </c>
      <c r="DW282" s="376">
        <v>0</v>
      </c>
      <c r="DX282" s="376">
        <v>0</v>
      </c>
      <c r="DY282" s="376">
        <v>0</v>
      </c>
      <c r="DZ282" s="376">
        <v>0</v>
      </c>
      <c r="EA282" s="376">
        <v>0</v>
      </c>
      <c r="EB282" s="376">
        <v>0</v>
      </c>
      <c r="EC282" s="376">
        <v>0</v>
      </c>
      <c r="ED282" s="376">
        <v>0</v>
      </c>
      <c r="EE282" s="376">
        <v>0</v>
      </c>
      <c r="EF282" s="376">
        <v>0</v>
      </c>
      <c r="EG282" s="376">
        <v>0</v>
      </c>
      <c r="EH282" s="376">
        <v>0</v>
      </c>
      <c r="EI282" s="376">
        <v>0</v>
      </c>
      <c r="EJ282" s="376">
        <v>0</v>
      </c>
      <c r="EK282" s="376">
        <v>0</v>
      </c>
      <c r="EL282" s="376">
        <v>0</v>
      </c>
      <c r="EM282" s="376">
        <v>0</v>
      </c>
      <c r="EN282" s="376">
        <v>0</v>
      </c>
      <c r="EO282" s="376">
        <v>0</v>
      </c>
      <c r="EP282" s="376">
        <v>0</v>
      </c>
      <c r="EQ282" s="376">
        <v>0</v>
      </c>
      <c r="ER282" s="376">
        <v>0</v>
      </c>
      <c r="ES282" s="376">
        <v>0</v>
      </c>
      <c r="ET282" s="376">
        <v>0</v>
      </c>
      <c r="EU282" s="376">
        <v>0</v>
      </c>
      <c r="EV282" s="376">
        <v>0</v>
      </c>
      <c r="EW282" s="376">
        <v>0</v>
      </c>
      <c r="EX282" s="379"/>
      <c r="EY282" s="379"/>
      <c r="EZ282" s="376"/>
      <c r="FA282" s="471"/>
      <c r="FB282" s="376"/>
      <c r="FC282" s="376"/>
      <c r="FD282" s="376"/>
      <c r="FE282" s="376"/>
      <c r="FF282" s="376"/>
      <c r="FG282" s="376"/>
      <c r="FH282" s="376"/>
      <c r="FI282" s="376"/>
      <c r="FJ282" s="376"/>
      <c r="FK282" s="376"/>
      <c r="FL282" s="376"/>
      <c r="FM282" s="376"/>
      <c r="FN282" s="376"/>
      <c r="FO282" s="376"/>
      <c r="FP282" s="376"/>
      <c r="FQ282" s="376"/>
      <c r="FR282" s="376"/>
      <c r="FS282" s="376"/>
      <c r="FT282" s="376"/>
      <c r="FU282" s="376"/>
      <c r="FV282" s="376"/>
      <c r="FW282" s="376"/>
      <c r="FX282" s="376">
        <f>CT282+CU282+CV282+CW282</f>
        <v>2133.333333333333</v>
      </c>
      <c r="FY282" s="376">
        <f>CX282+CY282+CZ282+DA282</f>
        <v>770.79599999999994</v>
      </c>
      <c r="FZ282" s="376">
        <f>DB282+DC282+DD282+DE282</f>
        <v>0</v>
      </c>
      <c r="GA282" s="376">
        <f>DF282+DG282+DH282+DI282</f>
        <v>0</v>
      </c>
      <c r="GB282" s="376">
        <f>DG282+DH282+DI282+DJ282</f>
        <v>0</v>
      </c>
      <c r="GC282" s="376">
        <f>DH282+DI282+DJ282+DQ282</f>
        <v>0</v>
      </c>
      <c r="GD282" s="376">
        <f>SUM(DR282:DU282)</f>
        <v>0</v>
      </c>
      <c r="GE282" s="376">
        <f>SUM(DV282:DY282)</f>
        <v>0</v>
      </c>
      <c r="GF282" s="376">
        <f>SUM(DZ282:EC282)</f>
        <v>0</v>
      </c>
      <c r="GG282" s="380">
        <f>SUM(ED282:EG282)</f>
        <v>0</v>
      </c>
      <c r="GH282" s="380">
        <f>SUM(EH282:EK282)</f>
        <v>0</v>
      </c>
      <c r="GI282" s="380">
        <f>SUM(EI282:EL282)</f>
        <v>0</v>
      </c>
      <c r="GJ282" s="380">
        <f>SUM(EJ282:EM282)</f>
        <v>0</v>
      </c>
      <c r="GK282" s="380">
        <f>SUM(EK282:EN282)</f>
        <v>0</v>
      </c>
      <c r="GN282" s="70"/>
    </row>
    <row r="283" spans="1:196" s="382" customFormat="1">
      <c r="A283" s="396" t="s">
        <v>198</v>
      </c>
      <c r="B283" s="464"/>
      <c r="C283" s="464"/>
      <c r="D283" s="464"/>
      <c r="E283" s="464"/>
      <c r="F283" s="464"/>
      <c r="G283" s="464"/>
      <c r="H283" s="464"/>
      <c r="I283" s="464"/>
      <c r="J283" s="464"/>
      <c r="K283" s="464"/>
      <c r="L283" s="464"/>
      <c r="M283" s="464"/>
      <c r="N283" s="464"/>
      <c r="O283" s="464"/>
      <c r="P283" s="464"/>
      <c r="Q283" s="464"/>
      <c r="R283" s="464"/>
      <c r="S283" s="464"/>
      <c r="T283" s="464"/>
      <c r="U283" s="464"/>
      <c r="V283" s="464"/>
      <c r="W283" s="464"/>
      <c r="X283" s="464"/>
      <c r="Y283" s="464"/>
      <c r="Z283" s="464"/>
      <c r="AA283" s="464"/>
      <c r="AB283" s="464"/>
      <c r="AC283" s="464"/>
      <c r="AD283" s="464"/>
      <c r="AE283" s="464"/>
      <c r="AF283" s="464"/>
      <c r="AG283" s="464"/>
      <c r="AH283" s="464"/>
      <c r="AI283" s="464"/>
      <c r="AJ283" s="464"/>
      <c r="AK283" s="464"/>
      <c r="AL283" s="464"/>
      <c r="AM283" s="464"/>
      <c r="AN283" s="464"/>
      <c r="AO283" s="464"/>
      <c r="AP283" s="464"/>
      <c r="AQ283" s="464"/>
      <c r="AR283" s="464"/>
      <c r="AS283" s="464"/>
      <c r="AT283" s="464"/>
      <c r="AU283" s="464"/>
      <c r="AV283" s="464"/>
      <c r="AW283" s="464"/>
      <c r="AX283" s="464"/>
      <c r="AY283" s="464"/>
      <c r="AZ283" s="464"/>
      <c r="BA283" s="464"/>
      <c r="BB283" s="464"/>
      <c r="BC283" s="464"/>
      <c r="BD283" s="464"/>
      <c r="BE283" s="464"/>
      <c r="BF283" s="464"/>
      <c r="BG283" s="464"/>
      <c r="BH283" s="464"/>
      <c r="BI283" s="464"/>
      <c r="BJ283" s="464"/>
      <c r="BK283" s="464"/>
      <c r="BL283" s="464"/>
      <c r="BM283" s="464"/>
      <c r="BN283" s="464"/>
      <c r="BO283" s="464"/>
      <c r="BP283" s="464"/>
      <c r="BQ283" s="464"/>
      <c r="BR283" s="464"/>
      <c r="BS283" s="464"/>
      <c r="BT283" s="464"/>
      <c r="BU283" s="464"/>
      <c r="BV283" s="464"/>
      <c r="BW283" s="464"/>
      <c r="BX283" s="464"/>
      <c r="BY283" s="464"/>
      <c r="BZ283" s="464"/>
      <c r="CA283" s="464"/>
      <c r="CB283" s="464"/>
      <c r="CC283" s="464"/>
      <c r="CU283" s="382">
        <f>CU282/CT282-1</f>
        <v>1.4999999999999996</v>
      </c>
      <c r="CV283" s="382">
        <f>CV282/CU282-1</f>
        <v>1</v>
      </c>
      <c r="CW283" s="382">
        <f>CW282/CV282-1</f>
        <v>0.5</v>
      </c>
      <c r="CX283" s="382">
        <v>-0.3</v>
      </c>
      <c r="CY283" s="382">
        <v>-0.05</v>
      </c>
      <c r="CZ283" s="382">
        <v>-1</v>
      </c>
      <c r="DA283" s="386" t="s">
        <v>199</v>
      </c>
      <c r="DB283" s="386" t="s">
        <v>199</v>
      </c>
      <c r="DC283" s="386" t="s">
        <v>199</v>
      </c>
      <c r="DD283" s="386" t="s">
        <v>199</v>
      </c>
      <c r="DE283" s="386" t="s">
        <v>199</v>
      </c>
      <c r="DF283" s="386" t="s">
        <v>199</v>
      </c>
      <c r="DG283" s="386" t="s">
        <v>199</v>
      </c>
      <c r="DH283" s="386" t="s">
        <v>199</v>
      </c>
      <c r="DI283" s="386" t="s">
        <v>199</v>
      </c>
      <c r="DJ283" s="386" t="s">
        <v>199</v>
      </c>
      <c r="DK283" s="386" t="s">
        <v>199</v>
      </c>
      <c r="DL283" s="386" t="s">
        <v>199</v>
      </c>
      <c r="DM283" s="386" t="s">
        <v>199</v>
      </c>
      <c r="DN283" s="386" t="s">
        <v>199</v>
      </c>
      <c r="DO283" s="386" t="s">
        <v>199</v>
      </c>
      <c r="DP283" s="386" t="s">
        <v>199</v>
      </c>
      <c r="DQ283" s="386" t="s">
        <v>199</v>
      </c>
      <c r="DR283" s="386" t="s">
        <v>199</v>
      </c>
      <c r="DS283" s="386" t="s">
        <v>199</v>
      </c>
      <c r="DT283" s="386" t="s">
        <v>199</v>
      </c>
      <c r="DU283" s="386" t="s">
        <v>199</v>
      </c>
      <c r="DV283" s="386" t="s">
        <v>199</v>
      </c>
      <c r="DW283" s="386" t="s">
        <v>199</v>
      </c>
      <c r="DX283" s="386" t="s">
        <v>199</v>
      </c>
      <c r="DY283" s="386" t="s">
        <v>199</v>
      </c>
      <c r="DZ283" s="386" t="s">
        <v>199</v>
      </c>
      <c r="EA283" s="386" t="s">
        <v>199</v>
      </c>
      <c r="EB283" s="386" t="s">
        <v>199</v>
      </c>
      <c r="EC283" s="386" t="s">
        <v>199</v>
      </c>
      <c r="ED283" s="386" t="s">
        <v>199</v>
      </c>
      <c r="EE283" s="386" t="s">
        <v>199</v>
      </c>
      <c r="EF283" s="386" t="s">
        <v>199</v>
      </c>
      <c r="EG283" s="386" t="s">
        <v>199</v>
      </c>
      <c r="EH283" s="386" t="s">
        <v>199</v>
      </c>
      <c r="EI283" s="386" t="s">
        <v>199</v>
      </c>
      <c r="EJ283" s="386" t="s">
        <v>199</v>
      </c>
      <c r="EK283" s="386" t="s">
        <v>199</v>
      </c>
      <c r="EL283" s="386" t="s">
        <v>199</v>
      </c>
      <c r="EM283" s="386" t="s">
        <v>199</v>
      </c>
      <c r="EN283" s="386" t="s">
        <v>199</v>
      </c>
      <c r="EO283" s="386" t="s">
        <v>199</v>
      </c>
      <c r="EP283" s="386" t="s">
        <v>199</v>
      </c>
      <c r="EQ283" s="386" t="s">
        <v>199</v>
      </c>
      <c r="ER283" s="386" t="s">
        <v>199</v>
      </c>
      <c r="ES283" s="386" t="s">
        <v>199</v>
      </c>
      <c r="ET283" s="386" t="s">
        <v>199</v>
      </c>
      <c r="EU283" s="386" t="s">
        <v>199</v>
      </c>
      <c r="EV283" s="386" t="s">
        <v>199</v>
      </c>
      <c r="EW283" s="386" t="s">
        <v>199</v>
      </c>
      <c r="FZ283" s="386" t="s">
        <v>199</v>
      </c>
      <c r="GA283" s="386" t="s">
        <v>199</v>
      </c>
      <c r="GB283" s="386" t="s">
        <v>199</v>
      </c>
      <c r="GC283" s="386" t="s">
        <v>199</v>
      </c>
      <c r="GD283" s="386" t="s">
        <v>199</v>
      </c>
      <c r="GE283" s="386" t="s">
        <v>199</v>
      </c>
      <c r="GF283" s="386" t="s">
        <v>199</v>
      </c>
      <c r="GG283" s="386" t="s">
        <v>199</v>
      </c>
      <c r="GH283" s="386" t="s">
        <v>199</v>
      </c>
      <c r="GI283" s="386" t="s">
        <v>199</v>
      </c>
      <c r="GJ283" s="386" t="s">
        <v>199</v>
      </c>
      <c r="GK283" s="386" t="s">
        <v>199</v>
      </c>
      <c r="GN283" s="70"/>
    </row>
    <row r="284" spans="1:196" s="382" customFormat="1">
      <c r="A284" s="396" t="s">
        <v>200</v>
      </c>
      <c r="B284" s="464"/>
      <c r="C284" s="464"/>
      <c r="D284" s="464"/>
      <c r="E284" s="464"/>
      <c r="F284" s="464"/>
      <c r="G284" s="464"/>
      <c r="H284" s="464"/>
      <c r="I284" s="464"/>
      <c r="J284" s="464"/>
      <c r="K284" s="464"/>
      <c r="L284" s="464"/>
      <c r="M284" s="464"/>
      <c r="N284" s="464"/>
      <c r="O284" s="464"/>
      <c r="P284" s="464"/>
      <c r="Q284" s="464"/>
      <c r="R284" s="464"/>
      <c r="S284" s="464"/>
      <c r="T284" s="464"/>
      <c r="U284" s="464"/>
      <c r="V284" s="464"/>
      <c r="W284" s="464"/>
      <c r="X284" s="464"/>
      <c r="Y284" s="464"/>
      <c r="Z284" s="464"/>
      <c r="AA284" s="464"/>
      <c r="AB284" s="464"/>
      <c r="AC284" s="464"/>
      <c r="AD284" s="464"/>
      <c r="AE284" s="464"/>
      <c r="AF284" s="464"/>
      <c r="AG284" s="464"/>
      <c r="AH284" s="464"/>
      <c r="AI284" s="464"/>
      <c r="AJ284" s="464"/>
      <c r="AK284" s="464"/>
      <c r="AL284" s="464"/>
      <c r="AM284" s="464"/>
      <c r="AN284" s="464"/>
      <c r="AO284" s="464"/>
      <c r="AP284" s="464"/>
      <c r="AQ284" s="464"/>
      <c r="AR284" s="464"/>
      <c r="AS284" s="464"/>
      <c r="AT284" s="464"/>
      <c r="AU284" s="464"/>
      <c r="AV284" s="464"/>
      <c r="AW284" s="464"/>
      <c r="AX284" s="464"/>
      <c r="AY284" s="464"/>
      <c r="AZ284" s="464"/>
      <c r="BA284" s="464"/>
      <c r="BB284" s="464"/>
      <c r="BC284" s="464"/>
      <c r="BD284" s="464"/>
      <c r="BE284" s="464"/>
      <c r="BF284" s="464"/>
      <c r="BG284" s="464"/>
      <c r="BH284" s="464"/>
      <c r="BI284" s="464"/>
      <c r="BJ284" s="464"/>
      <c r="BK284" s="464"/>
      <c r="BL284" s="464"/>
      <c r="BM284" s="464"/>
      <c r="BN284" s="464"/>
      <c r="BO284" s="464"/>
      <c r="BP284" s="464"/>
      <c r="BQ284" s="464"/>
      <c r="BR284" s="464"/>
      <c r="BS284" s="464"/>
      <c r="BT284" s="464"/>
      <c r="BU284" s="464"/>
      <c r="BV284" s="464"/>
      <c r="BW284" s="464"/>
      <c r="BX284" s="464"/>
      <c r="BY284" s="464"/>
      <c r="BZ284" s="464"/>
      <c r="CA284" s="464"/>
      <c r="CB284" s="464"/>
      <c r="CC284" s="464"/>
      <c r="CV284" s="384"/>
      <c r="CW284" s="384"/>
      <c r="CX284" s="382">
        <f t="shared" ref="CX284:DC284" si="537">CX282/CT282-1</f>
        <v>1.9645999999999995</v>
      </c>
      <c r="CY284" s="382">
        <f t="shared" si="537"/>
        <v>0.12654799999999988</v>
      </c>
      <c r="CZ284" s="382">
        <f t="shared" si="537"/>
        <v>-1</v>
      </c>
      <c r="DA284" s="382">
        <f t="shared" si="537"/>
        <v>-1</v>
      </c>
      <c r="DB284" s="382">
        <f t="shared" si="537"/>
        <v>-1</v>
      </c>
      <c r="DC284" s="382">
        <f t="shared" si="537"/>
        <v>-1</v>
      </c>
      <c r="DD284" s="386" t="s">
        <v>199</v>
      </c>
      <c r="DE284" s="386" t="s">
        <v>199</v>
      </c>
      <c r="DF284" s="386" t="s">
        <v>199</v>
      </c>
      <c r="DG284" s="386" t="s">
        <v>199</v>
      </c>
      <c r="DH284" s="386" t="s">
        <v>199</v>
      </c>
      <c r="DI284" s="386" t="s">
        <v>199</v>
      </c>
      <c r="DJ284" s="386" t="s">
        <v>199</v>
      </c>
      <c r="DK284" s="386" t="s">
        <v>199</v>
      </c>
      <c r="DL284" s="386" t="s">
        <v>199</v>
      </c>
      <c r="DM284" s="386" t="s">
        <v>199</v>
      </c>
      <c r="DN284" s="386" t="s">
        <v>199</v>
      </c>
      <c r="DO284" s="386" t="s">
        <v>199</v>
      </c>
      <c r="DP284" s="386" t="s">
        <v>199</v>
      </c>
      <c r="DQ284" s="386" t="s">
        <v>199</v>
      </c>
      <c r="DR284" s="386" t="s">
        <v>199</v>
      </c>
      <c r="DS284" s="386" t="s">
        <v>199</v>
      </c>
      <c r="DT284" s="386" t="s">
        <v>199</v>
      </c>
      <c r="DU284" s="386" t="s">
        <v>199</v>
      </c>
      <c r="DV284" s="386" t="s">
        <v>199</v>
      </c>
      <c r="DW284" s="386" t="s">
        <v>199</v>
      </c>
      <c r="DX284" s="386" t="s">
        <v>199</v>
      </c>
      <c r="DY284" s="386" t="s">
        <v>199</v>
      </c>
      <c r="DZ284" s="386" t="s">
        <v>199</v>
      </c>
      <c r="EA284" s="386" t="s">
        <v>199</v>
      </c>
      <c r="EB284" s="386" t="s">
        <v>199</v>
      </c>
      <c r="EC284" s="386" t="s">
        <v>199</v>
      </c>
      <c r="ED284" s="386" t="s">
        <v>199</v>
      </c>
      <c r="EE284" s="386" t="s">
        <v>199</v>
      </c>
      <c r="EF284" s="386" t="s">
        <v>199</v>
      </c>
      <c r="EG284" s="386" t="s">
        <v>199</v>
      </c>
      <c r="EH284" s="386" t="s">
        <v>199</v>
      </c>
      <c r="EI284" s="386" t="s">
        <v>199</v>
      </c>
      <c r="EJ284" s="386" t="s">
        <v>199</v>
      </c>
      <c r="EK284" s="386" t="s">
        <v>199</v>
      </c>
      <c r="EL284" s="386" t="s">
        <v>199</v>
      </c>
      <c r="EM284" s="386" t="s">
        <v>199</v>
      </c>
      <c r="EN284" s="386" t="s">
        <v>199</v>
      </c>
      <c r="EO284" s="386" t="s">
        <v>199</v>
      </c>
      <c r="EP284" s="386" t="s">
        <v>199</v>
      </c>
      <c r="EQ284" s="386" t="s">
        <v>199</v>
      </c>
      <c r="ER284" s="386" t="s">
        <v>199</v>
      </c>
      <c r="ES284" s="386" t="s">
        <v>199</v>
      </c>
      <c r="ET284" s="386" t="s">
        <v>199</v>
      </c>
      <c r="EU284" s="386" t="s">
        <v>199</v>
      </c>
      <c r="EV284" s="386" t="s">
        <v>199</v>
      </c>
      <c r="EW284" s="386" t="s">
        <v>199</v>
      </c>
      <c r="FY284" s="382">
        <f>FY282/FX282-1</f>
        <v>-0.638689375</v>
      </c>
      <c r="FZ284" s="386" t="s">
        <v>199</v>
      </c>
      <c r="GA284" s="386" t="s">
        <v>199</v>
      </c>
      <c r="GB284" s="386" t="s">
        <v>199</v>
      </c>
      <c r="GC284" s="386" t="s">
        <v>199</v>
      </c>
      <c r="GD284" s="386" t="s">
        <v>199</v>
      </c>
      <c r="GE284" s="386" t="s">
        <v>199</v>
      </c>
      <c r="GF284" s="386" t="s">
        <v>199</v>
      </c>
      <c r="GG284" s="386" t="s">
        <v>199</v>
      </c>
      <c r="GH284" s="386" t="s">
        <v>199</v>
      </c>
      <c r="GI284" s="386" t="s">
        <v>199</v>
      </c>
      <c r="GJ284" s="386" t="s">
        <v>199</v>
      </c>
      <c r="GK284" s="386" t="s">
        <v>199</v>
      </c>
      <c r="GN284" s="70"/>
    </row>
    <row r="285" spans="1:196" s="379" customFormat="1">
      <c r="A285" s="405" t="s">
        <v>267</v>
      </c>
      <c r="BJ285" s="376">
        <v>2725</v>
      </c>
      <c r="BK285" s="376">
        <v>3210</v>
      </c>
      <c r="BL285" s="376">
        <v>5625</v>
      </c>
      <c r="BM285" s="376">
        <v>3225</v>
      </c>
      <c r="BN285" s="376">
        <v>2750</v>
      </c>
      <c r="BO285" s="376">
        <v>5090</v>
      </c>
      <c r="BP285" s="376">
        <v>6900</v>
      </c>
      <c r="BQ285" s="376">
        <v>8300</v>
      </c>
      <c r="BR285" s="376">
        <v>9100</v>
      </c>
      <c r="BS285" s="376">
        <v>10920</v>
      </c>
      <c r="BT285" s="376">
        <v>9280</v>
      </c>
      <c r="BU285" s="376">
        <v>8840</v>
      </c>
      <c r="BV285" s="376">
        <v>10400</v>
      </c>
      <c r="BW285" s="376">
        <v>9400</v>
      </c>
      <c r="BX285" s="376">
        <v>9895</v>
      </c>
      <c r="BY285" s="376">
        <v>8250</v>
      </c>
      <c r="BZ285" s="376">
        <v>8800</v>
      </c>
      <c r="CA285" s="376">
        <v>8000</v>
      </c>
      <c r="CB285" s="376">
        <v>5740</v>
      </c>
      <c r="CC285" s="376">
        <v>5225</v>
      </c>
      <c r="CD285" s="376">
        <v>4605</v>
      </c>
      <c r="CE285" s="376">
        <v>4850</v>
      </c>
      <c r="CF285" s="376">
        <v>4525</v>
      </c>
      <c r="CG285" s="376">
        <v>4300</v>
      </c>
      <c r="CH285" s="376">
        <v>3400</v>
      </c>
      <c r="CI285" s="376">
        <v>4420</v>
      </c>
      <c r="CJ285" s="376">
        <v>4650</v>
      </c>
      <c r="CK285" s="376">
        <v>4045</v>
      </c>
      <c r="CL285" s="376">
        <v>3520</v>
      </c>
      <c r="CM285" s="376">
        <v>3060</v>
      </c>
      <c r="CN285" s="376">
        <v>3675</v>
      </c>
      <c r="CO285" s="376">
        <v>3650</v>
      </c>
      <c r="CP285" s="376">
        <v>3315</v>
      </c>
      <c r="CQ285" s="376">
        <v>3185</v>
      </c>
      <c r="CR285" s="376">
        <v>3875</v>
      </c>
      <c r="CS285" s="376">
        <v>4030</v>
      </c>
      <c r="CT285" s="376">
        <v>3400</v>
      </c>
      <c r="CU285" s="376">
        <v>3470</v>
      </c>
      <c r="CV285" s="376">
        <v>3650</v>
      </c>
      <c r="CW285" s="376">
        <v>3685</v>
      </c>
      <c r="CX285" s="376">
        <v>2600</v>
      </c>
      <c r="CY285" s="376">
        <v>2850</v>
      </c>
      <c r="CZ285" s="376">
        <v>3425</v>
      </c>
      <c r="DA285" s="376">
        <v>3200</v>
      </c>
      <c r="DB285" s="376">
        <v>2660</v>
      </c>
      <c r="DC285" s="376">
        <v>2605</v>
      </c>
      <c r="DD285" s="376">
        <v>2505</v>
      </c>
      <c r="DE285" s="376">
        <v>2375</v>
      </c>
      <c r="DF285" s="376">
        <v>1760</v>
      </c>
      <c r="DG285" s="376">
        <v>1925</v>
      </c>
      <c r="DH285" s="376">
        <v>2025</v>
      </c>
      <c r="DI285" s="376">
        <v>1855</v>
      </c>
      <c r="DJ285" s="397">
        <v>1825</v>
      </c>
      <c r="DK285" s="397">
        <v>1700</v>
      </c>
      <c r="DL285" s="397">
        <v>1465</v>
      </c>
      <c r="DM285" s="397">
        <v>1540</v>
      </c>
      <c r="DN285" s="397">
        <v>1400</v>
      </c>
      <c r="DO285" s="397">
        <f>DN285*0.95</f>
        <v>1330</v>
      </c>
      <c r="DP285" s="397">
        <v>360</v>
      </c>
      <c r="DQ285" s="397">
        <v>265</v>
      </c>
      <c r="DR285" s="397">
        <v>185</v>
      </c>
      <c r="DS285" s="397">
        <v>165</v>
      </c>
      <c r="DT285" s="397">
        <v>195</v>
      </c>
      <c r="DU285" s="397">
        <v>125</v>
      </c>
      <c r="DV285" s="376">
        <v>115</v>
      </c>
      <c r="DW285" s="376">
        <v>120</v>
      </c>
      <c r="DX285" s="376">
        <v>110</v>
      </c>
      <c r="DY285" s="376">
        <v>150</v>
      </c>
      <c r="DZ285" s="376">
        <v>120</v>
      </c>
      <c r="EA285" s="376">
        <v>120</v>
      </c>
      <c r="EB285" s="376">
        <v>120</v>
      </c>
      <c r="EC285" s="376">
        <v>120</v>
      </c>
      <c r="ED285" s="376">
        <f t="shared" ref="ED285:EW285" si="538">EC285*(1+ED286)</f>
        <v>120</v>
      </c>
      <c r="EE285" s="380">
        <f t="shared" si="538"/>
        <v>120</v>
      </c>
      <c r="EF285" s="380">
        <f t="shared" si="538"/>
        <v>120</v>
      </c>
      <c r="EG285" s="380">
        <f t="shared" si="538"/>
        <v>120</v>
      </c>
      <c r="EH285" s="380">
        <f t="shared" si="538"/>
        <v>120</v>
      </c>
      <c r="EI285" s="380">
        <f t="shared" si="538"/>
        <v>120</v>
      </c>
      <c r="EJ285" s="380">
        <f t="shared" si="538"/>
        <v>120</v>
      </c>
      <c r="EK285" s="380">
        <f t="shared" si="538"/>
        <v>120</v>
      </c>
      <c r="EL285" s="380">
        <f t="shared" si="538"/>
        <v>120</v>
      </c>
      <c r="EM285" s="380">
        <f t="shared" si="538"/>
        <v>120</v>
      </c>
      <c r="EN285" s="380">
        <f t="shared" si="538"/>
        <v>120</v>
      </c>
      <c r="EO285" s="380">
        <f t="shared" si="538"/>
        <v>120</v>
      </c>
      <c r="EP285" s="380">
        <f t="shared" si="538"/>
        <v>120</v>
      </c>
      <c r="EQ285" s="380">
        <f t="shared" si="538"/>
        <v>120</v>
      </c>
      <c r="ER285" s="380">
        <f t="shared" si="538"/>
        <v>120</v>
      </c>
      <c r="ES285" s="380">
        <f t="shared" si="538"/>
        <v>120</v>
      </c>
      <c r="ET285" s="380">
        <f t="shared" si="538"/>
        <v>120</v>
      </c>
      <c r="EU285" s="380">
        <f t="shared" si="538"/>
        <v>120</v>
      </c>
      <c r="EV285" s="380">
        <f t="shared" si="538"/>
        <v>120</v>
      </c>
      <c r="EW285" s="380">
        <f t="shared" si="538"/>
        <v>120</v>
      </c>
      <c r="EZ285" s="376"/>
      <c r="FA285" s="376"/>
      <c r="FB285" s="376"/>
      <c r="FC285" s="376"/>
      <c r="FD285" s="376"/>
      <c r="FE285" s="376"/>
      <c r="FF285" s="376"/>
      <c r="FG285" s="376"/>
      <c r="FH285" s="376"/>
      <c r="FI285" s="376"/>
      <c r="FJ285" s="376"/>
      <c r="FK285" s="376"/>
      <c r="FL285" s="376"/>
      <c r="FM285" s="376"/>
      <c r="FN285" s="376"/>
      <c r="FO285" s="376">
        <f>BJ285+BK285+BL285+BM285</f>
        <v>14785</v>
      </c>
      <c r="FP285" s="376">
        <f>BN285+BO285+BP285+BQ285</f>
        <v>23040</v>
      </c>
      <c r="FQ285" s="376">
        <f>BR285+BS285+BT285+BU285</f>
        <v>38140</v>
      </c>
      <c r="FR285" s="376">
        <f>BV285+BW285+BX285+BY285</f>
        <v>37945</v>
      </c>
      <c r="FS285" s="376">
        <f>BZ285+CA285+CB285+CC285</f>
        <v>27765</v>
      </c>
      <c r="FT285" s="376">
        <f>CD285+CE285+CF285+CG285</f>
        <v>18280</v>
      </c>
      <c r="FU285" s="376">
        <f>CH285+CI285+CJ285+CK285</f>
        <v>16515</v>
      </c>
      <c r="FV285" s="376">
        <f>CL285+CM285+CN285+CO285</f>
        <v>13905</v>
      </c>
      <c r="FW285" s="376">
        <f>CP285+CQ285+CR285+CS285</f>
        <v>14405</v>
      </c>
      <c r="FX285" s="376">
        <f>CT285+CU285+CV285+CW285</f>
        <v>14205</v>
      </c>
      <c r="FY285" s="376">
        <f>CX285+CY285+CZ285+DA285</f>
        <v>12075</v>
      </c>
      <c r="FZ285" s="376">
        <f>DB285+DC285+DD285+DE285</f>
        <v>10145</v>
      </c>
      <c r="GA285" s="376">
        <f>SUM(DF285:DI285)</f>
        <v>7565</v>
      </c>
      <c r="GB285" s="376">
        <f>SUM(DJ285:DM285)</f>
        <v>6530</v>
      </c>
      <c r="GC285" s="376">
        <f>SUM(DN285:DQ285)</f>
        <v>3355</v>
      </c>
      <c r="GD285" s="376">
        <f>SUM(DR285:DU285)</f>
        <v>670</v>
      </c>
      <c r="GE285" s="376">
        <f>SUM(DV285:DY285)</f>
        <v>495</v>
      </c>
      <c r="GF285" s="376">
        <f>SUM(DZ285:EC285)</f>
        <v>480</v>
      </c>
      <c r="GG285" s="380">
        <f>SUM(ED285:EG285)</f>
        <v>480</v>
      </c>
      <c r="GH285" s="380">
        <f>SUM(EH285:EK285)</f>
        <v>480</v>
      </c>
      <c r="GI285" s="380">
        <f>SUM(EL285:EO285)</f>
        <v>480</v>
      </c>
      <c r="GJ285" s="380">
        <f>SUM(EP285:ES285)</f>
        <v>480</v>
      </c>
      <c r="GK285" s="380">
        <f>SUM(ET285:EW285)</f>
        <v>480</v>
      </c>
      <c r="GN285" s="70"/>
    </row>
    <row r="286" spans="1:196" s="382" customFormat="1">
      <c r="A286" s="381" t="s">
        <v>198</v>
      </c>
      <c r="BK286" s="382">
        <f t="shared" ref="BK286:DV286" si="539">BK285/BJ285-1</f>
        <v>0.17798165137614674</v>
      </c>
      <c r="BL286" s="382">
        <f t="shared" si="539"/>
        <v>0.75233644859813076</v>
      </c>
      <c r="BM286" s="382">
        <f t="shared" si="539"/>
        <v>-0.42666666666666664</v>
      </c>
      <c r="BN286" s="382">
        <f t="shared" si="539"/>
        <v>-0.1472868217054264</v>
      </c>
      <c r="BO286" s="382">
        <f t="shared" si="539"/>
        <v>0.85090909090909084</v>
      </c>
      <c r="BP286" s="382">
        <f t="shared" si="539"/>
        <v>0.3555992141453832</v>
      </c>
      <c r="BQ286" s="382">
        <f t="shared" si="539"/>
        <v>0.20289855072463769</v>
      </c>
      <c r="BR286" s="382">
        <f t="shared" si="539"/>
        <v>9.6385542168674787E-2</v>
      </c>
      <c r="BS286" s="382">
        <f t="shared" si="539"/>
        <v>0.19999999999999996</v>
      </c>
      <c r="BT286" s="382">
        <f t="shared" si="539"/>
        <v>-0.1501831501831502</v>
      </c>
      <c r="BU286" s="382">
        <f t="shared" si="539"/>
        <v>-4.7413793103448287E-2</v>
      </c>
      <c r="BV286" s="382">
        <f t="shared" si="539"/>
        <v>0.17647058823529416</v>
      </c>
      <c r="BW286" s="382">
        <f t="shared" si="539"/>
        <v>-9.6153846153846145E-2</v>
      </c>
      <c r="BX286" s="382">
        <f t="shared" si="539"/>
        <v>5.2659574468085113E-2</v>
      </c>
      <c r="BY286" s="382">
        <f t="shared" si="539"/>
        <v>-0.16624557857503786</v>
      </c>
      <c r="BZ286" s="382">
        <f t="shared" si="539"/>
        <v>6.6666666666666652E-2</v>
      </c>
      <c r="CA286" s="382">
        <f t="shared" si="539"/>
        <v>-9.0909090909090939E-2</v>
      </c>
      <c r="CB286" s="382">
        <f t="shared" si="539"/>
        <v>-0.28249999999999997</v>
      </c>
      <c r="CC286" s="382">
        <f t="shared" si="539"/>
        <v>-8.9721254355400681E-2</v>
      </c>
      <c r="CD286" s="382">
        <f t="shared" si="539"/>
        <v>-0.11866028708133969</v>
      </c>
      <c r="CE286" s="382">
        <f t="shared" si="539"/>
        <v>5.3203040173724236E-2</v>
      </c>
      <c r="CF286" s="382">
        <f t="shared" si="539"/>
        <v>-6.7010309278350499E-2</v>
      </c>
      <c r="CG286" s="382">
        <f t="shared" si="539"/>
        <v>-4.9723756906077332E-2</v>
      </c>
      <c r="CH286" s="382">
        <f t="shared" si="539"/>
        <v>-0.20930232558139539</v>
      </c>
      <c r="CI286" s="382">
        <f t="shared" si="539"/>
        <v>0.30000000000000004</v>
      </c>
      <c r="CJ286" s="382">
        <f t="shared" si="539"/>
        <v>5.2036199095022662E-2</v>
      </c>
      <c r="CK286" s="382">
        <f t="shared" si="539"/>
        <v>-0.13010752688172045</v>
      </c>
      <c r="CL286" s="382">
        <f t="shared" si="539"/>
        <v>-0.1297898640296663</v>
      </c>
      <c r="CM286" s="382">
        <f t="shared" si="539"/>
        <v>-0.13068181818181823</v>
      </c>
      <c r="CN286" s="382">
        <f t="shared" si="539"/>
        <v>0.2009803921568627</v>
      </c>
      <c r="CO286" s="382">
        <f t="shared" si="539"/>
        <v>-6.8027210884353817E-3</v>
      </c>
      <c r="CP286" s="382">
        <f t="shared" si="539"/>
        <v>-9.1780821917808231E-2</v>
      </c>
      <c r="CQ286" s="382">
        <f t="shared" si="539"/>
        <v>-3.9215686274509776E-2</v>
      </c>
      <c r="CR286" s="382">
        <f t="shared" si="539"/>
        <v>0.21664050235478816</v>
      </c>
      <c r="CS286" s="382">
        <f t="shared" si="539"/>
        <v>4.0000000000000036E-2</v>
      </c>
      <c r="CT286" s="382">
        <f t="shared" si="539"/>
        <v>-0.15632754342431765</v>
      </c>
      <c r="CU286" s="382">
        <f t="shared" si="539"/>
        <v>2.0588235294117574E-2</v>
      </c>
      <c r="CV286" s="382">
        <f t="shared" si="539"/>
        <v>5.187319884726227E-2</v>
      </c>
      <c r="CW286" s="382">
        <f t="shared" si="539"/>
        <v>9.5890410958903161E-3</v>
      </c>
      <c r="CX286" s="382">
        <f t="shared" si="539"/>
        <v>-0.29443690637720488</v>
      </c>
      <c r="CY286" s="382">
        <f t="shared" si="539"/>
        <v>9.6153846153846256E-2</v>
      </c>
      <c r="CZ286" s="382">
        <f t="shared" si="539"/>
        <v>0.20175438596491224</v>
      </c>
      <c r="DA286" s="382">
        <f t="shared" si="539"/>
        <v>-6.5693430656934337E-2</v>
      </c>
      <c r="DB286" s="382">
        <f t="shared" si="539"/>
        <v>-0.16874999999999996</v>
      </c>
      <c r="DC286" s="382">
        <f t="shared" si="539"/>
        <v>-2.0676691729323293E-2</v>
      </c>
      <c r="DD286" s="382">
        <f t="shared" si="539"/>
        <v>-3.8387715930902067E-2</v>
      </c>
      <c r="DE286" s="382">
        <f t="shared" si="539"/>
        <v>-5.1896207584830378E-2</v>
      </c>
      <c r="DF286" s="382">
        <f t="shared" si="539"/>
        <v>-0.25894736842105259</v>
      </c>
      <c r="DG286" s="382">
        <f t="shared" si="539"/>
        <v>9.375E-2</v>
      </c>
      <c r="DH286" s="382">
        <f t="shared" si="539"/>
        <v>5.1948051948051965E-2</v>
      </c>
      <c r="DI286" s="382">
        <f t="shared" si="539"/>
        <v>-8.395061728395059E-2</v>
      </c>
      <c r="DJ286" s="383">
        <f t="shared" si="539"/>
        <v>-1.6172506738544423E-2</v>
      </c>
      <c r="DK286" s="383">
        <f t="shared" si="539"/>
        <v>-6.8493150684931559E-2</v>
      </c>
      <c r="DL286" s="383">
        <f t="shared" si="539"/>
        <v>-0.13823529411764701</v>
      </c>
      <c r="DM286" s="383">
        <f t="shared" si="539"/>
        <v>5.1194539249146853E-2</v>
      </c>
      <c r="DN286" s="383">
        <f t="shared" si="539"/>
        <v>-9.0909090909090939E-2</v>
      </c>
      <c r="DO286" s="383">
        <f t="shared" si="539"/>
        <v>-5.0000000000000044E-2</v>
      </c>
      <c r="DP286" s="383">
        <f t="shared" si="539"/>
        <v>-0.72932330827067671</v>
      </c>
      <c r="DQ286" s="383">
        <f t="shared" si="539"/>
        <v>-0.26388888888888884</v>
      </c>
      <c r="DR286" s="383">
        <f t="shared" si="539"/>
        <v>-0.30188679245283023</v>
      </c>
      <c r="DS286" s="383">
        <f t="shared" si="539"/>
        <v>-0.10810810810810811</v>
      </c>
      <c r="DT286" s="383">
        <f t="shared" si="539"/>
        <v>0.18181818181818188</v>
      </c>
      <c r="DU286" s="383">
        <f t="shared" si="539"/>
        <v>-0.35897435897435892</v>
      </c>
      <c r="DV286" s="382">
        <f t="shared" si="539"/>
        <v>-7.999999999999996E-2</v>
      </c>
      <c r="DW286" s="382">
        <f t="shared" ref="DW286:DZ286" si="540">DW285/DV285-1</f>
        <v>4.3478260869565188E-2</v>
      </c>
      <c r="DX286" s="382">
        <f t="shared" si="540"/>
        <v>-8.333333333333337E-2</v>
      </c>
      <c r="DY286" s="382">
        <f t="shared" si="540"/>
        <v>0.36363636363636354</v>
      </c>
      <c r="DZ286" s="382">
        <f t="shared" si="540"/>
        <v>-0.19999999999999996</v>
      </c>
      <c r="EA286" s="382">
        <v>0</v>
      </c>
      <c r="EB286" s="382">
        <v>0</v>
      </c>
      <c r="EC286" s="382">
        <v>0</v>
      </c>
      <c r="ED286" s="382">
        <v>0</v>
      </c>
      <c r="EE286" s="384">
        <v>0</v>
      </c>
      <c r="EF286" s="384">
        <v>0</v>
      </c>
      <c r="EG286" s="384">
        <v>0</v>
      </c>
      <c r="EH286" s="384">
        <v>0</v>
      </c>
      <c r="EI286" s="384">
        <v>0</v>
      </c>
      <c r="EJ286" s="384">
        <v>0</v>
      </c>
      <c r="EK286" s="384">
        <v>0</v>
      </c>
      <c r="EL286" s="384">
        <v>0</v>
      </c>
      <c r="EM286" s="384">
        <v>0</v>
      </c>
      <c r="EN286" s="384">
        <v>0</v>
      </c>
      <c r="EO286" s="384">
        <v>0</v>
      </c>
      <c r="EP286" s="384">
        <v>0</v>
      </c>
      <c r="EQ286" s="384">
        <v>0</v>
      </c>
      <c r="ER286" s="384">
        <v>0</v>
      </c>
      <c r="ES286" s="384">
        <v>0</v>
      </c>
      <c r="ET286" s="384">
        <v>0</v>
      </c>
      <c r="EU286" s="384">
        <v>0</v>
      </c>
      <c r="EV286" s="384">
        <v>0</v>
      </c>
      <c r="EW286" s="384">
        <v>0</v>
      </c>
      <c r="EX286" s="384"/>
      <c r="FZ286" s="386" t="s">
        <v>199</v>
      </c>
      <c r="GA286" s="386" t="s">
        <v>199</v>
      </c>
      <c r="GB286" s="386" t="s">
        <v>199</v>
      </c>
      <c r="GC286" s="386" t="s">
        <v>199</v>
      </c>
      <c r="GD286" s="386" t="s">
        <v>199</v>
      </c>
      <c r="GE286" s="386" t="s">
        <v>199</v>
      </c>
      <c r="GF286" s="386" t="s">
        <v>199</v>
      </c>
      <c r="GG286" s="386" t="s">
        <v>199</v>
      </c>
      <c r="GH286" s="386" t="s">
        <v>199</v>
      </c>
      <c r="GI286" s="386" t="s">
        <v>199</v>
      </c>
      <c r="GJ286" s="386" t="s">
        <v>199</v>
      </c>
      <c r="GK286" s="386" t="s">
        <v>199</v>
      </c>
      <c r="GN286" s="70"/>
    </row>
    <row r="287" spans="1:196" s="382" customFormat="1">
      <c r="A287" s="381" t="s">
        <v>200</v>
      </c>
      <c r="BN287" s="382">
        <f t="shared" ref="BN287:DY287" si="541">BN285/BJ285-1</f>
        <v>9.1743119266054496E-3</v>
      </c>
      <c r="BO287" s="382">
        <f t="shared" si="541"/>
        <v>0.58566978193146424</v>
      </c>
      <c r="BP287" s="382">
        <f t="shared" si="541"/>
        <v>0.22666666666666657</v>
      </c>
      <c r="BQ287" s="382">
        <f t="shared" si="541"/>
        <v>1.5736434108527133</v>
      </c>
      <c r="BR287" s="382">
        <f t="shared" si="541"/>
        <v>2.3090909090909091</v>
      </c>
      <c r="BS287" s="382">
        <f t="shared" si="541"/>
        <v>1.1453831041257367</v>
      </c>
      <c r="BT287" s="382">
        <f t="shared" si="541"/>
        <v>0.34492753623188399</v>
      </c>
      <c r="BU287" s="382">
        <f t="shared" si="541"/>
        <v>6.5060240963855431E-2</v>
      </c>
      <c r="BV287" s="382">
        <f t="shared" si="541"/>
        <v>0.14285714285714279</v>
      </c>
      <c r="BW287" s="382">
        <f t="shared" si="541"/>
        <v>-0.13919413919413914</v>
      </c>
      <c r="BX287" s="382">
        <f t="shared" si="541"/>
        <v>6.62715517241379E-2</v>
      </c>
      <c r="BY287" s="382">
        <f t="shared" si="541"/>
        <v>-6.6742081447963786E-2</v>
      </c>
      <c r="BZ287" s="382">
        <f t="shared" si="541"/>
        <v>-0.15384615384615385</v>
      </c>
      <c r="CA287" s="382">
        <f t="shared" si="541"/>
        <v>-0.14893617021276595</v>
      </c>
      <c r="CB287" s="382">
        <f t="shared" si="541"/>
        <v>-0.41990904497220816</v>
      </c>
      <c r="CC287" s="382">
        <f t="shared" si="541"/>
        <v>-0.3666666666666667</v>
      </c>
      <c r="CD287" s="382">
        <f t="shared" si="541"/>
        <v>-0.47670454545454544</v>
      </c>
      <c r="CE287" s="382">
        <f t="shared" si="541"/>
        <v>-0.39375000000000004</v>
      </c>
      <c r="CF287" s="382">
        <f t="shared" si="541"/>
        <v>-0.2116724738675958</v>
      </c>
      <c r="CG287" s="382">
        <f t="shared" si="541"/>
        <v>-0.17703349282296654</v>
      </c>
      <c r="CH287" s="382">
        <f t="shared" si="541"/>
        <v>-0.26167209554831705</v>
      </c>
      <c r="CI287" s="382">
        <f t="shared" si="541"/>
        <v>-8.8659793814433008E-2</v>
      </c>
      <c r="CJ287" s="382">
        <f t="shared" si="541"/>
        <v>2.7624309392265234E-2</v>
      </c>
      <c r="CK287" s="382">
        <f t="shared" si="541"/>
        <v>-5.9302325581395365E-2</v>
      </c>
      <c r="CL287" s="382">
        <f t="shared" si="541"/>
        <v>3.529411764705892E-2</v>
      </c>
      <c r="CM287" s="382">
        <f t="shared" si="541"/>
        <v>-0.30769230769230771</v>
      </c>
      <c r="CN287" s="382">
        <f t="shared" si="541"/>
        <v>-0.20967741935483875</v>
      </c>
      <c r="CO287" s="382">
        <f t="shared" si="541"/>
        <v>-9.765142150803463E-2</v>
      </c>
      <c r="CP287" s="382">
        <f t="shared" si="541"/>
        <v>-5.8238636363636354E-2</v>
      </c>
      <c r="CQ287" s="382">
        <f t="shared" si="541"/>
        <v>4.0849673202614456E-2</v>
      </c>
      <c r="CR287" s="382">
        <f t="shared" si="541"/>
        <v>5.4421768707483054E-2</v>
      </c>
      <c r="CS287" s="382">
        <f t="shared" si="541"/>
        <v>0.10410958904109591</v>
      </c>
      <c r="CT287" s="382">
        <f t="shared" si="541"/>
        <v>2.564102564102555E-2</v>
      </c>
      <c r="CU287" s="382">
        <f t="shared" si="541"/>
        <v>8.9481946624803799E-2</v>
      </c>
      <c r="CV287" s="382">
        <f t="shared" si="541"/>
        <v>-5.8064516129032295E-2</v>
      </c>
      <c r="CW287" s="382">
        <f t="shared" si="541"/>
        <v>-8.5607940446650099E-2</v>
      </c>
      <c r="CX287" s="382">
        <f t="shared" si="541"/>
        <v>-0.23529411764705888</v>
      </c>
      <c r="CY287" s="382">
        <f t="shared" si="541"/>
        <v>-0.17867435158501443</v>
      </c>
      <c r="CZ287" s="382">
        <f t="shared" si="541"/>
        <v>-6.164383561643838E-2</v>
      </c>
      <c r="DA287" s="382">
        <f t="shared" si="541"/>
        <v>-0.13161465400271366</v>
      </c>
      <c r="DB287" s="382">
        <f t="shared" si="541"/>
        <v>2.3076923076922995E-2</v>
      </c>
      <c r="DC287" s="382">
        <f t="shared" si="541"/>
        <v>-8.59649122807018E-2</v>
      </c>
      <c r="DD287" s="382">
        <f t="shared" si="541"/>
        <v>-0.26861313868613135</v>
      </c>
      <c r="DE287" s="382">
        <f t="shared" si="541"/>
        <v>-0.2578125</v>
      </c>
      <c r="DF287" s="382">
        <f t="shared" si="541"/>
        <v>-0.33834586466165417</v>
      </c>
      <c r="DG287" s="382">
        <f t="shared" si="541"/>
        <v>-0.26103646833013439</v>
      </c>
      <c r="DH287" s="382">
        <f t="shared" si="541"/>
        <v>-0.19161676646706582</v>
      </c>
      <c r="DI287" s="382">
        <f t="shared" si="541"/>
        <v>-0.21894736842105267</v>
      </c>
      <c r="DJ287" s="383">
        <f t="shared" si="541"/>
        <v>3.6931818181818121E-2</v>
      </c>
      <c r="DK287" s="383">
        <f t="shared" si="541"/>
        <v>-0.11688311688311692</v>
      </c>
      <c r="DL287" s="383">
        <f t="shared" si="541"/>
        <v>-0.27654320987654324</v>
      </c>
      <c r="DM287" s="383">
        <f t="shared" si="541"/>
        <v>-0.16981132075471694</v>
      </c>
      <c r="DN287" s="383">
        <f t="shared" si="541"/>
        <v>-0.23287671232876717</v>
      </c>
      <c r="DO287" s="383">
        <f t="shared" si="541"/>
        <v>-0.21764705882352942</v>
      </c>
      <c r="DP287" s="383">
        <f t="shared" si="541"/>
        <v>-0.75426621160409557</v>
      </c>
      <c r="DQ287" s="383">
        <f t="shared" si="541"/>
        <v>-0.82792207792207795</v>
      </c>
      <c r="DR287" s="383">
        <f t="shared" si="541"/>
        <v>-0.86785714285714288</v>
      </c>
      <c r="DS287" s="383">
        <f t="shared" si="541"/>
        <v>-0.87593984962406013</v>
      </c>
      <c r="DT287" s="383">
        <f t="shared" si="541"/>
        <v>-0.45833333333333337</v>
      </c>
      <c r="DU287" s="383">
        <f t="shared" si="541"/>
        <v>-0.52830188679245282</v>
      </c>
      <c r="DV287" s="382">
        <f t="shared" si="541"/>
        <v>-0.3783783783783784</v>
      </c>
      <c r="DW287" s="382">
        <f t="shared" si="541"/>
        <v>-0.27272727272727271</v>
      </c>
      <c r="DX287" s="382">
        <f t="shared" si="541"/>
        <v>-0.4358974358974359</v>
      </c>
      <c r="DY287" s="382">
        <f t="shared" si="541"/>
        <v>0.19999999999999996</v>
      </c>
      <c r="DZ287" s="382">
        <f t="shared" ref="DZ287:EW287" si="542">DZ285/DV285-1</f>
        <v>4.3478260869565188E-2</v>
      </c>
      <c r="EA287" s="382">
        <f t="shared" si="542"/>
        <v>0</v>
      </c>
      <c r="EB287" s="382">
        <f t="shared" si="542"/>
        <v>9.0909090909090828E-2</v>
      </c>
      <c r="EC287" s="382">
        <f t="shared" si="542"/>
        <v>-0.19999999999999996</v>
      </c>
      <c r="ED287" s="382">
        <f t="shared" si="542"/>
        <v>0</v>
      </c>
      <c r="EE287" s="384">
        <f t="shared" si="542"/>
        <v>0</v>
      </c>
      <c r="EF287" s="384">
        <f t="shared" si="542"/>
        <v>0</v>
      </c>
      <c r="EG287" s="384">
        <f t="shared" si="542"/>
        <v>0</v>
      </c>
      <c r="EH287" s="384">
        <f t="shared" si="542"/>
        <v>0</v>
      </c>
      <c r="EI287" s="384">
        <f t="shared" si="542"/>
        <v>0</v>
      </c>
      <c r="EJ287" s="384">
        <f t="shared" si="542"/>
        <v>0</v>
      </c>
      <c r="EK287" s="384">
        <f t="shared" si="542"/>
        <v>0</v>
      </c>
      <c r="EL287" s="384">
        <f t="shared" si="542"/>
        <v>0</v>
      </c>
      <c r="EM287" s="384">
        <f t="shared" si="542"/>
        <v>0</v>
      </c>
      <c r="EN287" s="384">
        <f t="shared" si="542"/>
        <v>0</v>
      </c>
      <c r="EO287" s="384">
        <f t="shared" si="542"/>
        <v>0</v>
      </c>
      <c r="EP287" s="384">
        <f t="shared" si="542"/>
        <v>0</v>
      </c>
      <c r="EQ287" s="384">
        <f t="shared" si="542"/>
        <v>0</v>
      </c>
      <c r="ER287" s="384">
        <f t="shared" si="542"/>
        <v>0</v>
      </c>
      <c r="ES287" s="384">
        <f t="shared" si="542"/>
        <v>0</v>
      </c>
      <c r="ET287" s="384">
        <f t="shared" si="542"/>
        <v>0</v>
      </c>
      <c r="EU287" s="384">
        <f t="shared" si="542"/>
        <v>0</v>
      </c>
      <c r="EV287" s="384">
        <f t="shared" si="542"/>
        <v>0</v>
      </c>
      <c r="EW287" s="384">
        <f t="shared" si="542"/>
        <v>0</v>
      </c>
      <c r="FP287" s="382">
        <f t="shared" ref="FP287:GK287" si="543">FP285/FO285-1</f>
        <v>0.55833615150490368</v>
      </c>
      <c r="FQ287" s="382">
        <f t="shared" si="543"/>
        <v>0.65538194444444442</v>
      </c>
      <c r="FR287" s="382">
        <f t="shared" si="543"/>
        <v>-5.1127425275301341E-3</v>
      </c>
      <c r="FS287" s="382">
        <f t="shared" si="543"/>
        <v>-0.26828304124390567</v>
      </c>
      <c r="FT287" s="382">
        <f t="shared" si="543"/>
        <v>-0.34161714388618769</v>
      </c>
      <c r="FU287" s="382">
        <f t="shared" si="543"/>
        <v>-9.6553610503282261E-2</v>
      </c>
      <c r="FV287" s="382">
        <f t="shared" si="543"/>
        <v>-0.15803814713896458</v>
      </c>
      <c r="FW287" s="382">
        <f t="shared" si="543"/>
        <v>3.595828838547277E-2</v>
      </c>
      <c r="FX287" s="382">
        <f t="shared" si="543"/>
        <v>-1.3884068031933317E-2</v>
      </c>
      <c r="FY287" s="382">
        <f t="shared" si="543"/>
        <v>-0.14994720168954589</v>
      </c>
      <c r="FZ287" s="382">
        <f t="shared" si="543"/>
        <v>-0.15983436853002075</v>
      </c>
      <c r="GA287" s="382">
        <f t="shared" si="543"/>
        <v>-0.25431246919664863</v>
      </c>
      <c r="GB287" s="382">
        <f t="shared" si="543"/>
        <v>-0.13681427627230669</v>
      </c>
      <c r="GC287" s="382">
        <f t="shared" si="543"/>
        <v>-0.48621745788667692</v>
      </c>
      <c r="GD287" s="382">
        <f t="shared" si="543"/>
        <v>-0.80029806259314462</v>
      </c>
      <c r="GE287" s="382">
        <f t="shared" si="543"/>
        <v>-0.26119402985074625</v>
      </c>
      <c r="GF287" s="382">
        <f t="shared" si="543"/>
        <v>-3.0303030303030276E-2</v>
      </c>
      <c r="GG287" s="387">
        <f t="shared" si="543"/>
        <v>0</v>
      </c>
      <c r="GH287" s="387">
        <f t="shared" si="543"/>
        <v>0</v>
      </c>
      <c r="GI287" s="387">
        <f t="shared" si="543"/>
        <v>0</v>
      </c>
      <c r="GJ287" s="387">
        <f t="shared" si="543"/>
        <v>0</v>
      </c>
      <c r="GK287" s="387">
        <f t="shared" si="543"/>
        <v>0</v>
      </c>
      <c r="GN287" s="70"/>
    </row>
    <row r="288" spans="1:196" s="382" customFormat="1">
      <c r="A288" s="381" t="s">
        <v>281</v>
      </c>
      <c r="BJ288" s="382">
        <f>BJ285/BJ272</f>
        <v>0.24276169265033407</v>
      </c>
      <c r="BK288" s="382">
        <f>BK285/BK272</f>
        <v>0.31165048543689322</v>
      </c>
      <c r="BL288" s="382">
        <f>BL285/BL272</f>
        <v>0.38833275802554368</v>
      </c>
      <c r="BM288" s="382">
        <f>BM285/BM272</f>
        <v>0.36752136752136755</v>
      </c>
      <c r="BN288" s="382">
        <f>BN285/BN272</f>
        <v>0.35233824471492631</v>
      </c>
      <c r="BO288" s="382">
        <f>BO285/BO272</f>
        <v>0.46105072463768115</v>
      </c>
      <c r="BP288" s="382">
        <f>BP285/BP272</f>
        <v>0.49145299145299143</v>
      </c>
      <c r="BQ288" s="382">
        <f>BQ285/BQ272</f>
        <v>0.52481821055959532</v>
      </c>
      <c r="BR288" s="382">
        <f>BR285/BR272</f>
        <v>0.57053291536050155</v>
      </c>
      <c r="BS288" s="382">
        <f>BS285/BS272</f>
        <v>0.61279461279461278</v>
      </c>
      <c r="BT288" s="382">
        <f>BT285/BT272</f>
        <v>0.54749262536873156</v>
      </c>
      <c r="BU288" s="382">
        <f>BU285/BU272</f>
        <v>0.54753793744193247</v>
      </c>
      <c r="BV288" s="382">
        <f>BV285/BV272</f>
        <v>0.5749032614704257</v>
      </c>
      <c r="BW288" s="382">
        <f>BW285/BW272</f>
        <v>0.58934169278996862</v>
      </c>
      <c r="BX288" s="382">
        <f>BX285/BX272</f>
        <v>0.58933889219773672</v>
      </c>
      <c r="BY288" s="382">
        <f>BY285/BY272</f>
        <v>0.58469170800850456</v>
      </c>
      <c r="BZ288" s="382">
        <f>BZ285/BZ272</f>
        <v>0.48530303865879887</v>
      </c>
      <c r="CA288" s="382">
        <f>CA285/CA272</f>
        <v>0.5714285714285714</v>
      </c>
      <c r="CB288" s="382">
        <f>CB285/CB272</f>
        <v>0.47913188647746241</v>
      </c>
      <c r="CC288" s="382">
        <f>CC285/CC272</f>
        <v>0.51150269211943222</v>
      </c>
      <c r="CD288" s="382">
        <f>CD285/CD272</f>
        <v>0.46656534954407297</v>
      </c>
      <c r="CE288" s="382">
        <f>CE285/CE272</f>
        <v>0.47924901185770752</v>
      </c>
      <c r="CF288" s="382">
        <f>CF285/CF272</f>
        <v>0.45799595141700405</v>
      </c>
      <c r="CG288" s="382">
        <f>CG285/CG272</f>
        <v>0.44307058217413703</v>
      </c>
      <c r="CH288" s="382">
        <f>CH285/CH272</f>
        <v>0.40597014925373132</v>
      </c>
      <c r="CI288" s="382">
        <f>CI285/CI272</f>
        <v>0.50543167524299604</v>
      </c>
      <c r="CJ288" s="382">
        <f>CJ285/CJ272</f>
        <v>0.5733662145499383</v>
      </c>
      <c r="CK288" s="382">
        <f>CK285/CK272</f>
        <v>0.57335223245924871</v>
      </c>
      <c r="CL288" s="382">
        <f>CL285/CL272</f>
        <v>0.57894736842105265</v>
      </c>
      <c r="CM288" s="382">
        <f>CM285/CM272</f>
        <v>0.64150943396226412</v>
      </c>
      <c r="CN288" s="382">
        <f>CN285/CN272</f>
        <v>0.61712846347607053</v>
      </c>
      <c r="CO288" s="382">
        <f>CO285/CO272</f>
        <v>0.60380479735318449</v>
      </c>
      <c r="CP288" s="382">
        <f>CP285/CP272</f>
        <v>0.55112219451371569</v>
      </c>
      <c r="CQ288" s="382">
        <f>CQ285/CQ272</f>
        <v>0.52950955943474642</v>
      </c>
      <c r="CR288" s="382">
        <f>CR285/CR272</f>
        <v>0.50488599348534202</v>
      </c>
      <c r="CS288" s="382">
        <f>CS285/CS272</f>
        <v>0.50280723643169056</v>
      </c>
      <c r="CT288" s="382">
        <f>CT285/CT272</f>
        <v>0.56666666666666665</v>
      </c>
      <c r="CU288" s="382">
        <f>CU285/CU272</f>
        <v>0.48976711362032466</v>
      </c>
      <c r="CV288" s="382">
        <f>CV285/CV272</f>
        <v>0.46349206349206351</v>
      </c>
      <c r="CW288" s="382">
        <f>CW285/CW272</f>
        <v>0.42453917050691242</v>
      </c>
      <c r="CX288" s="382">
        <f>CX285/CX272</f>
        <v>0.32500000000000001</v>
      </c>
      <c r="CY288" s="382">
        <f>CY285/CY272</f>
        <v>0.39638386648122392</v>
      </c>
      <c r="CZ288" s="382">
        <f>CZ285/CZ272</f>
        <v>0.57322175732217573</v>
      </c>
      <c r="DA288" s="382">
        <f>DA285/DA272</f>
        <v>0.65979381443298968</v>
      </c>
      <c r="DB288" s="382">
        <f>DB285/DB272</f>
        <v>0.56959314775160597</v>
      </c>
      <c r="DC288" s="382">
        <f>DC285/DC272</f>
        <v>0.52786220871327261</v>
      </c>
      <c r="DD288" s="382">
        <f>DD285/DD272</f>
        <v>0.47264150943396227</v>
      </c>
      <c r="DE288" s="382">
        <f>DE285/DE272</f>
        <v>0.39353769676884837</v>
      </c>
      <c r="DF288" s="382">
        <f>DF285/DF272</f>
        <v>0.37526652452025588</v>
      </c>
      <c r="DG288" s="382">
        <f>DG285/DG272</f>
        <v>0.46610169491525422</v>
      </c>
      <c r="DH288" s="382">
        <f>DH285/DH272</f>
        <v>0.43315508021390381</v>
      </c>
      <c r="DI288" s="382">
        <f>DI285/DI272</f>
        <v>0.44591346153846156</v>
      </c>
      <c r="DJ288" s="383">
        <f>DJ285/DJ272</f>
        <v>0.43712574850299402</v>
      </c>
      <c r="DK288" s="383">
        <f>DK285/DK272</f>
        <v>0.43037974683544306</v>
      </c>
      <c r="DL288" s="383">
        <f>DL285/DL272</f>
        <v>0.35644768856447689</v>
      </c>
      <c r="DM288" s="383">
        <f>DM285/DM272</f>
        <v>0.34146341463414626</v>
      </c>
      <c r="DN288" s="383">
        <f>DN285/DN272</f>
        <v>0.3107658157602663</v>
      </c>
      <c r="DO288" s="383">
        <f>DO285/DO272</f>
        <v>0.39002932551319647</v>
      </c>
      <c r="DP288" s="383">
        <f>DP285/DP272</f>
        <v>0.34449760765550241</v>
      </c>
      <c r="DQ288" s="383">
        <f>DQ285/DQ272</f>
        <v>0.24090909090909091</v>
      </c>
      <c r="DR288" s="383">
        <f>DR285/DR272</f>
        <v>0.16586969515839811</v>
      </c>
      <c r="DS288" s="383">
        <f>DS285/DS272</f>
        <v>0.12452830188679245</v>
      </c>
      <c r="DT288" s="383">
        <f>DT285/DT272</f>
        <v>0.11239193083573487</v>
      </c>
      <c r="DU288" s="383">
        <f>DU285/DU272</f>
        <v>6.4766839378238336E-2</v>
      </c>
      <c r="DV288" s="382">
        <f>DV285/DV272</f>
        <v>9.7499319410414953E-2</v>
      </c>
      <c r="DW288" s="382">
        <f>DW285/DW272</f>
        <v>9.0909090909090912E-2</v>
      </c>
      <c r="DX288" s="382">
        <f>DX285/DX272</f>
        <v>0.11764705882352947</v>
      </c>
      <c r="DY288" s="382">
        <f>DY285/DY272</f>
        <v>0.10416666666666667</v>
      </c>
      <c r="DZ288" s="382">
        <f>DZ285/DZ272</f>
        <v>0.14035087719298245</v>
      </c>
      <c r="EA288" s="382">
        <f>EA285/EA272</f>
        <v>0.12371134020618557</v>
      </c>
      <c r="EB288" s="382">
        <f>EB285/EB272</f>
        <v>6.25E-2</v>
      </c>
      <c r="EC288" s="382">
        <f>EC285/EC272</f>
        <v>7.1856287425149698E-2</v>
      </c>
      <c r="ED288" s="382">
        <f>ED285/ED272</f>
        <v>8.0165225381504029E-2</v>
      </c>
      <c r="EE288" s="384">
        <f>EE285/EE272</f>
        <v>8.3146065414176074E-2</v>
      </c>
      <c r="EF288" s="384">
        <f>EF285/EF272</f>
        <v>8.9959760642502079E-2</v>
      </c>
      <c r="EG288" s="384">
        <f>EG285/EG272</f>
        <v>9.0334042707517936E-2</v>
      </c>
      <c r="EH288" s="384">
        <f>EH285/EH272</f>
        <v>9.7158144380420988E-2</v>
      </c>
      <c r="EI288" s="384">
        <f>EI285/EI272</f>
        <v>9.2224425866863302E-2</v>
      </c>
      <c r="EJ288" s="384">
        <f>EJ285/EJ272</f>
        <v>8.6312903017854783E-2</v>
      </c>
      <c r="EK288" s="384">
        <f>EK285/EK272</f>
        <v>8.1572264440107817E-2</v>
      </c>
      <c r="EL288" s="384">
        <f>EL285/EL272</f>
        <v>8.9849008441103689E-2</v>
      </c>
      <c r="EM288" s="384">
        <f>EM285/EM272</f>
        <v>8.7376924335657621E-2</v>
      </c>
      <c r="EN288" s="384">
        <f>EN285/EN272</f>
        <v>8.442173071320011E-2</v>
      </c>
      <c r="EO288" s="384">
        <f>EO285/EO272</f>
        <v>8.112838394663846E-2</v>
      </c>
      <c r="EP288" s="384">
        <f>EP285/EP272</f>
        <v>8.7887594940769614E-2</v>
      </c>
      <c r="EQ288" s="384">
        <f>EQ285/EQ272</f>
        <v>8.5255793576918551E-2</v>
      </c>
      <c r="ER288" s="384">
        <f>ER285/ER272</f>
        <v>8.1962429146661991E-2</v>
      </c>
      <c r="ES288" s="384">
        <f>ES285/ES272</f>
        <v>7.8988532906109465E-2</v>
      </c>
      <c r="ET288" s="384">
        <f>ET285/ET272</f>
        <v>8.6694829931270548E-2</v>
      </c>
      <c r="EU288" s="384">
        <f>EU285/EU272</f>
        <v>8.4101626923969428E-2</v>
      </c>
      <c r="EV288" s="384">
        <f>EV285/EV272</f>
        <v>8.0636217835683172E-2</v>
      </c>
      <c r="EW288" s="384">
        <f>EW285/EW272</f>
        <v>7.7719027943025584E-2</v>
      </c>
      <c r="FO288" s="382">
        <f>FO285/FO272</f>
        <v>0.33013285698336498</v>
      </c>
      <c r="FP288" s="382">
        <f>FP285/FP272</f>
        <v>0.47310061601642711</v>
      </c>
      <c r="FQ288" s="382">
        <f>FQ285/FQ272</f>
        <v>0.57040305092350263</v>
      </c>
      <c r="FR288" s="382">
        <f>FR285/FR272</f>
        <v>0.58430859254696643</v>
      </c>
      <c r="FS288" s="382">
        <f>FS285/FS272</f>
        <v>0.51106243557649833</v>
      </c>
      <c r="FT288" s="382">
        <f>FT285/FT272</f>
        <v>0.46190777005685407</v>
      </c>
      <c r="FU288" s="382">
        <f>FU285/FU272</f>
        <v>0.51153786588198857</v>
      </c>
      <c r="FV288" s="382">
        <f>FV285/FV272</f>
        <v>0.60853391684901537</v>
      </c>
      <c r="FW288" s="382">
        <f>FW285/FW272</f>
        <v>0.51966089466089471</v>
      </c>
      <c r="FX288" s="382">
        <f>FX285/FX272</f>
        <v>0.479251012145749</v>
      </c>
      <c r="FY288" s="382">
        <f>FY285/FY272</f>
        <v>0.46415529502210262</v>
      </c>
      <c r="FZ288" s="382">
        <f>FZ285/FZ272</f>
        <v>0.48447946513849094</v>
      </c>
      <c r="GA288" s="382">
        <f>GA285/GA272</f>
        <v>0.42849051260266213</v>
      </c>
      <c r="GB288" s="382">
        <f>GB285/GB272</f>
        <v>0.38996715437444013</v>
      </c>
      <c r="GC288" s="382">
        <f>GC285/GC272</f>
        <v>0.33349900596421472</v>
      </c>
      <c r="GD288" s="382">
        <f>GD285/GD272</f>
        <v>0.10974011792967897</v>
      </c>
      <c r="GE288" s="382">
        <f>GE285/GE272</f>
        <v>0.10154897237069939</v>
      </c>
      <c r="GF288" s="382">
        <f>GF285/GF272</f>
        <v>8.8642659279778394E-2</v>
      </c>
      <c r="GG288" s="384">
        <f>GG285/GG272</f>
        <v>8.5676277909018911E-2</v>
      </c>
      <c r="GH288" s="384">
        <f>GH285/GH272</f>
        <v>8.8927553810374982E-2</v>
      </c>
      <c r="GI288" s="384">
        <f>GI285/GI272</f>
        <v>8.556902692733645E-2</v>
      </c>
      <c r="GJ288" s="384">
        <f>GJ285/GJ272</f>
        <v>8.3388307462534617E-2</v>
      </c>
      <c r="GK288" s="384">
        <f>GK285/GK272</f>
        <v>8.2146779892575253E-2</v>
      </c>
      <c r="GN288" s="70"/>
    </row>
    <row r="289" spans="1:213" s="379" customFormat="1">
      <c r="A289" s="405" t="s">
        <v>291</v>
      </c>
      <c r="BJ289" s="376"/>
      <c r="BK289" s="376"/>
      <c r="BL289" s="376"/>
      <c r="BM289" s="376"/>
      <c r="BN289" s="376"/>
      <c r="BO289" s="376"/>
      <c r="BP289" s="376"/>
      <c r="BQ289" s="376"/>
      <c r="BR289" s="376"/>
      <c r="BS289" s="376"/>
      <c r="BT289" s="376"/>
      <c r="BU289" s="376"/>
      <c r="BV289" s="376"/>
      <c r="BW289" s="376"/>
      <c r="BX289" s="376"/>
      <c r="BY289" s="376"/>
      <c r="BZ289" s="376"/>
      <c r="CA289" s="376"/>
      <c r="CB289" s="376"/>
      <c r="CC289" s="376"/>
      <c r="CD289" s="376"/>
      <c r="CE289" s="376"/>
      <c r="CF289" s="376"/>
      <c r="CG289" s="376"/>
      <c r="CH289" s="376"/>
      <c r="CI289" s="376"/>
      <c r="CJ289" s="376"/>
      <c r="CK289" s="376"/>
      <c r="CL289" s="376"/>
      <c r="CM289" s="376"/>
      <c r="CN289" s="376"/>
      <c r="CO289" s="376"/>
      <c r="CP289" s="376"/>
      <c r="CQ289" s="376"/>
      <c r="CR289" s="376"/>
      <c r="CS289" s="376"/>
      <c r="CT289" s="376"/>
      <c r="CU289" s="376"/>
      <c r="CV289" s="376"/>
      <c r="CW289" s="376"/>
      <c r="CX289" s="376">
        <v>8.8235294117647065</v>
      </c>
      <c r="CY289" s="376">
        <v>12.5</v>
      </c>
      <c r="CZ289" s="376">
        <v>17.5</v>
      </c>
      <c r="DA289" s="376">
        <v>60</v>
      </c>
      <c r="DB289" s="376">
        <v>50</v>
      </c>
      <c r="DC289" s="376">
        <v>33.333333333333336</v>
      </c>
      <c r="DD289" s="376">
        <v>20</v>
      </c>
      <c r="DE289" s="376">
        <v>26.470588235294116</v>
      </c>
      <c r="DF289" s="376">
        <v>12</v>
      </c>
      <c r="DG289" s="376">
        <v>27.523809523809526</v>
      </c>
      <c r="DH289" s="376">
        <v>23.188405797101449</v>
      </c>
      <c r="DI289" s="376">
        <v>22.702702702702702</v>
      </c>
      <c r="DJ289" s="397">
        <v>25.066666666666666</v>
      </c>
      <c r="DK289" s="397">
        <v>28.636363636363637</v>
      </c>
      <c r="DL289" s="397">
        <v>46.666666666666664</v>
      </c>
      <c r="DM289" s="397">
        <v>36.666666666666664</v>
      </c>
      <c r="DN289" s="397">
        <v>15.666666666666666</v>
      </c>
      <c r="DO289" s="397">
        <v>15</v>
      </c>
      <c r="DP289" s="397">
        <v>15</v>
      </c>
      <c r="DQ289" s="397">
        <v>15</v>
      </c>
      <c r="DR289" s="397">
        <v>13.333333333333334</v>
      </c>
      <c r="DS289" s="397">
        <v>13.333333333333334</v>
      </c>
      <c r="DT289" s="397">
        <v>13.333333333333334</v>
      </c>
      <c r="DU289" s="397">
        <v>52.777777777777779</v>
      </c>
      <c r="DV289" s="376">
        <v>59.633027522935777</v>
      </c>
      <c r="DW289" s="376">
        <v>94.190140845070417</v>
      </c>
      <c r="DX289" s="376">
        <v>137.59525825571549</v>
      </c>
      <c r="DY289" s="376">
        <v>136.45621181262729</v>
      </c>
      <c r="DZ289" s="376">
        <v>108.31534281247674</v>
      </c>
      <c r="EA289" s="376">
        <v>63.120567375886523</v>
      </c>
      <c r="EB289" s="376">
        <v>92.009685230024218</v>
      </c>
      <c r="EC289" s="376">
        <v>129.08409212640601</v>
      </c>
      <c r="ED289" s="376">
        <f t="shared" ref="ED289:EW289" si="544">EC289*(1+ED290)</f>
        <v>126.50241028387788</v>
      </c>
      <c r="EE289" s="380">
        <f t="shared" si="544"/>
        <v>135.35757900374935</v>
      </c>
      <c r="EF289" s="380">
        <f t="shared" si="544"/>
        <v>144.83260953401182</v>
      </c>
      <c r="EG289" s="380">
        <f t="shared" si="544"/>
        <v>246.21543620782009</v>
      </c>
      <c r="EH289" s="380">
        <f t="shared" si="544"/>
        <v>268.37482546652393</v>
      </c>
      <c r="EI289" s="380">
        <f t="shared" si="544"/>
        <v>300.57980452250683</v>
      </c>
      <c r="EJ289" s="380">
        <f t="shared" si="544"/>
        <v>345.66677520088285</v>
      </c>
      <c r="EK289" s="380">
        <f t="shared" si="544"/>
        <v>380.23345272097117</v>
      </c>
      <c r="EL289" s="380">
        <f t="shared" si="544"/>
        <v>361.22178008492261</v>
      </c>
      <c r="EM289" s="380">
        <f t="shared" si="544"/>
        <v>364.83399788577185</v>
      </c>
      <c r="EN289" s="380">
        <f t="shared" si="544"/>
        <v>368.48233786462959</v>
      </c>
      <c r="EO289" s="380">
        <f t="shared" si="544"/>
        <v>379.5368080005685</v>
      </c>
      <c r="EP289" s="380">
        <f t="shared" si="544"/>
        <v>383.33217608057419</v>
      </c>
      <c r="EQ289" s="380">
        <f t="shared" si="544"/>
        <v>390.99881960218568</v>
      </c>
      <c r="ER289" s="380">
        <f t="shared" si="544"/>
        <v>402.72878419025125</v>
      </c>
      <c r="ES289" s="380">
        <f t="shared" si="544"/>
        <v>410.78335987405626</v>
      </c>
      <c r="ET289" s="380">
        <f t="shared" si="544"/>
        <v>394.35202547909398</v>
      </c>
      <c r="EU289" s="380">
        <f t="shared" si="544"/>
        <v>402.23906598867586</v>
      </c>
      <c r="EV289" s="380">
        <f t="shared" si="544"/>
        <v>418.32862862822293</v>
      </c>
      <c r="EW289" s="380">
        <f t="shared" si="544"/>
        <v>426.69520120078738</v>
      </c>
      <c r="EZ289" s="376"/>
      <c r="FA289" s="376"/>
      <c r="FB289" s="376"/>
      <c r="FC289" s="376"/>
      <c r="FD289" s="376"/>
      <c r="FE289" s="376"/>
      <c r="FF289" s="376"/>
      <c r="FG289" s="376"/>
      <c r="FH289" s="376"/>
      <c r="FI289" s="376"/>
      <c r="FJ289" s="376"/>
      <c r="FK289" s="376"/>
      <c r="FL289" s="376"/>
      <c r="FM289" s="376"/>
      <c r="FN289" s="376"/>
      <c r="FO289" s="376"/>
      <c r="FP289" s="376"/>
      <c r="FQ289" s="376"/>
      <c r="FR289" s="376"/>
      <c r="FS289" s="376"/>
      <c r="FT289" s="376"/>
      <c r="FU289" s="376"/>
      <c r="FV289" s="376"/>
      <c r="FW289" s="376"/>
      <c r="FX289" s="376"/>
      <c r="FY289" s="376">
        <f>CX289+CY289+CZ289+DA289</f>
        <v>98.82352941176471</v>
      </c>
      <c r="FZ289" s="376">
        <f>DB289+DC289+DD289+DE289</f>
        <v>129.80392156862746</v>
      </c>
      <c r="GA289" s="376">
        <f>SUM(DF289:DI289)</f>
        <v>85.414918023613666</v>
      </c>
      <c r="GB289" s="376">
        <f>SUM(DJ289:DM289)</f>
        <v>137.03636363636363</v>
      </c>
      <c r="GC289" s="376">
        <f>SUM(DN289:DQ289)</f>
        <v>60.666666666666664</v>
      </c>
      <c r="GD289" s="376">
        <f>SUM(DR289:DU289)</f>
        <v>92.777777777777771</v>
      </c>
      <c r="GE289" s="376">
        <f>SUM(DV289:DY289)</f>
        <v>427.87463843634896</v>
      </c>
      <c r="GF289" s="376">
        <f>SUM(DZ289:EC289)</f>
        <v>392.52968754479349</v>
      </c>
      <c r="GG289" s="380">
        <f>SUM(ED289:EG289)</f>
        <v>652.90803502945914</v>
      </c>
      <c r="GH289" s="380">
        <f>SUM(EH289:EK289)</f>
        <v>1294.8548579108847</v>
      </c>
      <c r="GI289" s="380">
        <f>SUM(EL289:EO289)</f>
        <v>1474.0749238358924</v>
      </c>
      <c r="GJ289" s="380">
        <f>SUM(EP289:ES289)</f>
        <v>1587.8431397470674</v>
      </c>
      <c r="GK289" s="380">
        <f>SUM(ET289:EW289)</f>
        <v>1641.61492129678</v>
      </c>
      <c r="GN289" s="70"/>
    </row>
    <row r="290" spans="1:213" s="382" customFormat="1">
      <c r="A290" s="381" t="s">
        <v>198</v>
      </c>
      <c r="CY290" s="382">
        <f t="shared" ref="CY290:DD290" si="545">CY289/CX289-1</f>
        <v>0.41666666666666652</v>
      </c>
      <c r="CZ290" s="382">
        <f t="shared" si="545"/>
        <v>0.39999999999999991</v>
      </c>
      <c r="DA290" s="382">
        <f t="shared" si="545"/>
        <v>2.4285714285714284</v>
      </c>
      <c r="DB290" s="382">
        <f t="shared" si="545"/>
        <v>-0.16666666666666663</v>
      </c>
      <c r="DC290" s="382">
        <f t="shared" si="545"/>
        <v>-0.33333333333333326</v>
      </c>
      <c r="DD290" s="382">
        <f t="shared" si="545"/>
        <v>-0.4</v>
      </c>
      <c r="DE290" s="382">
        <v>1.3</v>
      </c>
      <c r="DF290" s="382">
        <v>-0.74</v>
      </c>
      <c r="DG290" s="382">
        <v>-0.25</v>
      </c>
      <c r="DH290" s="382">
        <v>0.2</v>
      </c>
      <c r="DI290" s="382">
        <v>0.2</v>
      </c>
      <c r="DJ290" s="383">
        <v>1.32</v>
      </c>
      <c r="DK290" s="383">
        <v>0</v>
      </c>
      <c r="DL290" s="383">
        <v>1.5</v>
      </c>
      <c r="DM290" s="383">
        <v>-0.1</v>
      </c>
      <c r="DN290" s="383">
        <f>DN289/DM289-1</f>
        <v>-0.57272727272727275</v>
      </c>
      <c r="DO290" s="383">
        <f t="shared" ref="DO290:EC290" si="546">DO289/DN289-1</f>
        <v>-4.2553191489361653E-2</v>
      </c>
      <c r="DP290" s="383">
        <f t="shared" si="546"/>
        <v>0</v>
      </c>
      <c r="DQ290" s="383">
        <f t="shared" si="546"/>
        <v>0</v>
      </c>
      <c r="DR290" s="383">
        <f t="shared" si="546"/>
        <v>-0.11111111111111105</v>
      </c>
      <c r="DS290" s="383">
        <f t="shared" si="546"/>
        <v>0</v>
      </c>
      <c r="DT290" s="383">
        <f t="shared" si="546"/>
        <v>0</v>
      </c>
      <c r="DU290" s="383">
        <f t="shared" si="546"/>
        <v>2.958333333333333</v>
      </c>
      <c r="DV290" s="382">
        <f t="shared" si="546"/>
        <v>0.12988894253983574</v>
      </c>
      <c r="DW290" s="382">
        <f t="shared" si="546"/>
        <v>0.5794962080173347</v>
      </c>
      <c r="DX290" s="382">
        <f t="shared" si="546"/>
        <v>0.46082442409806368</v>
      </c>
      <c r="DY290" s="382">
        <f t="shared" si="546"/>
        <v>-8.2782390725364419E-3</v>
      </c>
      <c r="DZ290" s="382">
        <f t="shared" si="546"/>
        <v>-0.20622636834438679</v>
      </c>
      <c r="EA290" s="382">
        <f t="shared" si="546"/>
        <v>-0.41725183397918653</v>
      </c>
      <c r="EB290" s="382">
        <f t="shared" si="546"/>
        <v>0.45768153004869827</v>
      </c>
      <c r="EC290" s="382">
        <f t="shared" si="546"/>
        <v>0.40294026442646524</v>
      </c>
      <c r="ED290" s="382">
        <v>-0.02</v>
      </c>
      <c r="EE290" s="384">
        <v>7.0000000000000007E-2</v>
      </c>
      <c r="EF290" s="384">
        <v>7.0000000000000007E-2</v>
      </c>
      <c r="EG290" s="384">
        <v>0.7</v>
      </c>
      <c r="EH290" s="384">
        <v>0.09</v>
      </c>
      <c r="EI290" s="384">
        <v>0.12</v>
      </c>
      <c r="EJ290" s="384">
        <v>0.15</v>
      </c>
      <c r="EK290" s="384">
        <v>0.1</v>
      </c>
      <c r="EL290" s="384">
        <v>-0.05</v>
      </c>
      <c r="EM290" s="384">
        <v>0.01</v>
      </c>
      <c r="EN290" s="384">
        <v>0.01</v>
      </c>
      <c r="EO290" s="384">
        <v>0.03</v>
      </c>
      <c r="EP290" s="384">
        <v>0.01</v>
      </c>
      <c r="EQ290" s="384">
        <v>0.02</v>
      </c>
      <c r="ER290" s="384">
        <v>0.03</v>
      </c>
      <c r="ES290" s="384">
        <v>0.02</v>
      </c>
      <c r="ET290" s="384">
        <v>-0.04</v>
      </c>
      <c r="EU290" s="384">
        <v>0.02</v>
      </c>
      <c r="EV290" s="384">
        <v>0.04</v>
      </c>
      <c r="EW290" s="384">
        <v>0.02</v>
      </c>
      <c r="EX290" s="384"/>
      <c r="FZ290" s="386" t="s">
        <v>199</v>
      </c>
      <c r="GA290" s="386" t="s">
        <v>199</v>
      </c>
      <c r="GB290" s="386" t="s">
        <v>199</v>
      </c>
      <c r="GC290" s="386" t="s">
        <v>199</v>
      </c>
      <c r="GD290" s="386" t="s">
        <v>199</v>
      </c>
      <c r="GE290" s="386" t="s">
        <v>199</v>
      </c>
      <c r="GF290" s="386" t="s">
        <v>199</v>
      </c>
      <c r="GG290" s="386" t="s">
        <v>199</v>
      </c>
      <c r="GH290" s="386" t="s">
        <v>199</v>
      </c>
      <c r="GI290" s="386" t="s">
        <v>199</v>
      </c>
      <c r="GJ290" s="386" t="s">
        <v>199</v>
      </c>
      <c r="GK290" s="386" t="s">
        <v>199</v>
      </c>
      <c r="GN290" s="70"/>
    </row>
    <row r="291" spans="1:213" s="382" customFormat="1">
      <c r="A291" s="381" t="s">
        <v>200</v>
      </c>
      <c r="DB291" s="382">
        <f t="shared" ref="DB291:EW291" si="547">DB289/CX289-1</f>
        <v>4.6666666666666661</v>
      </c>
      <c r="DC291" s="382">
        <f t="shared" si="547"/>
        <v>1.666666666666667</v>
      </c>
      <c r="DD291" s="382">
        <f t="shared" si="547"/>
        <v>0.14285714285714279</v>
      </c>
      <c r="DE291" s="382">
        <f t="shared" si="547"/>
        <v>-0.55882352941176472</v>
      </c>
      <c r="DF291" s="382">
        <f t="shared" si="547"/>
        <v>-0.76</v>
      </c>
      <c r="DG291" s="382">
        <f t="shared" si="547"/>
        <v>-0.17428571428571427</v>
      </c>
      <c r="DH291" s="382">
        <f t="shared" si="547"/>
        <v>0.15942028985507251</v>
      </c>
      <c r="DI291" s="382">
        <f t="shared" si="547"/>
        <v>-0.14234234234234233</v>
      </c>
      <c r="DJ291" s="383">
        <f t="shared" si="547"/>
        <v>1.088888888888889</v>
      </c>
      <c r="DK291" s="383">
        <f t="shared" si="547"/>
        <v>4.0421516200062957E-2</v>
      </c>
      <c r="DL291" s="383">
        <f t="shared" si="547"/>
        <v>1.0124999999999997</v>
      </c>
      <c r="DM291" s="383">
        <f t="shared" si="547"/>
        <v>0.61507936507936511</v>
      </c>
      <c r="DN291" s="383">
        <f t="shared" si="547"/>
        <v>-0.375</v>
      </c>
      <c r="DO291" s="383">
        <f t="shared" si="547"/>
        <v>-0.47619047619047616</v>
      </c>
      <c r="DP291" s="383">
        <f t="shared" si="547"/>
        <v>-0.6785714285714286</v>
      </c>
      <c r="DQ291" s="383">
        <f t="shared" si="547"/>
        <v>-0.59090909090909083</v>
      </c>
      <c r="DR291" s="383">
        <f t="shared" si="547"/>
        <v>-0.14893617021276584</v>
      </c>
      <c r="DS291" s="383">
        <f t="shared" si="547"/>
        <v>-0.11111111111111105</v>
      </c>
      <c r="DT291" s="383">
        <f t="shared" si="547"/>
        <v>-0.11111111111111105</v>
      </c>
      <c r="DU291" s="383">
        <f t="shared" si="547"/>
        <v>2.5185185185185186</v>
      </c>
      <c r="DV291" s="382">
        <f t="shared" si="547"/>
        <v>3.4724770642201834</v>
      </c>
      <c r="DW291" s="382">
        <f t="shared" si="547"/>
        <v>6.0642605633802811</v>
      </c>
      <c r="DX291" s="382">
        <f t="shared" si="547"/>
        <v>9.3196443691786612</v>
      </c>
      <c r="DY291" s="382">
        <f t="shared" si="547"/>
        <v>1.5854861185550435</v>
      </c>
      <c r="DZ291" s="382">
        <f t="shared" si="547"/>
        <v>0.81636497947076392</v>
      </c>
      <c r="EA291" s="382">
        <f t="shared" si="547"/>
        <v>-0.3298601444952608</v>
      </c>
      <c r="EB291" s="382">
        <f t="shared" si="547"/>
        <v>-0.33130191842056245</v>
      </c>
      <c r="EC291" s="382">
        <f t="shared" si="547"/>
        <v>-5.4025533819920146E-2</v>
      </c>
      <c r="ED291" s="382">
        <f t="shared" si="547"/>
        <v>0.16790850676517621</v>
      </c>
      <c r="EE291" s="384">
        <f t="shared" si="547"/>
        <v>1.1444290606211975</v>
      </c>
      <c r="EF291" s="384">
        <f t="shared" si="547"/>
        <v>0.57410178256702316</v>
      </c>
      <c r="EG291" s="384">
        <f t="shared" si="547"/>
        <v>0.90740340000000042</v>
      </c>
      <c r="EH291" s="384">
        <f t="shared" si="547"/>
        <v>1.1214997000000007</v>
      </c>
      <c r="EI291" s="384">
        <f t="shared" si="547"/>
        <v>1.2206352000000007</v>
      </c>
      <c r="EJ291" s="384">
        <f t="shared" si="547"/>
        <v>1.3866640000000006</v>
      </c>
      <c r="EK291" s="384">
        <f t="shared" si="547"/>
        <v>0.54431200000000035</v>
      </c>
      <c r="EL291" s="384">
        <f t="shared" si="547"/>
        <v>0.34596000000000027</v>
      </c>
      <c r="EM291" s="384">
        <f t="shared" si="547"/>
        <v>0.21376750000000011</v>
      </c>
      <c r="EN291" s="384">
        <f t="shared" si="547"/>
        <v>6.6004500000000244E-2</v>
      </c>
      <c r="EO291" s="384">
        <f t="shared" si="547"/>
        <v>-1.8321499999998103E-3</v>
      </c>
      <c r="EP291" s="384">
        <f t="shared" si="547"/>
        <v>6.1210030000000248E-2</v>
      </c>
      <c r="EQ291" s="384">
        <f t="shared" si="547"/>
        <v>7.171706000000011E-2</v>
      </c>
      <c r="ER291" s="384">
        <f t="shared" si="547"/>
        <v>9.2939180000000121E-2</v>
      </c>
      <c r="ES291" s="384">
        <f t="shared" si="547"/>
        <v>8.2328119999999894E-2</v>
      </c>
      <c r="ET291" s="384">
        <f t="shared" si="547"/>
        <v>2.8747520000000026E-2</v>
      </c>
      <c r="EU291" s="384">
        <f t="shared" si="547"/>
        <v>2.8747519999999804E-2</v>
      </c>
      <c r="EV291" s="384">
        <f t="shared" si="547"/>
        <v>3.8735359999999996E-2</v>
      </c>
      <c r="EW291" s="384">
        <f t="shared" si="547"/>
        <v>3.8735359999999996E-2</v>
      </c>
      <c r="FZ291" s="382">
        <f t="shared" ref="FZ291:GK291" si="548">FZ289/FY289-1</f>
        <v>0.31349206349206349</v>
      </c>
      <c r="GA291" s="382">
        <f t="shared" si="548"/>
        <v>-0.3419696647727648</v>
      </c>
      <c r="GB291" s="382">
        <f t="shared" si="548"/>
        <v>0.60436100399322257</v>
      </c>
      <c r="GC291" s="382">
        <f t="shared" si="548"/>
        <v>-0.55729512184335062</v>
      </c>
      <c r="GD291" s="382">
        <f t="shared" si="548"/>
        <v>0.5293040293040292</v>
      </c>
      <c r="GE291" s="382">
        <f t="shared" si="548"/>
        <v>3.611822450212145</v>
      </c>
      <c r="GF291" s="382">
        <f t="shared" si="548"/>
        <v>-8.2605856287070956E-2</v>
      </c>
      <c r="GG291" s="387">
        <f t="shared" si="548"/>
        <v>0.66333415215875258</v>
      </c>
      <c r="GH291" s="387">
        <f t="shared" si="548"/>
        <v>0.98321170584531248</v>
      </c>
      <c r="GI291" s="387">
        <f t="shared" si="548"/>
        <v>0.13840938606367126</v>
      </c>
      <c r="GJ291" s="387">
        <f t="shared" si="548"/>
        <v>7.7179398463087079E-2</v>
      </c>
      <c r="GK291" s="387">
        <f t="shared" si="548"/>
        <v>3.3864668495074524E-2</v>
      </c>
      <c r="GN291" s="70"/>
    </row>
    <row r="292" spans="1:213" s="418" customFormat="1">
      <c r="A292" s="381" t="s">
        <v>281</v>
      </c>
      <c r="CR292" s="379"/>
      <c r="CT292" s="457"/>
      <c r="CU292" s="457"/>
      <c r="CV292" s="457"/>
      <c r="CW292" s="457"/>
      <c r="CX292" s="382">
        <f>CX289/CX272</f>
        <v>1.1029411764705882E-3</v>
      </c>
      <c r="CY292" s="382">
        <f>CY289/CY272</f>
        <v>1.7385257301808068E-3</v>
      </c>
      <c r="CZ292" s="382">
        <f>CZ289/CZ272</f>
        <v>2.9288702928870294E-3</v>
      </c>
      <c r="DA292" s="382">
        <f>DA289/DA272</f>
        <v>1.2371134020618556E-2</v>
      </c>
      <c r="DB292" s="382">
        <f>DB289/DB272</f>
        <v>1.0706638115631691E-2</v>
      </c>
      <c r="DC292" s="382">
        <f>DC289/DC272</f>
        <v>6.7544748395812239E-3</v>
      </c>
      <c r="DD292" s="382">
        <f>DD289/DD272</f>
        <v>3.7735849056603774E-3</v>
      </c>
      <c r="DE292" s="382">
        <f>DE289/DE272</f>
        <v>4.386178663677567E-3</v>
      </c>
      <c r="DF292" s="382">
        <f>DF289/DF272</f>
        <v>2.5586353944562902E-3</v>
      </c>
      <c r="DG292" s="382">
        <f>DG289/DG272</f>
        <v>6.6643606595180446E-3</v>
      </c>
      <c r="DH292" s="382">
        <f>DH289/DH272</f>
        <v>4.9600868015190272E-3</v>
      </c>
      <c r="DI292" s="382">
        <f>DI289/DI272</f>
        <v>5.4573804573804568E-3</v>
      </c>
      <c r="DJ292" s="383">
        <f>DJ289/DJ272</f>
        <v>6.0039920159680642E-3</v>
      </c>
      <c r="DK292" s="383">
        <f>DK289/DK272</f>
        <v>7.2497123130034523E-3</v>
      </c>
      <c r="DL292" s="383">
        <f>DL289/DL272</f>
        <v>1.1354420113544201E-2</v>
      </c>
      <c r="DM292" s="383">
        <f>DM289/DM272</f>
        <v>8.1300813008130055E-3</v>
      </c>
      <c r="DN292" s="383">
        <f>DN289/DN272</f>
        <v>3.4776174620791706E-3</v>
      </c>
      <c r="DO292" s="383">
        <f>DO289/DO272</f>
        <v>4.3988269794721412E-3</v>
      </c>
      <c r="DP292" s="383">
        <f>DP289/DP272</f>
        <v>1.4354066985645933E-2</v>
      </c>
      <c r="DQ292" s="383">
        <f>DQ289/DQ272</f>
        <v>1.3636363636363636E-2</v>
      </c>
      <c r="DR292" s="383">
        <f>DR289/DR272</f>
        <v>1.1954572624028692E-2</v>
      </c>
      <c r="DS292" s="383">
        <f>DS289/DS272</f>
        <v>1.0062893081761008E-2</v>
      </c>
      <c r="DT292" s="383">
        <f>DT289/DT272</f>
        <v>7.6849183477425559E-3</v>
      </c>
      <c r="DU292" s="383">
        <f>DU289/DU272</f>
        <v>2.7345998848589521E-2</v>
      </c>
      <c r="DV292" s="382">
        <f>DV289/DV272</f>
        <v>5.0558083459728537E-2</v>
      </c>
      <c r="DW292" s="382">
        <f>DW289/DW272</f>
        <v>7.1356167306871526E-2</v>
      </c>
      <c r="DX292" s="382">
        <f>DX289/DX272</f>
        <v>0.14716070401680809</v>
      </c>
      <c r="DY292" s="382">
        <f>DY289/DY272</f>
        <v>9.4761258203213392E-2</v>
      </c>
      <c r="DZ292" s="382">
        <f>DZ289/DZ272</f>
        <v>0.126684611476581</v>
      </c>
      <c r="EA292" s="382">
        <f>EA289/EA272</f>
        <v>6.5072749872047961E-2</v>
      </c>
      <c r="EB292" s="382">
        <f>EB289/EB272</f>
        <v>4.7921711057304278E-2</v>
      </c>
      <c r="EC292" s="382">
        <f>EC289/EC272</f>
        <v>7.729586354874611E-2</v>
      </c>
      <c r="ED292" s="382">
        <f>ED289/ED272</f>
        <v>8.4509118597588029E-2</v>
      </c>
      <c r="EE292" s="384">
        <f>EE289/EE272</f>
        <v>9.378708431791874E-2</v>
      </c>
      <c r="EF292" s="384">
        <f>EF289/EF272</f>
        <v>0.1085758907242389</v>
      </c>
      <c r="EG292" s="384">
        <f>EG289/EG272</f>
        <v>0.18534696441372817</v>
      </c>
      <c r="EH292" s="384">
        <f>EH289/EH272</f>
        <v>0.21729000033955678</v>
      </c>
      <c r="EI292" s="384">
        <f>EI289/EI272</f>
        <v>0.23100666582718496</v>
      </c>
      <c r="EJ292" s="384">
        <f>EJ289/EJ272</f>
        <v>0.24862919037007009</v>
      </c>
      <c r="EK292" s="384">
        <f>EK289/EK272</f>
        <v>0.25847086461941915</v>
      </c>
      <c r="EL292" s="384">
        <f>EL289/EL272</f>
        <v>0.27046182306633926</v>
      </c>
      <c r="EM292" s="384">
        <f>EM289/EM272</f>
        <v>0.26565060523617134</v>
      </c>
      <c r="EN292" s="384">
        <f>EN289/EN272</f>
        <v>0.25923263916481815</v>
      </c>
      <c r="EO292" s="384">
        <f>EO289/EO272</f>
        <v>0.25659339901126438</v>
      </c>
      <c r="EP292" s="384">
        <f>EP289/EP272</f>
        <v>0.28075119182611064</v>
      </c>
      <c r="EQ292" s="384">
        <f>EQ289/EQ272</f>
        <v>0.27779095544018967</v>
      </c>
      <c r="ER292" s="384">
        <f>ER289/ER272</f>
        <v>0.2750719119959566</v>
      </c>
      <c r="ES292" s="384">
        <f>ES289/ES272</f>
        <v>0.27039312448911751</v>
      </c>
      <c r="ET292" s="384">
        <f>ET289/ET272</f>
        <v>0.28490234818301768</v>
      </c>
      <c r="EU292" s="384">
        <f>EU289/EU272</f>
        <v>0.28190799885021278</v>
      </c>
      <c r="EV292" s="384">
        <f>EV289/EV272</f>
        <v>0.28110365354139993</v>
      </c>
      <c r="EW292" s="384">
        <f>EW289/EW272</f>
        <v>0.27635280221065761</v>
      </c>
      <c r="FY292" s="382">
        <f>FY289/FY272</f>
        <v>3.798713411945597E-3</v>
      </c>
      <c r="FZ292" s="382">
        <f>FZ289/FZ272</f>
        <v>6.1988501226660679E-3</v>
      </c>
      <c r="GA292" s="382">
        <f>GA289/GA272</f>
        <v>4.8380015872904938E-3</v>
      </c>
      <c r="GB292" s="382">
        <f>GB289/GB272</f>
        <v>8.1837183419745368E-3</v>
      </c>
      <c r="GC292" s="382">
        <f>GC289/GC272</f>
        <v>6.0304837640821731E-3</v>
      </c>
      <c r="GD292" s="382">
        <f>GD289/GD272</f>
        <v>1.5196185484458032E-2</v>
      </c>
      <c r="GE292" s="382">
        <f>GE289/GE272</f>
        <v>8.7778242094334935E-2</v>
      </c>
      <c r="GF292" s="382">
        <f>GF289/GF272</f>
        <v>7.2489323646314593E-2</v>
      </c>
      <c r="GG292" s="384">
        <f>GG289/GG272</f>
        <v>0.11653902137128208</v>
      </c>
      <c r="GH292" s="384">
        <f>GH289/GH272</f>
        <v>0.23989223969478257</v>
      </c>
      <c r="GI292" s="384">
        <f>GI289/GI272</f>
        <v>0.26278157677213521</v>
      </c>
      <c r="GJ292" s="384">
        <f>GJ289/GJ272</f>
        <v>0.27584906654063496</v>
      </c>
      <c r="GK292" s="384">
        <f>GK289/GK272</f>
        <v>0.28094454085027881</v>
      </c>
      <c r="GN292" s="70"/>
    </row>
    <row r="293" spans="1:213" s="418" customFormat="1">
      <c r="CR293" s="379"/>
      <c r="CT293" s="457"/>
      <c r="CU293" s="457"/>
      <c r="CV293" s="457"/>
      <c r="CW293" s="457"/>
      <c r="CX293" s="457"/>
      <c r="CY293" s="457"/>
      <c r="CZ293" s="457"/>
      <c r="DA293" s="457"/>
      <c r="DB293" s="457"/>
      <c r="DC293" s="457"/>
      <c r="DD293" s="457"/>
      <c r="DE293" s="457"/>
      <c r="DF293" s="457"/>
      <c r="DG293" s="457"/>
      <c r="DH293" s="457"/>
      <c r="DI293" s="457"/>
      <c r="DJ293" s="469"/>
      <c r="DK293" s="469"/>
      <c r="DL293" s="469"/>
      <c r="DM293" s="469"/>
      <c r="DN293" s="469"/>
      <c r="DO293" s="469"/>
      <c r="DP293" s="117"/>
      <c r="DQ293" s="117"/>
      <c r="DR293" s="117"/>
      <c r="DS293" s="117"/>
      <c r="DT293" s="117"/>
      <c r="DU293" s="117"/>
      <c r="DV293" s="117"/>
      <c r="DW293" s="117"/>
      <c r="DX293" s="95"/>
      <c r="DY293" s="95"/>
      <c r="DZ293" s="95"/>
      <c r="EA293" s="95"/>
      <c r="EB293" s="95"/>
      <c r="EC293" s="95"/>
      <c r="ED293" s="95"/>
      <c r="EE293" s="95"/>
      <c r="EF293" s="95"/>
      <c r="EG293" s="95"/>
      <c r="EH293" s="95"/>
      <c r="EI293" s="95"/>
      <c r="EJ293" s="95"/>
      <c r="EK293" s="95"/>
      <c r="EL293" s="95"/>
      <c r="EM293" s="95"/>
      <c r="EN293" s="95"/>
      <c r="EO293" s="95"/>
      <c r="EP293" s="95"/>
      <c r="EQ293" s="95"/>
      <c r="ER293" s="95"/>
      <c r="ES293" s="95"/>
      <c r="ET293" s="95"/>
      <c r="EU293" s="95"/>
      <c r="EV293" s="95"/>
      <c r="EW293" s="95"/>
      <c r="GB293" s="95"/>
      <c r="GN293" s="70"/>
    </row>
    <row r="294" spans="1:213">
      <c r="A294" s="82" t="s">
        <v>283</v>
      </c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  <c r="BP294" s="83"/>
      <c r="BQ294" s="83"/>
      <c r="BR294" s="83"/>
      <c r="BS294" s="83"/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84"/>
      <c r="CE294" s="8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8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8"/>
      <c r="DC294" s="84"/>
      <c r="DD294" s="84"/>
      <c r="DE294" s="84"/>
      <c r="DF294" s="84"/>
      <c r="DG294" s="84"/>
      <c r="DH294" s="84"/>
      <c r="DI294" s="84"/>
      <c r="DJ294" s="91"/>
      <c r="DK294" s="91"/>
      <c r="DL294" s="91"/>
      <c r="DM294" s="91"/>
      <c r="DN294" s="91"/>
      <c r="DO294" s="91"/>
      <c r="DP294" s="91"/>
      <c r="DQ294" s="91"/>
      <c r="DR294" s="91"/>
      <c r="DS294" s="91"/>
      <c r="DT294" s="91"/>
      <c r="DU294" s="91"/>
      <c r="DV294" s="91"/>
      <c r="DW294" s="91"/>
      <c r="DX294" s="84"/>
      <c r="DY294" s="84"/>
      <c r="DZ294" s="84"/>
      <c r="EA294" s="84"/>
      <c r="EB294" s="84"/>
      <c r="EC294" s="84"/>
      <c r="ED294" s="84"/>
      <c r="EE294" s="84"/>
      <c r="EF294" s="84"/>
      <c r="EG294" s="84"/>
      <c r="EH294" s="84"/>
      <c r="EI294" s="84"/>
      <c r="EJ294" s="84"/>
      <c r="EK294" s="84"/>
      <c r="EL294" s="84"/>
      <c r="EM294" s="84"/>
      <c r="EN294" s="84"/>
      <c r="EO294" s="84"/>
      <c r="EP294" s="84"/>
      <c r="EQ294" s="84"/>
      <c r="ER294" s="84"/>
      <c r="ES294" s="84"/>
      <c r="ET294" s="84"/>
      <c r="EU294" s="84"/>
      <c r="EV294" s="84"/>
      <c r="EW294" s="84"/>
      <c r="EZ294" s="83"/>
      <c r="FA294" s="83"/>
      <c r="FB294" s="83"/>
      <c r="FC294" s="83"/>
      <c r="FD294" s="83"/>
      <c r="FE294" s="83"/>
      <c r="FF294" s="83"/>
      <c r="FG294" s="83"/>
      <c r="FH294" s="83"/>
      <c r="FI294" s="83"/>
      <c r="FJ294" s="83"/>
      <c r="FK294" s="83"/>
      <c r="FL294" s="83"/>
      <c r="FM294" s="83"/>
      <c r="FN294" s="83"/>
      <c r="FO294" s="83"/>
      <c r="FP294" s="83"/>
      <c r="FQ294" s="83"/>
      <c r="FR294" s="83"/>
      <c r="FS294" s="83"/>
      <c r="FT294" s="83"/>
      <c r="FU294" s="83"/>
      <c r="FV294" s="83"/>
      <c r="FW294" s="83"/>
      <c r="FX294" s="83"/>
      <c r="FY294" s="83"/>
      <c r="FZ294" s="83"/>
      <c r="GA294" s="83"/>
      <c r="GB294" s="83"/>
      <c r="GC294" s="83"/>
      <c r="GD294" s="83"/>
      <c r="GE294" s="83"/>
      <c r="GF294" s="83"/>
      <c r="GG294" s="83"/>
      <c r="GH294" s="83"/>
      <c r="GI294" s="83"/>
      <c r="GJ294" s="83"/>
      <c r="GK294" s="83"/>
      <c r="GN294" s="48"/>
    </row>
    <row r="295" spans="1:213" s="379" customFormat="1">
      <c r="A295" s="405" t="s">
        <v>288</v>
      </c>
      <c r="CD295" s="376">
        <f>CD246/CD272*1000</f>
        <v>38.395947315096251</v>
      </c>
      <c r="CE295" s="376">
        <f>CE246/CE272*1000</f>
        <v>36.4153162055336</v>
      </c>
      <c r="CF295" s="376">
        <f>CF246/CF272*1000</f>
        <v>32.343218623481789</v>
      </c>
      <c r="CG295" s="376">
        <f>CG246/CG272*1000</f>
        <v>34.315816589386912</v>
      </c>
      <c r="CH295" s="376">
        <f>CH246/CH272*1000</f>
        <v>39.986626865671631</v>
      </c>
      <c r="CI295" s="376">
        <f>CI246/CI272*1000</f>
        <v>30.038993710691827</v>
      </c>
      <c r="CJ295" s="376">
        <f>CJ246/CJ272*1000</f>
        <v>23.251048088779289</v>
      </c>
      <c r="CK295" s="376">
        <f>CK246/CK272*1000</f>
        <v>23.345003543586103</v>
      </c>
      <c r="CL295" s="376">
        <f>CL246/CL272*1000</f>
        <v>23.734539473684215</v>
      </c>
      <c r="CM295" s="376">
        <f>CM246/CM272*1000</f>
        <v>25.469601677148848</v>
      </c>
      <c r="CN295" s="376">
        <f>CN246/CN272*1000</f>
        <v>25.998656591099916</v>
      </c>
      <c r="CO295" s="376">
        <f>CO246/CO272*1000</f>
        <v>25.670636889991723</v>
      </c>
      <c r="CP295" s="376">
        <f>CP246/CP272*1000</f>
        <v>28.767747298420616</v>
      </c>
      <c r="CQ295" s="376">
        <f>CQ246/CQ272*1000</f>
        <v>29.513050706566919</v>
      </c>
      <c r="CR295" s="376">
        <f>CR246/CR272*1000</f>
        <v>26.305016286644946</v>
      </c>
      <c r="CS295" s="376">
        <f>CS246/CS272*1000</f>
        <v>34.712414223331258</v>
      </c>
      <c r="CT295" s="376">
        <f>CT246/CT272*1000</f>
        <v>38.032333333333327</v>
      </c>
      <c r="CU295" s="376">
        <f>CU246/CU272*1000</f>
        <v>42.09908256880734</v>
      </c>
      <c r="CV295" s="376">
        <f>CV246/CV272*1000</f>
        <v>58.109841269841269</v>
      </c>
      <c r="CW295" s="376">
        <f>CW246/CW272*1000</f>
        <v>66.808986175115209</v>
      </c>
      <c r="CX295" s="376">
        <f>CX246/CX272*1000</f>
        <v>93.508721352845399</v>
      </c>
      <c r="CY295" s="376">
        <f>CY246/CY272*1000</f>
        <v>95.679924200278165</v>
      </c>
      <c r="CZ295" s="376">
        <f>CZ246/CZ272*1000</f>
        <v>62.331848953974891</v>
      </c>
      <c r="DA295" s="376">
        <f>DA246/DA272*1000</f>
        <v>73.589256701030934</v>
      </c>
      <c r="DB295" s="376">
        <f>DB246/DB272*1000</f>
        <v>54.455486616702352</v>
      </c>
      <c r="DC295" s="376">
        <f>DC246/DC272*1000</f>
        <v>66.563042472137809</v>
      </c>
      <c r="DD295" s="376">
        <f>DD246/DD272*1000</f>
        <v>64.945576886792466</v>
      </c>
      <c r="DE295" s="376">
        <f>DE246/DE272*1000</f>
        <v>95.645344821872413</v>
      </c>
      <c r="DF295" s="376">
        <f>DF246/DF272*1000</f>
        <v>96.571260127931765</v>
      </c>
      <c r="DG295" s="376">
        <f>DG246/DG272*1000</f>
        <v>85.77360774818402</v>
      </c>
      <c r="DH295" s="376">
        <f>DH246/DH272*1000</f>
        <v>87.183978609625697</v>
      </c>
      <c r="DI295" s="376">
        <f>DI246/DI272*1000</f>
        <v>103.27400877403845</v>
      </c>
      <c r="DJ295" s="397">
        <f>DJ246/DJ272*1000</f>
        <v>121.52194966286983</v>
      </c>
      <c r="DK295" s="397">
        <f>DK246/DK272*1000</f>
        <v>152.60957073853234</v>
      </c>
      <c r="DL295" s="397">
        <f>DL246/DL272*1000</f>
        <v>188.79247323600976</v>
      </c>
      <c r="DM295" s="397">
        <f>DM246/DM272*1000</f>
        <v>176.7297117516629</v>
      </c>
      <c r="DN295" s="397">
        <f>DN246/DN272*1000</f>
        <v>148.93961709211987</v>
      </c>
      <c r="DO295" s="397">
        <f>DO246/DO272*1000</f>
        <v>144.40038181818184</v>
      </c>
      <c r="DP295" s="397">
        <f>DP246/DP272*1000</f>
        <v>223.09630813397146</v>
      </c>
      <c r="DQ295" s="397">
        <f>DQ246/DQ272*1000</f>
        <v>354.90935007867148</v>
      </c>
      <c r="DR295" s="397">
        <f>DR246/DR272*1000</f>
        <v>336.05484812349528</v>
      </c>
      <c r="DS295" s="397">
        <f>DS246/DS272*1000</f>
        <v>219.32119986678066</v>
      </c>
      <c r="DT295" s="397">
        <f>DT246/DT272*1000</f>
        <v>198.01048497371431</v>
      </c>
      <c r="DU295" s="397">
        <f>DU246/DU272*1000</f>
        <v>379.15325723974001</v>
      </c>
      <c r="DV295" s="376">
        <f>DV246/DV272*1000</f>
        <v>710.4808283877054</v>
      </c>
      <c r="DW295" s="376">
        <f>DW246/DW272*1000</f>
        <v>982.37348939254184</v>
      </c>
      <c r="DX295" s="376">
        <f>DX246/DX272*1000</f>
        <v>1957.7031200154381</v>
      </c>
      <c r="DY295" s="376">
        <f>DY246/DY272*1000</f>
        <v>1410.8976223138134</v>
      </c>
      <c r="DZ295" s="376">
        <f>DZ246/DZ272*1000</f>
        <v>2178.0691387108081</v>
      </c>
      <c r="EA295" s="376">
        <f>EA246/EA272*1000</f>
        <v>1249.5623756943239</v>
      </c>
      <c r="EB295" s="376">
        <f>EB246/EB272*1000</f>
        <v>1152.1137348216948</v>
      </c>
      <c r="EC295" s="376">
        <f>EC246/EC272*1000</f>
        <v>1624.2322997555991</v>
      </c>
      <c r="ED295" s="376">
        <f>ED246/ED272*1000</f>
        <v>1776.251130005187</v>
      </c>
      <c r="EE295" s="380">
        <f>EE246/EE272*1000</f>
        <v>2006.1747000238354</v>
      </c>
      <c r="EF295" s="380">
        <f>EF246/EF272*1000</f>
        <v>2611.653279007377</v>
      </c>
      <c r="EG295" s="380">
        <f>EG246/EG272*1000</f>
        <v>5581.4104723032688</v>
      </c>
      <c r="EH295" s="380">
        <f>EH246/EH272*1000</f>
        <v>6953.3114249164346</v>
      </c>
      <c r="EI295" s="380">
        <f>EI246/EI272*1000</f>
        <v>7455.3491610806796</v>
      </c>
      <c r="EJ295" s="380">
        <f>EJ246/EJ272*1000</f>
        <v>8406.7136374003858</v>
      </c>
      <c r="EK295" s="380">
        <f>EK246/EK272*1000</f>
        <v>9079.161762502963</v>
      </c>
      <c r="EL295" s="380">
        <f>EL246/EL272*1000</f>
        <v>9764.9239402544918</v>
      </c>
      <c r="EM295" s="380">
        <f>EM246/EM272*1000</f>
        <v>9880.7743563601925</v>
      </c>
      <c r="EN295" s="380">
        <f>EN246/EN272*1000</f>
        <v>10315.847378522267</v>
      </c>
      <c r="EO295" s="380">
        <f>EO246/EO272*1000</f>
        <v>10720.143978079313</v>
      </c>
      <c r="EP295" s="380">
        <f>EP246/EP272*1000</f>
        <v>12050.253593894759</v>
      </c>
      <c r="EQ295" s="380">
        <f>EQ246/EQ272*1000</f>
        <v>12281.324490178522</v>
      </c>
      <c r="ER295" s="380">
        <f>ER246/ER272*1000</f>
        <v>12888.08433716881</v>
      </c>
      <c r="ES295" s="380">
        <f>ES246/ES272*1000</f>
        <v>12926.972088990053</v>
      </c>
      <c r="ET295" s="380">
        <f>ET246/ET272*1000</f>
        <v>14006.24409688685</v>
      </c>
      <c r="EU295" s="380">
        <f>EU246/EU272*1000</f>
        <v>14275.264916410981</v>
      </c>
      <c r="EV295" s="380">
        <f>EV246/EV272*1000</f>
        <v>15366.098388480927</v>
      </c>
      <c r="EW295" s="380">
        <f>EW246/EW272*1000</f>
        <v>15413.364058113248</v>
      </c>
      <c r="FT295" s="376">
        <f>FT246/FT272*1000</f>
        <v>35.377814276689826</v>
      </c>
      <c r="FU295" s="376">
        <f>FU246/FU272*1000</f>
        <v>29.451571937432242</v>
      </c>
      <c r="FV295" s="376">
        <f>FV246/FV272*1000</f>
        <v>25.198993435448578</v>
      </c>
      <c r="FW295" s="376">
        <f>FW246/FW272*1000</f>
        <v>29.966450216450216</v>
      </c>
      <c r="FX295" s="376">
        <f>FX246/FX272*1000</f>
        <v>52.76595816464237</v>
      </c>
      <c r="FY295" s="376">
        <f>FY246/FY272*1000</f>
        <v>83.23463841332935</v>
      </c>
      <c r="FZ295" s="376">
        <f>FZ246/FZ272*1000</f>
        <v>71.835097927411653</v>
      </c>
      <c r="GA295" s="376">
        <f>GA246/GA272*1000</f>
        <v>93.139008014726713</v>
      </c>
      <c r="GB295" s="376">
        <f>GB246/GB272*1000</f>
        <v>160.23589186382108</v>
      </c>
      <c r="GC295" s="376">
        <f>GC246/GC272*1000</f>
        <v>177.62566641019276</v>
      </c>
      <c r="GD295" s="376">
        <f>GD246/GD272*1000</f>
        <v>285.11592187147556</v>
      </c>
      <c r="GE295" s="376">
        <f>GE246/GE272*1000</f>
        <v>1230.2579794289952</v>
      </c>
      <c r="GF295" s="376">
        <f>GF246/GF272*1000</f>
        <v>1477.1654532725283</v>
      </c>
      <c r="GG295" s="376">
        <f>GG246/GG272*1000</f>
        <v>2936.6270665370926</v>
      </c>
      <c r="GH295" s="376">
        <f>GH246/GH272*1000</f>
        <v>8028.0755577259397</v>
      </c>
      <c r="GI295" s="376">
        <f>GI246/GI272*1000</f>
        <v>10184.766154855048</v>
      </c>
      <c r="GJ295" s="376">
        <f>GJ246/GJ272*1000</f>
        <v>12551.245752384239</v>
      </c>
      <c r="GK295" s="376">
        <f>GK246/GK272*1000</f>
        <v>14790.089501341632</v>
      </c>
      <c r="GN295" s="70"/>
    </row>
    <row r="296" spans="1:213" s="382" customFormat="1">
      <c r="A296" s="381" t="s">
        <v>198</v>
      </c>
      <c r="CE296" s="382">
        <f t="shared" ref="CE296:EH296" si="549">CE295/CD295-1</f>
        <v>-5.1584379291611304E-2</v>
      </c>
      <c r="CF296" s="382">
        <f t="shared" si="549"/>
        <v>-0.11182376006481098</v>
      </c>
      <c r="CG296" s="382">
        <f t="shared" si="549"/>
        <v>6.0989538143027655E-2</v>
      </c>
      <c r="CH296" s="382">
        <f t="shared" si="549"/>
        <v>0.16525354311511764</v>
      </c>
      <c r="CI296" s="382">
        <f t="shared" si="549"/>
        <v>-0.24877400107784065</v>
      </c>
      <c r="CJ296" s="382">
        <f t="shared" si="549"/>
        <v>-0.22597113895651222</v>
      </c>
      <c r="CK296" s="382">
        <f t="shared" si="549"/>
        <v>4.0409126697455999E-3</v>
      </c>
      <c r="CL296" s="382">
        <f t="shared" si="549"/>
        <v>1.6686051444405825E-2</v>
      </c>
      <c r="CM296" s="382">
        <f t="shared" si="549"/>
        <v>7.3102838392478331E-2</v>
      </c>
      <c r="CN296" s="382">
        <f t="shared" si="549"/>
        <v>2.0772013659944077E-2</v>
      </c>
      <c r="CO296" s="382">
        <f t="shared" si="549"/>
        <v>-1.2616794254687869E-2</v>
      </c>
      <c r="CP296" s="382">
        <f t="shared" si="549"/>
        <v>0.12064797697467222</v>
      </c>
      <c r="CQ296" s="382">
        <f t="shared" si="549"/>
        <v>2.5907604110079863E-2</v>
      </c>
      <c r="CR296" s="382">
        <f t="shared" si="549"/>
        <v>-0.10869884146568953</v>
      </c>
      <c r="CS296" s="382">
        <f t="shared" si="549"/>
        <v>0.31961196469415398</v>
      </c>
      <c r="CT296" s="382">
        <f t="shared" si="549"/>
        <v>9.5640686027843369E-2</v>
      </c>
      <c r="CU296" s="382">
        <f t="shared" si="549"/>
        <v>0.10692873350238874</v>
      </c>
      <c r="CV296" s="382">
        <f t="shared" si="549"/>
        <v>0.38031134466803929</v>
      </c>
      <c r="CW296" s="382">
        <f t="shared" si="549"/>
        <v>0.14970174956903137</v>
      </c>
      <c r="CX296" s="382">
        <f t="shared" si="549"/>
        <v>0.39964287300733226</v>
      </c>
      <c r="CY296" s="382">
        <f t="shared" si="549"/>
        <v>2.3219255017293605E-2</v>
      </c>
      <c r="CZ296" s="382">
        <f t="shared" si="549"/>
        <v>-0.3485378518538409</v>
      </c>
      <c r="DA296" s="382">
        <f t="shared" si="549"/>
        <v>0.18060442512091024</v>
      </c>
      <c r="DB296" s="382">
        <f t="shared" si="549"/>
        <v>-0.26000765522150637</v>
      </c>
      <c r="DC296" s="382">
        <f t="shared" si="549"/>
        <v>0.22233858528631489</v>
      </c>
      <c r="DD296" s="382">
        <f t="shared" si="549"/>
        <v>-2.4299754417361319E-2</v>
      </c>
      <c r="DE296" s="382">
        <f t="shared" si="549"/>
        <v>0.47269990362227654</v>
      </c>
      <c r="DF296" s="382">
        <f t="shared" si="549"/>
        <v>9.6807148093172035E-3</v>
      </c>
      <c r="DG296" s="382">
        <f t="shared" si="549"/>
        <v>-0.1118102048729992</v>
      </c>
      <c r="DH296" s="382">
        <f t="shared" si="549"/>
        <v>1.6442946711327178E-2</v>
      </c>
      <c r="DI296" s="382">
        <f t="shared" si="549"/>
        <v>0.18455260268010187</v>
      </c>
      <c r="DJ296" s="383">
        <f t="shared" si="549"/>
        <v>0.17669441813532694</v>
      </c>
      <c r="DK296" s="383">
        <f t="shared" si="549"/>
        <v>0.25581897889152372</v>
      </c>
      <c r="DL296" s="383">
        <f t="shared" si="549"/>
        <v>0.23709458274717243</v>
      </c>
      <c r="DM296" s="383">
        <f t="shared" si="549"/>
        <v>-6.389429238138733E-2</v>
      </c>
      <c r="DN296" s="383">
        <f t="shared" si="549"/>
        <v>-0.15724630784546922</v>
      </c>
      <c r="DO296" s="383">
        <f t="shared" si="549"/>
        <v>-3.047701721383167E-2</v>
      </c>
      <c r="DP296" s="383">
        <f t="shared" si="549"/>
        <v>0.54498419827502698</v>
      </c>
      <c r="DQ296" s="383">
        <f t="shared" si="549"/>
        <v>0.59083470742843947</v>
      </c>
      <c r="DR296" s="383">
        <f t="shared" si="549"/>
        <v>-5.3124838641182004E-2</v>
      </c>
      <c r="DS296" s="383">
        <f t="shared" si="549"/>
        <v>-0.34736486888538121</v>
      </c>
      <c r="DT296" s="383">
        <f t="shared" si="549"/>
        <v>-9.716668933970285E-2</v>
      </c>
      <c r="DU296" s="383">
        <f t="shared" si="549"/>
        <v>0.91481404275168665</v>
      </c>
      <c r="DV296" s="382">
        <f t="shared" si="549"/>
        <v>0.87386186145426081</v>
      </c>
      <c r="DW296" s="382">
        <f t="shared" si="549"/>
        <v>0.38268824455382222</v>
      </c>
      <c r="DX296" s="382">
        <f>DX295/DW295-1</f>
        <v>0.99282975482776803</v>
      </c>
      <c r="DY296" s="382">
        <f t="shared" si="549"/>
        <v>-0.27930971356745482</v>
      </c>
      <c r="DZ296" s="382">
        <f t="shared" si="549"/>
        <v>0.54374711833369282</v>
      </c>
      <c r="EA296" s="382">
        <f t="shared" si="549"/>
        <v>-0.42629811263294626</v>
      </c>
      <c r="EB296" s="382">
        <f t="shared" si="549"/>
        <v>-7.7986215628876754E-2</v>
      </c>
      <c r="EC296" s="382">
        <f t="shared" si="549"/>
        <v>0.40978468589038308</v>
      </c>
      <c r="ED296" s="382">
        <f t="shared" si="549"/>
        <v>9.3594266209619414E-2</v>
      </c>
      <c r="EE296" s="384">
        <f t="shared" si="549"/>
        <v>0.12944316607864836</v>
      </c>
      <c r="EF296" s="384">
        <f t="shared" si="549"/>
        <v>0.30180750409042045</v>
      </c>
      <c r="EG296" s="384">
        <f t="shared" si="549"/>
        <v>1.1371177089880096</v>
      </c>
      <c r="EH296" s="384">
        <f t="shared" si="549"/>
        <v>0.24579825465641236</v>
      </c>
      <c r="EI296" s="384">
        <f>EI295/EH295-1</f>
        <v>7.2201244196433922E-2</v>
      </c>
      <c r="EJ296" s="384">
        <f>EJ295/EI295-1</f>
        <v>0.12760830589748018</v>
      </c>
      <c r="EK296" s="384">
        <f>EK295/EJ295-1</f>
        <v>7.9989417280843522E-2</v>
      </c>
      <c r="EL296" s="384">
        <f t="shared" ref="EL296" si="550">EL295/EK295-1</f>
        <v>7.5531441744295602E-2</v>
      </c>
      <c r="EM296" s="384">
        <f>EM295/EL295-1</f>
        <v>1.1863934303484314E-2</v>
      </c>
      <c r="EN296" s="384">
        <f>EN295/EM295-1</f>
        <v>4.4032279907497474E-2</v>
      </c>
      <c r="EO296" s="384">
        <f>EO295/EN295-1</f>
        <v>3.9191797311658227E-2</v>
      </c>
      <c r="EP296" s="384">
        <f t="shared" ref="EP296" si="551">EP295/EO295-1</f>
        <v>0.1240757230999201</v>
      </c>
      <c r="EQ296" s="384">
        <f>EQ295/EP295-1</f>
        <v>1.9175604437141169E-2</v>
      </c>
      <c r="ER296" s="384">
        <f>ER295/EQ295-1</f>
        <v>4.9405082283716206E-2</v>
      </c>
      <c r="ES296" s="384">
        <f>ES295/ER295-1</f>
        <v>3.0173415073868615E-3</v>
      </c>
      <c r="ET296" s="384">
        <f t="shared" ref="ET296" si="552">ET295/ES295-1</f>
        <v>8.3489931011456076E-2</v>
      </c>
      <c r="EU296" s="384">
        <f>EU295/ET295-1</f>
        <v>1.9207206276229627E-2</v>
      </c>
      <c r="EV296" s="384">
        <f>EV295/EU295-1</f>
        <v>7.6414236685437231E-2</v>
      </c>
      <c r="EW296" s="384">
        <f>EW295/EV295-1</f>
        <v>3.0759707791376822E-3</v>
      </c>
      <c r="FZ296" s="386" t="s">
        <v>199</v>
      </c>
      <c r="GA296" s="386" t="s">
        <v>199</v>
      </c>
      <c r="GB296" s="386" t="s">
        <v>199</v>
      </c>
      <c r="GC296" s="386" t="s">
        <v>199</v>
      </c>
      <c r="GD296" s="386" t="s">
        <v>199</v>
      </c>
      <c r="GE296" s="386" t="s">
        <v>199</v>
      </c>
      <c r="GF296" s="386" t="s">
        <v>199</v>
      </c>
      <c r="GG296" s="386" t="s">
        <v>199</v>
      </c>
      <c r="GH296" s="386" t="s">
        <v>199</v>
      </c>
      <c r="GI296" s="386" t="s">
        <v>199</v>
      </c>
      <c r="GJ296" s="386" t="s">
        <v>199</v>
      </c>
      <c r="GK296" s="386" t="s">
        <v>199</v>
      </c>
      <c r="GN296" s="70"/>
    </row>
    <row r="297" spans="1:213" s="382" customFormat="1">
      <c r="A297" s="381" t="s">
        <v>200</v>
      </c>
      <c r="CH297" s="382">
        <f t="shared" ref="CH297:ES297" si="553">CH295/CD295-1</f>
        <v>4.1428318919220164E-2</v>
      </c>
      <c r="CI297" s="382">
        <f t="shared" si="553"/>
        <v>-0.17510001722497304</v>
      </c>
      <c r="CJ297" s="382">
        <f t="shared" si="553"/>
        <v>-0.28111520503099874</v>
      </c>
      <c r="CK297" s="382">
        <f t="shared" si="553"/>
        <v>-0.31970135454080462</v>
      </c>
      <c r="CL297" s="382">
        <f t="shared" si="553"/>
        <v>-0.40643806857186471</v>
      </c>
      <c r="CM297" s="382">
        <f t="shared" si="553"/>
        <v>-0.15211534972014018</v>
      </c>
      <c r="CN297" s="382">
        <f t="shared" si="553"/>
        <v>0.1181713827191555</v>
      </c>
      <c r="CO297" s="382">
        <f t="shared" si="553"/>
        <v>9.9620175343454687E-2</v>
      </c>
      <c r="CP297" s="382">
        <f t="shared" si="553"/>
        <v>0.21206258627082253</v>
      </c>
      <c r="CQ297" s="382">
        <f t="shared" si="553"/>
        <v>0.15875588007510233</v>
      </c>
      <c r="CR297" s="382">
        <f t="shared" si="553"/>
        <v>1.1783674070678929E-2</v>
      </c>
      <c r="CS297" s="382">
        <f t="shared" si="553"/>
        <v>0.35222255575843064</v>
      </c>
      <c r="CT297" s="382">
        <f t="shared" si="553"/>
        <v>0.32204767160970404</v>
      </c>
      <c r="CU297" s="382">
        <f t="shared" si="553"/>
        <v>0.42645648487433108</v>
      </c>
      <c r="CV297" s="382">
        <f t="shared" si="553"/>
        <v>1.2090783231844502</v>
      </c>
      <c r="CW297" s="382">
        <f t="shared" si="553"/>
        <v>0.92464245630633424</v>
      </c>
      <c r="CX297" s="382">
        <f t="shared" si="553"/>
        <v>1.4586638041187432</v>
      </c>
      <c r="CY297" s="382">
        <f t="shared" si="553"/>
        <v>1.2727318117656727</v>
      </c>
      <c r="CZ297" s="382">
        <f t="shared" si="553"/>
        <v>7.2655639593440569E-2</v>
      </c>
      <c r="DA297" s="382">
        <f t="shared" si="553"/>
        <v>0.10148740332840456</v>
      </c>
      <c r="DB297" s="382">
        <f t="shared" si="553"/>
        <v>-0.41764269868240145</v>
      </c>
      <c r="DC297" s="382">
        <f t="shared" si="553"/>
        <v>-0.30431547653813573</v>
      </c>
      <c r="DD297" s="382">
        <f t="shared" si="553"/>
        <v>4.1932462724594055E-2</v>
      </c>
      <c r="DE297" s="382">
        <f t="shared" si="553"/>
        <v>0.29971885992065594</v>
      </c>
      <c r="DF297" s="382">
        <f t="shared" si="553"/>
        <v>0.77339816661030159</v>
      </c>
      <c r="DG297" s="382">
        <f t="shared" si="553"/>
        <v>0.288607079282583</v>
      </c>
      <c r="DH297" s="382">
        <f t="shared" si="553"/>
        <v>0.34241595484781517</v>
      </c>
      <c r="DI297" s="382">
        <f t="shared" si="553"/>
        <v>7.9759908507554433E-2</v>
      </c>
      <c r="DJ297" s="383">
        <f t="shared" si="553"/>
        <v>0.25836557897126844</v>
      </c>
      <c r="DK297" s="383">
        <f t="shared" si="553"/>
        <v>0.77921361529489075</v>
      </c>
      <c r="DL297" s="383">
        <f t="shared" si="553"/>
        <v>1.165449159889175</v>
      </c>
      <c r="DM297" s="383">
        <f t="shared" si="553"/>
        <v>0.71126998796322627</v>
      </c>
      <c r="DN297" s="383">
        <f t="shared" si="553"/>
        <v>0.22561905487291001</v>
      </c>
      <c r="DO297" s="383">
        <f t="shared" si="553"/>
        <v>-5.3792097576995324E-2</v>
      </c>
      <c r="DP297" s="383">
        <f t="shared" si="553"/>
        <v>0.18170128453732604</v>
      </c>
      <c r="DQ297" s="383">
        <f t="shared" si="553"/>
        <v>1.0082042038148238</v>
      </c>
      <c r="DR297" s="383">
        <f t="shared" si="553"/>
        <v>1.2563160472988439</v>
      </c>
      <c r="DS297" s="383">
        <f t="shared" si="553"/>
        <v>0.51884085834990046</v>
      </c>
      <c r="DT297" s="383">
        <f t="shared" si="553"/>
        <v>-0.11244391881730675</v>
      </c>
      <c r="DU297" s="383">
        <f t="shared" si="553"/>
        <v>6.8310139351624555E-2</v>
      </c>
      <c r="DV297" s="382">
        <f t="shared" si="553"/>
        <v>1.1141811592809221</v>
      </c>
      <c r="DW297" s="382">
        <f t="shared" si="553"/>
        <v>3.4791542723149966</v>
      </c>
      <c r="DX297" s="382">
        <f t="shared" si="553"/>
        <v>8.886865941848086</v>
      </c>
      <c r="DY297" s="382">
        <f t="shared" si="553"/>
        <v>2.7211802757155206</v>
      </c>
      <c r="DZ297" s="382">
        <f t="shared" si="553"/>
        <v>2.0656268989741804</v>
      </c>
      <c r="EA297" s="382">
        <f t="shared" si="553"/>
        <v>0.27198299749212529</v>
      </c>
      <c r="EB297" s="382">
        <f t="shared" si="553"/>
        <v>-0.41149721679321349</v>
      </c>
      <c r="EC297" s="382">
        <f t="shared" si="553"/>
        <v>0.15120493086658238</v>
      </c>
      <c r="ED297" s="382">
        <f t="shared" si="553"/>
        <v>-0.18448358757952743</v>
      </c>
      <c r="EE297" s="384">
        <f t="shared" si="553"/>
        <v>0.6055018453233254</v>
      </c>
      <c r="EF297" s="384">
        <f t="shared" si="553"/>
        <v>1.2668363374832654</v>
      </c>
      <c r="EG297" s="384">
        <f t="shared" si="553"/>
        <v>2.4363375689198601</v>
      </c>
      <c r="EH297" s="384">
        <f t="shared" si="553"/>
        <v>2.9145992970578036</v>
      </c>
      <c r="EI297" s="384">
        <f t="shared" si="553"/>
        <v>2.7162013662080886</v>
      </c>
      <c r="EJ297" s="384">
        <f t="shared" si="553"/>
        <v>2.2189240834432522</v>
      </c>
      <c r="EK297" s="384">
        <f t="shared" si="553"/>
        <v>0.62667874143223234</v>
      </c>
      <c r="EL297" s="384">
        <f t="shared" si="553"/>
        <v>0.40435590232057628</v>
      </c>
      <c r="EM297" s="384">
        <f t="shared" si="553"/>
        <v>0.32532684155706781</v>
      </c>
      <c r="EN297" s="384">
        <f t="shared" si="553"/>
        <v>0.22709632128164703</v>
      </c>
      <c r="EO297" s="384">
        <f t="shared" si="553"/>
        <v>0.18074159911475807</v>
      </c>
      <c r="EP297" s="384">
        <f t="shared" si="553"/>
        <v>0.23403455752679503</v>
      </c>
      <c r="EQ297" s="384">
        <f t="shared" si="553"/>
        <v>0.24295161970510026</v>
      </c>
      <c r="ER297" s="384">
        <f t="shared" si="553"/>
        <v>0.24934810144651576</v>
      </c>
      <c r="ES297" s="384">
        <f t="shared" si="553"/>
        <v>0.20585806640501181</v>
      </c>
      <c r="ET297" s="384">
        <f t="shared" ref="ET297:EW297" si="554">ET295/EP295-1</f>
        <v>0.162319447283922</v>
      </c>
      <c r="EU297" s="384">
        <f t="shared" si="554"/>
        <v>0.16235548762082042</v>
      </c>
      <c r="EV297" s="384">
        <f t="shared" si="554"/>
        <v>0.19227171288487033</v>
      </c>
      <c r="EW297" s="384">
        <f t="shared" si="554"/>
        <v>0.19234140462335048</v>
      </c>
      <c r="FU297" s="382">
        <f t="shared" ref="FU297:GK297" si="555">FU295/FT295-1</f>
        <v>-0.16751295862736049</v>
      </c>
      <c r="FV297" s="382">
        <f t="shared" si="555"/>
        <v>-0.14439224198348266</v>
      </c>
      <c r="FW297" s="382">
        <f t="shared" si="555"/>
        <v>0.18919234981406197</v>
      </c>
      <c r="FX297" s="382">
        <f t="shared" si="555"/>
        <v>0.76083445932065263</v>
      </c>
      <c r="FY297" s="382">
        <f t="shared" si="555"/>
        <v>0.57743062588984806</v>
      </c>
      <c r="FZ297" s="382">
        <f t="shared" si="555"/>
        <v>-0.13695668898457247</v>
      </c>
      <c r="GA297" s="382">
        <f t="shared" si="555"/>
        <v>0.29656686914859298</v>
      </c>
      <c r="GB297" s="382">
        <f t="shared" si="555"/>
        <v>0.72039508772184169</v>
      </c>
      <c r="GC297" s="382">
        <f t="shared" si="555"/>
        <v>0.1085260882820851</v>
      </c>
      <c r="GD297" s="382">
        <f t="shared" si="555"/>
        <v>0.60515046971339403</v>
      </c>
      <c r="GE297" s="382">
        <f t="shared" si="555"/>
        <v>3.3149395914254498</v>
      </c>
      <c r="GF297" s="382">
        <f t="shared" si="555"/>
        <v>0.20069568982444741</v>
      </c>
      <c r="GG297" s="387">
        <f t="shared" si="555"/>
        <v>0.9880149918421508</v>
      </c>
      <c r="GH297" s="387">
        <f t="shared" si="555"/>
        <v>1.733774284520488</v>
      </c>
      <c r="GI297" s="387">
        <f t="shared" si="555"/>
        <v>0.26864353500679061</v>
      </c>
      <c r="GJ297" s="387">
        <f t="shared" si="555"/>
        <v>0.23235482892271375</v>
      </c>
      <c r="GK297" s="387">
        <f t="shared" si="555"/>
        <v>0.17837621803653247</v>
      </c>
      <c r="GN297" s="70"/>
    </row>
    <row r="298" spans="1:213" s="379" customFormat="1">
      <c r="A298" s="405" t="s">
        <v>266</v>
      </c>
      <c r="BJ298" s="376"/>
      <c r="BK298" s="376"/>
      <c r="BL298" s="376"/>
      <c r="BM298" s="376"/>
      <c r="BN298" s="376"/>
      <c r="BO298" s="376"/>
      <c r="BP298" s="376"/>
      <c r="BQ298" s="376"/>
      <c r="BR298" s="376"/>
      <c r="BS298" s="376"/>
      <c r="BT298" s="376"/>
      <c r="BU298" s="376"/>
      <c r="BV298" s="376"/>
      <c r="BW298" s="376"/>
      <c r="BX298" s="376"/>
      <c r="BY298" s="376"/>
      <c r="BZ298" s="376"/>
      <c r="CA298" s="376"/>
      <c r="CB298" s="376"/>
      <c r="CC298" s="376"/>
      <c r="CD298" s="376">
        <f>+(CD254+CD258)/CD275*1000</f>
        <v>50</v>
      </c>
      <c r="CE298" s="376">
        <f>+(CE254+CE258)/CE275*1000</f>
        <v>50</v>
      </c>
      <c r="CF298" s="376">
        <f>+(CF254+CF258)/CF275*1000</f>
        <v>42.5</v>
      </c>
      <c r="CG298" s="376">
        <f>+(CG254+CG258)/CG275*1000</f>
        <v>43.35</v>
      </c>
      <c r="CH298" s="376">
        <f>+(CH254+CH258)/CH275*1000</f>
        <v>47.684999999999995</v>
      </c>
      <c r="CI298" s="376">
        <f>+(CI254+CI258)/CI275*1000</f>
        <v>38.148000000000003</v>
      </c>
      <c r="CJ298" s="376">
        <f>+(CJ254+CJ258)/CJ275*1000</f>
        <v>30.5184</v>
      </c>
      <c r="CK298" s="376">
        <f>+(CK254+CK258)/CK275*1000</f>
        <v>30.518400000000003</v>
      </c>
      <c r="CL298" s="376">
        <f>+(CL254+CL258)/CL275*1000</f>
        <v>28.992479999999997</v>
      </c>
      <c r="CM298" s="376">
        <f>+(CM254+CM258)/CM275*1000</f>
        <v>28.99248</v>
      </c>
      <c r="CN298" s="376">
        <f>+(CN254+CN258)/CN275*1000</f>
        <v>36.240600000000001</v>
      </c>
      <c r="CO298" s="376">
        <f>+(CO254+CO258)/CO275*1000</f>
        <v>34.428570000000001</v>
      </c>
      <c r="CP298" s="376">
        <f>+(CP254+CP258)/CP275*1000</f>
        <v>37.871427000000004</v>
      </c>
      <c r="CQ298" s="376">
        <f>+(CQ254+CQ258)/CQ275*1000</f>
        <v>28.403570250000005</v>
      </c>
      <c r="CR298" s="376">
        <f>+(CR254+CR258)/CR275*1000</f>
        <v>28.687605952500004</v>
      </c>
      <c r="CS298" s="376">
        <f>+(CS254+CS258)/CS275*1000</f>
        <v>34.42512714299999</v>
      </c>
      <c r="CT298" s="376">
        <f>+(CT254+CT258)/CT275*1000</f>
        <v>45.251004100888451</v>
      </c>
      <c r="CU298" s="376">
        <f>+(CU254+CU258)/CU275*1000</f>
        <v>51.566649828752709</v>
      </c>
      <c r="CV298" s="376">
        <f>+(CV254+CV258)/CV275*1000</f>
        <v>70.931104899330734</v>
      </c>
      <c r="CW298" s="376">
        <f>+(CW254+CW258)/CW275*1000</f>
        <v>81.64498969351618</v>
      </c>
      <c r="CX298" s="376">
        <f>+(CX254+CX258)/CX275*1000</f>
        <v>105.04454298509607</v>
      </c>
      <c r="CY298" s="376">
        <f>+(CY254+CY258)/CY275*1000</f>
        <v>117.40383235477934</v>
      </c>
      <c r="CZ298" s="376">
        <f>+(CZ254+CZ258)/CZ275*1000</f>
        <v>73.363216845188489</v>
      </c>
      <c r="DA298" s="376">
        <f>+(DA254+DA258)/DA275*1000</f>
        <v>77.0313776874479</v>
      </c>
      <c r="DB298" s="376">
        <f>+(DB254+DB258)/DB275*1000</f>
        <v>53.921964381213527</v>
      </c>
      <c r="DC298" s="376">
        <f>+(DC254+DC258)/DC275*1000</f>
        <v>67.402455476516906</v>
      </c>
      <c r="DD298" s="376">
        <f>+(DD254+DD258)/DD275*1000</f>
        <v>70.772578250342761</v>
      </c>
      <c r="DE298" s="376">
        <f>+(DE254+DE258)/DE275*1000</f>
        <v>106.15886737551415</v>
      </c>
      <c r="DF298" s="376">
        <f>+(DF254+DF258)/DF275*1000</f>
        <v>100.85092400673844</v>
      </c>
      <c r="DG298" s="376">
        <f>+(DG254+DG258)/DG275*1000</f>
        <v>95.808377806401509</v>
      </c>
      <c r="DH298" s="376">
        <f>+(DH254+DH258)/DH275*1000</f>
        <v>95.808377806401509</v>
      </c>
      <c r="DI298" s="376">
        <f>+(DI254+DI258)/DI275*1000</f>
        <v>114.97005336768181</v>
      </c>
      <c r="DJ298" s="397">
        <f>+(DJ254+DJ258)/DJ275*1000</f>
        <v>132.21556137283412</v>
      </c>
      <c r="DK298" s="397">
        <f>+(DK254+DK258)/DK275*1000</f>
        <v>158.65867364740092</v>
      </c>
      <c r="DL298" s="397">
        <f>+(DL254+DL258)/DL275*1000</f>
        <v>158.65867364740089</v>
      </c>
      <c r="DM298" s="397">
        <f>+(DM254+DM258)/DM275*1000</f>
        <v>165.0050205932969</v>
      </c>
      <c r="DN298" s="397">
        <f>+(DN254+DN258)/DN275*1000</f>
        <v>148.50451853396726</v>
      </c>
      <c r="DO298" s="397">
        <f>+(DO254+DO258)/DO275*1000</f>
        <v>126.22884075387216</v>
      </c>
      <c r="DP298" s="397">
        <f>+(DP254+DP258)/DP275*1000</f>
        <v>157.78605094234021</v>
      </c>
      <c r="DQ298" s="397">
        <f>+(DQ254+DQ258)/DQ275*1000</f>
        <v>197.23256367792527</v>
      </c>
      <c r="DR298" s="397">
        <f>+(DR254+DR258)/DR275*1000</f>
        <v>226.81744822961403</v>
      </c>
      <c r="DS298" s="397">
        <f>+(DS254+DS258)/DS275*1000</f>
        <v>195.06300547746804</v>
      </c>
      <c r="DT298" s="397">
        <f>+(DT254+DT258)/DT275*1000</f>
        <v>165.80355465584788</v>
      </c>
      <c r="DU298" s="397">
        <f>+(DU254+DU258)/DU275*1000</f>
        <v>154.19730582993847</v>
      </c>
      <c r="DV298" s="376">
        <f>+(DV254+DV258)/DV275*1000</f>
        <v>146.4874405384416</v>
      </c>
      <c r="DW298" s="376">
        <f>+(DW254+DW258)/DW275*1000</f>
        <v>146.48744053844158</v>
      </c>
      <c r="DX298" s="376">
        <f>+(DX254+DX258)/DX275*1000</f>
        <v>147.952314943826</v>
      </c>
      <c r="DY298" s="376">
        <f>+(DY254+DY258)/DY275*1000</f>
        <v>150.91136124270253</v>
      </c>
      <c r="DZ298" s="376">
        <f>+(DZ254+DZ258)/DZ275*1000</f>
        <v>153.92958846755658</v>
      </c>
      <c r="EA298" s="376">
        <f>+(EA254+EA258)/EA275*1000</f>
        <v>169.32254731431223</v>
      </c>
      <c r="EB298" s="376">
        <f>+(EB254+EB258)/EB275*1000</f>
        <v>181.1751256263141</v>
      </c>
      <c r="EC298" s="376">
        <f>+(EC254+EC258)/EC275*1000</f>
        <v>184.7986281388404</v>
      </c>
      <c r="ED298" s="376">
        <f>+(ED254+ED258)/ED275*1000</f>
        <v>186.64661442022879</v>
      </c>
      <c r="EE298" s="380">
        <f>+(EE254+EE258)/EE275*1000</f>
        <v>188.51308056443108</v>
      </c>
      <c r="EF298" s="380">
        <f>+(EF254+EF258)/EF275*1000</f>
        <v>188.51308056443108</v>
      </c>
      <c r="EG298" s="380">
        <f>+(EG254+EG258)/EG275*1000</f>
        <v>192.28334217571975</v>
      </c>
      <c r="EH298" s="380">
        <f>+(EH254+EH258)/EH275*1000</f>
        <v>188.43767533220529</v>
      </c>
      <c r="EI298" s="380">
        <f>+(EI254+EI258)/EI275*1000</f>
        <v>192.20642883884943</v>
      </c>
      <c r="EJ298" s="380">
        <f>+(EJ254+EJ258)/EJ275*1000</f>
        <v>197.97262170401493</v>
      </c>
      <c r="EK298" s="380">
        <f>+(EK254+EK258)/EK275*1000</f>
        <v>203.91180035513537</v>
      </c>
      <c r="EL298" s="380">
        <f>+(EL254+EL258)/EL275*1000</f>
        <v>193.71621033737858</v>
      </c>
      <c r="EM298" s="380">
        <f>+(EM254+EM258)/EM275*1000</f>
        <v>197.59053454412617</v>
      </c>
      <c r="EN298" s="380">
        <f>+(EN254+EN258)/EN275*1000</f>
        <v>203.51825058044997</v>
      </c>
      <c r="EO298" s="380">
        <f>+(EO254+EO258)/EO275*1000</f>
        <v>209.62379809786347</v>
      </c>
      <c r="EP298" s="380">
        <f>+(EP254+EP258)/EP275*1000</f>
        <v>199.14260819297027</v>
      </c>
      <c r="EQ298" s="380">
        <f>+(EQ254+EQ258)/EQ275*1000</f>
        <v>203.12546035682971</v>
      </c>
      <c r="ER298" s="380">
        <f>+(ER254+ER258)/ER275*1000</f>
        <v>209.21922416753461</v>
      </c>
      <c r="ES298" s="380">
        <f>+(ES254+ES258)/ES275*1000</f>
        <v>215.49580089256065</v>
      </c>
      <c r="ET298" s="380">
        <f>+(ET254+ET258)/ET275*1000</f>
        <v>204.7210108479326</v>
      </c>
      <c r="EU298" s="380">
        <f>+(EU254+EU258)/EU275*1000</f>
        <v>208.81543106489124</v>
      </c>
      <c r="EV298" s="380">
        <f>+(EV254+EV258)/EV275*1000</f>
        <v>215.07989399683802</v>
      </c>
      <c r="EW298" s="380">
        <f>+(EW254+EW258)/EW275*1000</f>
        <v>221.5322908167432</v>
      </c>
      <c r="EZ298" s="376"/>
      <c r="FA298" s="376"/>
      <c r="FB298" s="376"/>
      <c r="FC298" s="376"/>
      <c r="FD298" s="376"/>
      <c r="FE298" s="376"/>
      <c r="FF298" s="376"/>
      <c r="FG298" s="376"/>
      <c r="FH298" s="376"/>
      <c r="FI298" s="376"/>
      <c r="FJ298" s="376"/>
      <c r="FK298" s="376"/>
      <c r="FL298" s="376"/>
      <c r="FM298" s="376"/>
      <c r="FN298" s="376"/>
      <c r="FO298" s="376"/>
      <c r="FP298" s="376"/>
      <c r="FQ298" s="376"/>
      <c r="FR298" s="376"/>
      <c r="FS298" s="376"/>
      <c r="FT298" s="376"/>
      <c r="FU298" s="376">
        <f>+(FU254+FU258)/FU275*1000</f>
        <v>38.026444071020926</v>
      </c>
      <c r="FV298" s="376">
        <f>+(FV254+FV258)/FV275*1000</f>
        <v>32.295459223029631</v>
      </c>
      <c r="FW298" s="376">
        <f>+(FW254+FW258)/FW275*1000</f>
        <v>32.206683514221183</v>
      </c>
      <c r="FX298" s="376">
        <f>+(FX254+FX258)/FX275*1000</f>
        <v>65.537200616264116</v>
      </c>
      <c r="FY298" s="376">
        <f>+(FY254+FY258)/FY275*1000</f>
        <v>99.894036691302517</v>
      </c>
      <c r="FZ298" s="376">
        <f>+(FZ254+FZ258)/FZ275*1000</f>
        <v>79.00588871580976</v>
      </c>
      <c r="GA298" s="376">
        <f>+(GA254+GA258)/GA275*1000</f>
        <v>101.65037821710068</v>
      </c>
      <c r="GB298" s="376">
        <f>+(GB254+GB258)/GB275*1000</f>
        <v>154.40558009899163</v>
      </c>
      <c r="GC298" s="376">
        <f>+(GC254+GC258)/GC275*1000</f>
        <v>148.5310598146213</v>
      </c>
      <c r="GD298" s="376">
        <f>+(GD254+GD258)/GD275*1000</f>
        <v>178.74939106702894</v>
      </c>
      <c r="GE298" s="376">
        <f>+(GE254+GE258)/GE275*1000</f>
        <v>148.03367895780778</v>
      </c>
      <c r="GF298" s="376">
        <f>+(GF254+GF258)/GF275*1000</f>
        <v>176.49656607888772</v>
      </c>
      <c r="GG298" s="380">
        <f>+(GG254+GG258)/GG275*1000</f>
        <v>188.80256165708298</v>
      </c>
      <c r="GH298" s="380">
        <f>+(GH254+GH258)/GH275*1000</f>
        <v>195.93412202883914</v>
      </c>
      <c r="GI298" s="380">
        <f>+(GI254+GI258)/GI275*1000</f>
        <v>201.42264824852319</v>
      </c>
      <c r="GJ298" s="380">
        <f>+(GJ254+GJ258)/GJ275*1000</f>
        <v>207.06491961352569</v>
      </c>
      <c r="GK298" s="380">
        <f>+(GK254+GK258)/GK275*1000</f>
        <v>212.86524284823176</v>
      </c>
      <c r="GN298" s="70"/>
    </row>
    <row r="299" spans="1:213" s="382" customFormat="1">
      <c r="A299" s="381" t="s">
        <v>198</v>
      </c>
      <c r="CE299" s="382">
        <f t="shared" ref="CE299:DP299" si="556">CE298/CD298-1</f>
        <v>0</v>
      </c>
      <c r="CF299" s="382">
        <f t="shared" si="556"/>
        <v>-0.15000000000000002</v>
      </c>
      <c r="CG299" s="382">
        <f t="shared" si="556"/>
        <v>2.0000000000000018E-2</v>
      </c>
      <c r="CH299" s="382">
        <f t="shared" si="556"/>
        <v>9.9999999999999867E-2</v>
      </c>
      <c r="CI299" s="382">
        <f t="shared" si="556"/>
        <v>-0.19999999999999984</v>
      </c>
      <c r="CJ299" s="382">
        <f t="shared" si="556"/>
        <v>-0.20000000000000007</v>
      </c>
      <c r="CK299" s="382">
        <f t="shared" si="556"/>
        <v>0</v>
      </c>
      <c r="CL299" s="382">
        <f t="shared" si="556"/>
        <v>-5.0000000000000155E-2</v>
      </c>
      <c r="CM299" s="382">
        <f t="shared" si="556"/>
        <v>0</v>
      </c>
      <c r="CN299" s="382">
        <f t="shared" si="556"/>
        <v>0.25</v>
      </c>
      <c r="CO299" s="382">
        <f t="shared" si="556"/>
        <v>-5.0000000000000044E-2</v>
      </c>
      <c r="CP299" s="382">
        <f t="shared" si="556"/>
        <v>0.10000000000000009</v>
      </c>
      <c r="CQ299" s="382">
        <f t="shared" si="556"/>
        <v>-0.25</v>
      </c>
      <c r="CR299" s="382">
        <f t="shared" si="556"/>
        <v>1.0000000000000009E-2</v>
      </c>
      <c r="CS299" s="382">
        <f t="shared" si="556"/>
        <v>0.19999999999999951</v>
      </c>
      <c r="CT299" s="382">
        <f t="shared" si="556"/>
        <v>0.31447601959227023</v>
      </c>
      <c r="CU299" s="382">
        <f t="shared" si="556"/>
        <v>0.13956918422811881</v>
      </c>
      <c r="CV299" s="382">
        <f t="shared" si="556"/>
        <v>0.3755228453833106</v>
      </c>
      <c r="CW299" s="382">
        <f t="shared" si="556"/>
        <v>0.15104635419666979</v>
      </c>
      <c r="CX299" s="382">
        <f t="shared" si="556"/>
        <v>0.28660121557267049</v>
      </c>
      <c r="CY299" s="382">
        <f t="shared" si="556"/>
        <v>0.11765760522597368</v>
      </c>
      <c r="CZ299" s="382">
        <f t="shared" si="556"/>
        <v>-0.37512076587505039</v>
      </c>
      <c r="DA299" s="382">
        <f t="shared" si="556"/>
        <v>4.9999999999999822E-2</v>
      </c>
      <c r="DB299" s="382">
        <f>DB298/DA298-1</f>
        <v>-0.30000000000000004</v>
      </c>
      <c r="DC299" s="382">
        <f>DC298/DB298-1</f>
        <v>0.25</v>
      </c>
      <c r="DD299" s="382">
        <f t="shared" si="556"/>
        <v>5.0000000000000044E-2</v>
      </c>
      <c r="DE299" s="382">
        <f t="shared" si="556"/>
        <v>0.5</v>
      </c>
      <c r="DF299" s="382">
        <f t="shared" si="556"/>
        <v>-5.0000000000000044E-2</v>
      </c>
      <c r="DG299" s="382">
        <f t="shared" si="556"/>
        <v>-5.0000000000000044E-2</v>
      </c>
      <c r="DH299" s="382">
        <f t="shared" si="556"/>
        <v>0</v>
      </c>
      <c r="DI299" s="382">
        <f t="shared" si="556"/>
        <v>0.19999999999999996</v>
      </c>
      <c r="DJ299" s="383">
        <f t="shared" si="556"/>
        <v>0.15000000000000036</v>
      </c>
      <c r="DK299" s="383">
        <f t="shared" si="556"/>
        <v>0.19999999999999973</v>
      </c>
      <c r="DL299" s="383">
        <f t="shared" si="556"/>
        <v>0</v>
      </c>
      <c r="DM299" s="383">
        <f t="shared" si="556"/>
        <v>3.9999999999999813E-2</v>
      </c>
      <c r="DN299" s="383">
        <f t="shared" si="556"/>
        <v>-9.9999999999999756E-2</v>
      </c>
      <c r="DO299" s="383">
        <f t="shared" si="556"/>
        <v>-0.15000000000000002</v>
      </c>
      <c r="DP299" s="383">
        <f t="shared" si="556"/>
        <v>0.25</v>
      </c>
      <c r="DQ299" s="383">
        <v>0.15</v>
      </c>
      <c r="DR299" s="383">
        <v>-0.1</v>
      </c>
      <c r="DS299" s="383">
        <f t="shared" ref="DS299:EH299" si="557">DS298/DR298-1</f>
        <v>-0.14000000000000012</v>
      </c>
      <c r="DT299" s="383">
        <f t="shared" si="557"/>
        <v>-0.1499999999999998</v>
      </c>
      <c r="DU299" s="383">
        <f t="shared" si="557"/>
        <v>-7.0000000000000284E-2</v>
      </c>
      <c r="DV299" s="382">
        <f t="shared" si="557"/>
        <v>-4.99999999999996E-2</v>
      </c>
      <c r="DW299" s="382">
        <f t="shared" si="557"/>
        <v>0</v>
      </c>
      <c r="DX299" s="382">
        <f>DX298/DW298-1</f>
        <v>1.0000000000000009E-2</v>
      </c>
      <c r="DY299" s="382">
        <f t="shared" si="557"/>
        <v>2.0000000000000018E-2</v>
      </c>
      <c r="DZ299" s="382">
        <f t="shared" si="557"/>
        <v>2.0000000000000018E-2</v>
      </c>
      <c r="EA299" s="382">
        <f t="shared" si="557"/>
        <v>9.9999999999999867E-2</v>
      </c>
      <c r="EB299" s="382">
        <f t="shared" si="557"/>
        <v>7.0000000000000062E-2</v>
      </c>
      <c r="EC299" s="382">
        <f t="shared" si="557"/>
        <v>2.0000000000000018E-2</v>
      </c>
      <c r="ED299" s="382">
        <f t="shared" si="557"/>
        <v>1.0000000000000009E-2</v>
      </c>
      <c r="EE299" s="384">
        <f t="shared" si="557"/>
        <v>1.0000000000000009E-2</v>
      </c>
      <c r="EF299" s="384">
        <f t="shared" si="557"/>
        <v>0</v>
      </c>
      <c r="EG299" s="384">
        <f t="shared" si="557"/>
        <v>2.000000000000024E-2</v>
      </c>
      <c r="EH299" s="384">
        <f t="shared" si="557"/>
        <v>-2.0000000000000351E-2</v>
      </c>
      <c r="EI299" s="384">
        <f>EI298/EH298-1</f>
        <v>2.000000000000024E-2</v>
      </c>
      <c r="EJ299" s="384">
        <f>EJ298/EI298-1</f>
        <v>3.0000000000000027E-2</v>
      </c>
      <c r="EK299" s="384">
        <f>EK298/EJ298-1</f>
        <v>3.0000000000000027E-2</v>
      </c>
      <c r="EL299" s="384">
        <f t="shared" ref="EL299" si="558">EL298/EK298-1</f>
        <v>-5.0000000000000044E-2</v>
      </c>
      <c r="EM299" s="384">
        <f>EM298/EL298-1</f>
        <v>2.0000000000000018E-2</v>
      </c>
      <c r="EN299" s="384">
        <f>EN298/EM298-1</f>
        <v>3.0000000000000027E-2</v>
      </c>
      <c r="EO299" s="384">
        <f>EO298/EN298-1</f>
        <v>3.0000000000000027E-2</v>
      </c>
      <c r="EP299" s="384">
        <f t="shared" ref="EP299" si="559">EP298/EO298-1</f>
        <v>-5.0000000000000155E-2</v>
      </c>
      <c r="EQ299" s="384">
        <f>EQ298/EP298-1</f>
        <v>2.000000000000024E-2</v>
      </c>
      <c r="ER299" s="384">
        <f>ER298/EQ298-1</f>
        <v>3.0000000000000027E-2</v>
      </c>
      <c r="ES299" s="384">
        <f>ES298/ER298-1</f>
        <v>3.0000000000000027E-2</v>
      </c>
      <c r="ET299" s="384">
        <f t="shared" ref="ET299" si="560">ET298/ES298-1</f>
        <v>-5.0000000000000044E-2</v>
      </c>
      <c r="EU299" s="384">
        <f>EU298/ET298-1</f>
        <v>2.0000000000000018E-2</v>
      </c>
      <c r="EV299" s="384">
        <f>EV298/EU298-1</f>
        <v>3.0000000000000249E-2</v>
      </c>
      <c r="EW299" s="384">
        <f>EW298/EV298-1</f>
        <v>3.0000000000000249E-2</v>
      </c>
      <c r="FZ299" s="386" t="s">
        <v>199</v>
      </c>
      <c r="GA299" s="386" t="s">
        <v>199</v>
      </c>
      <c r="GB299" s="386" t="s">
        <v>199</v>
      </c>
      <c r="GC299" s="386" t="s">
        <v>199</v>
      </c>
      <c r="GD299" s="386" t="s">
        <v>199</v>
      </c>
      <c r="GE299" s="386" t="s">
        <v>199</v>
      </c>
      <c r="GF299" s="386" t="s">
        <v>199</v>
      </c>
      <c r="GG299" s="467" t="s">
        <v>199</v>
      </c>
      <c r="GH299" s="467" t="s">
        <v>199</v>
      </c>
      <c r="GI299" s="467" t="s">
        <v>199</v>
      </c>
      <c r="GJ299" s="467" t="s">
        <v>199</v>
      </c>
      <c r="GK299" s="467" t="s">
        <v>199</v>
      </c>
      <c r="GN299" s="70"/>
    </row>
    <row r="300" spans="1:213" s="382" customFormat="1">
      <c r="A300" s="381" t="s">
        <v>200</v>
      </c>
      <c r="CH300" s="382">
        <f t="shared" ref="CH300:ES300" si="561">CH298/CD298-1</f>
        <v>-4.6300000000000119E-2</v>
      </c>
      <c r="CI300" s="382">
        <f t="shared" si="561"/>
        <v>-0.23703999999999992</v>
      </c>
      <c r="CJ300" s="382">
        <f t="shared" si="561"/>
        <v>-0.28192000000000006</v>
      </c>
      <c r="CK300" s="382">
        <f t="shared" si="561"/>
        <v>-0.29599999999999993</v>
      </c>
      <c r="CL300" s="382">
        <f t="shared" si="561"/>
        <v>-0.39200000000000002</v>
      </c>
      <c r="CM300" s="382">
        <f t="shared" si="561"/>
        <v>-0.2400000000000001</v>
      </c>
      <c r="CN300" s="382">
        <f t="shared" si="561"/>
        <v>0.1875</v>
      </c>
      <c r="CO300" s="382">
        <f t="shared" si="561"/>
        <v>0.12812499999999982</v>
      </c>
      <c r="CP300" s="382">
        <f t="shared" si="561"/>
        <v>0.30625000000000036</v>
      </c>
      <c r="CQ300" s="382">
        <f t="shared" si="561"/>
        <v>-2.0312499999999845E-2</v>
      </c>
      <c r="CR300" s="382">
        <f t="shared" si="561"/>
        <v>-0.20841249999999989</v>
      </c>
      <c r="CS300" s="382">
        <f t="shared" si="561"/>
        <v>-1.0000000000032205E-4</v>
      </c>
      <c r="CT300" s="382">
        <f t="shared" si="561"/>
        <v>0.19485870180937326</v>
      </c>
      <c r="CU300" s="382">
        <f t="shared" si="561"/>
        <v>0.81549887478503513</v>
      </c>
      <c r="CV300" s="382">
        <f t="shared" si="561"/>
        <v>1.472534829737139</v>
      </c>
      <c r="CW300" s="382">
        <f t="shared" si="561"/>
        <v>1.3716685011610155</v>
      </c>
      <c r="CX300" s="382">
        <f t="shared" si="561"/>
        <v>1.3213748528296998</v>
      </c>
      <c r="CY300" s="382">
        <f t="shared" si="561"/>
        <v>1.2767395738265881</v>
      </c>
      <c r="CZ300" s="382">
        <f t="shared" si="561"/>
        <v>3.428836966954818E-2</v>
      </c>
      <c r="DA300" s="382">
        <f t="shared" si="561"/>
        <v>-5.6508207342387262E-2</v>
      </c>
      <c r="DB300" s="382">
        <f t="shared" si="561"/>
        <v>-0.48667524414986429</v>
      </c>
      <c r="DC300" s="382">
        <f t="shared" si="561"/>
        <v>-0.42589220364770275</v>
      </c>
      <c r="DD300" s="382">
        <f t="shared" si="561"/>
        <v>-3.531250000000008E-2</v>
      </c>
      <c r="DE300" s="382">
        <f t="shared" si="561"/>
        <v>0.37812500000000004</v>
      </c>
      <c r="DF300" s="382">
        <f t="shared" si="561"/>
        <v>0.87031250000000027</v>
      </c>
      <c r="DG300" s="382">
        <f t="shared" si="561"/>
        <v>0.42143750000000013</v>
      </c>
      <c r="DH300" s="382">
        <f t="shared" si="561"/>
        <v>0.35375000000000001</v>
      </c>
      <c r="DI300" s="382">
        <f t="shared" si="561"/>
        <v>8.2999999999999963E-2</v>
      </c>
      <c r="DJ300" s="383">
        <f t="shared" si="561"/>
        <v>0.31100000000000017</v>
      </c>
      <c r="DK300" s="383">
        <f t="shared" si="561"/>
        <v>0.65600000000000014</v>
      </c>
      <c r="DL300" s="383">
        <f t="shared" si="561"/>
        <v>0.65599999999999992</v>
      </c>
      <c r="DM300" s="383">
        <f t="shared" si="561"/>
        <v>0.43519999999999981</v>
      </c>
      <c r="DN300" s="383">
        <f t="shared" si="561"/>
        <v>0.12319999999999975</v>
      </c>
      <c r="DO300" s="383">
        <f t="shared" si="561"/>
        <v>-0.20440000000000003</v>
      </c>
      <c r="DP300" s="383">
        <f t="shared" si="561"/>
        <v>-5.4999999999998384E-3</v>
      </c>
      <c r="DQ300" s="383">
        <f t="shared" si="561"/>
        <v>0.19531250000000044</v>
      </c>
      <c r="DR300" s="383">
        <f t="shared" si="561"/>
        <v>0.52734374999999978</v>
      </c>
      <c r="DS300" s="383">
        <f t="shared" si="561"/>
        <v>0.54531249999999964</v>
      </c>
      <c r="DT300" s="383">
        <f t="shared" si="561"/>
        <v>5.0812499999999927E-2</v>
      </c>
      <c r="DU300" s="383">
        <f t="shared" si="561"/>
        <v>-0.21819550000000032</v>
      </c>
      <c r="DV300" s="382">
        <f t="shared" si="561"/>
        <v>-0.35416149999999991</v>
      </c>
      <c r="DW300" s="382">
        <f t="shared" si="561"/>
        <v>-0.24902499999999994</v>
      </c>
      <c r="DX300" s="382">
        <f t="shared" si="561"/>
        <v>-0.10766500000000012</v>
      </c>
      <c r="DY300" s="382">
        <f t="shared" si="561"/>
        <v>-2.1309999999999718E-2</v>
      </c>
      <c r="DZ300" s="382">
        <f t="shared" si="561"/>
        <v>5.0803999999999849E-2</v>
      </c>
      <c r="EA300" s="382">
        <f t="shared" si="561"/>
        <v>0.15588440000000015</v>
      </c>
      <c r="EB300" s="382">
        <f t="shared" si="561"/>
        <v>0.22455080000000005</v>
      </c>
      <c r="EC300" s="382">
        <f t="shared" si="561"/>
        <v>0.22455080000000027</v>
      </c>
      <c r="ED300" s="382">
        <f t="shared" si="561"/>
        <v>0.2125454</v>
      </c>
      <c r="EE300" s="384">
        <f t="shared" si="561"/>
        <v>0.11333714000000006</v>
      </c>
      <c r="EF300" s="384">
        <f t="shared" si="561"/>
        <v>4.0502000000000038E-2</v>
      </c>
      <c r="EG300" s="384">
        <f t="shared" si="561"/>
        <v>4.050200000000026E-2</v>
      </c>
      <c r="EH300" s="384">
        <f t="shared" si="561"/>
        <v>9.5959999999999379E-3</v>
      </c>
      <c r="EI300" s="384">
        <f t="shared" si="561"/>
        <v>1.9592000000000054E-2</v>
      </c>
      <c r="EJ300" s="384">
        <f t="shared" si="561"/>
        <v>5.017976000000024E-2</v>
      </c>
      <c r="EK300" s="384">
        <f t="shared" si="561"/>
        <v>6.0475639999999942E-2</v>
      </c>
      <c r="EL300" s="384">
        <f t="shared" si="561"/>
        <v>2.8012100000000206E-2</v>
      </c>
      <c r="EM300" s="384">
        <f t="shared" si="561"/>
        <v>2.8012099999999984E-2</v>
      </c>
      <c r="EN300" s="384">
        <f t="shared" si="561"/>
        <v>2.8012099999999984E-2</v>
      </c>
      <c r="EO300" s="384">
        <f t="shared" si="561"/>
        <v>2.8012099999999984E-2</v>
      </c>
      <c r="EP300" s="384">
        <f t="shared" si="561"/>
        <v>2.8012099999999984E-2</v>
      </c>
      <c r="EQ300" s="384">
        <f t="shared" si="561"/>
        <v>2.8012099999999984E-2</v>
      </c>
      <c r="ER300" s="384">
        <f t="shared" si="561"/>
        <v>2.8012099999999984E-2</v>
      </c>
      <c r="ES300" s="384">
        <f t="shared" si="561"/>
        <v>2.8012099999999984E-2</v>
      </c>
      <c r="ET300" s="384">
        <f t="shared" ref="ET300:EW300" si="562">ET298/EP298-1</f>
        <v>2.8012100000000206E-2</v>
      </c>
      <c r="EU300" s="384">
        <f t="shared" si="562"/>
        <v>2.8012099999999984E-2</v>
      </c>
      <c r="EV300" s="384">
        <f t="shared" si="562"/>
        <v>2.8012100000000206E-2</v>
      </c>
      <c r="EW300" s="384">
        <f t="shared" si="562"/>
        <v>2.8012100000000206E-2</v>
      </c>
      <c r="FV300" s="382">
        <f t="shared" ref="FV300:GK300" si="563">FV298/FU298-1</f>
        <v>-0.15071051180298889</v>
      </c>
      <c r="FW300" s="382">
        <f t="shared" si="563"/>
        <v>-2.748860395369257E-3</v>
      </c>
      <c r="FX300" s="382">
        <f t="shared" si="563"/>
        <v>1.0348944214428508</v>
      </c>
      <c r="FY300" s="382">
        <f t="shared" si="563"/>
        <v>0.52423411058103997</v>
      </c>
      <c r="FZ300" s="382">
        <f t="shared" si="563"/>
        <v>-0.20910305226769788</v>
      </c>
      <c r="GA300" s="382">
        <f t="shared" si="563"/>
        <v>0.28661774292223807</v>
      </c>
      <c r="GB300" s="382">
        <f t="shared" si="563"/>
        <v>0.51898677414872552</v>
      </c>
      <c r="GC300" s="382">
        <f t="shared" si="563"/>
        <v>-3.8046036164004482E-2</v>
      </c>
      <c r="GD300" s="382">
        <f t="shared" si="563"/>
        <v>0.20344789359291271</v>
      </c>
      <c r="GE300" s="382">
        <f t="shared" si="563"/>
        <v>-0.17183673704210345</v>
      </c>
      <c r="GF300" s="382">
        <f t="shared" si="563"/>
        <v>0.19227305111556658</v>
      </c>
      <c r="GG300" s="387">
        <f t="shared" si="563"/>
        <v>6.9723711070361016E-2</v>
      </c>
      <c r="GH300" s="387">
        <f t="shared" si="563"/>
        <v>3.7772582687246814E-2</v>
      </c>
      <c r="GI300" s="387">
        <f t="shared" si="563"/>
        <v>2.8012099999999984E-2</v>
      </c>
      <c r="GJ300" s="387">
        <f t="shared" si="563"/>
        <v>2.8012100000000206E-2</v>
      </c>
      <c r="GK300" s="387">
        <f t="shared" si="563"/>
        <v>2.8012100000000206E-2</v>
      </c>
      <c r="GN300" s="70"/>
    </row>
    <row r="301" spans="1:213" s="379" customFormat="1">
      <c r="A301" s="395" t="s">
        <v>289</v>
      </c>
      <c r="BJ301" s="376"/>
      <c r="BK301" s="376"/>
      <c r="BL301" s="376"/>
      <c r="BM301" s="376"/>
      <c r="BN301" s="376"/>
      <c r="BO301" s="376"/>
      <c r="BP301" s="376"/>
      <c r="BQ301" s="376"/>
      <c r="BR301" s="376"/>
      <c r="BS301" s="376"/>
      <c r="BT301" s="376"/>
      <c r="BU301" s="376"/>
      <c r="BV301" s="376"/>
      <c r="BW301" s="376"/>
      <c r="BX301" s="376"/>
      <c r="BY301" s="376"/>
      <c r="BZ301" s="376"/>
      <c r="CA301" s="376"/>
      <c r="CB301" s="376"/>
      <c r="CC301" s="376"/>
      <c r="CD301" s="376">
        <v>50</v>
      </c>
      <c r="CE301" s="376">
        <f t="shared" ref="CE301:DD301" si="564">+CD301*(1+CE302)</f>
        <v>50</v>
      </c>
      <c r="CF301" s="376">
        <f t="shared" si="564"/>
        <v>42.5</v>
      </c>
      <c r="CG301" s="376">
        <f t="shared" si="564"/>
        <v>43.35</v>
      </c>
      <c r="CH301" s="376">
        <f t="shared" si="564"/>
        <v>47.685000000000002</v>
      </c>
      <c r="CI301" s="376">
        <f t="shared" si="564"/>
        <v>38.148000000000003</v>
      </c>
      <c r="CJ301" s="376">
        <f t="shared" si="564"/>
        <v>30.518400000000003</v>
      </c>
      <c r="CK301" s="376">
        <f t="shared" si="564"/>
        <v>30.518400000000003</v>
      </c>
      <c r="CL301" s="376">
        <f t="shared" si="564"/>
        <v>28.99248</v>
      </c>
      <c r="CM301" s="376">
        <f t="shared" si="564"/>
        <v>28.99248</v>
      </c>
      <c r="CN301" s="376">
        <f t="shared" si="564"/>
        <v>36.240600000000001</v>
      </c>
      <c r="CO301" s="376">
        <f t="shared" si="564"/>
        <v>34.428570000000001</v>
      </c>
      <c r="CP301" s="376">
        <f t="shared" si="564"/>
        <v>37.871427000000004</v>
      </c>
      <c r="CQ301" s="376">
        <f t="shared" si="564"/>
        <v>28.403570250000001</v>
      </c>
      <c r="CR301" s="376">
        <f t="shared" si="564"/>
        <v>28.6876059525</v>
      </c>
      <c r="CS301" s="376">
        <f t="shared" si="564"/>
        <v>34.425127142999997</v>
      </c>
      <c r="CT301" s="376">
        <f t="shared" si="564"/>
        <v>39.588896214449996</v>
      </c>
      <c r="CU301" s="376">
        <f t="shared" si="564"/>
        <v>41.568341025172494</v>
      </c>
      <c r="CV301" s="376">
        <f t="shared" si="564"/>
        <v>56.117260383982867</v>
      </c>
      <c r="CW301" s="376">
        <f t="shared" si="564"/>
        <v>64.534849441580292</v>
      </c>
      <c r="CX301" s="376">
        <f t="shared" si="564"/>
        <v>93.575531690291413</v>
      </c>
      <c r="CY301" s="376">
        <f t="shared" si="564"/>
        <v>104.8045954931264</v>
      </c>
      <c r="CZ301" s="376">
        <f t="shared" si="564"/>
        <v>73.363216845188475</v>
      </c>
      <c r="DA301" s="376">
        <f t="shared" si="564"/>
        <v>77.0313776874479</v>
      </c>
      <c r="DB301" s="376">
        <f t="shared" si="564"/>
        <v>53.921964381213527</v>
      </c>
      <c r="DC301" s="376">
        <f t="shared" si="564"/>
        <v>67.402455476516906</v>
      </c>
      <c r="DD301" s="376">
        <f t="shared" si="564"/>
        <v>70.772578250342761</v>
      </c>
      <c r="DE301" s="376">
        <f>DD301*(1+DE302)</f>
        <v>106.15886737551415</v>
      </c>
      <c r="DF301" s="376">
        <f t="shared" ref="DF301:EH301" si="565">DE301*(1+DF302)</f>
        <v>100.85092400673844</v>
      </c>
      <c r="DG301" s="376">
        <f t="shared" si="565"/>
        <v>95.808377806401509</v>
      </c>
      <c r="DH301" s="376">
        <f t="shared" si="565"/>
        <v>95.808377806401509</v>
      </c>
      <c r="DI301" s="376">
        <f t="shared" si="565"/>
        <v>114.97005336768181</v>
      </c>
      <c r="DJ301" s="397">
        <f>DI301*(1+DJ302)</f>
        <v>132.21556137283409</v>
      </c>
      <c r="DK301" s="397">
        <f t="shared" si="565"/>
        <v>158.65867364740089</v>
      </c>
      <c r="DL301" s="397">
        <f t="shared" si="565"/>
        <v>158.65867364740089</v>
      </c>
      <c r="DM301" s="397">
        <f t="shared" si="565"/>
        <v>165.00502059329693</v>
      </c>
      <c r="DN301" s="397">
        <f t="shared" si="565"/>
        <v>148.50451853396726</v>
      </c>
      <c r="DO301" s="397">
        <f t="shared" si="565"/>
        <v>126.22884075387216</v>
      </c>
      <c r="DP301" s="397">
        <f t="shared" si="565"/>
        <v>157.78605094234021</v>
      </c>
      <c r="DQ301" s="397">
        <f>DP301*(1+DQ302)</f>
        <v>197.23256367792527</v>
      </c>
      <c r="DR301" s="397">
        <f t="shared" si="565"/>
        <v>226.81744822961403</v>
      </c>
      <c r="DS301" s="397">
        <f t="shared" si="565"/>
        <v>195.06300547746807</v>
      </c>
      <c r="DT301" s="397">
        <f t="shared" si="565"/>
        <v>165.80355465584785</v>
      </c>
      <c r="DU301" s="397">
        <f t="shared" si="565"/>
        <v>154.1973058299385</v>
      </c>
      <c r="DV301" s="376">
        <f t="shared" si="565"/>
        <v>146.48744053844158</v>
      </c>
      <c r="DW301" s="376">
        <f t="shared" si="565"/>
        <v>146.48744053844158</v>
      </c>
      <c r="DX301" s="376">
        <f>DW301*(1+DX302)</f>
        <v>147.952314943826</v>
      </c>
      <c r="DY301" s="376">
        <f t="shared" si="565"/>
        <v>150.91136124270253</v>
      </c>
      <c r="DZ301" s="376">
        <f t="shared" si="565"/>
        <v>153.92958846755658</v>
      </c>
      <c r="EA301" s="376">
        <f t="shared" si="565"/>
        <v>169.32254731431226</v>
      </c>
      <c r="EB301" s="376">
        <f t="shared" si="565"/>
        <v>181.17512562631413</v>
      </c>
      <c r="EC301" s="376">
        <f t="shared" si="565"/>
        <v>184.7986281388404</v>
      </c>
      <c r="ED301" s="376">
        <f t="shared" si="565"/>
        <v>186.64661442022881</v>
      </c>
      <c r="EE301" s="380">
        <f t="shared" si="565"/>
        <v>188.51308056443111</v>
      </c>
      <c r="EF301" s="380">
        <f t="shared" si="565"/>
        <v>188.51308056443111</v>
      </c>
      <c r="EG301" s="380">
        <f t="shared" si="565"/>
        <v>192.28334217571972</v>
      </c>
      <c r="EH301" s="380">
        <f t="shared" si="565"/>
        <v>188.43767533220532</v>
      </c>
      <c r="EI301" s="380">
        <f>EH301*(1+EI302)</f>
        <v>192.20642883884943</v>
      </c>
      <c r="EJ301" s="380">
        <f>EI301*(1+EJ302)</f>
        <v>197.97262170401493</v>
      </c>
      <c r="EK301" s="380">
        <f>EJ301*(1+EK302)</f>
        <v>203.91180035513537</v>
      </c>
      <c r="EL301" s="380">
        <f t="shared" ref="EL301" si="566">EK301*(1+EL302)</f>
        <v>193.71621033737858</v>
      </c>
      <c r="EM301" s="380">
        <f>EL301*(1+EM302)</f>
        <v>197.59053454412617</v>
      </c>
      <c r="EN301" s="380">
        <f>EM301*(1+EN302)</f>
        <v>203.51825058044997</v>
      </c>
      <c r="EO301" s="380">
        <f>EN301*(1+EO302)</f>
        <v>209.62379809786347</v>
      </c>
      <c r="EP301" s="380">
        <f t="shared" ref="EP301" si="567">EO301*(1+EP302)</f>
        <v>199.1426081929703</v>
      </c>
      <c r="EQ301" s="380">
        <f>EP301*(1+EQ302)</f>
        <v>203.12546035682971</v>
      </c>
      <c r="ER301" s="380">
        <f>EQ301*(1+ER302)</f>
        <v>209.21922416753461</v>
      </c>
      <c r="ES301" s="380">
        <f>ER301*(1+ES302)</f>
        <v>215.49580089256065</v>
      </c>
      <c r="ET301" s="380">
        <f t="shared" ref="ET301" si="568">ES301*(1+ET302)</f>
        <v>204.7210108479326</v>
      </c>
      <c r="EU301" s="380">
        <f>ET301*(1+EU302)</f>
        <v>208.81543106489127</v>
      </c>
      <c r="EV301" s="380">
        <f>EU301*(1+EV302)</f>
        <v>215.07989399683802</v>
      </c>
      <c r="EW301" s="380">
        <f>EV301*(1+EW302)</f>
        <v>221.53229081674317</v>
      </c>
      <c r="EZ301" s="376"/>
      <c r="FA301" s="376"/>
      <c r="FB301" s="376"/>
      <c r="FC301" s="376"/>
      <c r="FD301" s="376"/>
      <c r="FE301" s="376"/>
      <c r="FF301" s="376"/>
      <c r="FG301" s="376"/>
      <c r="FH301" s="376"/>
      <c r="FI301" s="376"/>
      <c r="FJ301" s="376"/>
      <c r="FK301" s="376"/>
      <c r="FL301" s="376"/>
      <c r="FM301" s="376"/>
      <c r="FN301" s="376"/>
      <c r="FO301" s="376"/>
      <c r="FP301" s="376"/>
      <c r="FQ301" s="376"/>
      <c r="FR301" s="376"/>
      <c r="FS301" s="376"/>
      <c r="FT301" s="376"/>
      <c r="FU301" s="376">
        <f>FU254/FU279*1000</f>
        <v>38.026444071020926</v>
      </c>
      <c r="FV301" s="376">
        <f>FV254/FV279*1000</f>
        <v>32.295459223029631</v>
      </c>
      <c r="FW301" s="376">
        <f>FW254/FW279*1000</f>
        <v>32.206683514221183</v>
      </c>
      <c r="FX301" s="376">
        <f>FX254/FX279*1000</f>
        <v>51.990980441952388</v>
      </c>
      <c r="FY301" s="376">
        <f>FY254/FY279*1000</f>
        <v>91.041878458047677</v>
      </c>
      <c r="FZ301" s="376">
        <f>FZ254/FZ279*1000</f>
        <v>79.00588871580976</v>
      </c>
      <c r="GA301" s="376">
        <f>GA254/GA279*1000</f>
        <v>101.65037821710068</v>
      </c>
      <c r="GB301" s="376">
        <f>GB254/GB279*1000</f>
        <v>154.40558009899163</v>
      </c>
      <c r="GC301" s="376">
        <f>GC254/GC279*1000</f>
        <v>148.5310598146213</v>
      </c>
      <c r="GD301" s="376">
        <f>GD254/GD279*1000</f>
        <v>178.74939106702894</v>
      </c>
      <c r="GE301" s="376">
        <f>GE254/GE279*1000</f>
        <v>148.03367895780778</v>
      </c>
      <c r="GF301" s="376">
        <f>GF254/GF279*1000</f>
        <v>176.49656607888772</v>
      </c>
      <c r="GG301" s="380">
        <f>GG254/GG279*1000</f>
        <v>188.80256165708298</v>
      </c>
      <c r="GH301" s="380">
        <f>GH254/GH279*1000</f>
        <v>195.93412202883914</v>
      </c>
      <c r="GI301" s="380">
        <f>GI254/GI279*1000</f>
        <v>201.42264824852319</v>
      </c>
      <c r="GJ301" s="380">
        <f>GJ254/GJ279*1000</f>
        <v>207.06491961352569</v>
      </c>
      <c r="GK301" s="380">
        <f>GK254/GK279*1000</f>
        <v>212.86524284823176</v>
      </c>
      <c r="GL301" s="427"/>
      <c r="GM301" s="427"/>
      <c r="GN301" s="70"/>
    </row>
    <row r="302" spans="1:213" s="382" customFormat="1">
      <c r="A302" s="396" t="s">
        <v>198</v>
      </c>
      <c r="CE302" s="382">
        <v>0</v>
      </c>
      <c r="CF302" s="382">
        <v>-0.15</v>
      </c>
      <c r="CG302" s="382">
        <v>0.02</v>
      </c>
      <c r="CH302" s="382">
        <v>0.1</v>
      </c>
      <c r="CI302" s="382">
        <v>-0.2</v>
      </c>
      <c r="CJ302" s="382">
        <v>-0.2</v>
      </c>
      <c r="CK302" s="382">
        <v>0</v>
      </c>
      <c r="CL302" s="382">
        <v>-0.05</v>
      </c>
      <c r="CM302" s="382">
        <v>0</v>
      </c>
      <c r="CN302" s="382">
        <v>0.25</v>
      </c>
      <c r="CO302" s="382">
        <v>-0.05</v>
      </c>
      <c r="CP302" s="382">
        <v>0.1</v>
      </c>
      <c r="CQ302" s="382">
        <v>-0.25</v>
      </c>
      <c r="CR302" s="382">
        <v>0.01</v>
      </c>
      <c r="CS302" s="382">
        <v>0.2</v>
      </c>
      <c r="CT302" s="382">
        <v>0.15</v>
      </c>
      <c r="CU302" s="382">
        <v>0.05</v>
      </c>
      <c r="CV302" s="382">
        <v>0.35</v>
      </c>
      <c r="CW302" s="382">
        <v>0.15</v>
      </c>
      <c r="CX302" s="382">
        <v>0.45</v>
      </c>
      <c r="CY302" s="382">
        <v>0.12</v>
      </c>
      <c r="CZ302" s="382">
        <v>-0.3</v>
      </c>
      <c r="DA302" s="382">
        <v>0.05</v>
      </c>
      <c r="DB302" s="382">
        <v>-0.3</v>
      </c>
      <c r="DC302" s="382">
        <v>0.25</v>
      </c>
      <c r="DD302" s="382">
        <v>0.05</v>
      </c>
      <c r="DE302" s="382">
        <v>0.5</v>
      </c>
      <c r="DF302" s="382">
        <v>-0.05</v>
      </c>
      <c r="DG302" s="382">
        <v>-0.05</v>
      </c>
      <c r="DH302" s="382">
        <v>0</v>
      </c>
      <c r="DI302" s="382">
        <v>0.2</v>
      </c>
      <c r="DJ302" s="383">
        <v>0.15</v>
      </c>
      <c r="DK302" s="383">
        <v>0.2</v>
      </c>
      <c r="DL302" s="383">
        <v>0</v>
      </c>
      <c r="DM302" s="383">
        <v>0.04</v>
      </c>
      <c r="DN302" s="383">
        <v>-0.1</v>
      </c>
      <c r="DO302" s="383">
        <v>-0.15</v>
      </c>
      <c r="DP302" s="383">
        <v>0.25</v>
      </c>
      <c r="DQ302" s="383">
        <v>0.25</v>
      </c>
      <c r="DR302" s="383">
        <v>0.15</v>
      </c>
      <c r="DS302" s="383">
        <v>-0.14000000000000001</v>
      </c>
      <c r="DT302" s="383">
        <v>-0.15</v>
      </c>
      <c r="DU302" s="383">
        <v>-7.0000000000000007E-2</v>
      </c>
      <c r="DV302" s="382">
        <v>-0.05</v>
      </c>
      <c r="DW302" s="382">
        <v>0</v>
      </c>
      <c r="DX302" s="382">
        <v>0.01</v>
      </c>
      <c r="DY302" s="382">
        <v>0.02</v>
      </c>
      <c r="DZ302" s="382">
        <v>0.02</v>
      </c>
      <c r="EA302" s="382">
        <v>0.1</v>
      </c>
      <c r="EB302" s="382">
        <v>7.0000000000000007E-2</v>
      </c>
      <c r="EC302" s="382">
        <v>0.02</v>
      </c>
      <c r="ED302" s="382">
        <v>0.01</v>
      </c>
      <c r="EE302" s="384">
        <v>0.01</v>
      </c>
      <c r="EF302" s="384">
        <v>0</v>
      </c>
      <c r="EG302" s="384">
        <v>0.02</v>
      </c>
      <c r="EH302" s="384">
        <v>-0.02</v>
      </c>
      <c r="EI302" s="384">
        <v>0.02</v>
      </c>
      <c r="EJ302" s="384">
        <v>0.03</v>
      </c>
      <c r="EK302" s="384">
        <v>0.03</v>
      </c>
      <c r="EL302" s="384">
        <v>-0.05</v>
      </c>
      <c r="EM302" s="384">
        <v>0.02</v>
      </c>
      <c r="EN302" s="384">
        <v>0.03</v>
      </c>
      <c r="EO302" s="384">
        <v>0.03</v>
      </c>
      <c r="EP302" s="384">
        <v>-0.05</v>
      </c>
      <c r="EQ302" s="384">
        <v>0.02</v>
      </c>
      <c r="ER302" s="384">
        <v>0.03</v>
      </c>
      <c r="ES302" s="384">
        <v>0.03</v>
      </c>
      <c r="ET302" s="384">
        <v>-0.05</v>
      </c>
      <c r="EU302" s="384">
        <v>0.02</v>
      </c>
      <c r="EV302" s="384">
        <v>0.03</v>
      </c>
      <c r="EW302" s="384">
        <v>0.03</v>
      </c>
      <c r="FZ302" s="386" t="s">
        <v>199</v>
      </c>
      <c r="GA302" s="386" t="s">
        <v>199</v>
      </c>
      <c r="GB302" s="386" t="s">
        <v>199</v>
      </c>
      <c r="GC302" s="386" t="s">
        <v>199</v>
      </c>
      <c r="GD302" s="386" t="s">
        <v>199</v>
      </c>
      <c r="GE302" s="386" t="s">
        <v>199</v>
      </c>
      <c r="GF302" s="386" t="s">
        <v>199</v>
      </c>
      <c r="GG302" s="386" t="s">
        <v>199</v>
      </c>
      <c r="GH302" s="386" t="s">
        <v>199</v>
      </c>
      <c r="GI302" s="386" t="s">
        <v>199</v>
      </c>
      <c r="GJ302" s="386" t="s">
        <v>199</v>
      </c>
      <c r="GK302" s="386" t="s">
        <v>199</v>
      </c>
      <c r="GN302" s="70"/>
    </row>
    <row r="303" spans="1:213" s="382" customFormat="1">
      <c r="A303" s="396" t="s">
        <v>200</v>
      </c>
      <c r="CH303" s="382">
        <f t="shared" ref="CH303:DM303" si="569">CH301/CD301-1</f>
        <v>-4.6300000000000008E-2</v>
      </c>
      <c r="CI303" s="382">
        <f t="shared" si="569"/>
        <v>-0.23703999999999992</v>
      </c>
      <c r="CJ303" s="382">
        <f t="shared" si="569"/>
        <v>-0.28191999999999995</v>
      </c>
      <c r="CK303" s="382">
        <f t="shared" si="569"/>
        <v>-0.29599999999999993</v>
      </c>
      <c r="CL303" s="382">
        <f t="shared" si="569"/>
        <v>-0.39200000000000002</v>
      </c>
      <c r="CM303" s="382">
        <f t="shared" si="569"/>
        <v>-0.2400000000000001</v>
      </c>
      <c r="CN303" s="382">
        <f t="shared" si="569"/>
        <v>0.1875</v>
      </c>
      <c r="CO303" s="382">
        <f t="shared" si="569"/>
        <v>0.12812499999999982</v>
      </c>
      <c r="CP303" s="382">
        <f t="shared" si="569"/>
        <v>0.30625000000000013</v>
      </c>
      <c r="CQ303" s="382">
        <f t="shared" si="569"/>
        <v>-2.0312499999999956E-2</v>
      </c>
      <c r="CR303" s="382">
        <f t="shared" si="569"/>
        <v>-0.2084125</v>
      </c>
      <c r="CS303" s="382">
        <f t="shared" si="569"/>
        <v>-1.0000000000010001E-4</v>
      </c>
      <c r="CT303" s="382">
        <f t="shared" si="569"/>
        <v>4.5349999999999779E-2</v>
      </c>
      <c r="CU303" s="382">
        <f t="shared" si="569"/>
        <v>0.46348999999999974</v>
      </c>
      <c r="CV303" s="382">
        <f t="shared" si="569"/>
        <v>0.95614999999999961</v>
      </c>
      <c r="CW303" s="382">
        <f t="shared" si="569"/>
        <v>0.87464374999999972</v>
      </c>
      <c r="CX303" s="382">
        <f t="shared" si="569"/>
        <v>1.3636812499999995</v>
      </c>
      <c r="CY303" s="382">
        <f t="shared" si="569"/>
        <v>1.5212599999999998</v>
      </c>
      <c r="CZ303" s="382">
        <f t="shared" si="569"/>
        <v>0.30731999999999982</v>
      </c>
      <c r="DA303" s="382">
        <f t="shared" si="569"/>
        <v>0.19364000000000003</v>
      </c>
      <c r="DB303" s="382">
        <f t="shared" si="569"/>
        <v>-0.42375999999999991</v>
      </c>
      <c r="DC303" s="382">
        <f t="shared" si="569"/>
        <v>-0.35687500000000005</v>
      </c>
      <c r="DD303" s="382">
        <f t="shared" si="569"/>
        <v>-3.5312499999999969E-2</v>
      </c>
      <c r="DE303" s="382">
        <f t="shared" si="569"/>
        <v>0.37812500000000004</v>
      </c>
      <c r="DF303" s="382">
        <f t="shared" si="569"/>
        <v>0.87031250000000027</v>
      </c>
      <c r="DG303" s="382">
        <f t="shared" si="569"/>
        <v>0.42143750000000013</v>
      </c>
      <c r="DH303" s="382">
        <f t="shared" si="569"/>
        <v>0.35375000000000001</v>
      </c>
      <c r="DI303" s="382">
        <f t="shared" si="569"/>
        <v>8.2999999999999963E-2</v>
      </c>
      <c r="DJ303" s="383">
        <f t="shared" si="569"/>
        <v>0.31099999999999994</v>
      </c>
      <c r="DK303" s="383">
        <f t="shared" si="569"/>
        <v>0.65599999999999992</v>
      </c>
      <c r="DL303" s="383">
        <f t="shared" si="569"/>
        <v>0.65599999999999992</v>
      </c>
      <c r="DM303" s="383">
        <f t="shared" si="569"/>
        <v>0.43520000000000003</v>
      </c>
      <c r="DN303" s="383">
        <f>DN301/DJ301-1</f>
        <v>0.12319999999999998</v>
      </c>
      <c r="DO303" s="383">
        <f>DO301/DK301-1</f>
        <v>-0.20439999999999992</v>
      </c>
      <c r="DP303" s="383">
        <f>DP301/DL301-1</f>
        <v>-5.4999999999998384E-3</v>
      </c>
      <c r="DQ303" s="383">
        <f>DQ301/DM301-1</f>
        <v>0.19531250000000022</v>
      </c>
      <c r="DR303" s="383">
        <f t="shared" ref="DR303:EW303" si="570">DR301/DN301-1</f>
        <v>0.52734374999999978</v>
      </c>
      <c r="DS303" s="383">
        <f t="shared" si="570"/>
        <v>0.54531249999999987</v>
      </c>
      <c r="DT303" s="383">
        <f t="shared" si="570"/>
        <v>5.0812499999999927E-2</v>
      </c>
      <c r="DU303" s="383">
        <f t="shared" si="570"/>
        <v>-0.2181955000000001</v>
      </c>
      <c r="DV303" s="383">
        <f t="shared" si="570"/>
        <v>-0.35416150000000002</v>
      </c>
      <c r="DW303" s="383">
        <f t="shared" si="570"/>
        <v>-0.24902500000000005</v>
      </c>
      <c r="DX303" s="383">
        <f t="shared" si="570"/>
        <v>-0.1076649999999999</v>
      </c>
      <c r="DY303" s="383">
        <f t="shared" si="570"/>
        <v>-2.130999999999994E-2</v>
      </c>
      <c r="DZ303" s="383">
        <f t="shared" si="570"/>
        <v>5.0804000000000071E-2</v>
      </c>
      <c r="EA303" s="383">
        <f t="shared" si="570"/>
        <v>0.15588440000000037</v>
      </c>
      <c r="EB303" s="383">
        <f t="shared" si="570"/>
        <v>0.22455080000000027</v>
      </c>
      <c r="EC303" s="383">
        <f t="shared" si="570"/>
        <v>0.22455080000000027</v>
      </c>
      <c r="ED303" s="383">
        <f t="shared" si="570"/>
        <v>0.21254540000000022</v>
      </c>
      <c r="EE303" s="384">
        <f t="shared" si="570"/>
        <v>0.11333714000000006</v>
      </c>
      <c r="EF303" s="384">
        <f t="shared" si="570"/>
        <v>4.0502000000000038E-2</v>
      </c>
      <c r="EG303" s="384">
        <f t="shared" si="570"/>
        <v>4.0502000000000038E-2</v>
      </c>
      <c r="EH303" s="384">
        <f t="shared" si="570"/>
        <v>9.5959999999999379E-3</v>
      </c>
      <c r="EI303" s="384">
        <f t="shared" si="570"/>
        <v>1.9592000000000054E-2</v>
      </c>
      <c r="EJ303" s="384">
        <f t="shared" si="570"/>
        <v>5.0179760000000018E-2</v>
      </c>
      <c r="EK303" s="384">
        <f t="shared" si="570"/>
        <v>6.0475639999999942E-2</v>
      </c>
      <c r="EL303" s="384">
        <f t="shared" si="570"/>
        <v>2.8012099999999984E-2</v>
      </c>
      <c r="EM303" s="384">
        <f t="shared" si="570"/>
        <v>2.8012099999999984E-2</v>
      </c>
      <c r="EN303" s="384">
        <f t="shared" si="570"/>
        <v>2.8012099999999984E-2</v>
      </c>
      <c r="EO303" s="384">
        <f t="shared" si="570"/>
        <v>2.8012099999999984E-2</v>
      </c>
      <c r="EP303" s="384">
        <f t="shared" si="570"/>
        <v>2.8012100000000206E-2</v>
      </c>
      <c r="EQ303" s="384">
        <f t="shared" si="570"/>
        <v>2.8012099999999984E-2</v>
      </c>
      <c r="ER303" s="384">
        <f t="shared" si="570"/>
        <v>2.8012099999999984E-2</v>
      </c>
      <c r="ES303" s="384">
        <f t="shared" si="570"/>
        <v>2.8012099999999984E-2</v>
      </c>
      <c r="ET303" s="384">
        <f t="shared" si="570"/>
        <v>2.8012099999999984E-2</v>
      </c>
      <c r="EU303" s="384">
        <f t="shared" si="570"/>
        <v>2.8012099999999984E-2</v>
      </c>
      <c r="EV303" s="384">
        <f t="shared" si="570"/>
        <v>2.8012100000000206E-2</v>
      </c>
      <c r="EW303" s="384">
        <f t="shared" si="570"/>
        <v>2.8012099999999984E-2</v>
      </c>
      <c r="FV303" s="382">
        <f t="shared" ref="FV303:GF303" si="571">FV301/FU301-1</f>
        <v>-0.15071051180298889</v>
      </c>
      <c r="FW303" s="382">
        <f t="shared" si="571"/>
        <v>-2.748860395369257E-3</v>
      </c>
      <c r="FX303" s="382">
        <f t="shared" si="571"/>
        <v>0.61429165530177143</v>
      </c>
      <c r="FY303" s="382">
        <f t="shared" si="571"/>
        <v>0.75110909015642391</v>
      </c>
      <c r="FZ303" s="382">
        <f t="shared" si="571"/>
        <v>-0.13220278344524861</v>
      </c>
      <c r="GA303" s="382">
        <f t="shared" si="571"/>
        <v>0.28661774292223807</v>
      </c>
      <c r="GB303" s="382">
        <f t="shared" si="571"/>
        <v>0.51898677414872552</v>
      </c>
      <c r="GC303" s="382">
        <f t="shared" si="571"/>
        <v>-3.8046036164004482E-2</v>
      </c>
      <c r="GD303" s="382">
        <f t="shared" si="571"/>
        <v>0.20344789359291271</v>
      </c>
      <c r="GE303" s="382">
        <f t="shared" si="571"/>
        <v>-0.17183673704210345</v>
      </c>
      <c r="GF303" s="382">
        <f t="shared" si="571"/>
        <v>0.19227305111556658</v>
      </c>
      <c r="GG303" s="387">
        <f>GG301/GF301-1</f>
        <v>6.9723711070361016E-2</v>
      </c>
      <c r="GH303" s="387">
        <f>GH301/GG301-1</f>
        <v>3.7772582687246814E-2</v>
      </c>
      <c r="GI303" s="387">
        <f t="shared" ref="GI303:GK303" si="572">GI301/GH301-1</f>
        <v>2.8012099999999984E-2</v>
      </c>
      <c r="GJ303" s="387">
        <f t="shared" si="572"/>
        <v>2.8012100000000206E-2</v>
      </c>
      <c r="GK303" s="387">
        <f t="shared" si="572"/>
        <v>2.8012100000000206E-2</v>
      </c>
      <c r="GN303" s="70"/>
    </row>
    <row r="304" spans="1:213" s="379" customFormat="1">
      <c r="A304" s="395" t="s">
        <v>290</v>
      </c>
      <c r="CT304" s="376">
        <v>150</v>
      </c>
      <c r="CU304" s="376">
        <v>150</v>
      </c>
      <c r="CV304" s="376">
        <v>150</v>
      </c>
      <c r="CW304" s="376">
        <v>150</v>
      </c>
      <c r="CX304" s="376">
        <v>250</v>
      </c>
      <c r="CY304" s="376">
        <v>250</v>
      </c>
      <c r="CZ304" s="376">
        <v>250</v>
      </c>
      <c r="DA304" s="376">
        <v>250</v>
      </c>
      <c r="DB304" s="376">
        <v>250</v>
      </c>
      <c r="DC304" s="376">
        <v>250</v>
      </c>
      <c r="DD304" s="376">
        <v>250</v>
      </c>
      <c r="DE304" s="376">
        <v>250</v>
      </c>
      <c r="DF304" s="376">
        <v>250</v>
      </c>
      <c r="DG304" s="376">
        <v>250</v>
      </c>
      <c r="DH304" s="376">
        <v>250</v>
      </c>
      <c r="DI304" s="376">
        <v>250</v>
      </c>
      <c r="DJ304" s="397">
        <v>250</v>
      </c>
      <c r="DK304" s="397">
        <v>250</v>
      </c>
      <c r="DL304" s="397">
        <v>250</v>
      </c>
      <c r="DM304" s="397">
        <v>250</v>
      </c>
      <c r="DN304" s="397">
        <v>250</v>
      </c>
      <c r="DO304" s="397">
        <v>250</v>
      </c>
      <c r="DP304" s="397">
        <v>250</v>
      </c>
      <c r="DQ304" s="397">
        <v>250</v>
      </c>
      <c r="DR304" s="397">
        <v>250</v>
      </c>
      <c r="DS304" s="397">
        <v>250</v>
      </c>
      <c r="DT304" s="397">
        <v>250</v>
      </c>
      <c r="DU304" s="397">
        <v>250</v>
      </c>
      <c r="DV304" s="376">
        <v>250</v>
      </c>
      <c r="DW304" s="376">
        <v>250</v>
      </c>
      <c r="DX304" s="376">
        <v>250</v>
      </c>
      <c r="DY304" s="376">
        <v>250</v>
      </c>
      <c r="DZ304" s="376">
        <v>250</v>
      </c>
      <c r="EA304" s="376">
        <v>250</v>
      </c>
      <c r="EB304" s="376">
        <v>250</v>
      </c>
      <c r="EC304" s="376">
        <v>250</v>
      </c>
      <c r="ED304" s="376">
        <v>250</v>
      </c>
      <c r="EE304" s="376">
        <v>250</v>
      </c>
      <c r="EF304" s="376">
        <v>250</v>
      </c>
      <c r="EG304" s="376">
        <v>250</v>
      </c>
      <c r="EH304" s="376">
        <v>250</v>
      </c>
      <c r="EI304" s="376">
        <v>250</v>
      </c>
      <c r="EJ304" s="376">
        <v>250</v>
      </c>
      <c r="EK304" s="376">
        <v>250</v>
      </c>
      <c r="EL304" s="376">
        <v>250</v>
      </c>
      <c r="EM304" s="376">
        <v>250</v>
      </c>
      <c r="EN304" s="376">
        <v>250</v>
      </c>
      <c r="EO304" s="376">
        <v>250</v>
      </c>
      <c r="EP304" s="376">
        <v>250</v>
      </c>
      <c r="EQ304" s="376">
        <v>250</v>
      </c>
      <c r="ER304" s="376">
        <v>250</v>
      </c>
      <c r="ES304" s="376">
        <v>250</v>
      </c>
      <c r="ET304" s="376">
        <v>250</v>
      </c>
      <c r="EU304" s="376">
        <v>250</v>
      </c>
      <c r="EV304" s="376">
        <v>250</v>
      </c>
      <c r="EW304" s="376">
        <v>250</v>
      </c>
      <c r="FX304" s="376">
        <f>FX258/FX282*1000</f>
        <v>150.00000000000003</v>
      </c>
      <c r="FY304" s="376">
        <f>FY258/FY282*1000</f>
        <v>250</v>
      </c>
      <c r="FZ304" s="386" t="s">
        <v>199</v>
      </c>
      <c r="GA304" s="386" t="s">
        <v>199</v>
      </c>
      <c r="GB304" s="386" t="s">
        <v>199</v>
      </c>
      <c r="GC304" s="386" t="s">
        <v>199</v>
      </c>
      <c r="GD304" s="386" t="s">
        <v>199</v>
      </c>
      <c r="GE304" s="386" t="s">
        <v>199</v>
      </c>
      <c r="GF304" s="386" t="s">
        <v>199</v>
      </c>
      <c r="GG304" s="386" t="s">
        <v>199</v>
      </c>
      <c r="GH304" s="386" t="s">
        <v>199</v>
      </c>
      <c r="GI304" s="386" t="s">
        <v>199</v>
      </c>
      <c r="GJ304" s="386" t="s">
        <v>199</v>
      </c>
      <c r="GK304" s="386" t="s">
        <v>199</v>
      </c>
      <c r="GN304" s="70"/>
      <c r="GQ304" s="453"/>
      <c r="GR304" s="453"/>
      <c r="GS304" s="453"/>
      <c r="GT304" s="453"/>
      <c r="GU304" s="453"/>
      <c r="GV304" s="453"/>
      <c r="GW304" s="453"/>
      <c r="GX304" s="453"/>
      <c r="GY304" s="453"/>
      <c r="GZ304" s="453"/>
      <c r="HA304" s="453"/>
      <c r="HB304" s="453"/>
      <c r="HC304" s="453"/>
      <c r="HD304" s="453"/>
      <c r="HE304" s="453"/>
    </row>
    <row r="305" spans="1:216" s="382" customFormat="1">
      <c r="A305" s="396" t="s">
        <v>198</v>
      </c>
      <c r="CU305" s="382">
        <f>CU304/CT304-1</f>
        <v>0</v>
      </c>
      <c r="CV305" s="382">
        <f>CV304/CU304-1</f>
        <v>0</v>
      </c>
      <c r="CW305" s="382">
        <f>CW304/CV304-1</f>
        <v>0</v>
      </c>
      <c r="CX305" s="382">
        <f>CX304/CW304-1</f>
        <v>0.66666666666666674</v>
      </c>
      <c r="CY305" s="382">
        <v>0</v>
      </c>
      <c r="CZ305" s="382">
        <v>0</v>
      </c>
      <c r="DA305" s="382">
        <v>0</v>
      </c>
      <c r="DB305" s="382">
        <v>0</v>
      </c>
      <c r="DC305" s="382">
        <v>0</v>
      </c>
      <c r="DD305" s="382">
        <v>0</v>
      </c>
      <c r="DE305" s="382">
        <v>0</v>
      </c>
      <c r="DF305" s="382">
        <v>0</v>
      </c>
      <c r="DG305" s="382">
        <v>0</v>
      </c>
      <c r="DH305" s="382">
        <v>0</v>
      </c>
      <c r="DI305" s="382">
        <v>0</v>
      </c>
      <c r="DJ305" s="383">
        <v>0</v>
      </c>
      <c r="DK305" s="383">
        <v>0</v>
      </c>
      <c r="DL305" s="383">
        <v>0</v>
      </c>
      <c r="DM305" s="383">
        <v>0</v>
      </c>
      <c r="DN305" s="383">
        <v>0</v>
      </c>
      <c r="DO305" s="383">
        <v>0</v>
      </c>
      <c r="DP305" s="383">
        <v>0</v>
      </c>
      <c r="DQ305" s="383">
        <v>0</v>
      </c>
      <c r="DR305" s="383">
        <v>0</v>
      </c>
      <c r="DS305" s="383">
        <v>0</v>
      </c>
      <c r="DT305" s="383">
        <v>0</v>
      </c>
      <c r="DU305" s="383">
        <v>0</v>
      </c>
      <c r="DV305" s="382">
        <v>0</v>
      </c>
      <c r="DW305" s="382">
        <v>0</v>
      </c>
      <c r="DX305" s="382">
        <v>0</v>
      </c>
      <c r="DY305" s="382">
        <v>0</v>
      </c>
      <c r="DZ305" s="382">
        <v>0</v>
      </c>
      <c r="EA305" s="382">
        <v>0</v>
      </c>
      <c r="EB305" s="382">
        <v>0</v>
      </c>
      <c r="EC305" s="382">
        <v>0</v>
      </c>
      <c r="ED305" s="382">
        <v>0</v>
      </c>
      <c r="EE305" s="382">
        <v>0</v>
      </c>
      <c r="EF305" s="382">
        <v>0</v>
      </c>
      <c r="EG305" s="382">
        <v>0</v>
      </c>
      <c r="EH305" s="382">
        <v>0</v>
      </c>
      <c r="EI305" s="382">
        <v>0</v>
      </c>
      <c r="EJ305" s="382">
        <v>0</v>
      </c>
      <c r="EK305" s="382">
        <v>0</v>
      </c>
      <c r="EL305" s="382">
        <v>0</v>
      </c>
      <c r="EM305" s="382">
        <v>0</v>
      </c>
      <c r="EN305" s="382">
        <v>0</v>
      </c>
      <c r="EO305" s="382">
        <v>0</v>
      </c>
      <c r="EP305" s="382">
        <v>0</v>
      </c>
      <c r="EQ305" s="382">
        <v>0</v>
      </c>
      <c r="ER305" s="382">
        <v>0</v>
      </c>
      <c r="ES305" s="382">
        <v>0</v>
      </c>
      <c r="ET305" s="382">
        <v>0</v>
      </c>
      <c r="EU305" s="382">
        <v>0</v>
      </c>
      <c r="EV305" s="382">
        <v>0</v>
      </c>
      <c r="EW305" s="382">
        <v>0</v>
      </c>
      <c r="FZ305" s="386" t="s">
        <v>199</v>
      </c>
      <c r="GA305" s="386" t="s">
        <v>199</v>
      </c>
      <c r="GB305" s="386" t="s">
        <v>199</v>
      </c>
      <c r="GC305" s="386" t="s">
        <v>199</v>
      </c>
      <c r="GD305" s="386" t="s">
        <v>199</v>
      </c>
      <c r="GE305" s="386" t="s">
        <v>199</v>
      </c>
      <c r="GF305" s="386" t="s">
        <v>199</v>
      </c>
      <c r="GG305" s="386" t="s">
        <v>199</v>
      </c>
      <c r="GH305" s="386" t="s">
        <v>199</v>
      </c>
      <c r="GI305" s="386" t="s">
        <v>199</v>
      </c>
      <c r="GJ305" s="386" t="s">
        <v>199</v>
      </c>
      <c r="GK305" s="386" t="s">
        <v>199</v>
      </c>
      <c r="GN305" s="70"/>
      <c r="GQ305" s="453"/>
      <c r="GR305" s="453"/>
      <c r="GS305" s="453"/>
      <c r="GT305" s="453"/>
      <c r="GU305" s="453"/>
      <c r="GV305" s="453"/>
      <c r="GW305" s="453"/>
      <c r="GX305" s="453"/>
      <c r="GY305" s="453"/>
      <c r="GZ305" s="453"/>
      <c r="HA305" s="453"/>
      <c r="HB305" s="453"/>
      <c r="HC305" s="453"/>
      <c r="HD305" s="453"/>
      <c r="HE305" s="453"/>
    </row>
    <row r="306" spans="1:216" s="382" customFormat="1">
      <c r="A306" s="396" t="s">
        <v>200</v>
      </c>
      <c r="CX306" s="382">
        <f t="shared" ref="CX306:EW306" si="573">CX304/CT304-1</f>
        <v>0.66666666666666674</v>
      </c>
      <c r="CY306" s="382">
        <f t="shared" si="573"/>
        <v>0.66666666666666674</v>
      </c>
      <c r="CZ306" s="382">
        <f t="shared" si="573"/>
        <v>0.66666666666666674</v>
      </c>
      <c r="DA306" s="382">
        <f t="shared" si="573"/>
        <v>0.66666666666666674</v>
      </c>
      <c r="DB306" s="382">
        <f t="shared" si="573"/>
        <v>0</v>
      </c>
      <c r="DC306" s="382">
        <f t="shared" si="573"/>
        <v>0</v>
      </c>
      <c r="DD306" s="382">
        <f t="shared" si="573"/>
        <v>0</v>
      </c>
      <c r="DE306" s="382">
        <f t="shared" si="573"/>
        <v>0</v>
      </c>
      <c r="DF306" s="382">
        <f t="shared" si="573"/>
        <v>0</v>
      </c>
      <c r="DG306" s="382">
        <f t="shared" si="573"/>
        <v>0</v>
      </c>
      <c r="DH306" s="382">
        <f t="shared" si="573"/>
        <v>0</v>
      </c>
      <c r="DI306" s="382">
        <f t="shared" si="573"/>
        <v>0</v>
      </c>
      <c r="DJ306" s="383">
        <f t="shared" si="573"/>
        <v>0</v>
      </c>
      <c r="DK306" s="383">
        <f t="shared" si="573"/>
        <v>0</v>
      </c>
      <c r="DL306" s="383">
        <f t="shared" si="573"/>
        <v>0</v>
      </c>
      <c r="DM306" s="383">
        <f t="shared" si="573"/>
        <v>0</v>
      </c>
      <c r="DN306" s="383">
        <f t="shared" si="573"/>
        <v>0</v>
      </c>
      <c r="DO306" s="383">
        <f t="shared" si="573"/>
        <v>0</v>
      </c>
      <c r="DP306" s="383">
        <f t="shared" si="573"/>
        <v>0</v>
      </c>
      <c r="DQ306" s="383">
        <f t="shared" si="573"/>
        <v>0</v>
      </c>
      <c r="DR306" s="383">
        <f t="shared" si="573"/>
        <v>0</v>
      </c>
      <c r="DS306" s="383">
        <f t="shared" si="573"/>
        <v>0</v>
      </c>
      <c r="DT306" s="383">
        <f t="shared" si="573"/>
        <v>0</v>
      </c>
      <c r="DU306" s="383">
        <f t="shared" si="573"/>
        <v>0</v>
      </c>
      <c r="DV306" s="382">
        <f t="shared" si="573"/>
        <v>0</v>
      </c>
      <c r="DW306" s="382">
        <f t="shared" si="573"/>
        <v>0</v>
      </c>
      <c r="DX306" s="382">
        <f t="shared" si="573"/>
        <v>0</v>
      </c>
      <c r="DY306" s="382">
        <f t="shared" si="573"/>
        <v>0</v>
      </c>
      <c r="DZ306" s="382">
        <f t="shared" si="573"/>
        <v>0</v>
      </c>
      <c r="EA306" s="382">
        <f t="shared" si="573"/>
        <v>0</v>
      </c>
      <c r="EB306" s="382">
        <f t="shared" si="573"/>
        <v>0</v>
      </c>
      <c r="EC306" s="382">
        <f t="shared" si="573"/>
        <v>0</v>
      </c>
      <c r="ED306" s="382">
        <f t="shared" si="573"/>
        <v>0</v>
      </c>
      <c r="EE306" s="382">
        <f t="shared" si="573"/>
        <v>0</v>
      </c>
      <c r="EF306" s="382">
        <f t="shared" si="573"/>
        <v>0</v>
      </c>
      <c r="EG306" s="382">
        <f t="shared" si="573"/>
        <v>0</v>
      </c>
      <c r="EH306" s="382">
        <f t="shared" si="573"/>
        <v>0</v>
      </c>
      <c r="EI306" s="382">
        <f t="shared" si="573"/>
        <v>0</v>
      </c>
      <c r="EJ306" s="382">
        <f t="shared" si="573"/>
        <v>0</v>
      </c>
      <c r="EK306" s="382">
        <f t="shared" si="573"/>
        <v>0</v>
      </c>
      <c r="EL306" s="382">
        <f t="shared" si="573"/>
        <v>0</v>
      </c>
      <c r="EM306" s="382">
        <f t="shared" si="573"/>
        <v>0</v>
      </c>
      <c r="EN306" s="382">
        <f t="shared" si="573"/>
        <v>0</v>
      </c>
      <c r="EO306" s="382">
        <f t="shared" si="573"/>
        <v>0</v>
      </c>
      <c r="EP306" s="382">
        <f t="shared" si="573"/>
        <v>0</v>
      </c>
      <c r="EQ306" s="382">
        <f t="shared" si="573"/>
        <v>0</v>
      </c>
      <c r="ER306" s="382">
        <f t="shared" si="573"/>
        <v>0</v>
      </c>
      <c r="ES306" s="382">
        <f t="shared" si="573"/>
        <v>0</v>
      </c>
      <c r="ET306" s="382">
        <f t="shared" si="573"/>
        <v>0</v>
      </c>
      <c r="EU306" s="382">
        <f t="shared" si="573"/>
        <v>0</v>
      </c>
      <c r="EV306" s="382">
        <f t="shared" si="573"/>
        <v>0</v>
      </c>
      <c r="EW306" s="382">
        <f t="shared" si="573"/>
        <v>0</v>
      </c>
      <c r="FY306" s="382">
        <f>FY304/FX304-1</f>
        <v>0.6666666666666663</v>
      </c>
      <c r="FZ306" s="386" t="s">
        <v>199</v>
      </c>
      <c r="GA306" s="386" t="s">
        <v>199</v>
      </c>
      <c r="GB306" s="386" t="s">
        <v>199</v>
      </c>
      <c r="GC306" s="386" t="s">
        <v>199</v>
      </c>
      <c r="GD306" s="386" t="s">
        <v>199</v>
      </c>
      <c r="GE306" s="386" t="s">
        <v>199</v>
      </c>
      <c r="GF306" s="386" t="s">
        <v>199</v>
      </c>
      <c r="GG306" s="386" t="s">
        <v>199</v>
      </c>
      <c r="GH306" s="386" t="s">
        <v>199</v>
      </c>
      <c r="GI306" s="386" t="s">
        <v>199</v>
      </c>
      <c r="GJ306" s="386" t="s">
        <v>199</v>
      </c>
      <c r="GK306" s="386" t="s">
        <v>199</v>
      </c>
      <c r="GN306" s="70"/>
      <c r="GQ306" s="453"/>
      <c r="GR306" s="453"/>
      <c r="GS306" s="453"/>
      <c r="GT306" s="453"/>
      <c r="GU306" s="453"/>
      <c r="GV306" s="453"/>
      <c r="GW306" s="453"/>
      <c r="GX306" s="453"/>
      <c r="GY306" s="453"/>
      <c r="GZ306" s="453"/>
      <c r="HA306" s="453"/>
      <c r="HB306" s="453"/>
      <c r="HC306" s="453"/>
      <c r="HD306" s="453"/>
      <c r="HE306" s="453"/>
    </row>
    <row r="307" spans="1:216" s="379" customFormat="1">
      <c r="A307" s="405" t="s">
        <v>267</v>
      </c>
      <c r="BJ307" s="376"/>
      <c r="BK307" s="376"/>
      <c r="BL307" s="376"/>
      <c r="BM307" s="376"/>
      <c r="BN307" s="376"/>
      <c r="BO307" s="376"/>
      <c r="BP307" s="376"/>
      <c r="BQ307" s="376"/>
      <c r="BR307" s="376"/>
      <c r="BS307" s="376"/>
      <c r="BT307" s="376"/>
      <c r="BU307" s="376"/>
      <c r="BV307" s="376"/>
      <c r="BW307" s="376"/>
      <c r="BX307" s="376"/>
      <c r="BY307" s="376"/>
      <c r="BZ307" s="376"/>
      <c r="CA307" s="376"/>
      <c r="CB307" s="376"/>
      <c r="CC307" s="376"/>
      <c r="CD307" s="376">
        <f>+CD262/CD285*1000</f>
        <v>25.128773072747006</v>
      </c>
      <c r="CE307" s="376">
        <f>+CE262/CE285*1000</f>
        <v>21.654226804123716</v>
      </c>
      <c r="CF307" s="376">
        <f>+CF262/CF285*1000</f>
        <v>20.32342541436465</v>
      </c>
      <c r="CG307" s="376">
        <f>+CG262/CG285*1000</f>
        <v>22.96005813953488</v>
      </c>
      <c r="CH307" s="376">
        <f>+CH262/CH285*1000</f>
        <v>28.72209558823527</v>
      </c>
      <c r="CI307" s="376">
        <f>+CI262/CI285*1000</f>
        <v>22.104276018099551</v>
      </c>
      <c r="CJ307" s="376">
        <f>+CJ262/CJ285*1000</f>
        <v>17.843513118279574</v>
      </c>
      <c r="CK307" s="376">
        <f>+CK262/CK285*1000</f>
        <v>18.007074412855363</v>
      </c>
      <c r="CL307" s="376">
        <f>+CL262/CL285*1000</f>
        <v>19.910582727272743</v>
      </c>
      <c r="CM307" s="376">
        <f>+CM262/CM285*1000</f>
        <v>23.500934379084974</v>
      </c>
      <c r="CN307" s="376">
        <f>+CN262/CN285*1000</f>
        <v>19.644471292517007</v>
      </c>
      <c r="CO307" s="376">
        <f>+CO262/CO285*1000</f>
        <v>19.923993109589034</v>
      </c>
      <c r="CP307" s="376">
        <f>+CP262/CP285*1000</f>
        <v>21.352985550527904</v>
      </c>
      <c r="CQ307" s="376">
        <f>+CQ262/CQ285*1000</f>
        <v>30.498868506279432</v>
      </c>
      <c r="CR307" s="376">
        <f>+CR262/CR285*1000</f>
        <v>23.968541259483857</v>
      </c>
      <c r="CS307" s="376">
        <f>+CS262/CS285*1000</f>
        <v>34.99649338341068</v>
      </c>
      <c r="CT307" s="376">
        <f>+CT262/CT285*1000</f>
        <v>32.512173334614701</v>
      </c>
      <c r="CU307" s="376">
        <f>+CU262/CU285*1000</f>
        <v>32.235896504051574</v>
      </c>
      <c r="CV307" s="376">
        <f>+CV262/CV285*1000</f>
        <v>43.268789534336349</v>
      </c>
      <c r="CW307" s="376">
        <f>+CW262/CW285*1000</f>
        <v>46.698853861841727</v>
      </c>
      <c r="CX307" s="376">
        <f>+CX262/CX285*1000</f>
        <v>67.983116276084132</v>
      </c>
      <c r="CY307" s="376">
        <f>+CY262/CY285*1000</f>
        <v>60.657393152523667</v>
      </c>
      <c r="CZ307" s="376">
        <f>+CZ262/CZ285*1000</f>
        <v>45.80743090206137</v>
      </c>
      <c r="DA307" s="376">
        <f>+DA262/DA285*1000</f>
        <v>40.446251399049338</v>
      </c>
      <c r="DB307" s="376">
        <f>+DB262/DB285*1000</f>
        <v>30.496267786774997</v>
      </c>
      <c r="DC307" s="376">
        <f>+DC262/DC285*1000</f>
        <v>44.281884269583941</v>
      </c>
      <c r="DD307" s="376">
        <f>+DD262/DD285*1000</f>
        <v>45.036987167783977</v>
      </c>
      <c r="DE307" s="376">
        <f>+DE262/DE285*1000</f>
        <v>49.976493231318663</v>
      </c>
      <c r="DF307" s="376">
        <f>+DF262/DF285*1000</f>
        <v>71.384212357009801</v>
      </c>
      <c r="DG307" s="376">
        <f>+DG262/DG285*1000</f>
        <v>50.627465876231994</v>
      </c>
      <c r="DH307" s="376">
        <f>+DH262/DH285*1000</f>
        <v>57.957440848736645</v>
      </c>
      <c r="DI307" s="376">
        <f>+DI262/DI285*1000</f>
        <v>67.506218020923797</v>
      </c>
      <c r="DJ307" s="397">
        <f>+DJ262/DJ285*1000</f>
        <v>83.814670696657785</v>
      </c>
      <c r="DK307" s="397">
        <f>+DK262/DK285*1000</f>
        <v>96.741238396523471</v>
      </c>
      <c r="DL307" s="397">
        <f>+DL262/DL285*1000</f>
        <v>120.83431943538345</v>
      </c>
      <c r="DM307" s="397">
        <f>+DM262/DM285*1000</f>
        <v>108.03221185692357</v>
      </c>
      <c r="DN307" s="397">
        <f>+DN262/DN285*1000</f>
        <v>120.79263029218855</v>
      </c>
      <c r="DO307" s="397">
        <f>+DO262/DO285*1000</f>
        <v>138.15244048364971</v>
      </c>
      <c r="DP307" s="397">
        <f>+DP262/DP285*1000</f>
        <v>187.27496630175622</v>
      </c>
      <c r="DQ307" s="397">
        <f>+DQ262/DQ285*1000</f>
        <v>636.48899196467869</v>
      </c>
      <c r="DR307" s="397">
        <f>DP307*(1+DR308)</f>
        <v>159.18372135649278</v>
      </c>
      <c r="DS307" s="397">
        <f t="shared" ref="DS307:EH307" si="574">DR307*(1+DS308)</f>
        <v>175.10209349214207</v>
      </c>
      <c r="DT307" s="397">
        <f t="shared" si="574"/>
        <v>162.84494694769211</v>
      </c>
      <c r="DU307" s="397">
        <f t="shared" si="574"/>
        <v>162.84494694769211</v>
      </c>
      <c r="DV307" s="376">
        <f t="shared" si="574"/>
        <v>154.70269960030748</v>
      </c>
      <c r="DW307" s="376">
        <f t="shared" si="574"/>
        <v>154.70269960030748</v>
      </c>
      <c r="DX307" s="376">
        <f>DW307*(1+DX308)</f>
        <v>151.60864560830134</v>
      </c>
      <c r="DY307" s="376">
        <f t="shared" si="574"/>
        <v>159.18907788871641</v>
      </c>
      <c r="DZ307" s="376">
        <f t="shared" si="574"/>
        <v>159.18907788871641</v>
      </c>
      <c r="EA307" s="376">
        <f t="shared" si="574"/>
        <v>168.74042256203941</v>
      </c>
      <c r="EB307" s="376">
        <f t="shared" si="574"/>
        <v>167.05301833641903</v>
      </c>
      <c r="EC307" s="376">
        <f t="shared" si="574"/>
        <v>167.05301833641903</v>
      </c>
      <c r="ED307" s="376">
        <f t="shared" si="574"/>
        <v>170.39407870314741</v>
      </c>
      <c r="EE307" s="380">
        <f t="shared" si="574"/>
        <v>173.80196027721036</v>
      </c>
      <c r="EF307" s="380">
        <f t="shared" si="574"/>
        <v>172.06394067443824</v>
      </c>
      <c r="EG307" s="380">
        <f t="shared" si="574"/>
        <v>177.2258588946714</v>
      </c>
      <c r="EH307" s="380">
        <f t="shared" si="574"/>
        <v>180.77037607256483</v>
      </c>
      <c r="EI307" s="380">
        <f>EH307*(1+EI308)</f>
        <v>180.77037607256483</v>
      </c>
      <c r="EJ307" s="380">
        <f>EI307*(1+EJ308)</f>
        <v>180.77037607256483</v>
      </c>
      <c r="EK307" s="380">
        <f>EJ307*(1+EK308)</f>
        <v>180.77037607256483</v>
      </c>
      <c r="EL307" s="380">
        <f t="shared" ref="EL307" si="575">EK307*(1+EL308)</f>
        <v>184.38578359401612</v>
      </c>
      <c r="EM307" s="380">
        <f>EL307*(1+EM308)</f>
        <v>184.38578359401612</v>
      </c>
      <c r="EN307" s="380">
        <f>EM307*(1+EN308)</f>
        <v>184.38578359401612</v>
      </c>
      <c r="EO307" s="380">
        <f>EN307*(1+EO308)</f>
        <v>184.38578359401612</v>
      </c>
      <c r="EP307" s="380">
        <f t="shared" ref="EP307" si="576">EO307*(1+EP308)</f>
        <v>188.07349926589643</v>
      </c>
      <c r="EQ307" s="380">
        <f>EP307*(1+EQ308)</f>
        <v>188.07349926589643</v>
      </c>
      <c r="ER307" s="380">
        <f>EQ307*(1+ER308)</f>
        <v>188.07349926589643</v>
      </c>
      <c r="ES307" s="380">
        <f>ER307*(1+ES308)</f>
        <v>188.07349926589643</v>
      </c>
      <c r="ET307" s="380">
        <f t="shared" ref="ET307" si="577">ES307*(1+ET308)</f>
        <v>191.83496925121437</v>
      </c>
      <c r="EU307" s="380">
        <f>ET307*(1+EU308)</f>
        <v>191.83496925121437</v>
      </c>
      <c r="EV307" s="380">
        <f>EU307*(1+EV308)</f>
        <v>191.83496925121437</v>
      </c>
      <c r="EW307" s="380">
        <f>EV307*(1+EW308)</f>
        <v>191.83496925121437</v>
      </c>
      <c r="EZ307" s="376"/>
      <c r="FA307" s="376"/>
      <c r="FB307" s="376"/>
      <c r="FC307" s="376"/>
      <c r="FD307" s="376"/>
      <c r="FE307" s="376"/>
      <c r="FF307" s="376"/>
      <c r="FG307" s="376"/>
      <c r="FH307" s="376"/>
      <c r="FI307" s="376"/>
      <c r="FJ307" s="376"/>
      <c r="FK307" s="376"/>
      <c r="FL307" s="376"/>
      <c r="FM307" s="376"/>
      <c r="FN307" s="376"/>
      <c r="FO307" s="376"/>
      <c r="FP307" s="376"/>
      <c r="FQ307" s="376"/>
      <c r="FR307" s="376"/>
      <c r="FS307" s="376">
        <f>MIN(FT307:FY307)</f>
        <v>20.63388113987774</v>
      </c>
      <c r="FT307" s="376">
        <f>FT262/FT285*1000</f>
        <v>22.507262035010946</v>
      </c>
      <c r="FU307" s="376">
        <f>FU262/FU285*1000</f>
        <v>21.263516621253402</v>
      </c>
      <c r="FV307" s="376">
        <f>FV262/FV285*1000</f>
        <v>20.63388113987774</v>
      </c>
      <c r="FW307" s="376">
        <f>FW262/FW285*1000</f>
        <v>27.89573127442867</v>
      </c>
      <c r="FX307" s="376">
        <f>FX262/FX285*1000</f>
        <v>38.888863673915054</v>
      </c>
      <c r="FY307" s="376">
        <f>FY262/FY285*1000</f>
        <v>52.666511645468255</v>
      </c>
      <c r="FZ307" s="376">
        <f>FZ262/FZ285*1000</f>
        <v>42.186910311953504</v>
      </c>
      <c r="GA307" s="376">
        <f>GA262/GA285*1000</f>
        <v>61.557427324202145</v>
      </c>
      <c r="GB307" s="376">
        <f>GB262/GB285*1000</f>
        <v>101.19659472097847</v>
      </c>
      <c r="GC307" s="376">
        <f>GC262/GC285*1000</f>
        <v>175.54128136858128</v>
      </c>
      <c r="GD307" s="376">
        <f>GD262/GD285*1000</f>
        <v>280.33403337808045</v>
      </c>
      <c r="GE307" s="376">
        <f>GE262/GE285*1000</f>
        <v>155.37464061877347</v>
      </c>
      <c r="GF307" s="376">
        <f>GF262/GF285*1000</f>
        <v>165.50888428089846</v>
      </c>
      <c r="GG307" s="380">
        <f>GG262/GG285*1000</f>
        <v>173.37145963736683</v>
      </c>
      <c r="GH307" s="380">
        <f>GH262/GH285*1000</f>
        <v>180.77037607256483</v>
      </c>
      <c r="GI307" s="380">
        <f>GI262/GI285*1000</f>
        <v>184.38578359401612</v>
      </c>
      <c r="GJ307" s="380">
        <f>GJ262/GJ285*1000</f>
        <v>188.07349926589643</v>
      </c>
      <c r="GK307" s="380">
        <f>GK262/GK285*1000</f>
        <v>191.83496925121437</v>
      </c>
      <c r="GN307" s="70"/>
      <c r="GQ307" s="453"/>
      <c r="GR307" s="453"/>
      <c r="GS307" s="453"/>
      <c r="GT307" s="453"/>
      <c r="GU307" s="453"/>
      <c r="GV307" s="453"/>
      <c r="GW307" s="453"/>
      <c r="GX307" s="453"/>
      <c r="GY307" s="453"/>
      <c r="GZ307" s="453"/>
      <c r="HA307" s="453"/>
      <c r="HB307" s="453"/>
      <c r="HC307" s="453"/>
      <c r="HD307" s="453"/>
      <c r="HE307" s="453"/>
    </row>
    <row r="308" spans="1:216" s="382" customFormat="1">
      <c r="A308" s="381" t="s">
        <v>198</v>
      </c>
      <c r="CE308" s="382">
        <f t="shared" ref="CE308:DQ308" si="578">CE307/CD307-1</f>
        <v>-0.13826963451675844</v>
      </c>
      <c r="CF308" s="382">
        <f t="shared" si="578"/>
        <v>-6.1456887922945236E-2</v>
      </c>
      <c r="CG308" s="382">
        <f t="shared" si="578"/>
        <v>0.12973367783300205</v>
      </c>
      <c r="CH308" s="382">
        <f t="shared" si="578"/>
        <v>0.25095918371298676</v>
      </c>
      <c r="CI308" s="382">
        <f t="shared" si="578"/>
        <v>-0.2304086604616139</v>
      </c>
      <c r="CJ308" s="382">
        <f t="shared" si="578"/>
        <v>-0.19275740568617372</v>
      </c>
      <c r="CK308" s="382">
        <f t="shared" si="578"/>
        <v>9.1664289140589439E-3</v>
      </c>
      <c r="CL308" s="382">
        <f t="shared" si="578"/>
        <v>0.10570891588355158</v>
      </c>
      <c r="CM308" s="382">
        <f t="shared" si="578"/>
        <v>0.18032378564663043</v>
      </c>
      <c r="CN308" s="382">
        <f t="shared" si="578"/>
        <v>-0.16409828751320144</v>
      </c>
      <c r="CO308" s="382">
        <f t="shared" si="578"/>
        <v>1.4229032327202518E-2</v>
      </c>
      <c r="CP308" s="382">
        <f t="shared" si="578"/>
        <v>7.1722191082826958E-2</v>
      </c>
      <c r="CQ308" s="382">
        <f t="shared" si="578"/>
        <v>0.42831869736011763</v>
      </c>
      <c r="CR308" s="382">
        <f t="shared" si="578"/>
        <v>-0.21411703340571608</v>
      </c>
      <c r="CS308" s="382">
        <f t="shared" si="578"/>
        <v>0.46010109687268885</v>
      </c>
      <c r="CT308" s="382">
        <f t="shared" si="578"/>
        <v>-7.0987685011139279E-2</v>
      </c>
      <c r="CU308" s="382">
        <f t="shared" si="578"/>
        <v>-8.4976426435627861E-3</v>
      </c>
      <c r="CV308" s="382">
        <f t="shared" si="578"/>
        <v>0.34225488436154095</v>
      </c>
      <c r="CW308" s="382">
        <f t="shared" si="578"/>
        <v>7.9273406176140426E-2</v>
      </c>
      <c r="CX308" s="382">
        <f t="shared" si="578"/>
        <v>0.45577697639457626</v>
      </c>
      <c r="CY308" s="382">
        <f t="shared" si="578"/>
        <v>-0.10775797763977457</v>
      </c>
      <c r="CZ308" s="382">
        <f t="shared" si="578"/>
        <v>-0.24481702029498542</v>
      </c>
      <c r="DA308" s="382">
        <f t="shared" si="578"/>
        <v>-0.11703733209737321</v>
      </c>
      <c r="DB308" s="382">
        <f t="shared" si="578"/>
        <v>-0.24600508744571092</v>
      </c>
      <c r="DC308" s="382">
        <f t="shared" si="578"/>
        <v>0.45204274107230957</v>
      </c>
      <c r="DD308" s="382">
        <f t="shared" si="578"/>
        <v>1.7052185349725413E-2</v>
      </c>
      <c r="DE308" s="382">
        <f t="shared" si="578"/>
        <v>0.10967665410505156</v>
      </c>
      <c r="DF308" s="382">
        <f t="shared" si="578"/>
        <v>0.42835576771272144</v>
      </c>
      <c r="DG308" s="382">
        <f t="shared" si="578"/>
        <v>-0.29077502987590964</v>
      </c>
      <c r="DH308" s="382">
        <f t="shared" si="578"/>
        <v>0.14478257692028484</v>
      </c>
      <c r="DI308" s="382">
        <f t="shared" si="578"/>
        <v>0.16475498283487955</v>
      </c>
      <c r="DJ308" s="383">
        <f t="shared" si="578"/>
        <v>0.24158445183048349</v>
      </c>
      <c r="DK308" s="383">
        <f t="shared" si="578"/>
        <v>0.15422798410375615</v>
      </c>
      <c r="DL308" s="383">
        <f t="shared" si="578"/>
        <v>0.24904664689227096</v>
      </c>
      <c r="DM308" s="383">
        <f t="shared" si="578"/>
        <v>-0.10594761188940072</v>
      </c>
      <c r="DN308" s="383">
        <f t="shared" si="578"/>
        <v>0.11811679327795965</v>
      </c>
      <c r="DO308" s="383">
        <f t="shared" si="578"/>
        <v>0.14371580575295906</v>
      </c>
      <c r="DP308" s="383">
        <f t="shared" si="578"/>
        <v>0.35556755744695034</v>
      </c>
      <c r="DQ308" s="383">
        <f t="shared" si="578"/>
        <v>2.3986869923612946</v>
      </c>
      <c r="DR308" s="383">
        <v>-0.15</v>
      </c>
      <c r="DS308" s="383">
        <v>0.1</v>
      </c>
      <c r="DT308" s="383">
        <v>-7.0000000000000007E-2</v>
      </c>
      <c r="DU308" s="383">
        <v>0</v>
      </c>
      <c r="DV308" s="382">
        <v>-0.05</v>
      </c>
      <c r="DW308" s="382">
        <v>0</v>
      </c>
      <c r="DX308" s="382">
        <v>-0.02</v>
      </c>
      <c r="DY308" s="382">
        <v>0.05</v>
      </c>
      <c r="DZ308" s="382">
        <v>0</v>
      </c>
      <c r="EA308" s="382">
        <v>0.06</v>
      </c>
      <c r="EB308" s="382">
        <v>-0.01</v>
      </c>
      <c r="EC308" s="382">
        <v>0</v>
      </c>
      <c r="ED308" s="382">
        <v>0.02</v>
      </c>
      <c r="EE308" s="384">
        <v>0.02</v>
      </c>
      <c r="EF308" s="384">
        <v>-0.01</v>
      </c>
      <c r="EG308" s="384">
        <v>0.03</v>
      </c>
      <c r="EH308" s="384">
        <v>0.02</v>
      </c>
      <c r="EI308" s="384">
        <v>0</v>
      </c>
      <c r="EJ308" s="384">
        <v>0</v>
      </c>
      <c r="EK308" s="384">
        <v>0</v>
      </c>
      <c r="EL308" s="384">
        <v>0.02</v>
      </c>
      <c r="EM308" s="384">
        <v>0</v>
      </c>
      <c r="EN308" s="384">
        <v>0</v>
      </c>
      <c r="EO308" s="384">
        <v>0</v>
      </c>
      <c r="EP308" s="384">
        <v>0.02</v>
      </c>
      <c r="EQ308" s="384">
        <v>0</v>
      </c>
      <c r="ER308" s="384">
        <v>0</v>
      </c>
      <c r="ES308" s="384">
        <v>0</v>
      </c>
      <c r="ET308" s="384">
        <v>0.02</v>
      </c>
      <c r="EU308" s="384">
        <v>0</v>
      </c>
      <c r="EV308" s="384">
        <v>0</v>
      </c>
      <c r="EW308" s="384">
        <v>0</v>
      </c>
      <c r="FZ308" s="386" t="s">
        <v>199</v>
      </c>
      <c r="GA308" s="386" t="s">
        <v>199</v>
      </c>
      <c r="GB308" s="386" t="s">
        <v>199</v>
      </c>
      <c r="GC308" s="386" t="s">
        <v>199</v>
      </c>
      <c r="GD308" s="386" t="s">
        <v>199</v>
      </c>
      <c r="GE308" s="386" t="s">
        <v>199</v>
      </c>
      <c r="GF308" s="386" t="s">
        <v>199</v>
      </c>
      <c r="GG308" s="386" t="s">
        <v>199</v>
      </c>
      <c r="GH308" s="386" t="s">
        <v>199</v>
      </c>
      <c r="GI308" s="386" t="s">
        <v>199</v>
      </c>
      <c r="GJ308" s="386" t="s">
        <v>199</v>
      </c>
      <c r="GK308" s="386" t="s">
        <v>199</v>
      </c>
      <c r="GN308" s="70"/>
      <c r="GQ308" s="453"/>
      <c r="GR308" s="453"/>
      <c r="GS308" s="453"/>
      <c r="GT308" s="453"/>
      <c r="GU308" s="453"/>
      <c r="GV308" s="453"/>
      <c r="GW308" s="453"/>
      <c r="GX308" s="453"/>
      <c r="GY308" s="453"/>
      <c r="GZ308" s="453"/>
      <c r="HA308" s="453"/>
      <c r="HB308" s="453"/>
      <c r="HC308" s="453"/>
      <c r="HD308" s="453"/>
      <c r="HE308" s="453"/>
    </row>
    <row r="309" spans="1:216" s="382" customFormat="1">
      <c r="A309" s="381" t="s">
        <v>200</v>
      </c>
      <c r="CH309" s="382">
        <f t="shared" ref="CH309:ES309" si="579">CH307/CD307-1</f>
        <v>0.1429963375086285</v>
      </c>
      <c r="CI309" s="382">
        <f t="shared" si="579"/>
        <v>2.0783434940753853E-2</v>
      </c>
      <c r="CJ309" s="382">
        <f t="shared" si="579"/>
        <v>-0.12202235821586782</v>
      </c>
      <c r="CK309" s="382">
        <f t="shared" si="579"/>
        <v>-0.21572174149467782</v>
      </c>
      <c r="CL309" s="382">
        <f t="shared" si="579"/>
        <v>-0.30678516593238314</v>
      </c>
      <c r="CM309" s="382">
        <f t="shared" si="579"/>
        <v>6.3184985558531803E-2</v>
      </c>
      <c r="CN309" s="382">
        <f t="shared" si="579"/>
        <v>0.10093069466194193</v>
      </c>
      <c r="CO309" s="382">
        <f t="shared" si="579"/>
        <v>0.10645364442794603</v>
      </c>
      <c r="CP309" s="382">
        <f t="shared" si="579"/>
        <v>7.2444028535609606E-2</v>
      </c>
      <c r="CQ309" s="382">
        <f t="shared" si="579"/>
        <v>0.29777259126438738</v>
      </c>
      <c r="CR309" s="382">
        <f t="shared" si="579"/>
        <v>0.22011638300563363</v>
      </c>
      <c r="CS309" s="382">
        <f t="shared" si="579"/>
        <v>0.75649997422291526</v>
      </c>
      <c r="CT309" s="382">
        <f t="shared" si="579"/>
        <v>0.52260550440033948</v>
      </c>
      <c r="CU309" s="382">
        <f t="shared" si="579"/>
        <v>5.6953850514634752E-2</v>
      </c>
      <c r="CV309" s="382">
        <f t="shared" si="579"/>
        <v>0.80523249479005243</v>
      </c>
      <c r="CW309" s="382">
        <f t="shared" si="579"/>
        <v>0.33438665840670456</v>
      </c>
      <c r="CX309" s="382">
        <f t="shared" si="579"/>
        <v>1.0910049776249382</v>
      </c>
      <c r="CY309" s="382">
        <f t="shared" si="579"/>
        <v>0.88167228868289516</v>
      </c>
      <c r="CZ309" s="382">
        <f t="shared" si="579"/>
        <v>5.867142101838696E-2</v>
      </c>
      <c r="DA309" s="382">
        <f t="shared" si="579"/>
        <v>-0.13389198975398142</v>
      </c>
      <c r="DB309" s="382">
        <f t="shared" si="579"/>
        <v>-0.55141409430353927</v>
      </c>
      <c r="DC309" s="382">
        <f t="shared" si="579"/>
        <v>-0.26996723782315102</v>
      </c>
      <c r="DD309" s="382">
        <f t="shared" si="579"/>
        <v>-1.6819186736855896E-2</v>
      </c>
      <c r="DE309" s="382">
        <f t="shared" si="579"/>
        <v>0.2356273202735748</v>
      </c>
      <c r="DF309" s="382">
        <f t="shared" si="579"/>
        <v>1.3407524112824802</v>
      </c>
      <c r="DG309" s="382">
        <f t="shared" si="579"/>
        <v>0.14329971976839895</v>
      </c>
      <c r="DH309" s="382">
        <f t="shared" si="579"/>
        <v>0.28688539117454503</v>
      </c>
      <c r="DI309" s="382">
        <f t="shared" si="579"/>
        <v>0.35075940019376595</v>
      </c>
      <c r="DJ309" s="383">
        <f t="shared" si="579"/>
        <v>0.17413455901817954</v>
      </c>
      <c r="DK309" s="383">
        <f t="shared" si="579"/>
        <v>0.91084496769056034</v>
      </c>
      <c r="DL309" s="383">
        <f t="shared" si="579"/>
        <v>1.0848801752780877</v>
      </c>
      <c r="DM309" s="383">
        <f t="shared" si="579"/>
        <v>0.60032979218949278</v>
      </c>
      <c r="DN309" s="383">
        <f t="shared" si="579"/>
        <v>0.44118719656325389</v>
      </c>
      <c r="DO309" s="383">
        <f t="shared" si="579"/>
        <v>0.42806152550363064</v>
      </c>
      <c r="DP309" s="383">
        <f t="shared" si="579"/>
        <v>0.54984914200557178</v>
      </c>
      <c r="DQ309" s="383">
        <f t="shared" si="579"/>
        <v>4.8916593581147474</v>
      </c>
      <c r="DR309" s="383">
        <f t="shared" si="579"/>
        <v>0.31782643503530794</v>
      </c>
      <c r="DS309" s="383">
        <f t="shared" si="579"/>
        <v>0.26745566621289862</v>
      </c>
      <c r="DT309" s="383">
        <f t="shared" si="579"/>
        <v>-0.13045000000000007</v>
      </c>
      <c r="DU309" s="383">
        <f t="shared" si="579"/>
        <v>-0.74415119663730334</v>
      </c>
      <c r="DV309" s="382">
        <f t="shared" si="579"/>
        <v>-2.8150000000000119E-2</v>
      </c>
      <c r="DW309" s="382">
        <f t="shared" si="579"/>
        <v>-0.11650000000000027</v>
      </c>
      <c r="DX309" s="382">
        <f t="shared" si="579"/>
        <v>-6.9000000000000061E-2</v>
      </c>
      <c r="DY309" s="382">
        <f t="shared" si="579"/>
        <v>-2.2450000000000081E-2</v>
      </c>
      <c r="DZ309" s="382">
        <f t="shared" si="579"/>
        <v>2.9000000000000137E-2</v>
      </c>
      <c r="EA309" s="382">
        <f t="shared" si="579"/>
        <v>9.0740000000000265E-2</v>
      </c>
      <c r="EB309" s="382">
        <f t="shared" si="579"/>
        <v>0.10187000000000013</v>
      </c>
      <c r="EC309" s="382">
        <f t="shared" si="579"/>
        <v>4.940000000000011E-2</v>
      </c>
      <c r="ED309" s="382">
        <f t="shared" si="579"/>
        <v>7.0388000000000117E-2</v>
      </c>
      <c r="EE309" s="384">
        <f t="shared" si="579"/>
        <v>2.9996000000000134E-2</v>
      </c>
      <c r="EF309" s="384">
        <f t="shared" si="579"/>
        <v>2.9995999999999912E-2</v>
      </c>
      <c r="EG309" s="384">
        <f t="shared" si="579"/>
        <v>6.0895879999999902E-2</v>
      </c>
      <c r="EH309" s="384">
        <f t="shared" si="579"/>
        <v>6.0895879999999902E-2</v>
      </c>
      <c r="EI309" s="384">
        <f t="shared" si="579"/>
        <v>4.0094000000000074E-2</v>
      </c>
      <c r="EJ309" s="384">
        <f t="shared" si="579"/>
        <v>5.0599999999999978E-2</v>
      </c>
      <c r="EK309" s="384">
        <f t="shared" si="579"/>
        <v>2.0000000000000018E-2</v>
      </c>
      <c r="EL309" s="384">
        <f t="shared" si="579"/>
        <v>2.0000000000000018E-2</v>
      </c>
      <c r="EM309" s="384">
        <f t="shared" si="579"/>
        <v>2.0000000000000018E-2</v>
      </c>
      <c r="EN309" s="384">
        <f t="shared" si="579"/>
        <v>2.0000000000000018E-2</v>
      </c>
      <c r="EO309" s="384">
        <f t="shared" si="579"/>
        <v>2.0000000000000018E-2</v>
      </c>
      <c r="EP309" s="384">
        <f t="shared" si="579"/>
        <v>2.0000000000000018E-2</v>
      </c>
      <c r="EQ309" s="384">
        <f t="shared" si="579"/>
        <v>2.0000000000000018E-2</v>
      </c>
      <c r="ER309" s="384">
        <f t="shared" si="579"/>
        <v>2.0000000000000018E-2</v>
      </c>
      <c r="ES309" s="384">
        <f t="shared" si="579"/>
        <v>2.0000000000000018E-2</v>
      </c>
      <c r="ET309" s="384">
        <f t="shared" ref="ET309:EW309" si="580">ET307/EP307-1</f>
        <v>2.0000000000000018E-2</v>
      </c>
      <c r="EU309" s="384">
        <f t="shared" si="580"/>
        <v>2.0000000000000018E-2</v>
      </c>
      <c r="EV309" s="384">
        <f t="shared" si="580"/>
        <v>2.0000000000000018E-2</v>
      </c>
      <c r="EW309" s="384">
        <f t="shared" si="580"/>
        <v>2.0000000000000018E-2</v>
      </c>
      <c r="FU309" s="382">
        <f t="shared" ref="FU309:GF309" si="581">FU307/FT307-1</f>
        <v>-5.5259738471203135E-2</v>
      </c>
      <c r="FV309" s="382">
        <f t="shared" si="581"/>
        <v>-2.96110701061707E-2</v>
      </c>
      <c r="FW309" s="382">
        <f t="shared" si="581"/>
        <v>0.35193815866838696</v>
      </c>
      <c r="FX309" s="382">
        <f t="shared" si="581"/>
        <v>0.39407937692472395</v>
      </c>
      <c r="FY309" s="382">
        <f t="shared" si="581"/>
        <v>0.35428260612291029</v>
      </c>
      <c r="FZ309" s="382">
        <f t="shared" si="581"/>
        <v>-0.1989803578421826</v>
      </c>
      <c r="GA309" s="382">
        <f t="shared" si="581"/>
        <v>0.4591594138800934</v>
      </c>
      <c r="GB309" s="382">
        <f t="shared" si="581"/>
        <v>0.64393801235406145</v>
      </c>
      <c r="GC309" s="382">
        <f t="shared" si="581"/>
        <v>0.73465601142595416</v>
      </c>
      <c r="GD309" s="382">
        <f t="shared" si="581"/>
        <v>0.59696927806666444</v>
      </c>
      <c r="GE309" s="382">
        <f t="shared" si="581"/>
        <v>-0.44575177424418155</v>
      </c>
      <c r="GF309" s="382">
        <f t="shared" si="581"/>
        <v>6.5224567032083014E-2</v>
      </c>
      <c r="GG309" s="387">
        <f>GG307/GF307-1</f>
        <v>4.7505458034048154E-2</v>
      </c>
      <c r="GH309" s="387">
        <f>GH307/GG307-1</f>
        <v>4.2676669220377939E-2</v>
      </c>
      <c r="GI309" s="387">
        <f t="shared" ref="GI309:GK309" si="582">GI307/GH307-1</f>
        <v>2.0000000000000018E-2</v>
      </c>
      <c r="GJ309" s="387">
        <f t="shared" si="582"/>
        <v>2.0000000000000018E-2</v>
      </c>
      <c r="GK309" s="387">
        <f t="shared" si="582"/>
        <v>2.0000000000000018E-2</v>
      </c>
      <c r="GN309" s="70"/>
      <c r="GQ309" s="453"/>
      <c r="GR309" s="453"/>
      <c r="GS309" s="453"/>
      <c r="GT309" s="453"/>
      <c r="GU309" s="453"/>
      <c r="GV309" s="453"/>
      <c r="GW309" s="453"/>
      <c r="GX309" s="453"/>
      <c r="GY309" s="453"/>
      <c r="GZ309" s="453"/>
      <c r="HA309" s="453"/>
      <c r="HB309" s="453"/>
      <c r="HC309" s="453"/>
      <c r="HD309" s="453"/>
      <c r="HE309" s="453"/>
    </row>
    <row r="310" spans="1:216" s="379" customFormat="1">
      <c r="A310" s="405" t="s">
        <v>291</v>
      </c>
      <c r="BJ310" s="376"/>
      <c r="BK310" s="376"/>
      <c r="BL310" s="376"/>
      <c r="BM310" s="376"/>
      <c r="BN310" s="376"/>
      <c r="BO310" s="376"/>
      <c r="BP310" s="376"/>
      <c r="BQ310" s="376"/>
      <c r="BR310" s="376"/>
      <c r="BS310" s="376"/>
      <c r="BT310" s="376"/>
      <c r="BU310" s="376"/>
      <c r="BV310" s="376"/>
      <c r="BW310" s="376"/>
      <c r="BX310" s="376"/>
      <c r="BY310" s="376"/>
      <c r="BZ310" s="376"/>
      <c r="CA310" s="376"/>
      <c r="CB310" s="376"/>
      <c r="CC310" s="376"/>
      <c r="CD310" s="376"/>
      <c r="CE310" s="376"/>
      <c r="CF310" s="376"/>
      <c r="CG310" s="376"/>
      <c r="CH310" s="376"/>
      <c r="CI310" s="376"/>
      <c r="CJ310" s="376"/>
      <c r="CK310" s="376"/>
      <c r="CL310" s="376"/>
      <c r="CM310" s="376"/>
      <c r="CN310" s="376"/>
      <c r="CO310" s="376"/>
      <c r="CP310" s="376"/>
      <c r="CQ310" s="376"/>
      <c r="CR310" s="376"/>
      <c r="CS310" s="376"/>
      <c r="CT310" s="376"/>
      <c r="CU310" s="376"/>
      <c r="CV310" s="376"/>
      <c r="CW310" s="376"/>
      <c r="CX310" s="376">
        <f>CX266/CX289*1000</f>
        <v>566.66666666666663</v>
      </c>
      <c r="CY310" s="376">
        <f>CY266/CY289*1000</f>
        <v>560</v>
      </c>
      <c r="CZ310" s="376">
        <v>1700</v>
      </c>
      <c r="DA310" s="376">
        <v>1750</v>
      </c>
      <c r="DB310" s="376">
        <v>1350</v>
      </c>
      <c r="DC310" s="376">
        <v>1750</v>
      </c>
      <c r="DD310" s="376">
        <v>1750</v>
      </c>
      <c r="DE310" s="376">
        <v>2750</v>
      </c>
      <c r="DF310" s="376">
        <v>2750</v>
      </c>
      <c r="DG310" s="376">
        <v>1750</v>
      </c>
      <c r="DH310" s="376">
        <f>DG310*0.95</f>
        <v>1662.5</v>
      </c>
      <c r="DI310" s="376">
        <v>1850</v>
      </c>
      <c r="DJ310" s="397">
        <v>1875</v>
      </c>
      <c r="DK310" s="397">
        <v>3000</v>
      </c>
      <c r="DL310" s="397">
        <v>4000</v>
      </c>
      <c r="DM310" s="397">
        <f>DL310</f>
        <v>4000</v>
      </c>
      <c r="DN310" s="397">
        <v>2750</v>
      </c>
      <c r="DO310" s="397">
        <v>3200</v>
      </c>
      <c r="DP310" s="397">
        <v>4000</v>
      </c>
      <c r="DQ310" s="397">
        <v>4000</v>
      </c>
      <c r="DR310" s="397">
        <v>4500</v>
      </c>
      <c r="DS310" s="397">
        <v>4000</v>
      </c>
      <c r="DT310" s="397">
        <f t="shared" ref="DT310:EH310" si="583">+DS310*(1+DT311)</f>
        <v>4400</v>
      </c>
      <c r="DU310" s="397">
        <f t="shared" si="583"/>
        <v>8360</v>
      </c>
      <c r="DV310" s="376">
        <f t="shared" si="583"/>
        <v>11286</v>
      </c>
      <c r="DW310" s="376">
        <f t="shared" si="583"/>
        <v>11850.300000000001</v>
      </c>
      <c r="DX310" s="376">
        <f>+DW310*(1+DX311)</f>
        <v>12442.815000000002</v>
      </c>
      <c r="DY310" s="376">
        <f t="shared" si="583"/>
        <v>13438.240200000004</v>
      </c>
      <c r="DZ310" s="376">
        <f t="shared" si="583"/>
        <v>16125.888240000004</v>
      </c>
      <c r="EA310" s="376">
        <f t="shared" si="583"/>
        <v>16770.923769600005</v>
      </c>
      <c r="EB310" s="376">
        <f>EA310*(1+EB311)</f>
        <v>20460.526998912006</v>
      </c>
      <c r="EC310" s="376">
        <f t="shared" ref="EC310:EG310" si="584">EB310*(1+EC311)</f>
        <v>18823.684838999048</v>
      </c>
      <c r="ED310" s="376">
        <f t="shared" si="584"/>
        <v>19011.92168738904</v>
      </c>
      <c r="EE310" s="380">
        <f t="shared" si="584"/>
        <v>19582.27933801071</v>
      </c>
      <c r="EF310" s="380">
        <f t="shared" si="584"/>
        <v>22519.621238712316</v>
      </c>
      <c r="EG310" s="380">
        <f t="shared" si="584"/>
        <v>29275.507610326011</v>
      </c>
      <c r="EH310" s="380">
        <f t="shared" si="583"/>
        <v>31324.793143048832</v>
      </c>
      <c r="EI310" s="380">
        <f>+EH310*(1+EI311)</f>
        <v>31638.041074479319</v>
      </c>
      <c r="EJ310" s="380">
        <f>+EI310*(1+EJ311)</f>
        <v>33219.943128203289</v>
      </c>
      <c r="EK310" s="380">
        <f>+EJ310*(1+EK311)</f>
        <v>34548.740853331423</v>
      </c>
      <c r="EL310" s="380">
        <f t="shared" ref="EL310" si="585">+EK310*(1+EL311)</f>
        <v>35585.203078931365</v>
      </c>
      <c r="EM310" s="380">
        <f>+EL310*(1+EM311)</f>
        <v>36652.759171299309</v>
      </c>
      <c r="EN310" s="380">
        <f>+EM310*(1+EN311)</f>
        <v>39218.452313290261</v>
      </c>
      <c r="EO310" s="380">
        <f>+EN310*(1+EO311)</f>
        <v>41179.374928954778</v>
      </c>
      <c r="EP310" s="380">
        <f t="shared" ref="EP310" si="586">+EO310*(1+EP311)</f>
        <v>42414.756176823423</v>
      </c>
      <c r="EQ310" s="380">
        <f>+EP310*(1+EQ311)</f>
        <v>43687.198862128127</v>
      </c>
      <c r="ER310" s="380">
        <f>+EQ310*(1+ER311)</f>
        <v>46308.43079385582</v>
      </c>
      <c r="ES310" s="380">
        <f>+ER310*(1+ES311)</f>
        <v>47234.599409732939</v>
      </c>
      <c r="ET310" s="380">
        <f t="shared" ref="ET310" si="587">+ES310*(1+ET311)</f>
        <v>48651.637392024924</v>
      </c>
      <c r="EU310" s="380">
        <f>+ET310*(1+EU311)</f>
        <v>50111.186513785673</v>
      </c>
      <c r="EV310" s="380">
        <f>+EU310*(1+EV311)</f>
        <v>54120.081434888532</v>
      </c>
      <c r="EW310" s="380">
        <f>+EV310*(1+EW311)</f>
        <v>55202.483063586304</v>
      </c>
      <c r="EZ310" s="376"/>
      <c r="FA310" s="376"/>
      <c r="FB310" s="376"/>
      <c r="FC310" s="376"/>
      <c r="FD310" s="376"/>
      <c r="FE310" s="376"/>
      <c r="FF310" s="376"/>
      <c r="FG310" s="376"/>
      <c r="FH310" s="376"/>
      <c r="FI310" s="376"/>
      <c r="FJ310" s="376"/>
      <c r="FK310" s="376"/>
      <c r="FL310" s="376"/>
      <c r="FM310" s="376"/>
      <c r="FN310" s="376"/>
      <c r="FO310" s="376"/>
      <c r="FP310" s="376"/>
      <c r="FQ310" s="376"/>
      <c r="FR310" s="376"/>
      <c r="FS310" s="376"/>
      <c r="FT310" s="376"/>
      <c r="FU310" s="376"/>
      <c r="FV310" s="376"/>
      <c r="FW310" s="376"/>
      <c r="FX310" s="376"/>
      <c r="FY310" s="376">
        <f>FY266/FY289*1000</f>
        <v>1484.9702380952381</v>
      </c>
      <c r="FZ310" s="376">
        <f>FZ266/FZ289*1000</f>
        <v>1799.8489425981873</v>
      </c>
      <c r="GA310" s="376">
        <f>GA266/GA289*1000</f>
        <v>1893.3155360476926</v>
      </c>
      <c r="GB310" s="376">
        <f>GB266/GB289*1000</f>
        <v>3402.3263013577462</v>
      </c>
      <c r="GC310" s="376">
        <f>GC266/GC289*1000</f>
        <v>3479.3956043956041</v>
      </c>
      <c r="GD310" s="376">
        <f>GD266/GD289*1000</f>
        <v>6609.5808383233534</v>
      </c>
      <c r="GE310" s="376">
        <f>GE266/GE289*1000</f>
        <v>12468.613443998471</v>
      </c>
      <c r="GF310" s="376">
        <f>GF266/GF289*1000</f>
        <v>18132.83550060157</v>
      </c>
      <c r="GG310" s="380">
        <f>GG266/GG289*1000</f>
        <v>23778.72593596256</v>
      </c>
      <c r="GH310" s="380">
        <f>GH266/GH289*1000</f>
        <v>32850.137194617702</v>
      </c>
      <c r="GI310" s="380">
        <f>GI266/GI289*1000</f>
        <v>38198.003143672613</v>
      </c>
      <c r="GJ310" s="380">
        <f>GJ266/GJ289*1000</f>
        <v>44962.570711224282</v>
      </c>
      <c r="GK310" s="380">
        <f>GK266/GK289*1000</f>
        <v>52105.497801667305</v>
      </c>
      <c r="GN310" s="70"/>
      <c r="GQ310" s="453"/>
      <c r="GR310" s="453"/>
      <c r="GS310" s="453"/>
      <c r="GT310" s="453"/>
      <c r="GU310" s="453"/>
      <c r="GV310" s="453"/>
      <c r="GW310" s="453"/>
      <c r="GX310" s="453"/>
      <c r="GY310" s="453"/>
      <c r="GZ310" s="453"/>
      <c r="HA310" s="453"/>
      <c r="HB310" s="453"/>
      <c r="HC310" s="453"/>
      <c r="HD310" s="453"/>
      <c r="HE310" s="453"/>
    </row>
    <row r="311" spans="1:216" s="382" customFormat="1">
      <c r="A311" s="381" t="s">
        <v>198</v>
      </c>
      <c r="CY311" s="382">
        <f t="shared" ref="CY311:DQ311" si="588">CY310/CX310-1</f>
        <v>-1.1764705882352899E-2</v>
      </c>
      <c r="CZ311" s="382">
        <f t="shared" si="588"/>
        <v>2.0357142857142856</v>
      </c>
      <c r="DA311" s="382">
        <f t="shared" si="588"/>
        <v>2.9411764705882248E-2</v>
      </c>
      <c r="DB311" s="382">
        <f t="shared" si="588"/>
        <v>-0.22857142857142854</v>
      </c>
      <c r="DC311" s="382">
        <f t="shared" si="588"/>
        <v>0.29629629629629628</v>
      </c>
      <c r="DD311" s="382">
        <f t="shared" si="588"/>
        <v>0</v>
      </c>
      <c r="DE311" s="382">
        <f t="shared" si="588"/>
        <v>0.5714285714285714</v>
      </c>
      <c r="DF311" s="382">
        <f t="shared" si="588"/>
        <v>0</v>
      </c>
      <c r="DG311" s="382">
        <f t="shared" si="588"/>
        <v>-0.36363636363636365</v>
      </c>
      <c r="DH311" s="382">
        <f t="shared" si="588"/>
        <v>-5.0000000000000044E-2</v>
      </c>
      <c r="DI311" s="382">
        <f t="shared" si="588"/>
        <v>0.11278195488721798</v>
      </c>
      <c r="DJ311" s="383">
        <f t="shared" si="588"/>
        <v>1.3513513513513598E-2</v>
      </c>
      <c r="DK311" s="383">
        <f t="shared" si="588"/>
        <v>0.60000000000000009</v>
      </c>
      <c r="DL311" s="383">
        <f t="shared" si="588"/>
        <v>0.33333333333333326</v>
      </c>
      <c r="DM311" s="383">
        <f t="shared" si="588"/>
        <v>0</v>
      </c>
      <c r="DN311" s="383">
        <f t="shared" si="588"/>
        <v>-0.3125</v>
      </c>
      <c r="DO311" s="383">
        <f t="shared" si="588"/>
        <v>0.16363636363636358</v>
      </c>
      <c r="DP311" s="383">
        <f t="shared" si="588"/>
        <v>0.25</v>
      </c>
      <c r="DQ311" s="383">
        <f t="shared" si="588"/>
        <v>0</v>
      </c>
      <c r="DR311" s="383">
        <f>DR310/DQ310-1</f>
        <v>0.125</v>
      </c>
      <c r="DS311" s="383">
        <v>0</v>
      </c>
      <c r="DT311" s="383">
        <v>0.1</v>
      </c>
      <c r="DU311" s="383">
        <v>0.9</v>
      </c>
      <c r="DV311" s="382">
        <v>0.35</v>
      </c>
      <c r="DW311" s="382">
        <v>0.05</v>
      </c>
      <c r="DX311" s="382">
        <v>0.05</v>
      </c>
      <c r="DY311" s="382">
        <v>0.08</v>
      </c>
      <c r="DZ311" s="382">
        <v>0.2</v>
      </c>
      <c r="EA311" s="382">
        <v>0.04</v>
      </c>
      <c r="EB311" s="382">
        <v>0.22</v>
      </c>
      <c r="EC311" s="382">
        <v>-0.08</v>
      </c>
      <c r="ED311" s="382">
        <v>0.01</v>
      </c>
      <c r="EE311" s="384">
        <v>0.03</v>
      </c>
      <c r="EF311" s="384">
        <v>0.15</v>
      </c>
      <c r="EG311" s="384">
        <v>0.3</v>
      </c>
      <c r="EH311" s="384">
        <v>7.0000000000000007E-2</v>
      </c>
      <c r="EI311" s="384">
        <v>0.01</v>
      </c>
      <c r="EJ311" s="384">
        <v>0.05</v>
      </c>
      <c r="EK311" s="384">
        <v>0.04</v>
      </c>
      <c r="EL311" s="384">
        <v>0.03</v>
      </c>
      <c r="EM311" s="384">
        <v>0.03</v>
      </c>
      <c r="EN311" s="384">
        <v>7.0000000000000007E-2</v>
      </c>
      <c r="EO311" s="384">
        <v>0.05</v>
      </c>
      <c r="EP311" s="384">
        <v>0.03</v>
      </c>
      <c r="EQ311" s="384">
        <v>0.03</v>
      </c>
      <c r="ER311" s="384">
        <v>0.06</v>
      </c>
      <c r="ES311" s="384">
        <v>0.02</v>
      </c>
      <c r="ET311" s="384">
        <v>0.03</v>
      </c>
      <c r="EU311" s="384">
        <v>0.03</v>
      </c>
      <c r="EV311" s="384">
        <v>0.08</v>
      </c>
      <c r="EW311" s="384">
        <v>0.02</v>
      </c>
      <c r="FZ311" s="386" t="s">
        <v>199</v>
      </c>
      <c r="GA311" s="386" t="s">
        <v>199</v>
      </c>
      <c r="GB311" s="386" t="s">
        <v>199</v>
      </c>
      <c r="GC311" s="386" t="s">
        <v>199</v>
      </c>
      <c r="GD311" s="386" t="s">
        <v>199</v>
      </c>
      <c r="GE311" s="386" t="s">
        <v>199</v>
      </c>
      <c r="GF311" s="386" t="s">
        <v>199</v>
      </c>
      <c r="GG311" s="386" t="s">
        <v>199</v>
      </c>
      <c r="GH311" s="386" t="s">
        <v>199</v>
      </c>
      <c r="GI311" s="386" t="s">
        <v>199</v>
      </c>
      <c r="GJ311" s="386" t="s">
        <v>199</v>
      </c>
      <c r="GK311" s="386" t="s">
        <v>199</v>
      </c>
      <c r="GN311" s="70"/>
    </row>
    <row r="312" spans="1:216" s="382" customFormat="1">
      <c r="A312" s="381" t="s">
        <v>200</v>
      </c>
      <c r="DB312" s="382">
        <f t="shared" ref="DB312:EW312" si="589">DB310/CX310-1</f>
        <v>1.3823529411764706</v>
      </c>
      <c r="DC312" s="382">
        <f t="shared" si="589"/>
        <v>2.125</v>
      </c>
      <c r="DD312" s="382">
        <f t="shared" si="589"/>
        <v>2.9411764705882248E-2</v>
      </c>
      <c r="DE312" s="382">
        <f t="shared" si="589"/>
        <v>0.5714285714285714</v>
      </c>
      <c r="DF312" s="382">
        <f t="shared" si="589"/>
        <v>1.0370370370370372</v>
      </c>
      <c r="DG312" s="382">
        <f t="shared" si="589"/>
        <v>0</v>
      </c>
      <c r="DH312" s="382">
        <f t="shared" si="589"/>
        <v>-5.0000000000000044E-2</v>
      </c>
      <c r="DI312" s="382">
        <f t="shared" si="589"/>
        <v>-0.32727272727272727</v>
      </c>
      <c r="DJ312" s="383">
        <f t="shared" si="589"/>
        <v>-0.31818181818181823</v>
      </c>
      <c r="DK312" s="383">
        <f t="shared" si="589"/>
        <v>0.71428571428571419</v>
      </c>
      <c r="DL312" s="383">
        <f t="shared" si="589"/>
        <v>1.4060150375939848</v>
      </c>
      <c r="DM312" s="383">
        <f t="shared" si="589"/>
        <v>1.1621621621621623</v>
      </c>
      <c r="DN312" s="383">
        <f t="shared" si="589"/>
        <v>0.46666666666666656</v>
      </c>
      <c r="DO312" s="383">
        <f t="shared" si="589"/>
        <v>6.6666666666666652E-2</v>
      </c>
      <c r="DP312" s="383">
        <f t="shared" si="589"/>
        <v>0</v>
      </c>
      <c r="DQ312" s="383">
        <f t="shared" si="589"/>
        <v>0</v>
      </c>
      <c r="DR312" s="383">
        <f t="shared" si="589"/>
        <v>0.63636363636363646</v>
      </c>
      <c r="DS312" s="383">
        <f t="shared" si="589"/>
        <v>0.25</v>
      </c>
      <c r="DT312" s="383">
        <f t="shared" si="589"/>
        <v>0.10000000000000009</v>
      </c>
      <c r="DU312" s="383">
        <f t="shared" si="589"/>
        <v>1.0899999999999999</v>
      </c>
      <c r="DV312" s="382">
        <f t="shared" si="589"/>
        <v>1.508</v>
      </c>
      <c r="DW312" s="382">
        <f t="shared" si="589"/>
        <v>1.9625750000000002</v>
      </c>
      <c r="DX312" s="382">
        <f t="shared" si="589"/>
        <v>1.8279125000000005</v>
      </c>
      <c r="DY312" s="382">
        <f t="shared" si="589"/>
        <v>0.60744500000000046</v>
      </c>
      <c r="DZ312" s="382">
        <f t="shared" si="589"/>
        <v>0.42884000000000033</v>
      </c>
      <c r="EA312" s="382">
        <f t="shared" si="589"/>
        <v>0.41523200000000027</v>
      </c>
      <c r="EB312" s="382">
        <f t="shared" si="589"/>
        <v>0.64436480000000018</v>
      </c>
      <c r="EC312" s="382">
        <f t="shared" si="589"/>
        <v>0.40075520000000031</v>
      </c>
      <c r="ED312" s="382">
        <f t="shared" si="589"/>
        <v>0.1789689600000004</v>
      </c>
      <c r="EE312" s="384">
        <f t="shared" si="589"/>
        <v>0.16763272000000007</v>
      </c>
      <c r="EF312" s="384">
        <f t="shared" si="589"/>
        <v>0.1006374000000001</v>
      </c>
      <c r="EG312" s="384">
        <f t="shared" si="589"/>
        <v>0.55524850000000003</v>
      </c>
      <c r="EH312" s="384">
        <f t="shared" si="589"/>
        <v>0.64763949999999992</v>
      </c>
      <c r="EI312" s="384">
        <f t="shared" si="589"/>
        <v>0.61564649999999999</v>
      </c>
      <c r="EJ312" s="384">
        <f t="shared" si="589"/>
        <v>0.47515550000000006</v>
      </c>
      <c r="EK312" s="384">
        <f t="shared" si="589"/>
        <v>0.18012440000000018</v>
      </c>
      <c r="EL312" s="384">
        <f t="shared" si="589"/>
        <v>0.13600760000000012</v>
      </c>
      <c r="EM312" s="384">
        <f t="shared" si="589"/>
        <v>0.15850280000000039</v>
      </c>
      <c r="EN312" s="384">
        <f t="shared" si="589"/>
        <v>0.18056952000000015</v>
      </c>
      <c r="EO312" s="384">
        <f t="shared" si="589"/>
        <v>0.19192115000000021</v>
      </c>
      <c r="EP312" s="384">
        <f t="shared" si="589"/>
        <v>0.19192115000000021</v>
      </c>
      <c r="EQ312" s="384">
        <f t="shared" si="589"/>
        <v>0.19192115000000021</v>
      </c>
      <c r="ER312" s="384">
        <f t="shared" si="589"/>
        <v>0.18078170000000027</v>
      </c>
      <c r="ES312" s="384">
        <f t="shared" si="589"/>
        <v>0.14704508000000027</v>
      </c>
      <c r="ET312" s="384">
        <f t="shared" si="589"/>
        <v>0.14704508000000027</v>
      </c>
      <c r="EU312" s="384">
        <f t="shared" si="589"/>
        <v>0.14704508000000005</v>
      </c>
      <c r="EV312" s="384">
        <f t="shared" si="589"/>
        <v>0.16868744000000024</v>
      </c>
      <c r="EW312" s="384">
        <f t="shared" si="589"/>
        <v>0.16868744000000002</v>
      </c>
      <c r="FZ312" s="382">
        <f t="shared" ref="FZ312:GK312" si="590">FZ310/FY310-1</f>
        <v>0.21204378136685231</v>
      </c>
      <c r="GA312" s="382">
        <f t="shared" si="590"/>
        <v>5.1930243276183452E-2</v>
      </c>
      <c r="GB312" s="382">
        <f t="shared" si="590"/>
        <v>0.79702022012671092</v>
      </c>
      <c r="GC312" s="382">
        <f t="shared" si="590"/>
        <v>2.2651943467944857E-2</v>
      </c>
      <c r="GD312" s="382">
        <f t="shared" si="590"/>
        <v>0.89963476127098363</v>
      </c>
      <c r="GE312" s="382">
        <f t="shared" si="590"/>
        <v>0.88644541144024691</v>
      </c>
      <c r="GF312" s="382">
        <f t="shared" si="590"/>
        <v>0.45427842334220925</v>
      </c>
      <c r="GG312" s="387">
        <f>GG310/GF310-1</f>
        <v>0.31136280010777595</v>
      </c>
      <c r="GH312" s="387">
        <f t="shared" si="590"/>
        <v>0.38149273779785164</v>
      </c>
      <c r="GI312" s="387">
        <f t="shared" si="590"/>
        <v>0.16279584822955107</v>
      </c>
      <c r="GJ312" s="387">
        <f t="shared" si="590"/>
        <v>0.17709217788449227</v>
      </c>
      <c r="GK312" s="387">
        <f t="shared" si="590"/>
        <v>0.15886385003026282</v>
      </c>
      <c r="GN312" s="70"/>
    </row>
    <row r="313" spans="1:216" s="382" customFormat="1">
      <c r="A313" s="381"/>
      <c r="CX313" s="457"/>
      <c r="CY313" s="457"/>
      <c r="CZ313" s="457"/>
      <c r="DA313" s="457"/>
      <c r="DB313" s="457"/>
      <c r="DC313" s="95"/>
      <c r="DD313" s="95"/>
      <c r="DE313" s="95"/>
      <c r="DF313" s="95"/>
      <c r="DG313" s="95"/>
      <c r="DH313" s="95"/>
      <c r="DI313" s="95"/>
      <c r="DJ313" s="117"/>
      <c r="DK313" s="117"/>
      <c r="DL313" s="117"/>
      <c r="DM313" s="117"/>
      <c r="DN313" s="472"/>
      <c r="DO313" s="391"/>
      <c r="DP313" s="391"/>
      <c r="DQ313" s="391"/>
      <c r="DR313" s="391"/>
      <c r="DS313" s="391"/>
      <c r="DT313" s="391"/>
      <c r="DU313" s="391"/>
      <c r="DV313" s="391"/>
      <c r="DW313" s="391"/>
      <c r="DX313" s="384"/>
      <c r="DY313" s="384"/>
      <c r="DZ313" s="384"/>
      <c r="EA313" s="384"/>
      <c r="EB313" s="384"/>
      <c r="EC313" s="384"/>
      <c r="ED313" s="384"/>
      <c r="EE313" s="384"/>
      <c r="EF313" s="384"/>
      <c r="EG313" s="384"/>
      <c r="EH313" s="384"/>
      <c r="EI313" s="384"/>
      <c r="EJ313" s="384"/>
      <c r="EK313" s="384"/>
      <c r="EL313" s="384"/>
      <c r="EM313" s="384"/>
      <c r="EN313" s="384"/>
      <c r="EO313" s="384"/>
      <c r="EP313" s="384"/>
      <c r="EQ313" s="384"/>
      <c r="ER313" s="384"/>
      <c r="ES313" s="384"/>
      <c r="ET313" s="384"/>
      <c r="EU313" s="384"/>
      <c r="EV313" s="384"/>
      <c r="EW313" s="384"/>
      <c r="GA313" s="387"/>
      <c r="GB313" s="387"/>
      <c r="GC313" s="387"/>
      <c r="GD313" s="387"/>
      <c r="GE313" s="387"/>
      <c r="GF313" s="387"/>
      <c r="GG313" s="387"/>
      <c r="GH313" s="387"/>
      <c r="GI313" s="387"/>
      <c r="GJ313" s="387"/>
      <c r="GK313" s="387"/>
      <c r="GN313" s="70"/>
    </row>
    <row r="314" spans="1:216">
      <c r="A314" s="61" t="s">
        <v>293</v>
      </c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75"/>
      <c r="CS314" s="62"/>
      <c r="CT314" s="76"/>
      <c r="CU314" s="76"/>
      <c r="CV314" s="76"/>
      <c r="CW314" s="76"/>
      <c r="CX314" s="76"/>
      <c r="CY314" s="76"/>
      <c r="CZ314" s="77"/>
      <c r="DA314" s="76"/>
      <c r="DB314" s="78"/>
      <c r="DC314" s="62"/>
      <c r="DD314" s="62"/>
      <c r="DE314" s="79"/>
      <c r="DF314" s="75"/>
      <c r="DG314" s="62"/>
      <c r="DH314" s="62"/>
      <c r="DI314" s="75"/>
      <c r="DJ314" s="80"/>
      <c r="DK314" s="80"/>
      <c r="DL314" s="80"/>
      <c r="DM314" s="80"/>
      <c r="DN314" s="80"/>
      <c r="DO314" s="80"/>
      <c r="DP314" s="80"/>
      <c r="DQ314" s="80"/>
      <c r="DR314" s="80"/>
      <c r="DS314" s="80"/>
      <c r="DT314" s="80"/>
      <c r="DU314" s="80"/>
      <c r="DV314" s="80"/>
      <c r="DW314" s="80"/>
      <c r="DX314" s="80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N314" s="48"/>
    </row>
    <row r="315" spans="1:216" s="379" customFormat="1">
      <c r="A315" s="405" t="s">
        <v>294</v>
      </c>
      <c r="B315" s="376"/>
      <c r="C315" s="376"/>
      <c r="D315" s="376"/>
      <c r="E315" s="376"/>
      <c r="F315" s="376"/>
      <c r="G315" s="376"/>
      <c r="H315" s="376"/>
      <c r="I315" s="376"/>
      <c r="J315" s="376"/>
      <c r="K315" s="376"/>
      <c r="L315" s="376"/>
      <c r="M315" s="376"/>
      <c r="N315" s="376"/>
      <c r="O315" s="376"/>
      <c r="P315" s="376"/>
      <c r="Q315" s="376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E315" s="376"/>
      <c r="AF315" s="376"/>
      <c r="AG315" s="376"/>
      <c r="AH315" s="376"/>
      <c r="AI315" s="376"/>
      <c r="AJ315" s="376"/>
      <c r="AK315" s="376"/>
      <c r="AL315" s="376"/>
      <c r="AM315" s="376"/>
      <c r="AN315" s="376"/>
      <c r="AO315" s="376"/>
      <c r="AP315" s="376"/>
      <c r="AQ315" s="376"/>
      <c r="AR315" s="376"/>
      <c r="AS315" s="376"/>
      <c r="AT315" s="376"/>
      <c r="AU315" s="376"/>
      <c r="AV315" s="376"/>
      <c r="AW315" s="376"/>
      <c r="AX315" s="376"/>
      <c r="AY315" s="376"/>
      <c r="AZ315" s="376"/>
      <c r="BA315" s="376"/>
      <c r="BB315" s="376"/>
      <c r="BC315" s="376"/>
      <c r="BD315" s="376"/>
      <c r="BE315" s="376"/>
      <c r="BF315" s="376"/>
      <c r="BG315" s="376"/>
      <c r="BH315" s="376"/>
      <c r="BI315" s="376"/>
      <c r="BJ315" s="376"/>
      <c r="BK315" s="376"/>
      <c r="BL315" s="376"/>
      <c r="BM315" s="376"/>
      <c r="BN315" s="376"/>
      <c r="BO315" s="376"/>
      <c r="BP315" s="376"/>
      <c r="BQ315" s="376"/>
      <c r="BR315" s="376"/>
      <c r="BS315" s="376"/>
      <c r="BT315" s="376"/>
      <c r="BU315" s="376"/>
      <c r="BV315" s="376"/>
      <c r="BW315" s="376"/>
      <c r="BX315" s="376"/>
      <c r="BY315" s="376"/>
      <c r="BZ315" s="376"/>
      <c r="CA315" s="376"/>
      <c r="CB315" s="376"/>
      <c r="CC315" s="376"/>
      <c r="CD315" s="376"/>
      <c r="CE315" s="376"/>
      <c r="CF315" s="376"/>
      <c r="CG315" s="376"/>
      <c r="CH315" s="376"/>
      <c r="CI315" s="376"/>
      <c r="CJ315" s="376"/>
      <c r="CK315" s="376"/>
      <c r="CL315" s="376"/>
      <c r="CM315" s="376"/>
      <c r="CN315" s="376"/>
      <c r="CO315" s="376"/>
      <c r="CP315" s="376"/>
      <c r="CQ315" s="376"/>
      <c r="CR315" s="376"/>
      <c r="CS315" s="376"/>
      <c r="CT315" s="376"/>
      <c r="CU315" s="376"/>
      <c r="CV315" s="376"/>
      <c r="CW315" s="376"/>
      <c r="CX315" s="376"/>
      <c r="CY315" s="376"/>
      <c r="CZ315" s="376"/>
      <c r="DA315" s="376"/>
      <c r="DB315" s="376"/>
      <c r="DC315" s="380"/>
      <c r="DD315" s="376">
        <v>50</v>
      </c>
      <c r="DE315" s="376">
        <v>50</v>
      </c>
      <c r="DF315" s="376">
        <v>0</v>
      </c>
      <c r="DG315" s="376">
        <v>0</v>
      </c>
      <c r="DH315" s="376">
        <v>0</v>
      </c>
      <c r="DI315" s="376">
        <v>0</v>
      </c>
      <c r="DJ315" s="397">
        <v>4</v>
      </c>
      <c r="DK315" s="397">
        <v>1</v>
      </c>
      <c r="DL315" s="397">
        <v>3</v>
      </c>
      <c r="DM315" s="397">
        <v>4</v>
      </c>
      <c r="DN315" s="397">
        <v>83</v>
      </c>
      <c r="DO315" s="397">
        <v>6</v>
      </c>
      <c r="DP315" s="397">
        <v>0</v>
      </c>
      <c r="DQ315" s="397">
        <v>13</v>
      </c>
      <c r="DR315" s="397">
        <v>0</v>
      </c>
      <c r="DS315" s="397">
        <f>DR315</f>
        <v>0</v>
      </c>
      <c r="DT315" s="397">
        <f t="shared" ref="DT315:EH315" si="591">DS315</f>
        <v>0</v>
      </c>
      <c r="DU315" s="397">
        <f t="shared" si="591"/>
        <v>0</v>
      </c>
      <c r="DV315" s="376">
        <f t="shared" si="591"/>
        <v>0</v>
      </c>
      <c r="DW315" s="376">
        <f t="shared" si="591"/>
        <v>0</v>
      </c>
      <c r="DX315" s="376">
        <f>DW315</f>
        <v>0</v>
      </c>
      <c r="DY315" s="376">
        <f t="shared" si="591"/>
        <v>0</v>
      </c>
      <c r="DZ315" s="376">
        <f t="shared" si="591"/>
        <v>0</v>
      </c>
      <c r="EA315" s="376">
        <f t="shared" si="591"/>
        <v>0</v>
      </c>
      <c r="EB315" s="376">
        <f t="shared" si="591"/>
        <v>0</v>
      </c>
      <c r="EC315" s="376">
        <f t="shared" si="591"/>
        <v>0</v>
      </c>
      <c r="ED315" s="376">
        <f t="shared" si="591"/>
        <v>0</v>
      </c>
      <c r="EE315" s="380">
        <f t="shared" si="591"/>
        <v>0</v>
      </c>
      <c r="EF315" s="380">
        <f t="shared" si="591"/>
        <v>0</v>
      </c>
      <c r="EG315" s="380">
        <f t="shared" si="591"/>
        <v>0</v>
      </c>
      <c r="EH315" s="380">
        <f t="shared" si="591"/>
        <v>0</v>
      </c>
      <c r="EI315" s="380">
        <f>EH315</f>
        <v>0</v>
      </c>
      <c r="EJ315" s="380">
        <f>EI315</f>
        <v>0</v>
      </c>
      <c r="EK315" s="380">
        <f>EJ315</f>
        <v>0</v>
      </c>
      <c r="EL315" s="380">
        <f t="shared" ref="EL315" si="592">EK315</f>
        <v>0</v>
      </c>
      <c r="EM315" s="380">
        <f>EL315</f>
        <v>0</v>
      </c>
      <c r="EN315" s="380">
        <f>EM315</f>
        <v>0</v>
      </c>
      <c r="EO315" s="380">
        <f>EN315</f>
        <v>0</v>
      </c>
      <c r="EP315" s="380">
        <f t="shared" ref="EP315" si="593">EO315</f>
        <v>0</v>
      </c>
      <c r="EQ315" s="380">
        <f>EP315</f>
        <v>0</v>
      </c>
      <c r="ER315" s="380">
        <f>EQ315</f>
        <v>0</v>
      </c>
      <c r="ES315" s="380">
        <f>ER315</f>
        <v>0</v>
      </c>
      <c r="ET315" s="380">
        <f t="shared" ref="ET315" si="594">ES315</f>
        <v>0</v>
      </c>
      <c r="EU315" s="380">
        <f>ET315</f>
        <v>0</v>
      </c>
      <c r="EV315" s="380">
        <f>EU315</f>
        <v>0</v>
      </c>
      <c r="EW315" s="380">
        <f>EV315</f>
        <v>0</v>
      </c>
      <c r="EZ315" s="376"/>
      <c r="FA315" s="376"/>
      <c r="FB315" s="376"/>
      <c r="FC315" s="376"/>
      <c r="FD315" s="376"/>
      <c r="FE315" s="376"/>
      <c r="FF315" s="376"/>
      <c r="FG315" s="376"/>
      <c r="FH315" s="376"/>
      <c r="FI315" s="376"/>
      <c r="FJ315" s="376"/>
      <c r="FK315" s="376"/>
      <c r="FL315" s="376"/>
      <c r="FM315" s="376"/>
      <c r="FN315" s="376"/>
      <c r="FO315" s="376"/>
      <c r="FP315" s="376"/>
      <c r="FQ315" s="376"/>
      <c r="FR315" s="376"/>
      <c r="FS315" s="376"/>
      <c r="FT315" s="376"/>
      <c r="FU315" s="376"/>
      <c r="FV315" s="376"/>
      <c r="FW315" s="376"/>
      <c r="FX315" s="376"/>
      <c r="FY315" s="376"/>
      <c r="FZ315" s="376">
        <f>DB315+DC315+DD315+DE315</f>
        <v>100</v>
      </c>
      <c r="GA315" s="376">
        <f>SUM(DF315:DI315)</f>
        <v>0</v>
      </c>
      <c r="GB315" s="376">
        <f>SUM(DJ315:DM315)</f>
        <v>12</v>
      </c>
      <c r="GC315" s="376">
        <f>SUM(DN315:DQ315)</f>
        <v>102</v>
      </c>
      <c r="GD315" s="376">
        <f>SUM(DR315:DU315)</f>
        <v>0</v>
      </c>
      <c r="GE315" s="376">
        <f>SUM(DV315:DY315)</f>
        <v>0</v>
      </c>
      <c r="GF315" s="376">
        <f>SUM(DZ315:EC315)</f>
        <v>0</v>
      </c>
      <c r="GG315" s="380">
        <f>SUM(ED315:EG315)</f>
        <v>0</v>
      </c>
      <c r="GH315" s="380">
        <f>SUM(EH315:EK315)</f>
        <v>0</v>
      </c>
      <c r="GI315" s="380">
        <f>SUM(EL315:EO315)</f>
        <v>0</v>
      </c>
      <c r="GJ315" s="380">
        <f>SUM(EP315:ES315)</f>
        <v>0</v>
      </c>
      <c r="GK315" s="380">
        <f>SUM(EQ315:ET315)</f>
        <v>0</v>
      </c>
      <c r="GN315" s="70"/>
      <c r="GO315" s="468"/>
      <c r="GP315" s="468"/>
      <c r="GQ315" s="468"/>
      <c r="GR315" s="468"/>
      <c r="GS315" s="468"/>
      <c r="GT315" s="468"/>
      <c r="GU315" s="468"/>
      <c r="GV315" s="468"/>
      <c r="GW315" s="468"/>
      <c r="GX315" s="468"/>
      <c r="GY315" s="468"/>
      <c r="GZ315" s="468"/>
      <c r="HA315" s="468"/>
      <c r="HB315" s="468"/>
      <c r="HC315" s="468"/>
      <c r="HD315" s="468"/>
      <c r="HE315" s="468"/>
      <c r="HF315" s="468"/>
      <c r="HG315" s="468"/>
      <c r="HH315" s="468"/>
    </row>
    <row r="316" spans="1:216" s="382" customFormat="1">
      <c r="A316" s="381" t="s">
        <v>198</v>
      </c>
      <c r="DD316" s="382" t="e">
        <f>DD315/DC315-1</f>
        <v>#DIV/0!</v>
      </c>
      <c r="DE316" s="382">
        <f>DE315/DD315-1</f>
        <v>0</v>
      </c>
      <c r="DF316" s="382">
        <f>DF315/DE315-1</f>
        <v>-1</v>
      </c>
      <c r="DG316" s="382" t="e">
        <f>DG315/DF315-1</f>
        <v>#DIV/0!</v>
      </c>
      <c r="DH316" s="382" t="e">
        <f t="shared" ref="DH316:EH316" si="595">DH315/DG315-1</f>
        <v>#DIV/0!</v>
      </c>
      <c r="DI316" s="382" t="e">
        <f t="shared" si="595"/>
        <v>#DIV/0!</v>
      </c>
      <c r="DJ316" s="383" t="e">
        <f t="shared" si="595"/>
        <v>#DIV/0!</v>
      </c>
      <c r="DK316" s="383">
        <f t="shared" si="595"/>
        <v>-0.75</v>
      </c>
      <c r="DL316" s="383">
        <f t="shared" si="595"/>
        <v>2</v>
      </c>
      <c r="DM316" s="383">
        <f t="shared" si="595"/>
        <v>0.33333333333333326</v>
      </c>
      <c r="DN316" s="383">
        <f t="shared" si="595"/>
        <v>19.75</v>
      </c>
      <c r="DO316" s="383">
        <f t="shared" si="595"/>
        <v>-0.92771084337349397</v>
      </c>
      <c r="DP316" s="383">
        <f t="shared" si="595"/>
        <v>-1</v>
      </c>
      <c r="DQ316" s="383" t="e">
        <f t="shared" si="595"/>
        <v>#DIV/0!</v>
      </c>
      <c r="DR316" s="383">
        <f t="shared" si="595"/>
        <v>-1</v>
      </c>
      <c r="DS316" s="383" t="e">
        <f t="shared" si="595"/>
        <v>#DIV/0!</v>
      </c>
      <c r="DT316" s="383" t="e">
        <f t="shared" si="595"/>
        <v>#DIV/0!</v>
      </c>
      <c r="DU316" s="383" t="e">
        <f t="shared" si="595"/>
        <v>#DIV/0!</v>
      </c>
      <c r="DV316" s="382" t="e">
        <f t="shared" si="595"/>
        <v>#DIV/0!</v>
      </c>
      <c r="DW316" s="382" t="e">
        <f t="shared" si="595"/>
        <v>#DIV/0!</v>
      </c>
      <c r="DX316" s="382" t="e">
        <f>DX315/DW315-1</f>
        <v>#DIV/0!</v>
      </c>
      <c r="DY316" s="382" t="e">
        <f t="shared" si="595"/>
        <v>#DIV/0!</v>
      </c>
      <c r="DZ316" s="382" t="e">
        <f t="shared" si="595"/>
        <v>#DIV/0!</v>
      </c>
      <c r="EA316" s="382" t="e">
        <f t="shared" si="595"/>
        <v>#DIV/0!</v>
      </c>
      <c r="EB316" s="382" t="e">
        <f t="shared" si="595"/>
        <v>#DIV/0!</v>
      </c>
      <c r="EC316" s="382" t="e">
        <f t="shared" si="595"/>
        <v>#DIV/0!</v>
      </c>
      <c r="ED316" s="382" t="e">
        <f t="shared" si="595"/>
        <v>#DIV/0!</v>
      </c>
      <c r="EE316" s="384" t="e">
        <f t="shared" si="595"/>
        <v>#DIV/0!</v>
      </c>
      <c r="EF316" s="384" t="e">
        <f t="shared" si="595"/>
        <v>#DIV/0!</v>
      </c>
      <c r="EG316" s="384" t="e">
        <f t="shared" si="595"/>
        <v>#DIV/0!</v>
      </c>
      <c r="EH316" s="384" t="e">
        <f t="shared" si="595"/>
        <v>#DIV/0!</v>
      </c>
      <c r="EI316" s="384" t="e">
        <f>EI315/EH315-1</f>
        <v>#DIV/0!</v>
      </c>
      <c r="EJ316" s="384" t="e">
        <f>EJ315/EI315-1</f>
        <v>#DIV/0!</v>
      </c>
      <c r="EK316" s="384" t="e">
        <f>EK315/EJ315-1</f>
        <v>#DIV/0!</v>
      </c>
      <c r="EL316" s="384" t="e">
        <f t="shared" ref="EL316" si="596">EL315/EK315-1</f>
        <v>#DIV/0!</v>
      </c>
      <c r="EM316" s="384" t="e">
        <f>EM315/EL315-1</f>
        <v>#DIV/0!</v>
      </c>
      <c r="EN316" s="384" t="e">
        <f>EN315/EM315-1</f>
        <v>#DIV/0!</v>
      </c>
      <c r="EO316" s="384" t="e">
        <f>EO315/EN315-1</f>
        <v>#DIV/0!</v>
      </c>
      <c r="EP316" s="384" t="e">
        <f t="shared" ref="EP316" si="597">EP315/EO315-1</f>
        <v>#DIV/0!</v>
      </c>
      <c r="EQ316" s="384" t="e">
        <f>EQ315/EP315-1</f>
        <v>#DIV/0!</v>
      </c>
      <c r="ER316" s="384" t="e">
        <f>ER315/EQ315-1</f>
        <v>#DIV/0!</v>
      </c>
      <c r="ES316" s="384" t="e">
        <f>ES315/ER315-1</f>
        <v>#DIV/0!</v>
      </c>
      <c r="ET316" s="384" t="e">
        <f t="shared" ref="ET316" si="598">ET315/ES315-1</f>
        <v>#DIV/0!</v>
      </c>
      <c r="EU316" s="384" t="e">
        <f>EU315/ET315-1</f>
        <v>#DIV/0!</v>
      </c>
      <c r="EV316" s="384" t="e">
        <f>EV315/EU315-1</f>
        <v>#DIV/0!</v>
      </c>
      <c r="EW316" s="384" t="e">
        <f>EW315/EV315-1</f>
        <v>#DIV/0!</v>
      </c>
      <c r="FZ316" s="386" t="s">
        <v>199</v>
      </c>
      <c r="GA316" s="386" t="s">
        <v>199</v>
      </c>
      <c r="GB316" s="386" t="s">
        <v>199</v>
      </c>
      <c r="GC316" s="386" t="s">
        <v>199</v>
      </c>
      <c r="GD316" s="386" t="s">
        <v>199</v>
      </c>
      <c r="GE316" s="386" t="s">
        <v>199</v>
      </c>
      <c r="GF316" s="386" t="s">
        <v>199</v>
      </c>
      <c r="GG316" s="386" t="s">
        <v>199</v>
      </c>
      <c r="GH316" s="386" t="s">
        <v>199</v>
      </c>
      <c r="GI316" s="386" t="s">
        <v>199</v>
      </c>
      <c r="GJ316" s="386" t="s">
        <v>199</v>
      </c>
      <c r="GK316" s="386" t="s">
        <v>199</v>
      </c>
      <c r="GN316" s="70"/>
    </row>
    <row r="317" spans="1:216" s="382" customFormat="1">
      <c r="A317" s="381" t="s">
        <v>200</v>
      </c>
      <c r="DF317" s="382" t="e">
        <f>DF315/DB315-1</f>
        <v>#DIV/0!</v>
      </c>
      <c r="DG317" s="382" t="e">
        <f>DG315/DC315-1</f>
        <v>#DIV/0!</v>
      </c>
      <c r="DH317" s="382">
        <f t="shared" ref="DH317:EW317" si="599">DH315/DD315-1</f>
        <v>-1</v>
      </c>
      <c r="DI317" s="382">
        <f t="shared" si="599"/>
        <v>-1</v>
      </c>
      <c r="DJ317" s="383" t="e">
        <f t="shared" si="599"/>
        <v>#DIV/0!</v>
      </c>
      <c r="DK317" s="383" t="e">
        <f t="shared" si="599"/>
        <v>#DIV/0!</v>
      </c>
      <c r="DL317" s="383" t="e">
        <f t="shared" si="599"/>
        <v>#DIV/0!</v>
      </c>
      <c r="DM317" s="383" t="e">
        <f t="shared" si="599"/>
        <v>#DIV/0!</v>
      </c>
      <c r="DN317" s="383">
        <f t="shared" si="599"/>
        <v>19.75</v>
      </c>
      <c r="DO317" s="383">
        <f t="shared" si="599"/>
        <v>5</v>
      </c>
      <c r="DP317" s="383">
        <f t="shared" si="599"/>
        <v>-1</v>
      </c>
      <c r="DQ317" s="383">
        <f t="shared" si="599"/>
        <v>2.25</v>
      </c>
      <c r="DR317" s="383">
        <f t="shared" si="599"/>
        <v>-1</v>
      </c>
      <c r="DS317" s="383">
        <f t="shared" si="599"/>
        <v>-1</v>
      </c>
      <c r="DT317" s="383" t="e">
        <f t="shared" si="599"/>
        <v>#DIV/0!</v>
      </c>
      <c r="DU317" s="383">
        <f t="shared" si="599"/>
        <v>-1</v>
      </c>
      <c r="DV317" s="382" t="e">
        <f t="shared" si="599"/>
        <v>#DIV/0!</v>
      </c>
      <c r="DW317" s="382" t="e">
        <f t="shared" si="599"/>
        <v>#DIV/0!</v>
      </c>
      <c r="DX317" s="382" t="e">
        <f t="shared" si="599"/>
        <v>#DIV/0!</v>
      </c>
      <c r="DY317" s="382" t="e">
        <f t="shared" si="599"/>
        <v>#DIV/0!</v>
      </c>
      <c r="DZ317" s="382" t="e">
        <f t="shared" si="599"/>
        <v>#DIV/0!</v>
      </c>
      <c r="EA317" s="382" t="e">
        <f t="shared" si="599"/>
        <v>#DIV/0!</v>
      </c>
      <c r="EB317" s="382" t="e">
        <f t="shared" si="599"/>
        <v>#DIV/0!</v>
      </c>
      <c r="EC317" s="382" t="e">
        <f t="shared" si="599"/>
        <v>#DIV/0!</v>
      </c>
      <c r="ED317" s="382" t="e">
        <f t="shared" si="599"/>
        <v>#DIV/0!</v>
      </c>
      <c r="EE317" s="384" t="e">
        <f t="shared" si="599"/>
        <v>#DIV/0!</v>
      </c>
      <c r="EF317" s="384" t="e">
        <f t="shared" si="599"/>
        <v>#DIV/0!</v>
      </c>
      <c r="EG317" s="384" t="e">
        <f t="shared" si="599"/>
        <v>#DIV/0!</v>
      </c>
      <c r="EH317" s="384" t="e">
        <f t="shared" si="599"/>
        <v>#DIV/0!</v>
      </c>
      <c r="EI317" s="384" t="e">
        <f t="shared" si="599"/>
        <v>#DIV/0!</v>
      </c>
      <c r="EJ317" s="384" t="e">
        <f t="shared" si="599"/>
        <v>#DIV/0!</v>
      </c>
      <c r="EK317" s="384" t="e">
        <f t="shared" si="599"/>
        <v>#DIV/0!</v>
      </c>
      <c r="EL317" s="384" t="e">
        <f t="shared" si="599"/>
        <v>#DIV/0!</v>
      </c>
      <c r="EM317" s="384" t="e">
        <f t="shared" si="599"/>
        <v>#DIV/0!</v>
      </c>
      <c r="EN317" s="384" t="e">
        <f t="shared" si="599"/>
        <v>#DIV/0!</v>
      </c>
      <c r="EO317" s="384" t="e">
        <f t="shared" si="599"/>
        <v>#DIV/0!</v>
      </c>
      <c r="EP317" s="384" t="e">
        <f t="shared" si="599"/>
        <v>#DIV/0!</v>
      </c>
      <c r="EQ317" s="384" t="e">
        <f t="shared" si="599"/>
        <v>#DIV/0!</v>
      </c>
      <c r="ER317" s="384" t="e">
        <f t="shared" si="599"/>
        <v>#DIV/0!</v>
      </c>
      <c r="ES317" s="384" t="e">
        <f t="shared" si="599"/>
        <v>#DIV/0!</v>
      </c>
      <c r="ET317" s="384" t="e">
        <f t="shared" si="599"/>
        <v>#DIV/0!</v>
      </c>
      <c r="EU317" s="384" t="e">
        <f t="shared" si="599"/>
        <v>#DIV/0!</v>
      </c>
      <c r="EV317" s="384" t="e">
        <f t="shared" si="599"/>
        <v>#DIV/0!</v>
      </c>
      <c r="EW317" s="384" t="e">
        <f t="shared" si="599"/>
        <v>#DIV/0!</v>
      </c>
      <c r="FZ317" s="386" t="s">
        <v>199</v>
      </c>
      <c r="GA317" s="382">
        <f t="shared" ref="GA317:GK317" si="600">GA315/FZ315-1</f>
        <v>-1</v>
      </c>
      <c r="GB317" s="382" t="e">
        <f t="shared" si="600"/>
        <v>#DIV/0!</v>
      </c>
      <c r="GC317" s="382">
        <f t="shared" si="600"/>
        <v>7.5</v>
      </c>
      <c r="GD317" s="382">
        <f t="shared" si="600"/>
        <v>-1</v>
      </c>
      <c r="GE317" s="382" t="e">
        <f t="shared" si="600"/>
        <v>#DIV/0!</v>
      </c>
      <c r="GF317" s="382" t="e">
        <f t="shared" si="600"/>
        <v>#DIV/0!</v>
      </c>
      <c r="GG317" s="387" t="e">
        <f t="shared" si="600"/>
        <v>#DIV/0!</v>
      </c>
      <c r="GH317" s="387" t="e">
        <f t="shared" si="600"/>
        <v>#DIV/0!</v>
      </c>
      <c r="GI317" s="387" t="e">
        <f t="shared" si="600"/>
        <v>#DIV/0!</v>
      </c>
      <c r="GJ317" s="387" t="e">
        <f t="shared" si="600"/>
        <v>#DIV/0!</v>
      </c>
      <c r="GK317" s="387" t="e">
        <f t="shared" si="600"/>
        <v>#DIV/0!</v>
      </c>
      <c r="GN317" s="70"/>
    </row>
    <row r="318" spans="1:216" s="382" customFormat="1">
      <c r="A318" s="381" t="s">
        <v>261</v>
      </c>
      <c r="DD318" s="382">
        <f t="shared" ref="DD318:EW318" si="601">DD315/DD$4</f>
        <v>2.77623542476402E-2</v>
      </c>
      <c r="DE318" s="382">
        <f t="shared" si="601"/>
        <v>2.3507287259050307E-2</v>
      </c>
      <c r="DF318" s="382">
        <f t="shared" si="601"/>
        <v>0</v>
      </c>
      <c r="DG318" s="382">
        <f t="shared" si="601"/>
        <v>0</v>
      </c>
      <c r="DH318" s="382">
        <f t="shared" si="601"/>
        <v>0</v>
      </c>
      <c r="DI318" s="382">
        <f t="shared" si="601"/>
        <v>0</v>
      </c>
      <c r="DJ318" s="383">
        <f>DJ315/DJ$4</f>
        <v>1.1611030478955006E-3</v>
      </c>
      <c r="DK318" s="383">
        <f>DK315/DK$4</f>
        <v>2.5974025974025974E-4</v>
      </c>
      <c r="DL318" s="383">
        <f>DL315/DL$4</f>
        <v>6.9557152793878966E-4</v>
      </c>
      <c r="DM318" s="383">
        <f>DM315/DM$4</f>
        <v>8.2884376295068376E-4</v>
      </c>
      <c r="DN318" s="383">
        <f t="shared" si="601"/>
        <v>1.4098861899099712E-2</v>
      </c>
      <c r="DO318" s="383">
        <f t="shared" si="601"/>
        <v>9.1603053435114501E-4</v>
      </c>
      <c r="DP318" s="383">
        <f t="shared" si="601"/>
        <v>0</v>
      </c>
      <c r="DQ318" s="383">
        <f>DQ315/DQ$4</f>
        <v>2.3218431862832649E-3</v>
      </c>
      <c r="DR318" s="383">
        <f t="shared" si="601"/>
        <v>0</v>
      </c>
      <c r="DS318" s="383">
        <f t="shared" si="601"/>
        <v>0</v>
      </c>
      <c r="DT318" s="383">
        <f t="shared" si="601"/>
        <v>0</v>
      </c>
      <c r="DU318" s="383">
        <f t="shared" si="601"/>
        <v>0</v>
      </c>
      <c r="DV318" s="382">
        <f t="shared" si="601"/>
        <v>0</v>
      </c>
      <c r="DW318" s="382">
        <f t="shared" si="601"/>
        <v>0</v>
      </c>
      <c r="DX318" s="382">
        <f t="shared" si="601"/>
        <v>0</v>
      </c>
      <c r="DY318" s="382">
        <f t="shared" si="601"/>
        <v>0</v>
      </c>
      <c r="DZ318" s="382">
        <f t="shared" si="601"/>
        <v>0</v>
      </c>
      <c r="EA318" s="382">
        <f t="shared" si="601"/>
        <v>0</v>
      </c>
      <c r="EB318" s="382">
        <f t="shared" si="601"/>
        <v>0</v>
      </c>
      <c r="EC318" s="382">
        <f t="shared" si="601"/>
        <v>0</v>
      </c>
      <c r="ED318" s="382">
        <f t="shared" si="601"/>
        <v>0</v>
      </c>
      <c r="EE318" s="384">
        <f t="shared" si="601"/>
        <v>0</v>
      </c>
      <c r="EF318" s="384">
        <f t="shared" si="601"/>
        <v>0</v>
      </c>
      <c r="EG318" s="384">
        <f t="shared" si="601"/>
        <v>0</v>
      </c>
      <c r="EH318" s="384">
        <f t="shared" si="601"/>
        <v>0</v>
      </c>
      <c r="EI318" s="384">
        <f t="shared" si="601"/>
        <v>0</v>
      </c>
      <c r="EJ318" s="384">
        <f t="shared" si="601"/>
        <v>0</v>
      </c>
      <c r="EK318" s="384">
        <f t="shared" si="601"/>
        <v>0</v>
      </c>
      <c r="EL318" s="384">
        <f t="shared" si="601"/>
        <v>0</v>
      </c>
      <c r="EM318" s="384">
        <f t="shared" si="601"/>
        <v>0</v>
      </c>
      <c r="EN318" s="384">
        <f t="shared" si="601"/>
        <v>0</v>
      </c>
      <c r="EO318" s="384">
        <f t="shared" si="601"/>
        <v>0</v>
      </c>
      <c r="EP318" s="384">
        <f t="shared" si="601"/>
        <v>0</v>
      </c>
      <c r="EQ318" s="384">
        <f t="shared" si="601"/>
        <v>0</v>
      </c>
      <c r="ER318" s="384">
        <f t="shared" si="601"/>
        <v>0</v>
      </c>
      <c r="ES318" s="384">
        <f t="shared" si="601"/>
        <v>0</v>
      </c>
      <c r="ET318" s="384">
        <f t="shared" si="601"/>
        <v>0</v>
      </c>
      <c r="EU318" s="384">
        <f t="shared" si="601"/>
        <v>0</v>
      </c>
      <c r="EV318" s="384">
        <f t="shared" si="601"/>
        <v>0</v>
      </c>
      <c r="EW318" s="384">
        <f t="shared" si="601"/>
        <v>0</v>
      </c>
      <c r="FZ318" s="382">
        <f t="shared" ref="FZ318:GE318" si="602">FZ315/FZ$4</f>
        <v>1.4856633486851879E-2</v>
      </c>
      <c r="GA318" s="382">
        <f t="shared" si="602"/>
        <v>0</v>
      </c>
      <c r="GB318" s="382">
        <f t="shared" si="602"/>
        <v>7.3019350127783865E-4</v>
      </c>
      <c r="GC318" s="384">
        <f t="shared" si="602"/>
        <v>4.32185076903521E-3</v>
      </c>
      <c r="GD318" s="384">
        <f t="shared" si="602"/>
        <v>0</v>
      </c>
      <c r="GE318" s="384">
        <f t="shared" si="602"/>
        <v>0</v>
      </c>
      <c r="GF318" s="384">
        <f>GF315/GF$4</f>
        <v>0</v>
      </c>
      <c r="GG318" s="384">
        <f>GG315/GG$4</f>
        <v>0</v>
      </c>
      <c r="GH318" s="384">
        <f>GH315/GH$4</f>
        <v>0</v>
      </c>
      <c r="GI318" s="384">
        <f t="shared" ref="GI318:GK318" si="603">GI315/GI$4</f>
        <v>0</v>
      </c>
      <c r="GJ318" s="384">
        <f t="shared" si="603"/>
        <v>0</v>
      </c>
      <c r="GK318" s="384">
        <f t="shared" si="603"/>
        <v>0</v>
      </c>
      <c r="GN318" s="70"/>
    </row>
    <row r="319" spans="1:216" s="382" customFormat="1">
      <c r="A319" s="473"/>
      <c r="CE319" s="413"/>
      <c r="CF319" s="384"/>
      <c r="CG319" s="413"/>
      <c r="CH319" s="384"/>
      <c r="CI319" s="413"/>
      <c r="CJ319" s="384"/>
      <c r="CK319" s="413"/>
      <c r="CL319" s="384"/>
      <c r="CM319" s="413"/>
      <c r="CN319" s="384"/>
      <c r="CO319" s="413"/>
      <c r="CP319" s="384"/>
      <c r="CQ319" s="413"/>
      <c r="CR319" s="384"/>
      <c r="CS319" s="413"/>
      <c r="CT319" s="384"/>
      <c r="CU319" s="413"/>
      <c r="CV319" s="384"/>
      <c r="CW319" s="413"/>
      <c r="CX319" s="384"/>
      <c r="CY319" s="411"/>
      <c r="CZ319" s="384"/>
      <c r="DA319" s="411"/>
      <c r="DB319" s="384"/>
      <c r="DC319" s="384"/>
      <c r="DD319" s="384"/>
      <c r="DE319" s="384"/>
      <c r="DF319" s="384"/>
      <c r="DG319" s="384"/>
      <c r="DH319" s="384"/>
      <c r="DI319" s="384"/>
      <c r="DJ319" s="391"/>
      <c r="DK319" s="391"/>
      <c r="DL319" s="391"/>
      <c r="DM319" s="391"/>
      <c r="DN319" s="391"/>
      <c r="DO319" s="391"/>
      <c r="DP319" s="391"/>
      <c r="DQ319" s="391"/>
      <c r="DR319" s="391"/>
      <c r="DS319" s="391"/>
      <c r="DT319" s="391"/>
      <c r="DU319" s="391"/>
      <c r="DV319" s="384"/>
      <c r="DW319" s="384"/>
      <c r="DX319" s="384"/>
      <c r="DY319" s="384"/>
      <c r="DZ319" s="384"/>
      <c r="EA319" s="384"/>
      <c r="EB319" s="384"/>
      <c r="EC319" s="384"/>
      <c r="ED319" s="384"/>
      <c r="EE319" s="384"/>
      <c r="EF319" s="384"/>
      <c r="EG319" s="384"/>
      <c r="EH319" s="384"/>
      <c r="EI319" s="384"/>
      <c r="EJ319" s="384"/>
      <c r="EK319" s="384"/>
      <c r="EL319" s="384"/>
      <c r="EM319" s="384"/>
      <c r="EN319" s="384"/>
      <c r="EO319" s="384"/>
      <c r="EP319" s="384"/>
      <c r="EQ319" s="384"/>
      <c r="ER319" s="384"/>
      <c r="ES319" s="384"/>
      <c r="ET319" s="384"/>
      <c r="EU319" s="384"/>
      <c r="EV319" s="384"/>
      <c r="EW319" s="384"/>
      <c r="FX319" s="387"/>
      <c r="FY319" s="387"/>
      <c r="FZ319" s="387"/>
      <c r="GA319" s="387"/>
      <c r="GB319" s="387"/>
      <c r="GC319" s="387"/>
      <c r="GD319" s="387"/>
      <c r="GE319" s="387"/>
      <c r="GF319" s="387"/>
      <c r="GG319" s="387"/>
      <c r="GH319" s="387"/>
      <c r="GI319" s="387"/>
      <c r="GJ319" s="387"/>
      <c r="GK319" s="387"/>
      <c r="GN319" s="70"/>
    </row>
    <row r="320" spans="1:216">
      <c r="A320" s="61" t="s">
        <v>295</v>
      </c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75"/>
      <c r="CS320" s="62"/>
      <c r="CT320" s="76"/>
      <c r="CU320" s="76"/>
      <c r="CV320" s="76"/>
      <c r="CW320" s="76"/>
      <c r="CX320" s="76"/>
      <c r="CY320" s="76"/>
      <c r="CZ320" s="77"/>
      <c r="DA320" s="76"/>
      <c r="DB320" s="78"/>
      <c r="DC320" s="62"/>
      <c r="DD320" s="62"/>
      <c r="DE320" s="79"/>
      <c r="DF320" s="75"/>
      <c r="DG320" s="62"/>
      <c r="DH320" s="62"/>
      <c r="DI320" s="75"/>
      <c r="DJ320" s="81"/>
      <c r="DK320" s="71"/>
      <c r="DL320" s="71"/>
      <c r="DM320" s="71"/>
      <c r="DN320" s="80"/>
      <c r="DO320" s="80"/>
      <c r="DP320" s="80"/>
      <c r="DQ320" s="80"/>
      <c r="DR320" s="80"/>
      <c r="DS320" s="80"/>
      <c r="DT320" s="80"/>
      <c r="DU320" s="80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N320" s="48"/>
    </row>
    <row r="321" spans="1:239" s="46" customFormat="1" ht="11.25" customHeight="1">
      <c r="A321" s="45" t="s">
        <v>294</v>
      </c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>
        <f>AMD!EB292</f>
        <v>175</v>
      </c>
      <c r="CE321" s="45">
        <f>AMD!EC292</f>
        <v>167</v>
      </c>
      <c r="CF321" s="45">
        <f>AMD!ED292</f>
        <v>536</v>
      </c>
      <c r="CG321" s="45">
        <f>AMD!EE292</f>
        <v>701</v>
      </c>
      <c r="CH321" s="45">
        <f>AMD!EG292</f>
        <v>536</v>
      </c>
      <c r="CI321" s="45">
        <f>AMD!EH292</f>
        <v>613</v>
      </c>
      <c r="CJ321" s="45">
        <f>AMD!EI292</f>
        <v>648</v>
      </c>
      <c r="CK321" s="45">
        <f>AMD!EJ292</f>
        <v>577</v>
      </c>
      <c r="CL321" s="45">
        <f>AMD!EL292</f>
        <v>498</v>
      </c>
      <c r="CM321" s="45">
        <f>AMD!EM292</f>
        <v>563</v>
      </c>
      <c r="CN321" s="45">
        <f>AMD!EN292</f>
        <v>637</v>
      </c>
      <c r="CO321" s="45">
        <f>AMD!EO292</f>
        <v>488</v>
      </c>
      <c r="CP321" s="45">
        <f>AMD!EQ292</f>
        <v>372</v>
      </c>
      <c r="CQ321" s="45">
        <f>AMD!ER292</f>
        <v>592</v>
      </c>
      <c r="CR321" s="45">
        <f>AMD!ES292</f>
        <v>835</v>
      </c>
      <c r="CS321" s="45">
        <f>AMD!ET292</f>
        <v>506</v>
      </c>
      <c r="CT321" s="45">
        <v>391</v>
      </c>
      <c r="CU321" s="45">
        <v>563</v>
      </c>
      <c r="CV321" s="45">
        <v>824</v>
      </c>
      <c r="CW321" s="45">
        <v>522</v>
      </c>
      <c r="CX321" s="45">
        <v>532</v>
      </c>
      <c r="CY321" s="45">
        <v>670</v>
      </c>
      <c r="CZ321" s="45">
        <v>715</v>
      </c>
      <c r="DA321" s="45">
        <v>433</v>
      </c>
      <c r="DB321" s="45">
        <v>441</v>
      </c>
      <c r="DC321" s="45">
        <v>591</v>
      </c>
      <c r="DD321" s="45">
        <v>525</v>
      </c>
      <c r="DE321" s="45">
        <v>465</v>
      </c>
      <c r="DF321" s="45">
        <v>348</v>
      </c>
      <c r="DG321" s="45">
        <v>565</v>
      </c>
      <c r="DH321" s="45">
        <v>1134</v>
      </c>
      <c r="DI321" s="45">
        <v>1284</v>
      </c>
      <c r="DJ321" s="36">
        <v>1345</v>
      </c>
      <c r="DK321" s="36">
        <v>1600</v>
      </c>
      <c r="DL321" s="36">
        <v>1915</v>
      </c>
      <c r="DM321" s="36">
        <v>2242</v>
      </c>
      <c r="DN321" s="36">
        <v>2526</v>
      </c>
      <c r="DO321" s="36">
        <f>DO339+DO327</f>
        <v>2572.57141</v>
      </c>
      <c r="DP321" s="36">
        <f>DP339+DP327</f>
        <v>2953.4584299999997</v>
      </c>
      <c r="DQ321" s="36">
        <f>DQ339+DQ327</f>
        <v>2789.0710099999997</v>
      </c>
      <c r="DR321" s="36">
        <f>DR339+DR327</f>
        <v>2568.9349199999997</v>
      </c>
      <c r="DS321" s="36">
        <f>DS339+DS327</f>
        <v>2540.7447000000002</v>
      </c>
      <c r="DT321" s="36">
        <f>DT339+DT327</f>
        <v>2752.9177500000001</v>
      </c>
      <c r="DU321" s="36">
        <f>DU339+DU327</f>
        <v>2821.05798</v>
      </c>
      <c r="DV321" s="45">
        <f>DV339+DV327</f>
        <v>2340.3953000000001</v>
      </c>
      <c r="DW321" s="45">
        <f>DW339+DW327</f>
        <v>2173.1532999999999</v>
      </c>
      <c r="DX321" s="45">
        <f>DX339+DX327</f>
        <v>2173.2200000000003</v>
      </c>
      <c r="DY321" s="45">
        <f>DY339+DY327</f>
        <v>2429.7350000000001</v>
      </c>
      <c r="DZ321" s="45">
        <f>DZ339+DZ327</f>
        <v>2658.16</v>
      </c>
      <c r="EA321" s="45">
        <f>EA339+EA327</f>
        <v>3209.5349999999999</v>
      </c>
      <c r="EB321" s="45">
        <f>EB339+EB327</f>
        <v>3270.11</v>
      </c>
      <c r="EC321" s="45">
        <f>EC339+EC327</f>
        <v>3403.87</v>
      </c>
      <c r="ED321" s="45">
        <f>ED339+ED327</f>
        <v>3646.1067200000007</v>
      </c>
      <c r="EE321" s="47">
        <f>EE339+EE327</f>
        <v>4334.6932066720001</v>
      </c>
      <c r="EF321" s="47">
        <f>EF339+EF327</f>
        <v>4521.6507739156559</v>
      </c>
      <c r="EG321" s="47">
        <f>EG339+EG327</f>
        <v>4766.393244729753</v>
      </c>
      <c r="EH321" s="47">
        <f>EH339+EH327</f>
        <v>5063.4854768355617</v>
      </c>
      <c r="EI321" s="47">
        <f>EI339+EI327</f>
        <v>5515.2635771536297</v>
      </c>
      <c r="EJ321" s="47">
        <f>EJ339+EJ327</f>
        <v>6125.0534183192676</v>
      </c>
      <c r="EK321" s="47">
        <f>EK339+EK327</f>
        <v>6559.30146747459</v>
      </c>
      <c r="EL321" s="47">
        <f>EL339+EL327</f>
        <v>6752.2874221442517</v>
      </c>
      <c r="EM321" s="47">
        <f>EM339+EM327</f>
        <v>7211.4448797601717</v>
      </c>
      <c r="EN321" s="47">
        <f>EN339+EN327</f>
        <v>7767.9435400221946</v>
      </c>
      <c r="EO321" s="47">
        <f>EO339+EO327</f>
        <v>8230.7000861596243</v>
      </c>
      <c r="EP321" s="47">
        <f>EP339+EP327</f>
        <v>7432.304774133946</v>
      </c>
      <c r="EQ321" s="47">
        <f>EQ339+EQ327</f>
        <v>7662.620142849577</v>
      </c>
      <c r="ER321" s="47">
        <f>ER339+ER327</f>
        <v>8194.3015171500556</v>
      </c>
      <c r="ES321" s="47">
        <f>ES339+ES327</f>
        <v>8607.003286614894</v>
      </c>
      <c r="ET321" s="47">
        <f>ET339+ET327</f>
        <v>7849.6878950479368</v>
      </c>
      <c r="EU321" s="47">
        <f>EU339+EU327</f>
        <v>8092.9624052154913</v>
      </c>
      <c r="EV321" s="47">
        <f>EV339+EV327</f>
        <v>8641.6063387320355</v>
      </c>
      <c r="EW321" s="47">
        <f>EW339+EW327</f>
        <v>9158.8257831954088</v>
      </c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>
        <f>CD321+CE321+CF321+CG321</f>
        <v>1579</v>
      </c>
      <c r="FU321" s="45">
        <f>CH321+CI321+CJ321+CK321</f>
        <v>2374</v>
      </c>
      <c r="FV321" s="45">
        <f>CL321+CM321+CN321+CO321</f>
        <v>2186</v>
      </c>
      <c r="FW321" s="45">
        <f>CP321+CQ321+CR321+CS321</f>
        <v>2305</v>
      </c>
      <c r="FX321" s="45">
        <f>CT321+CU321+CV321+CW321</f>
        <v>2300</v>
      </c>
      <c r="FY321" s="45">
        <f>CX321+CY321+CZ321+DA321</f>
        <v>2350</v>
      </c>
      <c r="FZ321" s="45">
        <f>DB321+DC321+DD321+DE321</f>
        <v>2022</v>
      </c>
      <c r="GA321" s="45">
        <f>SUM(DF321:DI321)</f>
        <v>3331</v>
      </c>
      <c r="GB321" s="45">
        <f>SUM(DJ321:DM321)</f>
        <v>7102</v>
      </c>
      <c r="GC321" s="45">
        <f>SUM(DN321:DQ321)</f>
        <v>10841.100849999999</v>
      </c>
      <c r="GD321" s="45">
        <f>SUM(DR321:DU321)</f>
        <v>10683.655349999999</v>
      </c>
      <c r="GE321" s="45">
        <f>SUM(DV321:DY321)</f>
        <v>9116.5036</v>
      </c>
      <c r="GF321" s="45">
        <f>SUM(DZ321:EC321)</f>
        <v>12541.674999999999</v>
      </c>
      <c r="GG321" s="47">
        <f>SUM(ED321:EG321)</f>
        <v>17268.843945317411</v>
      </c>
      <c r="GH321" s="47">
        <f>SUM(EH321:EK321)</f>
        <v>23263.10393978305</v>
      </c>
      <c r="GI321" s="47">
        <f>SUM(EL321:EO321)</f>
        <v>29962.375928086243</v>
      </c>
      <c r="GJ321" s="47">
        <f>SUM(EP321:ES321)</f>
        <v>31896.229720748473</v>
      </c>
      <c r="GK321" s="47">
        <f>SUM(ET321:EW321)</f>
        <v>33743.08242219087</v>
      </c>
      <c r="GN321" s="48"/>
    </row>
    <row r="322" spans="1:239" s="23" customFormat="1" ht="11.25" customHeight="1">
      <c r="A322" s="49" t="s">
        <v>198</v>
      </c>
      <c r="CE322" s="23">
        <f t="shared" ref="CE322:EH322" si="604">CE321/CD321-1</f>
        <v>-4.5714285714285707E-2</v>
      </c>
      <c r="CF322" s="23">
        <f t="shared" si="604"/>
        <v>2.2095808383233533</v>
      </c>
      <c r="CG322" s="23">
        <f t="shared" si="604"/>
        <v>0.30783582089552231</v>
      </c>
      <c r="CH322" s="23">
        <f t="shared" si="604"/>
        <v>-0.23537803138373747</v>
      </c>
      <c r="CI322" s="23">
        <f t="shared" si="604"/>
        <v>0.14365671641791056</v>
      </c>
      <c r="CJ322" s="23">
        <f t="shared" si="604"/>
        <v>5.7096247960848334E-2</v>
      </c>
      <c r="CK322" s="23">
        <f t="shared" si="604"/>
        <v>-0.10956790123456794</v>
      </c>
      <c r="CL322" s="23">
        <f t="shared" si="604"/>
        <v>-0.13691507798960134</v>
      </c>
      <c r="CM322" s="23">
        <f t="shared" si="604"/>
        <v>0.13052208835341372</v>
      </c>
      <c r="CN322" s="23">
        <f t="shared" si="604"/>
        <v>0.13143872113676736</v>
      </c>
      <c r="CO322" s="23">
        <f t="shared" si="604"/>
        <v>-0.23390894819466246</v>
      </c>
      <c r="CP322" s="23">
        <f t="shared" si="604"/>
        <v>-0.23770491803278693</v>
      </c>
      <c r="CQ322" s="23">
        <f t="shared" si="604"/>
        <v>0.59139784946236551</v>
      </c>
      <c r="CR322" s="23">
        <f t="shared" si="604"/>
        <v>0.41047297297297303</v>
      </c>
      <c r="CS322" s="23">
        <f t="shared" si="604"/>
        <v>-0.39401197604790417</v>
      </c>
      <c r="CT322" s="23">
        <f t="shared" si="604"/>
        <v>-0.22727272727272729</v>
      </c>
      <c r="CU322" s="23">
        <f t="shared" si="604"/>
        <v>0.43989769820971869</v>
      </c>
      <c r="CV322" s="23">
        <f t="shared" si="604"/>
        <v>0.46358792184724695</v>
      </c>
      <c r="CW322" s="23">
        <f t="shared" si="604"/>
        <v>-0.36650485436893199</v>
      </c>
      <c r="CX322" s="23">
        <f t="shared" si="604"/>
        <v>1.9157088122605304E-2</v>
      </c>
      <c r="CY322" s="23">
        <f t="shared" si="604"/>
        <v>0.25939849624060152</v>
      </c>
      <c r="CZ322" s="23">
        <f t="shared" si="604"/>
        <v>6.7164179104477695E-2</v>
      </c>
      <c r="DA322" s="23">
        <f t="shared" si="604"/>
        <v>-0.39440559440559442</v>
      </c>
      <c r="DB322" s="23">
        <f t="shared" si="604"/>
        <v>1.8475750577367167E-2</v>
      </c>
      <c r="DC322" s="23">
        <f t="shared" si="604"/>
        <v>0.34013605442176864</v>
      </c>
      <c r="DD322" s="23">
        <f t="shared" si="604"/>
        <v>-0.1116751269035533</v>
      </c>
      <c r="DE322" s="23">
        <f t="shared" si="604"/>
        <v>-0.11428571428571432</v>
      </c>
      <c r="DF322" s="23">
        <f t="shared" si="604"/>
        <v>-0.25161290322580643</v>
      </c>
      <c r="DG322" s="23">
        <f t="shared" si="604"/>
        <v>0.62356321839080464</v>
      </c>
      <c r="DH322" s="23">
        <f t="shared" si="604"/>
        <v>1.0070796460176989</v>
      </c>
      <c r="DI322" s="23">
        <f t="shared" si="604"/>
        <v>0.13227513227513232</v>
      </c>
      <c r="DJ322" s="50">
        <f t="shared" si="604"/>
        <v>4.7507788161993858E-2</v>
      </c>
      <c r="DK322" s="50">
        <f t="shared" si="604"/>
        <v>0.18959107806691455</v>
      </c>
      <c r="DL322" s="50">
        <f t="shared" si="604"/>
        <v>0.19687499999999991</v>
      </c>
      <c r="DM322" s="50">
        <f t="shared" si="604"/>
        <v>0.17075718015665786</v>
      </c>
      <c r="DN322" s="50">
        <f t="shared" si="604"/>
        <v>0.12667261373773409</v>
      </c>
      <c r="DO322" s="50">
        <f t="shared" si="604"/>
        <v>1.8436821060966002E-2</v>
      </c>
      <c r="DP322" s="50">
        <f t="shared" si="604"/>
        <v>0.1480569279901931</v>
      </c>
      <c r="DQ322" s="50">
        <f t="shared" si="604"/>
        <v>-5.5659297022846554E-2</v>
      </c>
      <c r="DR322" s="50">
        <f t="shared" si="604"/>
        <v>-7.8928105168609486E-2</v>
      </c>
      <c r="DS322" s="50">
        <f t="shared" si="604"/>
        <v>-1.0973504926313771E-2</v>
      </c>
      <c r="DT322" s="50">
        <f t="shared" si="604"/>
        <v>8.3508213162857281E-2</v>
      </c>
      <c r="DU322" s="50">
        <f t="shared" si="604"/>
        <v>2.4752003578748294E-2</v>
      </c>
      <c r="DV322" s="23">
        <f t="shared" si="604"/>
        <v>-0.17038383592527218</v>
      </c>
      <c r="DW322" s="23">
        <f t="shared" si="604"/>
        <v>-7.1458868508238793E-2</v>
      </c>
      <c r="DX322" s="23">
        <f>DX321/DW321-1</f>
        <v>3.0692726555647809E-5</v>
      </c>
      <c r="DY322" s="23">
        <f t="shared" si="604"/>
        <v>0.11803452940797521</v>
      </c>
      <c r="DZ322" s="23">
        <f t="shared" si="604"/>
        <v>9.4012309984422116E-2</v>
      </c>
      <c r="EA322" s="23">
        <f t="shared" si="604"/>
        <v>0.20742731814488224</v>
      </c>
      <c r="EB322" s="23">
        <f t="shared" si="604"/>
        <v>1.8873450515417334E-2</v>
      </c>
      <c r="EC322" s="23">
        <f t="shared" si="604"/>
        <v>4.0903822807183854E-2</v>
      </c>
      <c r="ED322" s="23">
        <f t="shared" si="604"/>
        <v>7.1165091498794242E-2</v>
      </c>
      <c r="EE322" s="51">
        <f t="shared" si="604"/>
        <v>0.18885527483188946</v>
      </c>
      <c r="EF322" s="51">
        <f t="shared" si="604"/>
        <v>4.3130518892522618E-2</v>
      </c>
      <c r="EG322" s="51">
        <f t="shared" si="604"/>
        <v>5.412679639612139E-2</v>
      </c>
      <c r="EH322" s="51">
        <f t="shared" si="604"/>
        <v>6.2330617062347216E-2</v>
      </c>
      <c r="EI322" s="51">
        <f>EI321/EH321-1</f>
        <v>8.9222750294212005E-2</v>
      </c>
      <c r="EJ322" s="51">
        <f>EJ321/EI321-1</f>
        <v>0.11056404333813252</v>
      </c>
      <c r="EK322" s="51">
        <f>EK321/EJ321-1</f>
        <v>7.0897022360089323E-2</v>
      </c>
      <c r="EL322" s="51">
        <f t="shared" ref="EL322" si="605">EL321/EK321-1</f>
        <v>2.9421723582399029E-2</v>
      </c>
      <c r="EM322" s="51">
        <f>EM321/EL321-1</f>
        <v>6.8000283298087272E-2</v>
      </c>
      <c r="EN322" s="51">
        <f>EN321/EM321-1</f>
        <v>7.7168815617506326E-2</v>
      </c>
      <c r="EO322" s="51">
        <f>EO321/EN321-1</f>
        <v>5.9572593924402728E-2</v>
      </c>
      <c r="EP322" s="51">
        <f t="shared" ref="EP322" si="606">EP321/EO321-1</f>
        <v>-9.7002114482123369E-2</v>
      </c>
      <c r="EQ322" s="51">
        <f>EQ321/EP321-1</f>
        <v>3.098841822487941E-2</v>
      </c>
      <c r="ER322" s="51">
        <f>ER321/EQ321-1</f>
        <v>6.9386367115773062E-2</v>
      </c>
      <c r="ES322" s="51">
        <f>ES321/ER321-1</f>
        <v>5.0364484221270711E-2</v>
      </c>
      <c r="ET322" s="51">
        <f t="shared" ref="ET322" si="607">ET321/ES321-1</f>
        <v>-8.7988277260761527E-2</v>
      </c>
      <c r="EU322" s="51">
        <f>EU321/ET321-1</f>
        <v>3.0991615643855885E-2</v>
      </c>
      <c r="EV322" s="51">
        <f>EV321/EU321-1</f>
        <v>6.7792719902290965E-2</v>
      </c>
      <c r="EW322" s="51">
        <f>EW321/EV321-1</f>
        <v>5.9852233970109747E-2</v>
      </c>
      <c r="FZ322" s="53" t="s">
        <v>199</v>
      </c>
      <c r="GA322" s="53" t="s">
        <v>199</v>
      </c>
      <c r="GB322" s="53" t="s">
        <v>199</v>
      </c>
      <c r="GC322" s="53" t="s">
        <v>199</v>
      </c>
      <c r="GD322" s="53" t="s">
        <v>199</v>
      </c>
      <c r="GE322" s="53" t="s">
        <v>199</v>
      </c>
      <c r="GF322" s="53" t="s">
        <v>199</v>
      </c>
      <c r="GG322" s="53" t="s">
        <v>199</v>
      </c>
      <c r="GH322" s="53" t="s">
        <v>199</v>
      </c>
      <c r="GI322" s="53" t="s">
        <v>199</v>
      </c>
      <c r="GJ322" s="53" t="s">
        <v>199</v>
      </c>
      <c r="GK322" s="53" t="s">
        <v>199</v>
      </c>
      <c r="GN322" s="48"/>
    </row>
    <row r="323" spans="1:239" s="382" customFormat="1" ht="11.25" customHeight="1">
      <c r="A323" s="381" t="s">
        <v>200</v>
      </c>
      <c r="CH323" s="382">
        <f t="shared" ref="CH323:ES323" si="608">CH321/CD321-1</f>
        <v>2.0628571428571427</v>
      </c>
      <c r="CI323" s="382">
        <f t="shared" si="608"/>
        <v>2.6706586826347305</v>
      </c>
      <c r="CJ323" s="382">
        <f t="shared" si="608"/>
        <v>0.20895522388059695</v>
      </c>
      <c r="CK323" s="382">
        <f t="shared" si="608"/>
        <v>-0.17689015691868759</v>
      </c>
      <c r="CL323" s="382">
        <f t="shared" si="608"/>
        <v>-7.089552238805974E-2</v>
      </c>
      <c r="CM323" s="382">
        <f t="shared" si="608"/>
        <v>-8.1566068515497525E-2</v>
      </c>
      <c r="CN323" s="382">
        <f t="shared" si="608"/>
        <v>-1.6975308641975273E-2</v>
      </c>
      <c r="CO323" s="382">
        <f t="shared" si="608"/>
        <v>-0.15424610051993071</v>
      </c>
      <c r="CP323" s="382">
        <f t="shared" si="608"/>
        <v>-0.25301204819277112</v>
      </c>
      <c r="CQ323" s="382">
        <f t="shared" si="608"/>
        <v>5.1509769094138624E-2</v>
      </c>
      <c r="CR323" s="382">
        <f t="shared" si="608"/>
        <v>0.31083202511773944</v>
      </c>
      <c r="CS323" s="382">
        <f t="shared" si="608"/>
        <v>3.688524590163933E-2</v>
      </c>
      <c r="CT323" s="382">
        <f t="shared" si="608"/>
        <v>5.1075268817204256E-2</v>
      </c>
      <c r="CU323" s="382">
        <f t="shared" si="608"/>
        <v>-4.8986486486486513E-2</v>
      </c>
      <c r="CV323" s="382">
        <f t="shared" si="608"/>
        <v>-1.3173652694610793E-2</v>
      </c>
      <c r="CW323" s="382">
        <f t="shared" si="608"/>
        <v>3.1620553359683834E-2</v>
      </c>
      <c r="CX323" s="382">
        <f t="shared" si="608"/>
        <v>0.36061381074168808</v>
      </c>
      <c r="CY323" s="382">
        <f t="shared" si="608"/>
        <v>0.1900532859680284</v>
      </c>
      <c r="CZ323" s="382">
        <f t="shared" si="608"/>
        <v>-0.13228155339805825</v>
      </c>
      <c r="DA323" s="382">
        <f t="shared" si="608"/>
        <v>-0.17049808429118773</v>
      </c>
      <c r="DB323" s="382">
        <f t="shared" si="608"/>
        <v>-0.17105263157894735</v>
      </c>
      <c r="DC323" s="382">
        <f t="shared" si="608"/>
        <v>-0.11791044776119408</v>
      </c>
      <c r="DD323" s="382">
        <f t="shared" si="608"/>
        <v>-0.26573426573426573</v>
      </c>
      <c r="DE323" s="382">
        <f t="shared" si="608"/>
        <v>7.390300230946889E-2</v>
      </c>
      <c r="DF323" s="382">
        <f t="shared" si="608"/>
        <v>-0.21088435374149661</v>
      </c>
      <c r="DG323" s="382">
        <f t="shared" si="608"/>
        <v>-4.3993231810490641E-2</v>
      </c>
      <c r="DH323" s="382">
        <f t="shared" si="608"/>
        <v>1.1600000000000001</v>
      </c>
      <c r="DI323" s="382">
        <f t="shared" si="608"/>
        <v>1.7612903225806451</v>
      </c>
      <c r="DJ323" s="383">
        <f t="shared" si="608"/>
        <v>2.8649425287356323</v>
      </c>
      <c r="DK323" s="383">
        <f t="shared" si="608"/>
        <v>1.831858407079646</v>
      </c>
      <c r="DL323" s="383">
        <f t="shared" si="608"/>
        <v>0.68871252204585542</v>
      </c>
      <c r="DM323" s="383">
        <f t="shared" si="608"/>
        <v>0.74610591900311518</v>
      </c>
      <c r="DN323" s="383">
        <f t="shared" si="608"/>
        <v>0.87806691449814123</v>
      </c>
      <c r="DO323" s="383">
        <f t="shared" si="608"/>
        <v>0.60785713125000007</v>
      </c>
      <c r="DP323" s="383">
        <f t="shared" si="608"/>
        <v>0.54227594255874667</v>
      </c>
      <c r="DQ323" s="383">
        <f t="shared" si="608"/>
        <v>0.24401026315789465</v>
      </c>
      <c r="DR323" s="383">
        <f t="shared" si="608"/>
        <v>1.699719714964365E-2</v>
      </c>
      <c r="DS323" s="383">
        <f t="shared" si="608"/>
        <v>-1.2371555509123722E-2</v>
      </c>
      <c r="DT323" s="383">
        <f t="shared" si="608"/>
        <v>-6.7900288679532794E-2</v>
      </c>
      <c r="DU323" s="383">
        <f t="shared" si="608"/>
        <v>1.1468682541718511E-2</v>
      </c>
      <c r="DV323" s="382">
        <f t="shared" si="608"/>
        <v>-8.8962790851859985E-2</v>
      </c>
      <c r="DW323" s="382">
        <f t="shared" si="608"/>
        <v>-0.1446786054498117</v>
      </c>
      <c r="DX323" s="382">
        <f t="shared" si="608"/>
        <v>-0.21057576093582886</v>
      </c>
      <c r="DY323" s="382">
        <f t="shared" si="608"/>
        <v>-0.13871497245866604</v>
      </c>
      <c r="DZ323" s="382">
        <f t="shared" si="608"/>
        <v>0.13577394382906149</v>
      </c>
      <c r="EA323" s="382">
        <f t="shared" si="608"/>
        <v>0.47690225075239745</v>
      </c>
      <c r="EB323" s="382">
        <f t="shared" si="608"/>
        <v>0.50473030802219743</v>
      </c>
      <c r="EC323" s="382">
        <f t="shared" si="608"/>
        <v>0.40092232280475026</v>
      </c>
      <c r="ED323" s="382">
        <f t="shared" si="608"/>
        <v>0.371665633370452</v>
      </c>
      <c r="EE323" s="384">
        <f t="shared" si="608"/>
        <v>0.35056735840924014</v>
      </c>
      <c r="EF323" s="384">
        <f t="shared" si="608"/>
        <v>0.38272130720852071</v>
      </c>
      <c r="EG323" s="384">
        <f t="shared" si="608"/>
        <v>0.40028651056878006</v>
      </c>
      <c r="EH323" s="384">
        <f t="shared" si="608"/>
        <v>0.38873759483253978</v>
      </c>
      <c r="EI323" s="384">
        <f t="shared" si="608"/>
        <v>0.27235384701839682</v>
      </c>
      <c r="EJ323" s="384">
        <f t="shared" si="608"/>
        <v>0.35460559087253407</v>
      </c>
      <c r="EK323" s="384">
        <f t="shared" si="608"/>
        <v>0.37615616897058857</v>
      </c>
      <c r="EL323" s="384">
        <f t="shared" si="608"/>
        <v>0.33352558292793022</v>
      </c>
      <c r="EM323" s="384">
        <f t="shared" si="608"/>
        <v>0.30754310811776708</v>
      </c>
      <c r="EN323" s="384">
        <f t="shared" si="608"/>
        <v>0.2682246193623794</v>
      </c>
      <c r="EO323" s="384">
        <f t="shared" si="608"/>
        <v>0.25481350826348637</v>
      </c>
      <c r="EP323" s="384">
        <f t="shared" si="608"/>
        <v>0.10070918334423462</v>
      </c>
      <c r="EQ323" s="384">
        <f t="shared" si="608"/>
        <v>6.2563781684816799E-2</v>
      </c>
      <c r="ER323" s="384">
        <f t="shared" si="608"/>
        <v>5.4886853249018763E-2</v>
      </c>
      <c r="ES323" s="384">
        <f t="shared" si="608"/>
        <v>4.5719464506797536E-2</v>
      </c>
      <c r="ET323" s="384">
        <f t="shared" ref="ET323:EW323" si="609">ET321/EP321-1</f>
        <v>5.6157966283430172E-2</v>
      </c>
      <c r="EU323" s="384">
        <f t="shared" si="609"/>
        <v>5.6161241761082392E-2</v>
      </c>
      <c r="EV323" s="384">
        <f t="shared" si="609"/>
        <v>5.4587303218682548E-2</v>
      </c>
      <c r="EW323" s="384">
        <f t="shared" si="609"/>
        <v>6.4113196917058968E-2</v>
      </c>
      <c r="FT323" s="382" t="e">
        <f t="shared" ref="FT323:GK323" si="610">FT321/FS321-1</f>
        <v>#DIV/0!</v>
      </c>
      <c r="FU323" s="382">
        <f t="shared" si="610"/>
        <v>0.50348321722609257</v>
      </c>
      <c r="FV323" s="382">
        <f t="shared" si="610"/>
        <v>-7.9191238416175258E-2</v>
      </c>
      <c r="FW323" s="382">
        <f t="shared" si="610"/>
        <v>5.4437328453796896E-2</v>
      </c>
      <c r="FX323" s="382">
        <f t="shared" si="610"/>
        <v>-2.1691973969630851E-3</v>
      </c>
      <c r="FY323" s="382">
        <f t="shared" si="610"/>
        <v>2.1739130434782705E-2</v>
      </c>
      <c r="FZ323" s="382">
        <f t="shared" si="610"/>
        <v>-0.13957446808510643</v>
      </c>
      <c r="GA323" s="382">
        <f t="shared" si="610"/>
        <v>0.64737883283877351</v>
      </c>
      <c r="GB323" s="382">
        <f t="shared" si="610"/>
        <v>1.1320924647253077</v>
      </c>
      <c r="GC323" s="382">
        <f t="shared" si="610"/>
        <v>0.52648561672768213</v>
      </c>
      <c r="GD323" s="382">
        <f t="shared" si="610"/>
        <v>-1.4523017743165778E-2</v>
      </c>
      <c r="GE323" s="382">
        <f t="shared" si="610"/>
        <v>-0.14668685002085913</v>
      </c>
      <c r="GF323" s="382">
        <f t="shared" si="610"/>
        <v>0.37571107853234431</v>
      </c>
      <c r="GG323" s="387">
        <f t="shared" si="610"/>
        <v>0.37691687476492675</v>
      </c>
      <c r="GH323" s="387">
        <f t="shared" si="610"/>
        <v>0.34711414460902756</v>
      </c>
      <c r="GI323" s="387">
        <f t="shared" si="610"/>
        <v>0.28797842307047139</v>
      </c>
      <c r="GJ323" s="387">
        <f t="shared" si="610"/>
        <v>6.4542738443164271E-2</v>
      </c>
      <c r="GK323" s="387">
        <f t="shared" si="610"/>
        <v>5.7901912470896821E-2</v>
      </c>
      <c r="GN323" s="70"/>
    </row>
    <row r="324" spans="1:239" s="23" customFormat="1" ht="11.25" customHeight="1">
      <c r="A324" s="49" t="s">
        <v>261</v>
      </c>
      <c r="CD324" s="23">
        <f t="shared" ref="CD324:EO324" si="611">CD321/CD$4</f>
        <v>0.16084558823529413</v>
      </c>
      <c r="CE324" s="23">
        <f t="shared" si="611"/>
        <v>0.1438415159345392</v>
      </c>
      <c r="CF324" s="23">
        <f t="shared" si="611"/>
        <v>0.36687200547570159</v>
      </c>
      <c r="CG324" s="23">
        <f t="shared" si="611"/>
        <v>0.44115796098174953</v>
      </c>
      <c r="CH324" s="23">
        <f t="shared" si="611"/>
        <v>0.38367931281317108</v>
      </c>
      <c r="CI324" s="23">
        <f t="shared" si="611"/>
        <v>0.42539902845246358</v>
      </c>
      <c r="CJ324" s="23">
        <f t="shared" si="611"/>
        <v>0.45346396081175649</v>
      </c>
      <c r="CK324" s="23">
        <f t="shared" si="611"/>
        <v>0.46569814366424533</v>
      </c>
      <c r="CL324" s="23">
        <f t="shared" si="611"/>
        <v>0.48349514563106794</v>
      </c>
      <c r="CM324" s="23">
        <f t="shared" si="611"/>
        <v>0.59766454352441611</v>
      </c>
      <c r="CN324" s="23">
        <f t="shared" si="611"/>
        <v>0.60037700282752116</v>
      </c>
      <c r="CO324" s="23">
        <f t="shared" si="611"/>
        <v>0.50939457202505223</v>
      </c>
      <c r="CP324" s="23">
        <f t="shared" si="611"/>
        <v>0.44711538461538464</v>
      </c>
      <c r="CQ324" s="23">
        <f t="shared" si="611"/>
        <v>0.57643622200584221</v>
      </c>
      <c r="CR324" s="23">
        <f t="shared" si="611"/>
        <v>0.63886763580719208</v>
      </c>
      <c r="CS324" s="23">
        <f t="shared" si="611"/>
        <v>0.45750452079566006</v>
      </c>
      <c r="CT324" s="23">
        <f t="shared" si="611"/>
        <v>0.39735772357723576</v>
      </c>
      <c r="CU324" s="23">
        <f t="shared" si="611"/>
        <v>0.46072013093289688</v>
      </c>
      <c r="CV324" s="23">
        <f>CV321/CV$4</f>
        <v>0.50152160681679858</v>
      </c>
      <c r="CW324" s="23">
        <f>CW321/CW$4</f>
        <v>0.35270270270270271</v>
      </c>
      <c r="CX324" s="23">
        <f t="shared" si="611"/>
        <v>0.32301153612629024</v>
      </c>
      <c r="CY324" s="23">
        <f t="shared" si="611"/>
        <v>0.3815489749430524</v>
      </c>
      <c r="CZ324" s="23">
        <f t="shared" si="611"/>
        <v>0.4325468844525106</v>
      </c>
      <c r="DA324" s="23">
        <f t="shared" si="611"/>
        <v>0.30514446793516559</v>
      </c>
      <c r="DB324" s="23">
        <f t="shared" si="611"/>
        <v>0.34669811320754718</v>
      </c>
      <c r="DC324" s="23">
        <f t="shared" si="611"/>
        <v>0.38602220770738077</v>
      </c>
      <c r="DD324" s="23">
        <f t="shared" si="611"/>
        <v>0.29150471960022212</v>
      </c>
      <c r="DE324" s="23">
        <f t="shared" si="611"/>
        <v>0.21861777150916784</v>
      </c>
      <c r="DF324" s="23">
        <f t="shared" si="611"/>
        <v>0.1948488241881299</v>
      </c>
      <c r="DG324" s="23">
        <f t="shared" si="611"/>
        <v>0.29244306418219462</v>
      </c>
      <c r="DH324" s="23">
        <f t="shared" si="611"/>
        <v>0.40485540878257764</v>
      </c>
      <c r="DI324" s="23">
        <f t="shared" si="611"/>
        <v>0.39580764488286069</v>
      </c>
      <c r="DJ324" s="50">
        <f t="shared" si="611"/>
        <v>0.39042089985486211</v>
      </c>
      <c r="DK324" s="50">
        <f t="shared" si="611"/>
        <v>0.41558441558441561</v>
      </c>
      <c r="DL324" s="50">
        <f t="shared" si="611"/>
        <v>0.44400649200092746</v>
      </c>
      <c r="DM324" s="50">
        <f t="shared" si="611"/>
        <v>0.46456692913385828</v>
      </c>
      <c r="DN324" s="50">
        <f t="shared" si="611"/>
        <v>0.42908102598946835</v>
      </c>
      <c r="DO324" s="50">
        <f t="shared" si="611"/>
        <v>0.39275899389312979</v>
      </c>
      <c r="DP324" s="50">
        <f t="shared" si="611"/>
        <v>0.53072029290206646</v>
      </c>
      <c r="DQ324" s="50">
        <f>DQ321/DQ$4</f>
        <v>0.49813734774066792</v>
      </c>
      <c r="DR324" s="50">
        <f t="shared" si="611"/>
        <v>0.47990564543246772</v>
      </c>
      <c r="DS324" s="50">
        <f t="shared" si="611"/>
        <v>0.47410798656465764</v>
      </c>
      <c r="DT324" s="50">
        <f t="shared" si="611"/>
        <v>0.47464099137931037</v>
      </c>
      <c r="DU324" s="50">
        <f t="shared" si="611"/>
        <v>0.45736997081712061</v>
      </c>
      <c r="DV324" s="23">
        <f t="shared" si="611"/>
        <v>0.42762567147816555</v>
      </c>
      <c r="DW324" s="23">
        <f t="shared" si="611"/>
        <v>0.37243415595544127</v>
      </c>
      <c r="DX324" s="23">
        <f t="shared" si="611"/>
        <v>0.31870068925062328</v>
      </c>
      <c r="DY324" s="23">
        <f t="shared" si="611"/>
        <v>0.3172806215722121</v>
      </c>
      <c r="DZ324" s="23">
        <f t="shared" si="611"/>
        <v>0.35737563861253024</v>
      </c>
      <c r="EA324" s="23">
        <f t="shared" si="611"/>
        <v>0.41763630448926481</v>
      </c>
      <c r="EB324" s="23">
        <f t="shared" si="611"/>
        <v>0.35367834739346748</v>
      </c>
      <c r="EC324" s="23">
        <f t="shared" si="611"/>
        <v>0.33143816942551119</v>
      </c>
      <c r="ED324" s="23">
        <f t="shared" si="611"/>
        <v>0.35561364673754031</v>
      </c>
      <c r="EE324" s="51">
        <f t="shared" si="611"/>
        <v>0.38624973755249031</v>
      </c>
      <c r="EF324" s="51">
        <f t="shared" si="611"/>
        <v>0.37700467090803924</v>
      </c>
      <c r="EG324" s="51">
        <f t="shared" si="611"/>
        <v>0.29437488643392345</v>
      </c>
      <c r="EH324" s="51">
        <f t="shared" si="611"/>
        <v>0.2904234786838541</v>
      </c>
      <c r="EI324" s="51">
        <f t="shared" si="611"/>
        <v>0.28708107114183212</v>
      </c>
      <c r="EJ324" s="51">
        <f t="shared" si="611"/>
        <v>0.27670311394890434</v>
      </c>
      <c r="EK324" s="51">
        <f t="shared" si="611"/>
        <v>0.26752449642810622</v>
      </c>
      <c r="EL324" s="51">
        <f t="shared" si="611"/>
        <v>0.28203313967075055</v>
      </c>
      <c r="EM324" s="51">
        <f t="shared" si="611"/>
        <v>0.28807652447307625</v>
      </c>
      <c r="EN324" s="51">
        <f t="shared" si="611"/>
        <v>0.28907278861475633</v>
      </c>
      <c r="EO324" s="51">
        <f t="shared" si="611"/>
        <v>0.28626445939846645</v>
      </c>
      <c r="EP324" s="51">
        <f t="shared" ref="EP324:EW324" si="612">EP321/EP$4</f>
        <v>0.2637761147475412</v>
      </c>
      <c r="EQ324" s="51">
        <f t="shared" si="612"/>
        <v>0.26082602237833408</v>
      </c>
      <c r="ER324" s="51">
        <f t="shared" si="612"/>
        <v>0.25836386366701941</v>
      </c>
      <c r="ES324" s="51">
        <f t="shared" si="612"/>
        <v>0.25991859425828978</v>
      </c>
      <c r="ET324" s="51">
        <f t="shared" si="612"/>
        <v>0.24751802221217603</v>
      </c>
      <c r="EU324" s="51">
        <f t="shared" si="612"/>
        <v>0.24483368726641092</v>
      </c>
      <c r="EV324" s="51">
        <f t="shared" si="612"/>
        <v>0.23791947060540786</v>
      </c>
      <c r="EW324" s="51">
        <f t="shared" si="612"/>
        <v>0.24103943686846757</v>
      </c>
      <c r="FT324" s="23">
        <f t="shared" ref="FT324:GG324" si="613">FT321/FT$4</f>
        <v>0.29798075108511041</v>
      </c>
      <c r="FU324" s="23">
        <f t="shared" si="613"/>
        <v>0.4311660007264802</v>
      </c>
      <c r="FV324" s="23">
        <f>FV321/FV$4</f>
        <v>0.5477323978952644</v>
      </c>
      <c r="FW324" s="23">
        <f t="shared" si="613"/>
        <v>0.53955992509363293</v>
      </c>
      <c r="FX324" s="23">
        <f t="shared" si="613"/>
        <v>0.43160067554888348</v>
      </c>
      <c r="FY324" s="23">
        <f t="shared" si="613"/>
        <v>0.36293436293436293</v>
      </c>
      <c r="FZ324" s="23">
        <f t="shared" si="613"/>
        <v>0.30040112910414501</v>
      </c>
      <c r="GA324" s="23">
        <f t="shared" si="613"/>
        <v>0.34118611082659017</v>
      </c>
      <c r="GB324" s="23">
        <f t="shared" si="613"/>
        <v>0.43215285383960084</v>
      </c>
      <c r="GC324" s="23">
        <f t="shared" si="613"/>
        <v>0.45934921613490948</v>
      </c>
      <c r="GD324" s="23">
        <f t="shared" si="613"/>
        <v>0.47106064153439148</v>
      </c>
      <c r="GE324" s="23">
        <f t="shared" si="613"/>
        <v>0.35355840992825288</v>
      </c>
      <c r="GF324" s="23">
        <f t="shared" si="613"/>
        <v>0.36206804468951181</v>
      </c>
      <c r="GG324" s="51">
        <f t="shared" si="613"/>
        <v>0.34773654959348205</v>
      </c>
      <c r="GH324" s="51">
        <f>GH321/GH$4</f>
        <v>0.27926662943293534</v>
      </c>
      <c r="GI324" s="51">
        <f t="shared" ref="GI324:GK324" si="614">GI321/GI$4</f>
        <v>0.28645110441261007</v>
      </c>
      <c r="GJ324" s="51">
        <f t="shared" si="614"/>
        <v>0.26062162303919162</v>
      </c>
      <c r="GK324" s="51">
        <f t="shared" si="614"/>
        <v>0.24260360506104045</v>
      </c>
      <c r="GN324" s="48"/>
    </row>
    <row r="325" spans="1:239">
      <c r="A325" s="119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4"/>
      <c r="AE325" s="74"/>
      <c r="AF325" s="74"/>
      <c r="AG325" s="74"/>
      <c r="AH325" s="74"/>
      <c r="AI325" s="74"/>
      <c r="AJ325" s="74"/>
      <c r="AK325" s="74"/>
      <c r="AL325" s="74"/>
      <c r="AM325" s="74"/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46"/>
      <c r="DI325" s="46"/>
      <c r="DJ325" s="57"/>
      <c r="DK325" s="57"/>
      <c r="DL325" s="57"/>
      <c r="DM325" s="57"/>
      <c r="DN325" s="57"/>
      <c r="DO325" s="57"/>
      <c r="DP325" s="57"/>
      <c r="DQ325" s="57"/>
      <c r="DR325" s="57"/>
      <c r="DS325" s="57"/>
      <c r="DT325" s="57"/>
      <c r="DU325" s="57"/>
      <c r="DV325" s="57"/>
      <c r="DW325" s="57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Z325" s="74"/>
      <c r="FA325" s="74"/>
      <c r="FB325" s="74"/>
      <c r="FC325" s="74"/>
      <c r="FD325" s="74"/>
      <c r="FE325" s="74"/>
      <c r="FF325" s="74"/>
      <c r="FG325" s="74"/>
      <c r="FH325" s="74"/>
      <c r="FI325" s="74"/>
      <c r="FJ325" s="74"/>
      <c r="FK325" s="74"/>
      <c r="FL325" s="74"/>
      <c r="FM325" s="74"/>
      <c r="FN325" s="74"/>
      <c r="FO325" s="74"/>
      <c r="FP325" s="74"/>
      <c r="FQ325" s="74"/>
      <c r="FR325" s="74"/>
      <c r="FS325" s="74"/>
      <c r="FT325" s="74"/>
      <c r="FU325" s="74"/>
      <c r="FV325" s="74"/>
      <c r="FW325" s="74"/>
      <c r="FX325" s="74"/>
      <c r="FY325" s="74"/>
      <c r="FZ325" s="74"/>
      <c r="GA325" s="74"/>
      <c r="GB325" s="74"/>
      <c r="GC325" s="74"/>
      <c r="GD325" s="74"/>
      <c r="GE325" s="74"/>
      <c r="GF325" s="74"/>
      <c r="GG325" s="121"/>
      <c r="GH325" s="121"/>
      <c r="GI325" s="121"/>
      <c r="GJ325" s="121"/>
      <c r="GK325" s="121"/>
      <c r="GN325" s="48"/>
      <c r="GO325" s="120"/>
      <c r="GP325" s="120"/>
      <c r="GQ325" s="120"/>
      <c r="GR325" s="120"/>
      <c r="GS325" s="120"/>
      <c r="GT325" s="120"/>
      <c r="GU325" s="120"/>
      <c r="GV325" s="120"/>
      <c r="GW325" s="120"/>
      <c r="GX325" s="120"/>
      <c r="GY325" s="120"/>
      <c r="GZ325" s="120"/>
      <c r="HA325" s="120"/>
      <c r="HB325" s="120"/>
      <c r="HC325" s="120"/>
      <c r="HD325" s="120"/>
      <c r="HE325" s="120"/>
      <c r="HF325" s="120"/>
      <c r="HG325" s="120"/>
      <c r="HH325" s="120"/>
      <c r="HI325" s="120"/>
      <c r="HJ325" s="120"/>
      <c r="HK325" s="120"/>
      <c r="HL325" s="120"/>
      <c r="HM325" s="120"/>
      <c r="HN325" s="120"/>
      <c r="HO325" s="120"/>
      <c r="HP325" s="120"/>
      <c r="HQ325" s="120"/>
      <c r="HR325" s="120"/>
      <c r="HS325" s="120"/>
      <c r="HT325" s="120"/>
      <c r="HU325" s="120"/>
      <c r="HV325" s="120"/>
      <c r="HW325" s="120"/>
      <c r="HX325" s="120"/>
      <c r="HY325" s="120"/>
      <c r="HZ325" s="120"/>
      <c r="IA325" s="120"/>
      <c r="IB325" s="120"/>
      <c r="IC325" s="120"/>
      <c r="ID325" s="120"/>
      <c r="IE325" s="120"/>
    </row>
    <row r="326" spans="1:239" s="123" customFormat="1" collapsed="1">
      <c r="A326" s="122" t="s">
        <v>296</v>
      </c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6"/>
      <c r="DU326" s="126"/>
      <c r="DV326" s="125"/>
      <c r="DW326" s="125"/>
      <c r="EX326" s="7"/>
      <c r="EY326" s="7"/>
      <c r="GN326" s="127"/>
    </row>
    <row r="327" spans="1:239" s="379" customFormat="1">
      <c r="A327" s="405" t="s">
        <v>197</v>
      </c>
      <c r="CF327" s="376">
        <f>CF331*CF334/1000</f>
        <v>364.93599999999998</v>
      </c>
      <c r="CG327" s="376">
        <f>CG331*CG334/1000</f>
        <v>468.86399999999998</v>
      </c>
      <c r="CH327" s="376">
        <f>CH331*CH334/1000</f>
        <v>330.52499999999998</v>
      </c>
      <c r="CI327" s="376">
        <f>CI331*CI334/1000</f>
        <v>462</v>
      </c>
      <c r="CJ327" s="376">
        <f>CJ331*CJ334/1000</f>
        <v>495</v>
      </c>
      <c r="CK327" s="376">
        <f>CK331*CK334/1000</f>
        <v>440.56799999999998</v>
      </c>
      <c r="CL327" s="376">
        <f>CL331*CL334/1000</f>
        <v>378.56</v>
      </c>
      <c r="CM327" s="376">
        <f>CM331*CM334/1000</f>
        <v>449.48</v>
      </c>
      <c r="CN327" s="376">
        <f>CN331*CN334/1000</f>
        <v>504.17399999999998</v>
      </c>
      <c r="CO327" s="376">
        <f>CO331*CO334/1000</f>
        <v>386.322</v>
      </c>
      <c r="CP327" s="376">
        <f>CP331*CP334/1000</f>
        <v>278.86799999999999</v>
      </c>
      <c r="CQ327" s="376">
        <f>CQ331*CQ334/1000</f>
        <v>477.89400000000001</v>
      </c>
      <c r="CR327" s="376">
        <f>CR331*CR334/1000</f>
        <v>714.88800000000003</v>
      </c>
      <c r="CS327" s="376">
        <f>CS331*CS334/1000</f>
        <v>394.56</v>
      </c>
      <c r="CT327" s="376">
        <f>CT331*CT334/1000</f>
        <v>300.24</v>
      </c>
      <c r="CU327" s="376">
        <f>CU331*CU334/1000</f>
        <v>461.99700000000001</v>
      </c>
      <c r="CV327" s="376">
        <f>CV331*CV334/1000</f>
        <v>656.32</v>
      </c>
      <c r="CW327" s="376">
        <f>CW331*CW334/1000</f>
        <v>387.36599999999999</v>
      </c>
      <c r="CX327" s="376">
        <f>CX331*CX334/1000</f>
        <v>403.512</v>
      </c>
      <c r="CY327" s="376">
        <f>CY331*CY334/1000</f>
        <v>486.33600000000001</v>
      </c>
      <c r="CZ327" s="376">
        <f>CZ331*CZ334/1000</f>
        <v>453.49200000000002</v>
      </c>
      <c r="DA327" s="376">
        <f>DA331*DA334/1000</f>
        <v>206.38</v>
      </c>
      <c r="DB327" s="376">
        <f>DB331*DB334/1000</f>
        <v>216.61099999999999</v>
      </c>
      <c r="DC327" s="376">
        <f>DC331*DC334/1000</f>
        <v>302.30399999999997</v>
      </c>
      <c r="DD327" s="376">
        <f>DD331*DD334/1000</f>
        <v>197.583</v>
      </c>
      <c r="DE327" s="376">
        <f>DE331*DE334/1000</f>
        <v>62.377000000000002</v>
      </c>
      <c r="DF327" s="376">
        <f>DF331*DF334/1000</f>
        <v>2.613</v>
      </c>
      <c r="DG327" s="376">
        <f>DG331*DG334/1000</f>
        <v>129.80000000000001</v>
      </c>
      <c r="DH327" s="376">
        <f>DH331*DH334/1000</f>
        <v>553.86</v>
      </c>
      <c r="DI327" s="376">
        <f>DI331*DI334/1000</f>
        <v>660.87</v>
      </c>
      <c r="DJ327" s="397">
        <f>DJ331*DJ334/1000</f>
        <v>666.65744999999993</v>
      </c>
      <c r="DK327" s="397">
        <f>DK331*DK334/1000</f>
        <v>764.73405000000002</v>
      </c>
      <c r="DL327" s="397">
        <f>DL331*DL334/1000</f>
        <v>892.82816999999989</v>
      </c>
      <c r="DM327" s="397">
        <f>DM331*DM334/1000</f>
        <v>1079.5174399999999</v>
      </c>
      <c r="DN327" s="397">
        <f>DN331*DN334/1000</f>
        <v>1104.345</v>
      </c>
      <c r="DO327" s="397">
        <f>DO331*DO334/1000</f>
        <v>1210.0214099999998</v>
      </c>
      <c r="DP327" s="397">
        <f>DP331*DP334/1000</f>
        <v>1464.5084299999999</v>
      </c>
      <c r="DQ327" s="397">
        <f>DQ331*DQ334/1000</f>
        <v>1306.4060099999999</v>
      </c>
      <c r="DR327" s="397">
        <f>DR331*DR334/1000</f>
        <v>1431.9349199999999</v>
      </c>
      <c r="DS327" s="397">
        <f>DS331*DS334/1000</f>
        <v>1350.9696999999999</v>
      </c>
      <c r="DT327" s="397">
        <f>DT331*DT334/1000</f>
        <v>1260.98775</v>
      </c>
      <c r="DU327" s="397">
        <f>DU331*DU334/1000</f>
        <v>1088.03298</v>
      </c>
      <c r="DV327" s="376">
        <f>DV331*DV334/1000</f>
        <v>761.97029999999995</v>
      </c>
      <c r="DW327" s="376">
        <f>DW331*DW334/1000</f>
        <v>487.99829999999997</v>
      </c>
      <c r="DX327" s="376">
        <f>DX331*DX334/1000</f>
        <v>372.02</v>
      </c>
      <c r="DY327" s="376">
        <f>DY331*DY334/1000</f>
        <v>372.57</v>
      </c>
      <c r="DZ327" s="376">
        <f>DZ331*DZ334/1000</f>
        <v>531.96</v>
      </c>
      <c r="EA327" s="376">
        <f>EA331*EA334/1000</f>
        <v>960.96</v>
      </c>
      <c r="EB327" s="376">
        <f>EB331*EB334/1000</f>
        <v>927.96</v>
      </c>
      <c r="EC327" s="376">
        <f>EC331*EC334/1000</f>
        <v>548.02</v>
      </c>
      <c r="ED327" s="376">
        <f>ED331*ED334/1000</f>
        <v>438.41600000000005</v>
      </c>
      <c r="EE327" s="380">
        <f>EE331*EE334/1000</f>
        <v>469.10512000000006</v>
      </c>
      <c r="EF327" s="380">
        <f>EF331*EF334/1000</f>
        <v>422.19460800000007</v>
      </c>
      <c r="EG327" s="380">
        <f>EG331*EG334/1000</f>
        <v>379.97514720000015</v>
      </c>
      <c r="EH327" s="380">
        <f>EH331*EH334/1000</f>
        <v>410.37315897600007</v>
      </c>
      <c r="EI327" s="380">
        <f>EI331*EI334/1000</f>
        <v>434.99554851456014</v>
      </c>
      <c r="EJ327" s="380">
        <f>EJ331*EJ334/1000</f>
        <v>630.74354534611223</v>
      </c>
      <c r="EK327" s="380">
        <f>EK331*EK334/1000</f>
        <v>674.89559352034019</v>
      </c>
      <c r="EL327" s="380">
        <f>EL331*EL334/1000</f>
        <v>573.661254492289</v>
      </c>
      <c r="EM327" s="380">
        <f>EM331*EM334/1000</f>
        <v>596.60770467198074</v>
      </c>
      <c r="EN327" s="380">
        <f>EN331*EN334/1000</f>
        <v>686.09886037277772</v>
      </c>
      <c r="EO327" s="380">
        <f>EO331*EO334/1000</f>
        <v>720.40380339141655</v>
      </c>
      <c r="EP327" s="380">
        <f>EP331*EP334/1000</f>
        <v>597.93515681487565</v>
      </c>
      <c r="EQ327" s="380">
        <f>EQ331*EQ334/1000</f>
        <v>621.8525630874708</v>
      </c>
      <c r="ER327" s="380">
        <f>ER331*ER334/1000</f>
        <v>727.56749881234077</v>
      </c>
      <c r="ES327" s="380">
        <f>ES331*ES334/1000</f>
        <v>763.94587375295794</v>
      </c>
      <c r="ET327" s="380">
        <f>ET331*ET334/1000</f>
        <v>634.07507521495506</v>
      </c>
      <c r="EU327" s="380">
        <f>EU331*EU334/1000</f>
        <v>659.43807822355325</v>
      </c>
      <c r="EV327" s="380">
        <f>EV331*EV334/1000</f>
        <v>758.35378995708618</v>
      </c>
      <c r="EW327" s="380">
        <f>EW331*EW334/1000</f>
        <v>796.2714794549405</v>
      </c>
      <c r="EZ327" s="376"/>
      <c r="FA327" s="376"/>
      <c r="FB327" s="376"/>
      <c r="FC327" s="376"/>
      <c r="FD327" s="376"/>
      <c r="FE327" s="376"/>
      <c r="FF327" s="376"/>
      <c r="FG327" s="376"/>
      <c r="FH327" s="376"/>
      <c r="FI327" s="376"/>
      <c r="FJ327" s="376"/>
      <c r="FK327" s="376"/>
      <c r="FL327" s="376"/>
      <c r="FM327" s="376"/>
      <c r="FN327" s="376"/>
      <c r="FO327" s="376"/>
      <c r="FP327" s="376"/>
      <c r="FQ327" s="376"/>
      <c r="FR327" s="376"/>
      <c r="FS327" s="376"/>
      <c r="FT327" s="376">
        <f>CD327+CE327+CF327+CG327</f>
        <v>833.8</v>
      </c>
      <c r="FU327" s="376">
        <f>CH327+CI327+CJ327+CK327</f>
        <v>1728.0930000000001</v>
      </c>
      <c r="FV327" s="376">
        <f>CL327+CM327+CN327+CO327</f>
        <v>1718.5360000000001</v>
      </c>
      <c r="FW327" s="376">
        <f>CP327+CQ327+CR327+CS327</f>
        <v>1866.21</v>
      </c>
      <c r="FX327" s="376">
        <f>CT327+CU327+CV327+CW327</f>
        <v>1805.9230000000002</v>
      </c>
      <c r="FY327" s="376">
        <f>CX327+CY327+CZ327+DA327</f>
        <v>1549.7199999999998</v>
      </c>
      <c r="FZ327" s="376">
        <f>DB327+DC327+DD327+DE327</f>
        <v>778.87499999999989</v>
      </c>
      <c r="GA327" s="376">
        <f>SUM(DF327:DI327)</f>
        <v>1347.143</v>
      </c>
      <c r="GB327" s="376">
        <f>SUM(DJ327:DM327)</f>
        <v>3403.73711</v>
      </c>
      <c r="GC327" s="376">
        <f>SUM(DN327:DQ327)</f>
        <v>5085.2808499999992</v>
      </c>
      <c r="GD327" s="376">
        <f>SUM(DR327:DU327)</f>
        <v>5131.9253499999995</v>
      </c>
      <c r="GE327" s="376">
        <f>SUM(DV327:DY327)</f>
        <v>1994.5585999999998</v>
      </c>
      <c r="GF327" s="376">
        <f>SUM(DZ327:EC327)</f>
        <v>2968.9</v>
      </c>
      <c r="GG327" s="380">
        <f>SUM(ED327:EG327)</f>
        <v>1709.6908752000004</v>
      </c>
      <c r="GH327" s="380">
        <f>SUM(EH327:EK327)</f>
        <v>2151.0078463570126</v>
      </c>
      <c r="GI327" s="380">
        <f>SUM(EL327:EO327)</f>
        <v>2576.7716229284642</v>
      </c>
      <c r="GJ327" s="380">
        <f>SUM(EP327:ES327)</f>
        <v>2711.301092467645</v>
      </c>
      <c r="GK327" s="380">
        <f>SUM(ET327:EW327)</f>
        <v>2848.1384228505349</v>
      </c>
      <c r="GN327" s="70"/>
    </row>
    <row r="328" spans="1:239" s="382" customFormat="1">
      <c r="A328" s="381" t="s">
        <v>198</v>
      </c>
      <c r="CG328" s="382">
        <f t="shared" ref="CG328:EH328" si="615">CG327/CF327-1</f>
        <v>0.28478418133590555</v>
      </c>
      <c r="CH328" s="382">
        <f t="shared" si="615"/>
        <v>-0.29505144348894352</v>
      </c>
      <c r="CI328" s="382">
        <f t="shared" si="615"/>
        <v>0.3977762650329022</v>
      </c>
      <c r="CJ328" s="382">
        <f t="shared" si="615"/>
        <v>7.1428571428571397E-2</v>
      </c>
      <c r="CK328" s="382">
        <f t="shared" si="615"/>
        <v>-0.10996363636363637</v>
      </c>
      <c r="CL328" s="382">
        <f t="shared" si="615"/>
        <v>-0.1407455829747053</v>
      </c>
      <c r="CM328" s="382">
        <f t="shared" si="615"/>
        <v>0.18734150464919708</v>
      </c>
      <c r="CN328" s="382">
        <f t="shared" si="615"/>
        <v>0.12168283349648479</v>
      </c>
      <c r="CO328" s="382">
        <f t="shared" si="615"/>
        <v>-0.23375263301955274</v>
      </c>
      <c r="CP328" s="382">
        <f t="shared" si="615"/>
        <v>-0.27814620963859171</v>
      </c>
      <c r="CQ328" s="382">
        <f t="shared" si="615"/>
        <v>0.71369249967726667</v>
      </c>
      <c r="CR328" s="382">
        <f t="shared" si="615"/>
        <v>0.49591331969014063</v>
      </c>
      <c r="CS328" s="382">
        <f t="shared" si="615"/>
        <v>-0.44808137778225399</v>
      </c>
      <c r="CT328" s="382">
        <f t="shared" si="615"/>
        <v>-0.23905109489051091</v>
      </c>
      <c r="CU328" s="382">
        <f t="shared" si="615"/>
        <v>0.53875899280575545</v>
      </c>
      <c r="CV328" s="382">
        <f t="shared" si="615"/>
        <v>0.42061528538064108</v>
      </c>
      <c r="CW328" s="382">
        <f t="shared" si="615"/>
        <v>-0.40979095563139933</v>
      </c>
      <c r="CX328" s="382">
        <f t="shared" si="615"/>
        <v>4.16815105094408E-2</v>
      </c>
      <c r="CY328" s="382">
        <f t="shared" si="615"/>
        <v>0.20525783619818005</v>
      </c>
      <c r="CZ328" s="382">
        <f t="shared" si="615"/>
        <v>-6.7533557046979831E-2</v>
      </c>
      <c r="DA328" s="382">
        <f t="shared" si="615"/>
        <v>-0.54490928175138698</v>
      </c>
      <c r="DB328" s="382">
        <f t="shared" si="615"/>
        <v>4.9573602093226032E-2</v>
      </c>
      <c r="DC328" s="382">
        <f t="shared" si="615"/>
        <v>0.39560779461800188</v>
      </c>
      <c r="DD328" s="382">
        <f t="shared" si="615"/>
        <v>-0.34640957446808507</v>
      </c>
      <c r="DE328" s="382">
        <f t="shared" si="615"/>
        <v>-0.68429976263140047</v>
      </c>
      <c r="DF328" s="382">
        <f t="shared" si="615"/>
        <v>-0.95810955961331901</v>
      </c>
      <c r="DG328" s="382">
        <f t="shared" si="615"/>
        <v>48.674703406046696</v>
      </c>
      <c r="DH328" s="382">
        <f t="shared" si="615"/>
        <v>3.2670261941448375</v>
      </c>
      <c r="DI328" s="382">
        <f t="shared" si="615"/>
        <v>0.19320766980825477</v>
      </c>
      <c r="DJ328" s="383">
        <f t="shared" si="615"/>
        <v>8.75731989649986E-3</v>
      </c>
      <c r="DK328" s="383">
        <f t="shared" si="615"/>
        <v>0.14711693389161118</v>
      </c>
      <c r="DL328" s="383">
        <f t="shared" si="615"/>
        <v>0.16750152553034603</v>
      </c>
      <c r="DM328" s="383">
        <f t="shared" si="615"/>
        <v>0.20909876757136825</v>
      </c>
      <c r="DN328" s="383">
        <f t="shared" si="615"/>
        <v>2.2998757667129555E-2</v>
      </c>
      <c r="DO328" s="383">
        <f t="shared" si="615"/>
        <v>9.5691482281352158E-2</v>
      </c>
      <c r="DP328" s="383">
        <f t="shared" si="615"/>
        <v>0.21031612986087578</v>
      </c>
      <c r="DQ328" s="383">
        <f t="shared" si="615"/>
        <v>-0.10795596444603595</v>
      </c>
      <c r="DR328" s="383">
        <f t="shared" si="615"/>
        <v>9.6087211050108312E-2</v>
      </c>
      <c r="DS328" s="383">
        <f t="shared" si="615"/>
        <v>-5.6542527784712471E-2</v>
      </c>
      <c r="DT328" s="383">
        <f t="shared" si="615"/>
        <v>-6.6605453845485885E-2</v>
      </c>
      <c r="DU328" s="383">
        <f t="shared" si="615"/>
        <v>-0.1371581682692794</v>
      </c>
      <c r="DV328" s="382">
        <f t="shared" si="615"/>
        <v>-0.29968087915864461</v>
      </c>
      <c r="DW328" s="382">
        <f t="shared" si="615"/>
        <v>-0.35955732132866591</v>
      </c>
      <c r="DX328" s="382">
        <f>DX327/DW327-1</f>
        <v>-0.2376612787380612</v>
      </c>
      <c r="DY328" s="382">
        <f t="shared" si="615"/>
        <v>1.4784151389710676E-3</v>
      </c>
      <c r="DZ328" s="382">
        <f t="shared" si="615"/>
        <v>0.42781222320637746</v>
      </c>
      <c r="EA328" s="382">
        <f t="shared" si="615"/>
        <v>0.80645161290322576</v>
      </c>
      <c r="EB328" s="382">
        <f t="shared" si="615"/>
        <v>-3.434065934065933E-2</v>
      </c>
      <c r="EC328" s="382">
        <f t="shared" si="615"/>
        <v>-0.40943575154101475</v>
      </c>
      <c r="ED328" s="382">
        <f t="shared" si="615"/>
        <v>-0.19999999999999984</v>
      </c>
      <c r="EE328" s="384">
        <f t="shared" si="615"/>
        <v>7.0000000000000062E-2</v>
      </c>
      <c r="EF328" s="384">
        <f t="shared" si="615"/>
        <v>-9.9999999999999978E-2</v>
      </c>
      <c r="EG328" s="384">
        <f t="shared" si="615"/>
        <v>-9.9999999999999756E-2</v>
      </c>
      <c r="EH328" s="384">
        <f t="shared" si="615"/>
        <v>7.9999999999999849E-2</v>
      </c>
      <c r="EI328" s="384">
        <f>EI327/EH327-1</f>
        <v>6.0000000000000053E-2</v>
      </c>
      <c r="EJ328" s="384">
        <f>EJ327/EI327-1</f>
        <v>0.44999999999999996</v>
      </c>
      <c r="EK328" s="384">
        <f>EK327/EJ327-1</f>
        <v>7.0000000000000062E-2</v>
      </c>
      <c r="EL328" s="384">
        <f t="shared" ref="EL328" si="616">EL327/EK327-1</f>
        <v>-0.15000000000000024</v>
      </c>
      <c r="EM328" s="384">
        <f>EM327/EL327-1</f>
        <v>4.0000000000000258E-2</v>
      </c>
      <c r="EN328" s="384">
        <f>EN327/EM327-1</f>
        <v>0.14999999999999969</v>
      </c>
      <c r="EO328" s="384">
        <f>EO327/EN327-1</f>
        <v>4.9999999999999822E-2</v>
      </c>
      <c r="EP328" s="384">
        <f t="shared" ref="EP328" si="617">EP327/EO327-1</f>
        <v>-0.17000000000000015</v>
      </c>
      <c r="EQ328" s="384">
        <f>EQ327/EP327-1</f>
        <v>4.0000000000000258E-2</v>
      </c>
      <c r="ER328" s="384">
        <f>ER327/EQ327-1</f>
        <v>0.16999999999999993</v>
      </c>
      <c r="ES328" s="384">
        <f>ES327/ER327-1</f>
        <v>5.0000000000000266E-2</v>
      </c>
      <c r="ET328" s="384">
        <f t="shared" ref="ET328" si="618">ET327/ES327-1</f>
        <v>-0.17000000000000004</v>
      </c>
      <c r="EU328" s="384">
        <f>EU327/ET327-1</f>
        <v>4.0000000000000036E-2</v>
      </c>
      <c r="EV328" s="384">
        <f>EV327/EU327-1</f>
        <v>0.14999999999999991</v>
      </c>
      <c r="EW328" s="384">
        <f>EW327/EV327-1</f>
        <v>5.0000000000000044E-2</v>
      </c>
      <c r="FZ328" s="386" t="s">
        <v>199</v>
      </c>
      <c r="GA328" s="386" t="s">
        <v>199</v>
      </c>
      <c r="GB328" s="386" t="s">
        <v>199</v>
      </c>
      <c r="GC328" s="386" t="s">
        <v>199</v>
      </c>
      <c r="GD328" s="386" t="s">
        <v>199</v>
      </c>
      <c r="GE328" s="386" t="s">
        <v>199</v>
      </c>
      <c r="GF328" s="386" t="s">
        <v>199</v>
      </c>
      <c r="GG328" s="386" t="s">
        <v>199</v>
      </c>
      <c r="GH328" s="386" t="s">
        <v>199</v>
      </c>
      <c r="GI328" s="386" t="s">
        <v>199</v>
      </c>
      <c r="GJ328" s="386" t="s">
        <v>199</v>
      </c>
      <c r="GK328" s="386" t="s">
        <v>199</v>
      </c>
      <c r="GN328" s="70"/>
    </row>
    <row r="329" spans="1:239" s="382" customFormat="1">
      <c r="A329" s="381" t="s">
        <v>200</v>
      </c>
      <c r="CJ329" s="382">
        <f t="shared" ref="CJ329:EU329" si="619">CJ327/CF327-1</f>
        <v>0.35640221847118414</v>
      </c>
      <c r="CK329" s="382">
        <f t="shared" si="619"/>
        <v>-6.0350122850122867E-2</v>
      </c>
      <c r="CL329" s="382">
        <f t="shared" si="619"/>
        <v>0.14532940019665697</v>
      </c>
      <c r="CM329" s="382">
        <f t="shared" si="619"/>
        <v>-2.7099567099567068E-2</v>
      </c>
      <c r="CN329" s="382">
        <f t="shared" si="619"/>
        <v>1.8533333333333291E-2</v>
      </c>
      <c r="CO329" s="382">
        <f t="shared" si="619"/>
        <v>-0.12312741733398702</v>
      </c>
      <c r="CP329" s="382">
        <f t="shared" si="619"/>
        <v>-0.26334530853761628</v>
      </c>
      <c r="CQ329" s="382">
        <f t="shared" si="619"/>
        <v>6.3215270979798843E-2</v>
      </c>
      <c r="CR329" s="382">
        <f t="shared" si="619"/>
        <v>0.41793904485356248</v>
      </c>
      <c r="CS329" s="382">
        <f t="shared" si="619"/>
        <v>2.1324180346964372E-2</v>
      </c>
      <c r="CT329" s="382">
        <f t="shared" si="619"/>
        <v>7.6638409570119359E-2</v>
      </c>
      <c r="CU329" s="382">
        <f t="shared" si="619"/>
        <v>-3.326469886627581E-2</v>
      </c>
      <c r="CV329" s="382">
        <f t="shared" si="619"/>
        <v>-8.1926119895703864E-2</v>
      </c>
      <c r="CW329" s="382">
        <f t="shared" si="619"/>
        <v>-1.8232968369829683E-2</v>
      </c>
      <c r="CX329" s="382">
        <f t="shared" si="619"/>
        <v>0.34396482813749008</v>
      </c>
      <c r="CY329" s="382">
        <f t="shared" si="619"/>
        <v>5.2682160273767931E-2</v>
      </c>
      <c r="CZ329" s="382">
        <f t="shared" si="619"/>
        <v>-0.30903827401267681</v>
      </c>
      <c r="DA329" s="382">
        <f t="shared" si="619"/>
        <v>-0.46722221361709593</v>
      </c>
      <c r="DB329" s="382">
        <f t="shared" si="619"/>
        <v>-0.46318572929677437</v>
      </c>
      <c r="DC329" s="382">
        <f t="shared" si="619"/>
        <v>-0.37840505329648644</v>
      </c>
      <c r="DD329" s="382">
        <f t="shared" si="619"/>
        <v>-0.56430763938503881</v>
      </c>
      <c r="DE329" s="382">
        <f t="shared" si="619"/>
        <v>-0.69775656555867815</v>
      </c>
      <c r="DF329" s="382">
        <f t="shared" si="619"/>
        <v>-0.9879369007114136</v>
      </c>
      <c r="DG329" s="382">
        <f t="shared" si="619"/>
        <v>-0.5706308881126283</v>
      </c>
      <c r="DH329" s="382">
        <f t="shared" si="619"/>
        <v>1.8031763866324533</v>
      </c>
      <c r="DI329" s="382">
        <f t="shared" si="619"/>
        <v>9.5947705083604529</v>
      </c>
      <c r="DJ329" s="383">
        <f t="shared" si="619"/>
        <v>254.13105625717563</v>
      </c>
      <c r="DK329" s="383">
        <f t="shared" si="619"/>
        <v>4.8916336671802769</v>
      </c>
      <c r="DL329" s="383">
        <f t="shared" si="619"/>
        <v>0.61201056223594397</v>
      </c>
      <c r="DM329" s="383">
        <f t="shared" si="619"/>
        <v>0.63347926218469564</v>
      </c>
      <c r="DN329" s="383">
        <f t="shared" si="619"/>
        <v>0.65654040167105343</v>
      </c>
      <c r="DO329" s="383">
        <f t="shared" si="619"/>
        <v>0.58227740742026568</v>
      </c>
      <c r="DP329" s="383">
        <f t="shared" si="619"/>
        <v>0.64030266876548048</v>
      </c>
      <c r="DQ329" s="383">
        <f t="shared" si="619"/>
        <v>0.21017591897357413</v>
      </c>
      <c r="DR329" s="383">
        <f t="shared" si="619"/>
        <v>0.29663730084348638</v>
      </c>
      <c r="DS329" s="383">
        <f t="shared" si="619"/>
        <v>0.11648412898743676</v>
      </c>
      <c r="DT329" s="383">
        <f t="shared" si="619"/>
        <v>-0.1389685957628799</v>
      </c>
      <c r="DU329" s="383">
        <f t="shared" si="619"/>
        <v>-0.16715556138631049</v>
      </c>
      <c r="DV329" s="382">
        <f t="shared" si="619"/>
        <v>-0.46787365168802508</v>
      </c>
      <c r="DW329" s="382">
        <f t="shared" si="619"/>
        <v>-0.63877924131088948</v>
      </c>
      <c r="DX329" s="382">
        <f t="shared" si="619"/>
        <v>-0.70497730846314721</v>
      </c>
      <c r="DY329" s="382">
        <f t="shared" si="619"/>
        <v>-0.65757471800165468</v>
      </c>
      <c r="DZ329" s="382">
        <f t="shared" si="619"/>
        <v>-0.30186255291052677</v>
      </c>
      <c r="EA329" s="382">
        <f t="shared" si="619"/>
        <v>0.96918718774225265</v>
      </c>
      <c r="EB329" s="382">
        <f t="shared" si="619"/>
        <v>1.4943820224719104</v>
      </c>
      <c r="EC329" s="382">
        <f t="shared" si="619"/>
        <v>0.47091821671095357</v>
      </c>
      <c r="ED329" s="382">
        <f t="shared" si="619"/>
        <v>-0.17584780810587253</v>
      </c>
      <c r="EE329" s="384">
        <f t="shared" si="619"/>
        <v>-0.51183699633699631</v>
      </c>
      <c r="EF329" s="384">
        <f t="shared" si="619"/>
        <v>-0.54502930298719765</v>
      </c>
      <c r="EG329" s="384">
        <f t="shared" si="619"/>
        <v>-0.30663999999999969</v>
      </c>
      <c r="EH329" s="384">
        <f t="shared" si="619"/>
        <v>-6.396399999999991E-2</v>
      </c>
      <c r="EI329" s="384">
        <f t="shared" si="619"/>
        <v>-7.2711999999999777E-2</v>
      </c>
      <c r="EJ329" s="384">
        <f t="shared" si="619"/>
        <v>0.49396400000000029</v>
      </c>
      <c r="EK329" s="384">
        <f t="shared" si="619"/>
        <v>0.7761572000000001</v>
      </c>
      <c r="EL329" s="384">
        <f t="shared" si="619"/>
        <v>0.39790150000000013</v>
      </c>
      <c r="EM329" s="384">
        <f t="shared" si="619"/>
        <v>0.37152600000000024</v>
      </c>
      <c r="EN329" s="384">
        <f t="shared" si="619"/>
        <v>8.7761999999999896E-2</v>
      </c>
      <c r="EO329" s="384">
        <f t="shared" si="619"/>
        <v>6.7429999999999657E-2</v>
      </c>
      <c r="EP329" s="384">
        <f t="shared" si="619"/>
        <v>4.2313999999999963E-2</v>
      </c>
      <c r="EQ329" s="384">
        <f t="shared" si="619"/>
        <v>4.2313999999999741E-2</v>
      </c>
      <c r="ER329" s="384">
        <f t="shared" si="619"/>
        <v>6.0441199999999862E-2</v>
      </c>
      <c r="ES329" s="384">
        <f t="shared" si="619"/>
        <v>6.0441200000000084E-2</v>
      </c>
      <c r="ET329" s="384">
        <f t="shared" si="619"/>
        <v>6.0441200000000306E-2</v>
      </c>
      <c r="EU329" s="384">
        <f t="shared" si="619"/>
        <v>6.0441200000000084E-2</v>
      </c>
      <c r="EV329" s="384">
        <f t="shared" ref="EV329:EW329" si="620">EV327/ER327-1</f>
        <v>4.2313999999999963E-2</v>
      </c>
      <c r="EW329" s="384">
        <f t="shared" si="620"/>
        <v>4.2313999999999963E-2</v>
      </c>
      <c r="FV329" s="382">
        <f t="shared" ref="FV329:GK329" si="621">FV327/FU327-1</f>
        <v>-5.5303736546586935E-3</v>
      </c>
      <c r="FW329" s="382">
        <f t="shared" si="621"/>
        <v>8.5930117262600136E-2</v>
      </c>
      <c r="FX329" s="382">
        <f t="shared" si="621"/>
        <v>-3.2304510210533599E-2</v>
      </c>
      <c r="FY329" s="382">
        <f t="shared" si="621"/>
        <v>-0.14186817488896286</v>
      </c>
      <c r="FZ329" s="382">
        <f t="shared" si="621"/>
        <v>-0.4974092094055701</v>
      </c>
      <c r="GA329" s="382">
        <f t="shared" si="621"/>
        <v>0.72960102712245245</v>
      </c>
      <c r="GB329" s="382">
        <f t="shared" si="621"/>
        <v>1.5266338540154978</v>
      </c>
      <c r="GC329" s="382">
        <f t="shared" si="621"/>
        <v>0.49402867661539207</v>
      </c>
      <c r="GD329" s="382">
        <f t="shared" si="621"/>
        <v>9.1724530809347282E-3</v>
      </c>
      <c r="GE329" s="382">
        <f t="shared" si="621"/>
        <v>-0.61134302158155907</v>
      </c>
      <c r="GF329" s="382">
        <f t="shared" si="621"/>
        <v>0.4884997613005706</v>
      </c>
      <c r="GG329" s="387">
        <f t="shared" si="621"/>
        <v>-0.4241332226750647</v>
      </c>
      <c r="GH329" s="387">
        <f t="shared" si="621"/>
        <v>0.25812676288945324</v>
      </c>
      <c r="GI329" s="387">
        <f t="shared" si="621"/>
        <v>0.19793687749327993</v>
      </c>
      <c r="GJ329" s="387">
        <f t="shared" si="621"/>
        <v>5.2208534253528338E-2</v>
      </c>
      <c r="GK329" s="387">
        <f t="shared" si="621"/>
        <v>5.0469249159764029E-2</v>
      </c>
      <c r="GN329" s="70"/>
    </row>
    <row r="330" spans="1:239" s="382" customFormat="1">
      <c r="A330" s="381" t="s">
        <v>261</v>
      </c>
      <c r="CF330" s="382">
        <f t="shared" ref="CF330:EQ330" si="622">CF327/CF$4</f>
        <v>0.24978507871321012</v>
      </c>
      <c r="CG330" s="382">
        <f t="shared" si="622"/>
        <v>0.29506859660163626</v>
      </c>
      <c r="CH330" s="382">
        <f t="shared" si="622"/>
        <v>0.23659627773801001</v>
      </c>
      <c r="CI330" s="382">
        <f t="shared" si="622"/>
        <v>0.32061068702290074</v>
      </c>
      <c r="CJ330" s="382">
        <f t="shared" si="622"/>
        <v>0.3463960811756473</v>
      </c>
      <c r="CK330" s="382">
        <f t="shared" si="622"/>
        <v>0.35558353510895885</v>
      </c>
      <c r="CL330" s="382">
        <f t="shared" si="622"/>
        <v>0.36753398058252429</v>
      </c>
      <c r="CM330" s="382">
        <f t="shared" si="622"/>
        <v>0.47715498938428874</v>
      </c>
      <c r="CN330" s="382">
        <f t="shared" si="622"/>
        <v>0.47518755890669179</v>
      </c>
      <c r="CO330" s="382">
        <f t="shared" si="622"/>
        <v>0.40325887265135701</v>
      </c>
      <c r="CP330" s="382">
        <f t="shared" si="622"/>
        <v>0.33517788461538461</v>
      </c>
      <c r="CQ330" s="382">
        <f t="shared" si="622"/>
        <v>0.46533008763388511</v>
      </c>
      <c r="CR330" s="382">
        <f t="shared" si="622"/>
        <v>0.54696863045141553</v>
      </c>
      <c r="CS330" s="382">
        <f t="shared" si="622"/>
        <v>0.35674502712477396</v>
      </c>
      <c r="CT330" s="382">
        <f t="shared" si="622"/>
        <v>0.30512195121951219</v>
      </c>
      <c r="CU330" s="382">
        <f>CU327/CU$4</f>
        <v>0.37806628477905074</v>
      </c>
      <c r="CV330" s="382">
        <f t="shared" si="622"/>
        <v>0.39946439440048692</v>
      </c>
      <c r="CW330" s="382">
        <f t="shared" si="622"/>
        <v>0.26173378378378376</v>
      </c>
      <c r="CX330" s="382">
        <f>CX327/CX$4</f>
        <v>0.24499817850637523</v>
      </c>
      <c r="CY330" s="382">
        <f t="shared" si="622"/>
        <v>0.27695671981776765</v>
      </c>
      <c r="CZ330" s="382">
        <f t="shared" si="622"/>
        <v>0.27434482758620693</v>
      </c>
      <c r="DA330" s="382">
        <f>DA327/DA$4</f>
        <v>0.14544045102184636</v>
      </c>
      <c r="DB330" s="382">
        <f t="shared" si="622"/>
        <v>0.17029166666666665</v>
      </c>
      <c r="DC330" s="382">
        <f t="shared" si="622"/>
        <v>0.19745525800130631</v>
      </c>
      <c r="DD330" s="382">
        <f t="shared" si="622"/>
        <v>0.10970738478622988</v>
      </c>
      <c r="DE330" s="382">
        <f t="shared" si="622"/>
        <v>2.932628114715562E-2</v>
      </c>
      <c r="DF330" s="382">
        <f t="shared" si="622"/>
        <v>1.4630459126539755E-3</v>
      </c>
      <c r="DG330" s="382">
        <f t="shared" si="622"/>
        <v>6.7184265010351976E-2</v>
      </c>
      <c r="DH330" s="382">
        <f t="shared" si="622"/>
        <v>0.19773652267047484</v>
      </c>
      <c r="DI330" s="382">
        <f t="shared" si="622"/>
        <v>0.20372071516646115</v>
      </c>
      <c r="DJ330" s="383">
        <f t="shared" si="622"/>
        <v>0.19351449927431058</v>
      </c>
      <c r="DK330" s="383">
        <f t="shared" si="622"/>
        <v>0.1986322207792208</v>
      </c>
      <c r="DL330" s="383">
        <f t="shared" si="622"/>
        <v>0.20700861813123114</v>
      </c>
      <c r="DM330" s="383">
        <f t="shared" si="622"/>
        <v>0.22368782428512221</v>
      </c>
      <c r="DN330" s="383">
        <f t="shared" si="622"/>
        <v>0.18759045354170206</v>
      </c>
      <c r="DO330" s="383">
        <f>DO327/DO$4</f>
        <v>0.18473609312977096</v>
      </c>
      <c r="DP330" s="383">
        <f t="shared" si="622"/>
        <v>0.26316413836477986</v>
      </c>
      <c r="DQ330" s="383">
        <f>DQ327/DQ$4</f>
        <v>0.23332845329523128</v>
      </c>
      <c r="DR330" s="383">
        <f>DR327/DR$4</f>
        <v>0.26750138613861385</v>
      </c>
      <c r="DS330" s="383">
        <f t="shared" si="622"/>
        <v>0.25209361821235304</v>
      </c>
      <c r="DT330" s="383">
        <f t="shared" si="622"/>
        <v>0.21741168103448277</v>
      </c>
      <c r="DU330" s="383">
        <f>DU327/DU$4</f>
        <v>0.176399640077821</v>
      </c>
      <c r="DV330" s="382">
        <f t="shared" si="622"/>
        <v>0.13922351543942993</v>
      </c>
      <c r="DW330" s="382">
        <f t="shared" si="622"/>
        <v>8.3632956298200514E-2</v>
      </c>
      <c r="DX330" s="382">
        <f t="shared" si="622"/>
        <v>5.4556386566945295E-2</v>
      </c>
      <c r="DY330" s="382">
        <f t="shared" si="622"/>
        <v>4.8651083833899191E-2</v>
      </c>
      <c r="DZ330" s="382">
        <f t="shared" si="622"/>
        <v>7.1519225598279113E-2</v>
      </c>
      <c r="EA330" s="382">
        <f t="shared" si="622"/>
        <v>0.12504359141184127</v>
      </c>
      <c r="EB330" s="382">
        <f t="shared" si="622"/>
        <v>0.10036340038935757</v>
      </c>
      <c r="EC330" s="382">
        <f t="shared" si="622"/>
        <v>5.3361246348588118E-2</v>
      </c>
      <c r="ED330" s="382">
        <f t="shared" si="622"/>
        <v>4.2759777626060667E-2</v>
      </c>
      <c r="EE330" s="384">
        <f t="shared" si="622"/>
        <v>4.1800358374991221E-2</v>
      </c>
      <c r="EF330" s="384">
        <f t="shared" si="622"/>
        <v>3.5201599417274618E-2</v>
      </c>
      <c r="EG330" s="384">
        <f t="shared" si="622"/>
        <v>2.3467459578244559E-2</v>
      </c>
      <c r="EH330" s="384">
        <f t="shared" si="622"/>
        <v>2.3537541666412625E-2</v>
      </c>
      <c r="EI330" s="384">
        <f t="shared" si="622"/>
        <v>2.2642433360172694E-2</v>
      </c>
      <c r="EJ330" s="384">
        <f t="shared" si="622"/>
        <v>2.8494233630428061E-2</v>
      </c>
      <c r="EK330" s="384">
        <f t="shared" si="622"/>
        <v>2.7525965179885415E-2</v>
      </c>
      <c r="EL330" s="384">
        <f t="shared" si="622"/>
        <v>2.3960989009638951E-2</v>
      </c>
      <c r="EM330" s="384">
        <f t="shared" si="622"/>
        <v>2.3832765402968661E-2</v>
      </c>
      <c r="EN330" s="384">
        <f t="shared" si="622"/>
        <v>2.5532177185829352E-2</v>
      </c>
      <c r="EO330" s="384">
        <f t="shared" si="622"/>
        <v>2.5055706460890653E-2</v>
      </c>
      <c r="EP330" s="384">
        <f t="shared" si="622"/>
        <v>2.1221009811719971E-2</v>
      </c>
      <c r="EQ330" s="384">
        <f t="shared" si="622"/>
        <v>2.1167084823750619E-2</v>
      </c>
      <c r="ER330" s="384">
        <f t="shared" ref="ER330:EW330" si="623">ER327/ER$4</f>
        <v>2.2939984534164858E-2</v>
      </c>
      <c r="ES330" s="384">
        <f t="shared" si="623"/>
        <v>2.3070019957362443E-2</v>
      </c>
      <c r="ET330" s="384">
        <f t="shared" si="623"/>
        <v>1.9993789644840904E-2</v>
      </c>
      <c r="EU330" s="384">
        <f t="shared" si="623"/>
        <v>1.9949759819877656E-2</v>
      </c>
      <c r="EV330" s="384">
        <f t="shared" si="623"/>
        <v>2.0878888156419806E-2</v>
      </c>
      <c r="EW330" s="384">
        <f t="shared" si="623"/>
        <v>2.0956051959673511E-2</v>
      </c>
      <c r="FT330" s="382">
        <f t="shared" ref="FT330:GG330" si="624">FT327/FT$4</f>
        <v>0.15735044347990185</v>
      </c>
      <c r="FU330" s="382">
        <f t="shared" si="624"/>
        <v>0.31385633853977479</v>
      </c>
      <c r="FV330" s="382">
        <f>FV327/FV$4</f>
        <v>0.43060285642696067</v>
      </c>
      <c r="FW330" s="382">
        <f t="shared" si="624"/>
        <v>0.43684691011235954</v>
      </c>
      <c r="FX330" s="382">
        <f t="shared" si="624"/>
        <v>0.33888590729968104</v>
      </c>
      <c r="FY330" s="382">
        <f t="shared" si="624"/>
        <v>0.23933899613899612</v>
      </c>
      <c r="FZ330" s="382">
        <f t="shared" si="624"/>
        <v>0.11571460407071756</v>
      </c>
      <c r="GA330" s="382">
        <f t="shared" si="624"/>
        <v>0.13798453344258937</v>
      </c>
      <c r="GB330" s="382">
        <f t="shared" si="624"/>
        <v>0.20711555981501764</v>
      </c>
      <c r="GC330" s="382">
        <f t="shared" si="624"/>
        <v>0.21546887208169141</v>
      </c>
      <c r="GD330" s="382">
        <f t="shared" si="624"/>
        <v>0.22627536816578481</v>
      </c>
      <c r="GE330" s="382">
        <f t="shared" si="624"/>
        <v>7.7353445801822754E-2</v>
      </c>
      <c r="GF330" s="382">
        <f t="shared" si="624"/>
        <v>8.5709749126706897E-2</v>
      </c>
      <c r="GG330" s="384">
        <f t="shared" si="624"/>
        <v>3.4427435194625065E-2</v>
      </c>
      <c r="GH330" s="384">
        <f>GH327/GH$4</f>
        <v>2.58222081064872E-2</v>
      </c>
      <c r="GI330" s="384">
        <f t="shared" ref="GI330:GK330" si="625">GI327/GI$4</f>
        <v>2.4634864704271713E-2</v>
      </c>
      <c r="GJ330" s="384">
        <f t="shared" si="625"/>
        <v>2.2153831266370421E-2</v>
      </c>
      <c r="GK330" s="384">
        <f t="shared" si="625"/>
        <v>2.0477342302373528E-2</v>
      </c>
      <c r="GN330" s="70"/>
    </row>
    <row r="331" spans="1:239" s="379" customFormat="1">
      <c r="A331" s="405" t="s">
        <v>282</v>
      </c>
      <c r="CF331" s="376">
        <v>4147</v>
      </c>
      <c r="CG331" s="376">
        <v>5328</v>
      </c>
      <c r="CH331" s="376">
        <v>4407</v>
      </c>
      <c r="CI331" s="376">
        <v>6160</v>
      </c>
      <c r="CJ331" s="376">
        <v>6600</v>
      </c>
      <c r="CK331" s="376">
        <v>6119</v>
      </c>
      <c r="CL331" s="376">
        <v>5408</v>
      </c>
      <c r="CM331" s="376">
        <v>6610</v>
      </c>
      <c r="CN331" s="376">
        <v>7639</v>
      </c>
      <c r="CO331" s="376">
        <v>5766</v>
      </c>
      <c r="CP331" s="376">
        <v>4101</v>
      </c>
      <c r="CQ331" s="376">
        <v>6926</v>
      </c>
      <c r="CR331" s="376">
        <v>9929</v>
      </c>
      <c r="CS331" s="376">
        <v>5480</v>
      </c>
      <c r="CT331" s="376">
        <v>4170</v>
      </c>
      <c r="CU331" s="376">
        <v>6507</v>
      </c>
      <c r="CV331" s="376">
        <v>9376</v>
      </c>
      <c r="CW331" s="376">
        <v>5614</v>
      </c>
      <c r="CX331" s="376">
        <v>5934</v>
      </c>
      <c r="CY331" s="376">
        <v>7152</v>
      </c>
      <c r="CZ331" s="376">
        <v>6669</v>
      </c>
      <c r="DA331" s="376">
        <v>3035</v>
      </c>
      <c r="DB331" s="376">
        <v>3233</v>
      </c>
      <c r="DC331" s="376">
        <v>4512</v>
      </c>
      <c r="DD331" s="376">
        <v>2949</v>
      </c>
      <c r="DE331" s="376">
        <v>931</v>
      </c>
      <c r="DF331" s="376">
        <v>39</v>
      </c>
      <c r="DG331" s="376">
        <v>1475</v>
      </c>
      <c r="DH331" s="376">
        <v>6154</v>
      </c>
      <c r="DI331" s="376">
        <v>7343</v>
      </c>
      <c r="DJ331" s="397">
        <v>6795</v>
      </c>
      <c r="DK331" s="397">
        <v>8145</v>
      </c>
      <c r="DL331" s="397">
        <v>9477</v>
      </c>
      <c r="DM331" s="397">
        <v>12016</v>
      </c>
      <c r="DN331" s="397">
        <v>12375</v>
      </c>
      <c r="DO331" s="397">
        <v>14039</v>
      </c>
      <c r="DP331" s="397">
        <v>16457</v>
      </c>
      <c r="DQ331" s="397">
        <v>14469</v>
      </c>
      <c r="DR331" s="397">
        <v>15847</v>
      </c>
      <c r="DS331" s="397">
        <v>14890</v>
      </c>
      <c r="DT331" s="397">
        <v>13365</v>
      </c>
      <c r="DU331" s="397">
        <v>11073</v>
      </c>
      <c r="DV331" s="376">
        <v>7098</v>
      </c>
      <c r="DW331" s="376">
        <v>4695</v>
      </c>
      <c r="DX331" s="376">
        <v>3382</v>
      </c>
      <c r="DY331" s="376">
        <v>3387</v>
      </c>
      <c r="DZ331" s="376">
        <v>4836</v>
      </c>
      <c r="EA331" s="376">
        <v>8736</v>
      </c>
      <c r="EB331" s="376">
        <v>8436</v>
      </c>
      <c r="EC331" s="376">
        <v>4982</v>
      </c>
      <c r="ED331" s="376">
        <f t="shared" ref="ED331:EH331" si="626">EC331*(1+ED332)</f>
        <v>3985.6000000000004</v>
      </c>
      <c r="EE331" s="380">
        <f t="shared" si="626"/>
        <v>4264.5920000000006</v>
      </c>
      <c r="EF331" s="380">
        <f t="shared" si="626"/>
        <v>3838.1328000000008</v>
      </c>
      <c r="EG331" s="380">
        <f t="shared" si="626"/>
        <v>3454.3195200000009</v>
      </c>
      <c r="EH331" s="380">
        <f t="shared" si="626"/>
        <v>3730.665081600001</v>
      </c>
      <c r="EI331" s="380">
        <f>EH331*(1+EI332)</f>
        <v>3954.5049864960015</v>
      </c>
      <c r="EJ331" s="380">
        <f>EI331*(1+EJ332)</f>
        <v>5734.0322304192023</v>
      </c>
      <c r="EK331" s="380">
        <f>EJ331*(1+EK332)</f>
        <v>6135.4144865485468</v>
      </c>
      <c r="EL331" s="380">
        <f t="shared" ref="EL331" si="627">EK331*(1+EL332)</f>
        <v>5215.1023135662645</v>
      </c>
      <c r="EM331" s="380">
        <f>EL331*(1+EM332)</f>
        <v>5423.706406108915</v>
      </c>
      <c r="EN331" s="380">
        <f>EM331*(1+EN332)</f>
        <v>6237.2623670252515</v>
      </c>
      <c r="EO331" s="380">
        <f>EN331*(1+EO332)</f>
        <v>6549.125485376514</v>
      </c>
      <c r="EP331" s="380">
        <f t="shared" ref="EP331" si="628">EO331*(1+EP332)</f>
        <v>5435.7741528625065</v>
      </c>
      <c r="EQ331" s="380">
        <f>EP331*(1+EQ332)</f>
        <v>5653.2051189770073</v>
      </c>
      <c r="ER331" s="380">
        <f>EQ331*(1+ER332)</f>
        <v>6614.2499892030983</v>
      </c>
      <c r="ES331" s="380">
        <f>ER331*(1+ES332)</f>
        <v>6944.9624886632537</v>
      </c>
      <c r="ET331" s="380">
        <f t="shared" ref="ET331" si="629">ES331*(1+ET332)</f>
        <v>5764.3188655905005</v>
      </c>
      <c r="EU331" s="380">
        <f>ET331*(1+EU332)</f>
        <v>5994.8916202141208</v>
      </c>
      <c r="EV331" s="380">
        <f>EU331*(1+EV332)</f>
        <v>6894.1253632462385</v>
      </c>
      <c r="EW331" s="380">
        <f>EV331*(1+EW332)</f>
        <v>7238.8316314085505</v>
      </c>
      <c r="EZ331" s="376"/>
      <c r="FA331" s="376"/>
      <c r="FB331" s="376"/>
      <c r="FC331" s="376"/>
      <c r="FD331" s="376"/>
      <c r="FE331" s="376"/>
      <c r="FF331" s="376"/>
      <c r="FG331" s="376"/>
      <c r="FH331" s="376"/>
      <c r="FI331" s="376"/>
      <c r="FJ331" s="376"/>
      <c r="FK331" s="376"/>
      <c r="FL331" s="376"/>
      <c r="FM331" s="376"/>
      <c r="FN331" s="376"/>
      <c r="FO331" s="376"/>
      <c r="FP331" s="376"/>
      <c r="FQ331" s="376"/>
      <c r="FR331" s="376"/>
      <c r="FS331" s="376"/>
      <c r="FT331" s="376">
        <f>CD331+CE331+CF331+CG331</f>
        <v>9475</v>
      </c>
      <c r="FU331" s="376">
        <f>CH331+CI331+CJ331+CK331</f>
        <v>23286</v>
      </c>
      <c r="FV331" s="376">
        <f>CL331+CM331+CN331+CO331</f>
        <v>25423</v>
      </c>
      <c r="FW331" s="376">
        <f>CP331+CQ331+CR331+CS331</f>
        <v>26436</v>
      </c>
      <c r="FX331" s="376">
        <f>CT331+CU331+CV331+CW331</f>
        <v>25667</v>
      </c>
      <c r="FY331" s="376">
        <f>CX331+CY331+CZ331+DA331</f>
        <v>22790</v>
      </c>
      <c r="FZ331" s="376">
        <f>DB331+DC331+DD331+DE331</f>
        <v>11625</v>
      </c>
      <c r="GA331" s="376">
        <f>SUM(DF331:DI331)</f>
        <v>15011</v>
      </c>
      <c r="GB331" s="376">
        <f>SUM(DJ331:DM331)</f>
        <v>36433</v>
      </c>
      <c r="GC331" s="376">
        <f>SUM(DN331:DQ331)</f>
        <v>57340</v>
      </c>
      <c r="GD331" s="376">
        <f>SUM(DR331:DU331)</f>
        <v>55175</v>
      </c>
      <c r="GE331" s="376">
        <f>SUM(DV331:DY331)</f>
        <v>18562</v>
      </c>
      <c r="GF331" s="376">
        <f>SUM(DZ331:EC331)</f>
        <v>26990</v>
      </c>
      <c r="GG331" s="380">
        <f>SUM(ED331:EG331)</f>
        <v>15542.644320000003</v>
      </c>
      <c r="GH331" s="380">
        <f>SUM(EH331:EK331)</f>
        <v>19554.61678506375</v>
      </c>
      <c r="GI331" s="380">
        <f>SUM(EL331:EO331)</f>
        <v>23425.196572076944</v>
      </c>
      <c r="GJ331" s="380">
        <f>SUM(EP331:ES331)</f>
        <v>24648.191749705868</v>
      </c>
      <c r="GK331" s="380">
        <f>SUM(ET331:EW331)</f>
        <v>25892.167480459411</v>
      </c>
      <c r="GN331" s="70"/>
    </row>
    <row r="332" spans="1:239" s="382" customFormat="1">
      <c r="A332" s="381" t="s">
        <v>198</v>
      </c>
      <c r="CG332" s="382">
        <f t="shared" ref="CG332:EC332" si="630">CG331/CF331-1</f>
        <v>0.28478418133590555</v>
      </c>
      <c r="CH332" s="382">
        <f t="shared" si="630"/>
        <v>-0.17286036036036034</v>
      </c>
      <c r="CI332" s="382">
        <f t="shared" si="630"/>
        <v>0.3977762650329022</v>
      </c>
      <c r="CJ332" s="382">
        <f t="shared" si="630"/>
        <v>7.1428571428571397E-2</v>
      </c>
      <c r="CK332" s="382">
        <f t="shared" si="630"/>
        <v>-7.2878787878787876E-2</v>
      </c>
      <c r="CL332" s="382">
        <f t="shared" si="630"/>
        <v>-0.11619545677398269</v>
      </c>
      <c r="CM332" s="382">
        <f t="shared" si="630"/>
        <v>0.22226331360946738</v>
      </c>
      <c r="CN332" s="382">
        <f t="shared" si="630"/>
        <v>0.15567322239031767</v>
      </c>
      <c r="CO332" s="382">
        <f t="shared" si="630"/>
        <v>-0.24518916088493259</v>
      </c>
      <c r="CP332" s="382">
        <f t="shared" si="630"/>
        <v>-0.28876170655567113</v>
      </c>
      <c r="CQ332" s="382">
        <f t="shared" si="630"/>
        <v>0.68885637649353826</v>
      </c>
      <c r="CR332" s="382">
        <f t="shared" si="630"/>
        <v>0.43358359803638469</v>
      </c>
      <c r="CS332" s="382">
        <f t="shared" si="630"/>
        <v>-0.44808137778225399</v>
      </c>
      <c r="CT332" s="382">
        <f t="shared" si="630"/>
        <v>-0.23905109489051091</v>
      </c>
      <c r="CU332" s="382">
        <f t="shared" si="630"/>
        <v>0.56043165467625888</v>
      </c>
      <c r="CV332" s="382">
        <f t="shared" si="630"/>
        <v>0.44090978945750736</v>
      </c>
      <c r="CW332" s="382">
        <f t="shared" si="630"/>
        <v>-0.4012372013651877</v>
      </c>
      <c r="CX332" s="382">
        <f t="shared" si="630"/>
        <v>5.7000356252226547E-2</v>
      </c>
      <c r="CY332" s="382">
        <f t="shared" si="630"/>
        <v>0.20525783619818005</v>
      </c>
      <c r="CZ332" s="382">
        <f t="shared" si="630"/>
        <v>-6.7533557046979831E-2</v>
      </c>
      <c r="DA332" s="382">
        <f t="shared" si="630"/>
        <v>-0.54490928175138698</v>
      </c>
      <c r="DB332" s="382">
        <f t="shared" si="630"/>
        <v>6.5238879736408517E-2</v>
      </c>
      <c r="DC332" s="382">
        <f t="shared" si="630"/>
        <v>0.39560779461800188</v>
      </c>
      <c r="DD332" s="382">
        <f t="shared" si="630"/>
        <v>-0.34640957446808507</v>
      </c>
      <c r="DE332" s="382">
        <f t="shared" si="630"/>
        <v>-0.68429976263140047</v>
      </c>
      <c r="DF332" s="382">
        <f t="shared" si="630"/>
        <v>-0.95810955961331901</v>
      </c>
      <c r="DG332" s="382">
        <f t="shared" si="630"/>
        <v>36.820512820512818</v>
      </c>
      <c r="DH332" s="382">
        <f t="shared" si="630"/>
        <v>3.1722033898305089</v>
      </c>
      <c r="DI332" s="382">
        <f t="shared" si="630"/>
        <v>0.19320766980825477</v>
      </c>
      <c r="DJ332" s="383">
        <f t="shared" si="630"/>
        <v>-7.4628898270461708E-2</v>
      </c>
      <c r="DK332" s="383">
        <f t="shared" si="630"/>
        <v>0.19867549668874163</v>
      </c>
      <c r="DL332" s="383">
        <f t="shared" si="630"/>
        <v>0.16353591160220993</v>
      </c>
      <c r="DM332" s="383">
        <f t="shared" si="630"/>
        <v>0.26791178643030489</v>
      </c>
      <c r="DN332" s="383">
        <f t="shared" si="630"/>
        <v>2.9876830892143769E-2</v>
      </c>
      <c r="DO332" s="383">
        <f t="shared" si="630"/>
        <v>0.1344646464646464</v>
      </c>
      <c r="DP332" s="383">
        <f t="shared" si="630"/>
        <v>0.17223448963601395</v>
      </c>
      <c r="DQ332" s="383">
        <f t="shared" si="630"/>
        <v>-0.12079965971926843</v>
      </c>
      <c r="DR332" s="383">
        <f t="shared" si="630"/>
        <v>9.5238095238095344E-2</v>
      </c>
      <c r="DS332" s="383">
        <f t="shared" si="630"/>
        <v>-6.0389979175869302E-2</v>
      </c>
      <c r="DT332" s="383">
        <f t="shared" si="630"/>
        <v>-0.10241773002014776</v>
      </c>
      <c r="DU332" s="383">
        <f t="shared" si="630"/>
        <v>-0.17149270482603818</v>
      </c>
      <c r="DV332" s="382">
        <f t="shared" si="630"/>
        <v>-0.35898130587916555</v>
      </c>
      <c r="DW332" s="382">
        <f t="shared" si="630"/>
        <v>-0.33854606931530007</v>
      </c>
      <c r="DX332" s="382">
        <f t="shared" si="630"/>
        <v>-0.27965921192758258</v>
      </c>
      <c r="DY332" s="382">
        <f t="shared" si="630"/>
        <v>1.4784151389710676E-3</v>
      </c>
      <c r="DZ332" s="382">
        <f t="shared" si="630"/>
        <v>0.42781222320637724</v>
      </c>
      <c r="EA332" s="382">
        <f t="shared" si="630"/>
        <v>0.80645161290322576</v>
      </c>
      <c r="EB332" s="382">
        <f t="shared" si="630"/>
        <v>-3.434065934065933E-2</v>
      </c>
      <c r="EC332" s="382">
        <f t="shared" si="630"/>
        <v>-0.40943575154101475</v>
      </c>
      <c r="ED332" s="382">
        <v>-0.2</v>
      </c>
      <c r="EE332" s="384">
        <v>7.0000000000000007E-2</v>
      </c>
      <c r="EF332" s="384">
        <v>-0.1</v>
      </c>
      <c r="EG332" s="384">
        <v>-0.1</v>
      </c>
      <c r="EH332" s="384">
        <v>0.08</v>
      </c>
      <c r="EI332" s="384">
        <v>0.06</v>
      </c>
      <c r="EJ332" s="384">
        <v>0.45</v>
      </c>
      <c r="EK332" s="384">
        <v>7.0000000000000007E-2</v>
      </c>
      <c r="EL332" s="384">
        <v>-0.15</v>
      </c>
      <c r="EM332" s="384">
        <v>0.04</v>
      </c>
      <c r="EN332" s="384">
        <v>0.15</v>
      </c>
      <c r="EO332" s="384">
        <v>0.05</v>
      </c>
      <c r="EP332" s="384">
        <v>-0.17</v>
      </c>
      <c r="EQ332" s="384">
        <v>0.04</v>
      </c>
      <c r="ER332" s="384">
        <v>0.17</v>
      </c>
      <c r="ES332" s="384">
        <v>0.05</v>
      </c>
      <c r="ET332" s="384">
        <v>-0.17</v>
      </c>
      <c r="EU332" s="384">
        <v>0.04</v>
      </c>
      <c r="EV332" s="384">
        <v>0.15</v>
      </c>
      <c r="EW332" s="384">
        <v>0.05</v>
      </c>
      <c r="FY332" s="474"/>
      <c r="FZ332" s="386" t="s">
        <v>199</v>
      </c>
      <c r="GA332" s="386" t="s">
        <v>199</v>
      </c>
      <c r="GB332" s="386" t="s">
        <v>199</v>
      </c>
      <c r="GC332" s="386" t="s">
        <v>199</v>
      </c>
      <c r="GD332" s="386" t="s">
        <v>199</v>
      </c>
      <c r="GE332" s="386" t="s">
        <v>199</v>
      </c>
      <c r="GF332" s="386" t="s">
        <v>199</v>
      </c>
      <c r="GG332" s="386" t="s">
        <v>199</v>
      </c>
      <c r="GH332" s="386" t="s">
        <v>199</v>
      </c>
      <c r="GI332" s="386" t="s">
        <v>199</v>
      </c>
      <c r="GJ332" s="386" t="s">
        <v>199</v>
      </c>
      <c r="GK332" s="386" t="s">
        <v>199</v>
      </c>
      <c r="GN332" s="70"/>
    </row>
    <row r="333" spans="1:239" s="382" customFormat="1">
      <c r="A333" s="381" t="s">
        <v>200</v>
      </c>
      <c r="CJ333" s="382">
        <f t="shared" ref="CJ333:EU333" si="631">CJ331/CF331-1</f>
        <v>0.59151193633952248</v>
      </c>
      <c r="CK333" s="382">
        <f t="shared" si="631"/>
        <v>0.14846096096096106</v>
      </c>
      <c r="CL333" s="382">
        <f t="shared" si="631"/>
        <v>0.22713864306784659</v>
      </c>
      <c r="CM333" s="382">
        <f t="shared" si="631"/>
        <v>7.3051948051948035E-2</v>
      </c>
      <c r="CN333" s="382">
        <f t="shared" si="631"/>
        <v>0.15742424242424247</v>
      </c>
      <c r="CO333" s="382">
        <f t="shared" si="631"/>
        <v>-5.7689164896224887E-2</v>
      </c>
      <c r="CP333" s="382">
        <f t="shared" si="631"/>
        <v>-0.24167899408284022</v>
      </c>
      <c r="CQ333" s="382">
        <f t="shared" si="631"/>
        <v>4.7806354009077179E-2</v>
      </c>
      <c r="CR333" s="382">
        <f t="shared" si="631"/>
        <v>0.29977745778243237</v>
      </c>
      <c r="CS333" s="382">
        <f t="shared" si="631"/>
        <v>-4.9601109954908074E-2</v>
      </c>
      <c r="CT333" s="382">
        <f t="shared" si="631"/>
        <v>1.6825164594001407E-2</v>
      </c>
      <c r="CU333" s="382">
        <f t="shared" si="631"/>
        <v>-6.0496679179901869E-2</v>
      </c>
      <c r="CV333" s="382">
        <f t="shared" si="631"/>
        <v>-5.569543760700979E-2</v>
      </c>
      <c r="CW333" s="382">
        <f t="shared" si="631"/>
        <v>2.4452554744525568E-2</v>
      </c>
      <c r="CX333" s="382">
        <f t="shared" si="631"/>
        <v>0.42302158273381285</v>
      </c>
      <c r="CY333" s="382">
        <f t="shared" si="631"/>
        <v>9.9124020285846104E-2</v>
      </c>
      <c r="CZ333" s="382">
        <f t="shared" si="631"/>
        <v>-0.28871587030716728</v>
      </c>
      <c r="DA333" s="382">
        <f t="shared" si="631"/>
        <v>-0.45938724617028859</v>
      </c>
      <c r="DB333" s="382">
        <f t="shared" si="631"/>
        <v>-0.45517357600269637</v>
      </c>
      <c r="DC333" s="382">
        <f t="shared" si="631"/>
        <v>-0.36912751677852351</v>
      </c>
      <c r="DD333" s="382">
        <f t="shared" si="631"/>
        <v>-0.55780476833108406</v>
      </c>
      <c r="DE333" s="382">
        <f t="shared" si="631"/>
        <v>-0.69324546952224053</v>
      </c>
      <c r="DF333" s="382">
        <f t="shared" si="631"/>
        <v>-0.9879369007114136</v>
      </c>
      <c r="DG333" s="382">
        <f t="shared" si="631"/>
        <v>-0.67309397163120566</v>
      </c>
      <c r="DH333" s="382">
        <f t="shared" si="631"/>
        <v>1.0868090878263819</v>
      </c>
      <c r="DI333" s="382">
        <f t="shared" si="631"/>
        <v>6.8872180451127818</v>
      </c>
      <c r="DJ333" s="383">
        <f t="shared" si="631"/>
        <v>173.23076923076923</v>
      </c>
      <c r="DK333" s="383">
        <f t="shared" si="631"/>
        <v>4.522033898305085</v>
      </c>
      <c r="DL333" s="383">
        <f t="shared" si="631"/>
        <v>0.5399740006499838</v>
      </c>
      <c r="DM333" s="383">
        <f t="shared" si="631"/>
        <v>0.63638839711289674</v>
      </c>
      <c r="DN333" s="383">
        <f t="shared" si="631"/>
        <v>0.82119205298013243</v>
      </c>
      <c r="DO333" s="383">
        <f t="shared" si="631"/>
        <v>0.72363413136893806</v>
      </c>
      <c r="DP333" s="383">
        <f t="shared" si="631"/>
        <v>0.73651999577925498</v>
      </c>
      <c r="DQ333" s="383">
        <f t="shared" si="631"/>
        <v>0.20414447403462055</v>
      </c>
      <c r="DR333" s="383">
        <f t="shared" si="631"/>
        <v>0.28056565656565646</v>
      </c>
      <c r="DS333" s="383">
        <f t="shared" si="631"/>
        <v>6.0616853052211761E-2</v>
      </c>
      <c r="DT333" s="383">
        <f t="shared" si="631"/>
        <v>-0.1878835753782585</v>
      </c>
      <c r="DU333" s="383">
        <f t="shared" si="631"/>
        <v>-0.23470868753887619</v>
      </c>
      <c r="DV333" s="382">
        <f t="shared" si="631"/>
        <v>-0.55209187858900743</v>
      </c>
      <c r="DW333" s="382">
        <f t="shared" si="631"/>
        <v>-0.68468770987239758</v>
      </c>
      <c r="DX333" s="382">
        <f t="shared" si="631"/>
        <v>-0.74695099139543586</v>
      </c>
      <c r="DY333" s="382">
        <f t="shared" si="631"/>
        <v>-0.6941208344622054</v>
      </c>
      <c r="DZ333" s="382">
        <f t="shared" si="631"/>
        <v>-0.31868131868131866</v>
      </c>
      <c r="EA333" s="382">
        <f t="shared" si="631"/>
        <v>0.86070287539936108</v>
      </c>
      <c r="EB333" s="382">
        <f t="shared" si="631"/>
        <v>1.49438202247191</v>
      </c>
      <c r="EC333" s="382">
        <f t="shared" si="631"/>
        <v>0.47091821671095357</v>
      </c>
      <c r="ED333" s="382">
        <f t="shared" si="631"/>
        <v>-0.17584780810587253</v>
      </c>
      <c r="EE333" s="384">
        <f t="shared" si="631"/>
        <v>-0.5118369963369962</v>
      </c>
      <c r="EF333" s="384">
        <f t="shared" si="631"/>
        <v>-0.54502930298719765</v>
      </c>
      <c r="EG333" s="384">
        <f t="shared" si="631"/>
        <v>-0.3066399999999998</v>
      </c>
      <c r="EH333" s="384">
        <f t="shared" si="631"/>
        <v>-6.3963999999999799E-2</v>
      </c>
      <c r="EI333" s="384">
        <f t="shared" si="631"/>
        <v>-7.2711999999999777E-2</v>
      </c>
      <c r="EJ333" s="384">
        <f t="shared" si="631"/>
        <v>0.49396400000000029</v>
      </c>
      <c r="EK333" s="384">
        <f t="shared" si="631"/>
        <v>0.77615720000000032</v>
      </c>
      <c r="EL333" s="384">
        <f t="shared" si="631"/>
        <v>0.39790150000000013</v>
      </c>
      <c r="EM333" s="384">
        <f t="shared" si="631"/>
        <v>0.37152600000000002</v>
      </c>
      <c r="EN333" s="384">
        <f t="shared" si="631"/>
        <v>8.7761999999999896E-2</v>
      </c>
      <c r="EO333" s="384">
        <f t="shared" si="631"/>
        <v>6.7429999999999879E-2</v>
      </c>
      <c r="EP333" s="384">
        <f t="shared" si="631"/>
        <v>4.2313999999999741E-2</v>
      </c>
      <c r="EQ333" s="384">
        <f t="shared" si="631"/>
        <v>4.2313999999999963E-2</v>
      </c>
      <c r="ER333" s="384">
        <f t="shared" si="631"/>
        <v>6.0441200000000084E-2</v>
      </c>
      <c r="ES333" s="384">
        <f t="shared" si="631"/>
        <v>6.0441200000000084E-2</v>
      </c>
      <c r="ET333" s="384">
        <f t="shared" si="631"/>
        <v>6.0441200000000084E-2</v>
      </c>
      <c r="EU333" s="384">
        <f t="shared" si="631"/>
        <v>6.0441200000000084E-2</v>
      </c>
      <c r="EV333" s="384">
        <f t="shared" ref="EV333:EW333" si="632">EV331/ER331-1</f>
        <v>4.2313999999999963E-2</v>
      </c>
      <c r="EW333" s="384">
        <f t="shared" si="632"/>
        <v>4.2313999999999963E-2</v>
      </c>
      <c r="FV333" s="382">
        <f t="shared" ref="FV333:GK333" si="633">FV331/FU331-1</f>
        <v>9.1771880099630776E-2</v>
      </c>
      <c r="FW333" s="382">
        <f t="shared" si="633"/>
        <v>3.9845808913188785E-2</v>
      </c>
      <c r="FX333" s="382">
        <f t="shared" si="633"/>
        <v>-2.9089120895748222E-2</v>
      </c>
      <c r="FY333" s="382">
        <f t="shared" si="633"/>
        <v>-0.11208945338372234</v>
      </c>
      <c r="FZ333" s="382">
        <f t="shared" si="633"/>
        <v>-0.48990785432207107</v>
      </c>
      <c r="GA333" s="382">
        <f t="shared" si="633"/>
        <v>0.29126881720430098</v>
      </c>
      <c r="GB333" s="382">
        <f t="shared" si="633"/>
        <v>1.4270868030111252</v>
      </c>
      <c r="GC333" s="382">
        <f t="shared" si="633"/>
        <v>0.57384788515905916</v>
      </c>
      <c r="GD333" s="382">
        <f t="shared" si="633"/>
        <v>-3.7757237530519738E-2</v>
      </c>
      <c r="GE333" s="382">
        <f t="shared" si="633"/>
        <v>-0.66357951971001361</v>
      </c>
      <c r="GF333" s="382">
        <f t="shared" si="633"/>
        <v>0.45404590022626867</v>
      </c>
      <c r="GG333" s="387">
        <f t="shared" si="633"/>
        <v>-0.4241332226750647</v>
      </c>
      <c r="GH333" s="387">
        <f t="shared" si="633"/>
        <v>0.25812676288945324</v>
      </c>
      <c r="GI333" s="387">
        <f t="shared" si="633"/>
        <v>0.19793687749327971</v>
      </c>
      <c r="GJ333" s="387">
        <f t="shared" si="633"/>
        <v>5.2208534253528782E-2</v>
      </c>
      <c r="GK333" s="387">
        <f t="shared" si="633"/>
        <v>5.0469249159764029E-2</v>
      </c>
      <c r="GN333" s="70"/>
    </row>
    <row r="334" spans="1:239" s="379" customFormat="1">
      <c r="A334" s="405" t="s">
        <v>283</v>
      </c>
      <c r="CF334" s="376">
        <v>88</v>
      </c>
      <c r="CG334" s="376">
        <v>88</v>
      </c>
      <c r="CH334" s="376">
        <v>75</v>
      </c>
      <c r="CI334" s="376">
        <v>75</v>
      </c>
      <c r="CJ334" s="376">
        <v>75</v>
      </c>
      <c r="CK334" s="376">
        <v>72</v>
      </c>
      <c r="CL334" s="376">
        <v>70</v>
      </c>
      <c r="CM334" s="376">
        <v>68</v>
      </c>
      <c r="CN334" s="376">
        <v>66</v>
      </c>
      <c r="CO334" s="376">
        <v>67</v>
      </c>
      <c r="CP334" s="376">
        <v>68</v>
      </c>
      <c r="CQ334" s="376">
        <v>69</v>
      </c>
      <c r="CR334" s="376">
        <v>72</v>
      </c>
      <c r="CS334" s="376">
        <v>72</v>
      </c>
      <c r="CT334" s="376">
        <v>72</v>
      </c>
      <c r="CU334" s="376">
        <v>71</v>
      </c>
      <c r="CV334" s="376">
        <v>70</v>
      </c>
      <c r="CW334" s="376">
        <v>69</v>
      </c>
      <c r="CX334" s="376">
        <v>68</v>
      </c>
      <c r="CY334" s="376">
        <v>68</v>
      </c>
      <c r="CZ334" s="376">
        <v>68</v>
      </c>
      <c r="DA334" s="376">
        <v>68</v>
      </c>
      <c r="DB334" s="376">
        <v>67</v>
      </c>
      <c r="DC334" s="376">
        <v>67</v>
      </c>
      <c r="DD334" s="376">
        <v>67</v>
      </c>
      <c r="DE334" s="376">
        <v>67</v>
      </c>
      <c r="DF334" s="376">
        <v>67</v>
      </c>
      <c r="DG334" s="376">
        <v>88</v>
      </c>
      <c r="DH334" s="376">
        <v>90</v>
      </c>
      <c r="DI334" s="376">
        <v>90</v>
      </c>
      <c r="DJ334" s="397">
        <v>98.11</v>
      </c>
      <c r="DK334" s="397">
        <v>93.89</v>
      </c>
      <c r="DL334" s="397">
        <v>94.21</v>
      </c>
      <c r="DM334" s="397">
        <v>89.839999999999989</v>
      </c>
      <c r="DN334" s="397">
        <v>89.24</v>
      </c>
      <c r="DO334" s="397">
        <v>86.19</v>
      </c>
      <c r="DP334" s="397">
        <v>88.99</v>
      </c>
      <c r="DQ334" s="397">
        <v>90.29</v>
      </c>
      <c r="DR334" s="397">
        <v>90.36</v>
      </c>
      <c r="DS334" s="397">
        <v>90.72999999999999</v>
      </c>
      <c r="DT334" s="397">
        <v>94.35</v>
      </c>
      <c r="DU334" s="397">
        <v>98.26</v>
      </c>
      <c r="DV334" s="376">
        <v>107.35</v>
      </c>
      <c r="DW334" s="376">
        <v>103.94</v>
      </c>
      <c r="DX334" s="376">
        <v>110</v>
      </c>
      <c r="DY334" s="376">
        <v>110</v>
      </c>
      <c r="DZ334" s="376">
        <v>110</v>
      </c>
      <c r="EA334" s="376">
        <v>110</v>
      </c>
      <c r="EB334" s="376">
        <v>110</v>
      </c>
      <c r="EC334" s="376">
        <v>110</v>
      </c>
      <c r="ED334" s="376">
        <f t="shared" ref="ED334:EH334" si="634">EC334*(1+ED335)</f>
        <v>110</v>
      </c>
      <c r="EE334" s="380">
        <f t="shared" si="634"/>
        <v>110</v>
      </c>
      <c r="EF334" s="380">
        <f t="shared" si="634"/>
        <v>110</v>
      </c>
      <c r="EG334" s="380">
        <f t="shared" si="634"/>
        <v>110</v>
      </c>
      <c r="EH334" s="380">
        <f t="shared" si="634"/>
        <v>110</v>
      </c>
      <c r="EI334" s="380">
        <f>EH334*(1+EI335)</f>
        <v>110</v>
      </c>
      <c r="EJ334" s="380">
        <f>EI334*(1+EJ335)</f>
        <v>110</v>
      </c>
      <c r="EK334" s="380">
        <f>EJ334*(1+EK335)</f>
        <v>110</v>
      </c>
      <c r="EL334" s="380">
        <f t="shared" ref="EL334" si="635">EK334*(1+EL335)</f>
        <v>110</v>
      </c>
      <c r="EM334" s="380">
        <f>EL334*(1+EM335)</f>
        <v>110</v>
      </c>
      <c r="EN334" s="380">
        <f>EM334*(1+EN335)</f>
        <v>110</v>
      </c>
      <c r="EO334" s="380">
        <f>EN334*(1+EO335)</f>
        <v>110</v>
      </c>
      <c r="EP334" s="380">
        <f t="shared" ref="EP334" si="636">EO334*(1+EP335)</f>
        <v>110</v>
      </c>
      <c r="EQ334" s="380">
        <f>EP334*(1+EQ335)</f>
        <v>110</v>
      </c>
      <c r="ER334" s="380">
        <f>EQ334*(1+ER335)</f>
        <v>110</v>
      </c>
      <c r="ES334" s="380">
        <f>ER334*(1+ES335)</f>
        <v>110</v>
      </c>
      <c r="ET334" s="380">
        <f t="shared" ref="ET334" si="637">ES334*(1+ET335)</f>
        <v>110</v>
      </c>
      <c r="EU334" s="380">
        <f>ET334*(1+EU335)</f>
        <v>110</v>
      </c>
      <c r="EV334" s="380">
        <f>EU334*(1+EV335)</f>
        <v>110</v>
      </c>
      <c r="EW334" s="380">
        <f>EV334*(1+EW335)</f>
        <v>110</v>
      </c>
      <c r="EZ334" s="376"/>
      <c r="FA334" s="376"/>
      <c r="FB334" s="376"/>
      <c r="FC334" s="376"/>
      <c r="FD334" s="376"/>
      <c r="FE334" s="376"/>
      <c r="FF334" s="376"/>
      <c r="FG334" s="376"/>
      <c r="FH334" s="376"/>
      <c r="FI334" s="376"/>
      <c r="FJ334" s="376"/>
      <c r="FK334" s="376"/>
      <c r="FL334" s="376"/>
      <c r="FM334" s="376"/>
      <c r="FN334" s="376"/>
      <c r="FO334" s="376"/>
      <c r="FP334" s="376"/>
      <c r="FQ334" s="376"/>
      <c r="FR334" s="376"/>
      <c r="FS334" s="376"/>
      <c r="FT334" s="376">
        <f>FT327/FT331*1000</f>
        <v>88</v>
      </c>
      <c r="FU334" s="376">
        <f>FU327/FU331*1000</f>
        <v>74.211672249420261</v>
      </c>
      <c r="FV334" s="376">
        <f>FV327/FV331*1000</f>
        <v>67.597687133697832</v>
      </c>
      <c r="FW334" s="376">
        <f>FW327/FW331*1000</f>
        <v>70.593508851566057</v>
      </c>
      <c r="FX334" s="376">
        <f>FX327/FX331*1000</f>
        <v>70.359722601005188</v>
      </c>
      <c r="FY334" s="376">
        <f>FY327/FY331*1000</f>
        <v>67.999999999999986</v>
      </c>
      <c r="FZ334" s="376">
        <f>FZ327/FZ331*1000</f>
        <v>66.999999999999986</v>
      </c>
      <c r="GA334" s="376">
        <f>GA327/GA331*1000</f>
        <v>89.743721271067884</v>
      </c>
      <c r="GB334" s="376">
        <f>GB327/GB331*1000</f>
        <v>93.424563170751796</v>
      </c>
      <c r="GC334" s="376">
        <f>GC327/GC331*1000</f>
        <v>88.686446634112286</v>
      </c>
      <c r="GD334" s="376">
        <f>GD327/GD331*1000</f>
        <v>93.011787041232438</v>
      </c>
      <c r="GE334" s="376">
        <f>GE327/GE331*1000</f>
        <v>107.45386273030923</v>
      </c>
      <c r="GF334" s="376">
        <f>GF327/GF331*1000</f>
        <v>110</v>
      </c>
      <c r="GG334" s="380">
        <f>GG327/GG331*1000</f>
        <v>110</v>
      </c>
      <c r="GH334" s="380">
        <f>GH327/GH331*1000</f>
        <v>110</v>
      </c>
      <c r="GI334" s="380">
        <f>GI327/GI331*1000</f>
        <v>110.00000000000001</v>
      </c>
      <c r="GJ334" s="380">
        <f>GJ327/GJ331*1000</f>
        <v>109.99999999999999</v>
      </c>
      <c r="GK334" s="380">
        <f>GK327/GK331*1000</f>
        <v>109.99999999999999</v>
      </c>
      <c r="GN334" s="70"/>
    </row>
    <row r="335" spans="1:239" s="382" customFormat="1">
      <c r="A335" s="381" t="s">
        <v>198</v>
      </c>
      <c r="CG335" s="382">
        <f t="shared" ref="CG335:EC335" si="638">CG334/CF334-1</f>
        <v>0</v>
      </c>
      <c r="CH335" s="382">
        <f t="shared" si="638"/>
        <v>-0.14772727272727271</v>
      </c>
      <c r="CI335" s="382">
        <f t="shared" si="638"/>
        <v>0</v>
      </c>
      <c r="CJ335" s="382">
        <f t="shared" si="638"/>
        <v>0</v>
      </c>
      <c r="CK335" s="382">
        <f t="shared" si="638"/>
        <v>-4.0000000000000036E-2</v>
      </c>
      <c r="CL335" s="382">
        <f t="shared" si="638"/>
        <v>-2.777777777777779E-2</v>
      </c>
      <c r="CM335" s="382">
        <f t="shared" si="638"/>
        <v>-2.8571428571428581E-2</v>
      </c>
      <c r="CN335" s="382">
        <f t="shared" si="638"/>
        <v>-2.9411764705882359E-2</v>
      </c>
      <c r="CO335" s="382">
        <f t="shared" si="638"/>
        <v>1.5151515151515138E-2</v>
      </c>
      <c r="CP335" s="382">
        <f t="shared" si="638"/>
        <v>1.4925373134328401E-2</v>
      </c>
      <c r="CQ335" s="382">
        <f t="shared" si="638"/>
        <v>1.4705882352941124E-2</v>
      </c>
      <c r="CR335" s="382">
        <f t="shared" si="638"/>
        <v>4.3478260869565188E-2</v>
      </c>
      <c r="CS335" s="382">
        <f t="shared" si="638"/>
        <v>0</v>
      </c>
      <c r="CT335" s="382">
        <f t="shared" si="638"/>
        <v>0</v>
      </c>
      <c r="CU335" s="382">
        <f t="shared" si="638"/>
        <v>-1.388888888888884E-2</v>
      </c>
      <c r="CV335" s="382">
        <f t="shared" si="638"/>
        <v>-1.4084507042253502E-2</v>
      </c>
      <c r="CW335" s="382">
        <f t="shared" si="638"/>
        <v>-1.4285714285714235E-2</v>
      </c>
      <c r="CX335" s="382">
        <f t="shared" si="638"/>
        <v>-1.4492753623188359E-2</v>
      </c>
      <c r="CY335" s="382">
        <f t="shared" si="638"/>
        <v>0</v>
      </c>
      <c r="CZ335" s="382">
        <f t="shared" si="638"/>
        <v>0</v>
      </c>
      <c r="DA335" s="382">
        <f t="shared" si="638"/>
        <v>0</v>
      </c>
      <c r="DB335" s="382">
        <f t="shared" si="638"/>
        <v>-1.4705882352941124E-2</v>
      </c>
      <c r="DC335" s="382">
        <f t="shared" si="638"/>
        <v>0</v>
      </c>
      <c r="DD335" s="382">
        <f t="shared" si="638"/>
        <v>0</v>
      </c>
      <c r="DE335" s="382">
        <f t="shared" si="638"/>
        <v>0</v>
      </c>
      <c r="DF335" s="382">
        <f t="shared" si="638"/>
        <v>0</v>
      </c>
      <c r="DG335" s="382">
        <f t="shared" si="638"/>
        <v>0.31343283582089554</v>
      </c>
      <c r="DH335" s="382">
        <f t="shared" si="638"/>
        <v>2.2727272727272707E-2</v>
      </c>
      <c r="DI335" s="382">
        <f t="shared" si="638"/>
        <v>0</v>
      </c>
      <c r="DJ335" s="383">
        <f t="shared" si="638"/>
        <v>9.0111111111111031E-2</v>
      </c>
      <c r="DK335" s="383">
        <f t="shared" si="638"/>
        <v>-4.3012944653959884E-2</v>
      </c>
      <c r="DL335" s="383">
        <f t="shared" si="638"/>
        <v>3.4082436894238288E-3</v>
      </c>
      <c r="DM335" s="383">
        <f t="shared" si="638"/>
        <v>-4.6385733998513978E-2</v>
      </c>
      <c r="DN335" s="383">
        <f t="shared" si="638"/>
        <v>-6.6785396260017338E-3</v>
      </c>
      <c r="DO335" s="383">
        <f t="shared" si="638"/>
        <v>-3.4177498879426227E-2</v>
      </c>
      <c r="DP335" s="383">
        <f t="shared" si="638"/>
        <v>3.2486367327996257E-2</v>
      </c>
      <c r="DQ335" s="383">
        <f t="shared" si="638"/>
        <v>1.4608382964378164E-2</v>
      </c>
      <c r="DR335" s="383">
        <f t="shared" si="638"/>
        <v>7.7527965444668112E-4</v>
      </c>
      <c r="DS335" s="383">
        <f t="shared" si="638"/>
        <v>4.0947321823814331E-3</v>
      </c>
      <c r="DT335" s="383">
        <f t="shared" si="638"/>
        <v>3.9898600242477711E-2</v>
      </c>
      <c r="DU335" s="383">
        <f t="shared" si="638"/>
        <v>4.1441441441441462E-2</v>
      </c>
      <c r="DV335" s="382">
        <f t="shared" si="638"/>
        <v>9.2509668227152231E-2</v>
      </c>
      <c r="DW335" s="382">
        <f t="shared" si="638"/>
        <v>-3.1765253842571006E-2</v>
      </c>
      <c r="DX335" s="382">
        <f t="shared" si="638"/>
        <v>5.8302867038676265E-2</v>
      </c>
      <c r="DY335" s="382">
        <f t="shared" si="638"/>
        <v>0</v>
      </c>
      <c r="DZ335" s="382">
        <f t="shared" si="638"/>
        <v>0</v>
      </c>
      <c r="EA335" s="382">
        <f t="shared" si="638"/>
        <v>0</v>
      </c>
      <c r="EB335" s="382">
        <f t="shared" si="638"/>
        <v>0</v>
      </c>
      <c r="EC335" s="382">
        <f t="shared" si="638"/>
        <v>0</v>
      </c>
      <c r="ED335" s="382">
        <v>0</v>
      </c>
      <c r="EE335" s="391">
        <v>0</v>
      </c>
      <c r="EF335" s="391">
        <v>0</v>
      </c>
      <c r="EG335" s="391">
        <v>0</v>
      </c>
      <c r="EH335" s="391">
        <v>0</v>
      </c>
      <c r="EI335" s="391">
        <v>0</v>
      </c>
      <c r="EJ335" s="391">
        <v>0</v>
      </c>
      <c r="EK335" s="391">
        <v>0</v>
      </c>
      <c r="EL335" s="391">
        <v>0</v>
      </c>
      <c r="EM335" s="391">
        <v>0</v>
      </c>
      <c r="EN335" s="391">
        <v>0</v>
      </c>
      <c r="EO335" s="391">
        <v>0</v>
      </c>
      <c r="EP335" s="391">
        <v>0</v>
      </c>
      <c r="EQ335" s="391">
        <v>0</v>
      </c>
      <c r="ER335" s="391">
        <v>0</v>
      </c>
      <c r="ES335" s="391">
        <v>0</v>
      </c>
      <c r="ET335" s="391">
        <v>0</v>
      </c>
      <c r="EU335" s="391">
        <v>0</v>
      </c>
      <c r="EV335" s="391">
        <v>0</v>
      </c>
      <c r="EW335" s="391">
        <v>0</v>
      </c>
      <c r="FZ335" s="386" t="s">
        <v>199</v>
      </c>
      <c r="GA335" s="386" t="s">
        <v>199</v>
      </c>
      <c r="GB335" s="386" t="s">
        <v>199</v>
      </c>
      <c r="GC335" s="386" t="s">
        <v>199</v>
      </c>
      <c r="GD335" s="386" t="s">
        <v>199</v>
      </c>
      <c r="GE335" s="386" t="s">
        <v>199</v>
      </c>
      <c r="GF335" s="386" t="s">
        <v>199</v>
      </c>
      <c r="GG335" s="386" t="s">
        <v>199</v>
      </c>
      <c r="GH335" s="386" t="s">
        <v>199</v>
      </c>
      <c r="GI335" s="386" t="s">
        <v>199</v>
      </c>
      <c r="GJ335" s="386" t="s">
        <v>199</v>
      </c>
      <c r="GK335" s="386" t="s">
        <v>199</v>
      </c>
      <c r="GN335" s="70"/>
    </row>
    <row r="336" spans="1:239" s="382" customFormat="1">
      <c r="A336" s="381" t="s">
        <v>200</v>
      </c>
      <c r="CJ336" s="382">
        <f t="shared" ref="CJ336:EU336" si="639">CJ334/CF334-1</f>
        <v>-0.14772727272727271</v>
      </c>
      <c r="CK336" s="382">
        <f t="shared" si="639"/>
        <v>-0.18181818181818177</v>
      </c>
      <c r="CL336" s="382">
        <f t="shared" si="639"/>
        <v>-6.6666666666666652E-2</v>
      </c>
      <c r="CM336" s="382">
        <f t="shared" si="639"/>
        <v>-9.3333333333333379E-2</v>
      </c>
      <c r="CN336" s="382">
        <f t="shared" si="639"/>
        <v>-0.12</v>
      </c>
      <c r="CO336" s="382">
        <f t="shared" si="639"/>
        <v>-6.944444444444442E-2</v>
      </c>
      <c r="CP336" s="382">
        <f t="shared" si="639"/>
        <v>-2.8571428571428581E-2</v>
      </c>
      <c r="CQ336" s="382">
        <f t="shared" si="639"/>
        <v>1.4705882352941124E-2</v>
      </c>
      <c r="CR336" s="382">
        <f t="shared" si="639"/>
        <v>9.0909090909090828E-2</v>
      </c>
      <c r="CS336" s="382">
        <f t="shared" si="639"/>
        <v>7.4626865671641784E-2</v>
      </c>
      <c r="CT336" s="382">
        <f t="shared" si="639"/>
        <v>5.8823529411764719E-2</v>
      </c>
      <c r="CU336" s="382">
        <f t="shared" si="639"/>
        <v>2.8985507246376718E-2</v>
      </c>
      <c r="CV336" s="382">
        <f t="shared" si="639"/>
        <v>-2.777777777777779E-2</v>
      </c>
      <c r="CW336" s="382">
        <f t="shared" si="639"/>
        <v>-4.166666666666663E-2</v>
      </c>
      <c r="CX336" s="382">
        <f t="shared" si="639"/>
        <v>-5.555555555555558E-2</v>
      </c>
      <c r="CY336" s="382">
        <f t="shared" si="639"/>
        <v>-4.2253521126760618E-2</v>
      </c>
      <c r="CZ336" s="382">
        <f t="shared" si="639"/>
        <v>-2.8571428571428581E-2</v>
      </c>
      <c r="DA336" s="382">
        <f t="shared" si="639"/>
        <v>-1.4492753623188359E-2</v>
      </c>
      <c r="DB336" s="382">
        <f t="shared" si="639"/>
        <v>-1.4705882352941124E-2</v>
      </c>
      <c r="DC336" s="382">
        <f t="shared" si="639"/>
        <v>-1.4705882352941124E-2</v>
      </c>
      <c r="DD336" s="382">
        <f t="shared" si="639"/>
        <v>-1.4705882352941124E-2</v>
      </c>
      <c r="DE336" s="382">
        <f t="shared" si="639"/>
        <v>-1.4705882352941124E-2</v>
      </c>
      <c r="DF336" s="382">
        <f t="shared" si="639"/>
        <v>0</v>
      </c>
      <c r="DG336" s="382">
        <f t="shared" si="639"/>
        <v>0.31343283582089554</v>
      </c>
      <c r="DH336" s="382">
        <f t="shared" si="639"/>
        <v>0.34328358208955234</v>
      </c>
      <c r="DI336" s="382">
        <f t="shared" si="639"/>
        <v>0.34328358208955234</v>
      </c>
      <c r="DJ336" s="383">
        <f t="shared" si="639"/>
        <v>0.46432835820895524</v>
      </c>
      <c r="DK336" s="383">
        <f t="shared" si="639"/>
        <v>6.6931818181818148E-2</v>
      </c>
      <c r="DL336" s="383">
        <f t="shared" si="639"/>
        <v>4.6777777777777807E-2</v>
      </c>
      <c r="DM336" s="383">
        <f t="shared" si="639"/>
        <v>-1.777777777777878E-3</v>
      </c>
      <c r="DN336" s="383">
        <f t="shared" si="639"/>
        <v>-9.0408724900621795E-2</v>
      </c>
      <c r="DO336" s="383">
        <f t="shared" si="639"/>
        <v>-8.2010863776760035E-2</v>
      </c>
      <c r="DP336" s="383">
        <f t="shared" si="639"/>
        <v>-5.5408130771680275E-2</v>
      </c>
      <c r="DQ336" s="383">
        <f t="shared" si="639"/>
        <v>5.0089047195014391E-3</v>
      </c>
      <c r="DR336" s="383">
        <f t="shared" si="639"/>
        <v>1.2550425818018907E-2</v>
      </c>
      <c r="DS336" s="383">
        <f t="shared" si="639"/>
        <v>5.2674324167536701E-2</v>
      </c>
      <c r="DT336" s="383">
        <f t="shared" si="639"/>
        <v>6.0231486683897106E-2</v>
      </c>
      <c r="DU336" s="383">
        <f t="shared" si="639"/>
        <v>8.8271126370583763E-2</v>
      </c>
      <c r="DV336" s="382">
        <f t="shared" si="639"/>
        <v>0.18802567507746781</v>
      </c>
      <c r="DW336" s="382">
        <f t="shared" si="639"/>
        <v>0.14559682574672106</v>
      </c>
      <c r="DX336" s="382">
        <f t="shared" si="639"/>
        <v>0.16587175410704824</v>
      </c>
      <c r="DY336" s="382">
        <f t="shared" si="639"/>
        <v>0.11947893344188887</v>
      </c>
      <c r="DZ336" s="382">
        <f t="shared" si="639"/>
        <v>2.4685607824872058E-2</v>
      </c>
      <c r="EA336" s="382">
        <f t="shared" si="639"/>
        <v>5.8302867038676265E-2</v>
      </c>
      <c r="EB336" s="382">
        <f t="shared" si="639"/>
        <v>0</v>
      </c>
      <c r="EC336" s="382">
        <f t="shared" si="639"/>
        <v>0</v>
      </c>
      <c r="ED336" s="382">
        <f t="shared" si="639"/>
        <v>0</v>
      </c>
      <c r="EE336" s="384">
        <f t="shared" si="639"/>
        <v>0</v>
      </c>
      <c r="EF336" s="384">
        <f t="shared" si="639"/>
        <v>0</v>
      </c>
      <c r="EG336" s="384">
        <f t="shared" si="639"/>
        <v>0</v>
      </c>
      <c r="EH336" s="384">
        <f t="shared" si="639"/>
        <v>0</v>
      </c>
      <c r="EI336" s="384">
        <f t="shared" si="639"/>
        <v>0</v>
      </c>
      <c r="EJ336" s="384">
        <f t="shared" si="639"/>
        <v>0</v>
      </c>
      <c r="EK336" s="384">
        <f t="shared" si="639"/>
        <v>0</v>
      </c>
      <c r="EL336" s="384">
        <f t="shared" si="639"/>
        <v>0</v>
      </c>
      <c r="EM336" s="384">
        <f t="shared" si="639"/>
        <v>0</v>
      </c>
      <c r="EN336" s="384">
        <f t="shared" si="639"/>
        <v>0</v>
      </c>
      <c r="EO336" s="384">
        <f t="shared" si="639"/>
        <v>0</v>
      </c>
      <c r="EP336" s="384">
        <f t="shared" si="639"/>
        <v>0</v>
      </c>
      <c r="EQ336" s="384">
        <f t="shared" si="639"/>
        <v>0</v>
      </c>
      <c r="ER336" s="384">
        <f t="shared" si="639"/>
        <v>0</v>
      </c>
      <c r="ES336" s="384">
        <f t="shared" si="639"/>
        <v>0</v>
      </c>
      <c r="ET336" s="384">
        <f t="shared" si="639"/>
        <v>0</v>
      </c>
      <c r="EU336" s="384">
        <f t="shared" si="639"/>
        <v>0</v>
      </c>
      <c r="EV336" s="384">
        <f t="shared" ref="EV336:EW336" si="640">EV334/ER334-1</f>
        <v>0</v>
      </c>
      <c r="EW336" s="384">
        <f t="shared" si="640"/>
        <v>0</v>
      </c>
      <c r="FU336" s="382">
        <f t="shared" ref="FU336:GK336" si="641">FU334/FT334-1</f>
        <v>-0.15668554262022427</v>
      </c>
      <c r="FV336" s="382">
        <f t="shared" si="641"/>
        <v>-8.9123245915996629E-2</v>
      </c>
      <c r="FW336" s="382">
        <f t="shared" si="641"/>
        <v>4.4318405627443269E-2</v>
      </c>
      <c r="FX336" s="382">
        <f t="shared" si="641"/>
        <v>-3.3117244682148161E-3</v>
      </c>
      <c r="FY336" s="382">
        <f t="shared" si="641"/>
        <v>-3.3537974764151324E-2</v>
      </c>
      <c r="FZ336" s="382">
        <f t="shared" si="641"/>
        <v>-1.4705882352941124E-2</v>
      </c>
      <c r="GA336" s="382">
        <f t="shared" si="641"/>
        <v>0.33945852643384922</v>
      </c>
      <c r="GB336" s="382">
        <f t="shared" si="641"/>
        <v>4.1015035342317097E-2</v>
      </c>
      <c r="GC336" s="382">
        <f t="shared" si="641"/>
        <v>-5.0715961368528628E-2</v>
      </c>
      <c r="GD336" s="382">
        <f t="shared" si="641"/>
        <v>4.8771154683476148E-2</v>
      </c>
      <c r="GE336" s="382">
        <f t="shared" si="641"/>
        <v>0.15527145696786326</v>
      </c>
      <c r="GF336" s="382">
        <f t="shared" si="641"/>
        <v>2.3695167442059795E-2</v>
      </c>
      <c r="GG336" s="387">
        <f t="shared" si="641"/>
        <v>0</v>
      </c>
      <c r="GH336" s="387">
        <f t="shared" si="641"/>
        <v>0</v>
      </c>
      <c r="GI336" s="387">
        <f t="shared" si="641"/>
        <v>0</v>
      </c>
      <c r="GJ336" s="387">
        <f t="shared" si="641"/>
        <v>0</v>
      </c>
      <c r="GK336" s="387">
        <f t="shared" si="641"/>
        <v>0</v>
      </c>
      <c r="GN336" s="70"/>
    </row>
    <row r="337" spans="1:196" s="382" customFormat="1">
      <c r="A337" s="396"/>
      <c r="DD337" s="384"/>
      <c r="DE337" s="384"/>
      <c r="DF337" s="384"/>
      <c r="DG337" s="384"/>
      <c r="DH337" s="384"/>
      <c r="DI337" s="384"/>
      <c r="DJ337" s="391"/>
      <c r="DK337" s="391"/>
      <c r="DL337" s="391"/>
      <c r="DM337" s="391"/>
      <c r="DN337" s="391"/>
      <c r="DO337" s="391"/>
      <c r="DP337" s="391"/>
      <c r="DQ337" s="391"/>
      <c r="DR337" s="391"/>
      <c r="DS337" s="391"/>
      <c r="DT337" s="391"/>
      <c r="DU337" s="391"/>
      <c r="DV337" s="391"/>
      <c r="DW337" s="391"/>
      <c r="DX337" s="384"/>
      <c r="DY337" s="384"/>
      <c r="DZ337" s="384"/>
      <c r="EA337" s="384"/>
      <c r="EB337" s="384"/>
      <c r="EC337" s="384"/>
      <c r="ED337" s="384"/>
      <c r="EE337" s="384"/>
      <c r="EF337" s="384"/>
      <c r="EG337" s="384"/>
      <c r="EH337" s="384"/>
      <c r="EI337" s="384"/>
      <c r="EJ337" s="384"/>
      <c r="EK337" s="384"/>
      <c r="EL337" s="384"/>
      <c r="EM337" s="384"/>
      <c r="EN337" s="384"/>
      <c r="EO337" s="384"/>
      <c r="EP337" s="384"/>
      <c r="EQ337" s="384"/>
      <c r="ER337" s="384"/>
      <c r="ES337" s="384"/>
      <c r="ET337" s="384"/>
      <c r="EU337" s="384"/>
      <c r="EV337" s="384"/>
      <c r="EW337" s="384"/>
      <c r="GN337" s="70"/>
    </row>
    <row r="338" spans="1:196" collapsed="1">
      <c r="A338" s="61" t="s">
        <v>271</v>
      </c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75"/>
      <c r="CS338" s="62"/>
      <c r="CT338" s="76"/>
      <c r="CU338" s="76"/>
      <c r="CV338" s="76"/>
      <c r="CW338" s="76"/>
      <c r="CX338" s="76"/>
      <c r="CY338" s="76"/>
      <c r="CZ338" s="77"/>
      <c r="DA338" s="76"/>
      <c r="DB338" s="78"/>
      <c r="DC338" s="62"/>
      <c r="DD338" s="62"/>
      <c r="DE338" s="79"/>
      <c r="DF338" s="75"/>
      <c r="DG338" s="62"/>
      <c r="DH338" s="62"/>
      <c r="DI338" s="75"/>
      <c r="DJ338" s="80"/>
      <c r="DK338" s="80"/>
      <c r="DL338" s="80"/>
      <c r="DM338" s="80"/>
      <c r="DN338" s="128"/>
      <c r="DO338" s="81"/>
      <c r="DP338" s="129"/>
      <c r="DQ338" s="111"/>
      <c r="DR338" s="80"/>
      <c r="DS338" s="80"/>
      <c r="DT338" s="130"/>
      <c r="DU338" s="130"/>
      <c r="DV338" s="80"/>
      <c r="DW338" s="80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131"/>
      <c r="GD338" s="131"/>
      <c r="GE338" s="131"/>
      <c r="GF338" s="131"/>
      <c r="GG338" s="131"/>
      <c r="GH338" s="131"/>
      <c r="GI338" s="131"/>
      <c r="GJ338" s="131"/>
      <c r="GK338" s="131"/>
      <c r="GN338" s="48"/>
    </row>
    <row r="339" spans="1:196" s="379" customFormat="1">
      <c r="A339" s="405" t="s">
        <v>197</v>
      </c>
      <c r="AI339" s="376">
        <f>AI343*AI346/1000</f>
        <v>0.63</v>
      </c>
      <c r="AJ339" s="376">
        <f>AJ343*AJ346/1000</f>
        <v>6.4779999999999998</v>
      </c>
      <c r="AK339" s="376">
        <f>AK343*AK346/1000</f>
        <v>10.68066</v>
      </c>
      <c r="AL339" s="376">
        <f>AL343*AL346/1000</f>
        <v>17.399999999999999</v>
      </c>
      <c r="AM339" s="376">
        <f>AM343*AM346/1000</f>
        <v>8.8230400000000007</v>
      </c>
      <c r="AN339" s="376">
        <f>AN343*AN346/1000</f>
        <v>8.84511</v>
      </c>
      <c r="AO339" s="376">
        <f>AO343*AO346/1000</f>
        <v>9.0805199999999999</v>
      </c>
      <c r="AP339" s="376">
        <f>AP343*AP346/1000</f>
        <v>9.2390000000000008</v>
      </c>
      <c r="AQ339" s="376">
        <f>AQ343*AQ346/1000</f>
        <v>9.2579999999999991</v>
      </c>
      <c r="AR339" s="376">
        <f>AR343*AR346/1000</f>
        <v>15.329000000000001</v>
      </c>
      <c r="AS339" s="376">
        <f>AS343*AS346/1000</f>
        <v>22.077999999999999</v>
      </c>
      <c r="AT339" s="376">
        <f>AT343*AT346/1000</f>
        <v>43.268000000000001</v>
      </c>
      <c r="AU339" s="376">
        <f>AU343*AU346/1000</f>
        <v>64.025000000000006</v>
      </c>
      <c r="AV339" s="376">
        <f>AV343*AV346/1000</f>
        <v>60.692999999999998</v>
      </c>
      <c r="AW339" s="376">
        <f>AW343*AW346/1000</f>
        <v>80.036000000000001</v>
      </c>
      <c r="AX339" s="376">
        <f>AX343*AX346/1000</f>
        <v>87.489000000000004</v>
      </c>
      <c r="AY339" s="376">
        <f>AY343*AY346/1000</f>
        <v>165.64900000000003</v>
      </c>
      <c r="AZ339" s="376">
        <f>AZ343*AZ346/1000</f>
        <v>181.42699999999999</v>
      </c>
      <c r="BA339" s="376">
        <f>BA343*BA346/1000</f>
        <v>251.42500000000001</v>
      </c>
      <c r="BB339" s="376">
        <f>BB343*BB346/1000</f>
        <v>270.10899999999998</v>
      </c>
      <c r="BC339" s="376">
        <f>BC343*BC346/1000</f>
        <v>334.125</v>
      </c>
      <c r="BD339" s="376">
        <f>BD343*BD346/1000</f>
        <v>366.20299999999997</v>
      </c>
      <c r="BE339" s="376">
        <f>BE343*BE346/1000</f>
        <v>249.18299999999999</v>
      </c>
      <c r="BF339" s="376">
        <f>BF343*BF346/1000</f>
        <v>145.583</v>
      </c>
      <c r="BG339" s="376">
        <f>BG343*BG346/1000</f>
        <v>162.339</v>
      </c>
      <c r="BH339" s="376">
        <f>BH343*BH346/1000</f>
        <v>157.72800000000001</v>
      </c>
      <c r="BI339" s="376">
        <f>BI343*BI346/1000</f>
        <v>169.99700000000001</v>
      </c>
      <c r="BJ339" s="376">
        <f>BJ343*BJ346/1000</f>
        <v>144.46625</v>
      </c>
      <c r="BK339" s="376">
        <f>BK343*BK346/1000</f>
        <v>149.64760000000001</v>
      </c>
      <c r="BL339" s="376">
        <f>BL343*BL346/1000</f>
        <v>177.40375</v>
      </c>
      <c r="BM339" s="376">
        <f>BM343*BM346/1000</f>
        <v>134.97325000000001</v>
      </c>
      <c r="BN339" s="376">
        <f>BN343*BN346/1000</f>
        <v>122.318</v>
      </c>
      <c r="BO339" s="376">
        <f>BO343*BO346/1000</f>
        <v>107.91789999999999</v>
      </c>
      <c r="BP339" s="376">
        <f>BP343*BP346/1000</f>
        <v>117.33143201284797</v>
      </c>
      <c r="BQ339" s="376">
        <f>BQ343*BQ346/1000</f>
        <v>145.59089025695931</v>
      </c>
      <c r="BR339" s="376">
        <f>BR343*BR346/1000</f>
        <v>142.74100000000001</v>
      </c>
      <c r="BS339" s="376">
        <f>BS343*BS346/1000</f>
        <v>139.99449999999999</v>
      </c>
      <c r="BT339" s="376">
        <f>BT343*BT346/1000</f>
        <v>139.18700000000001</v>
      </c>
      <c r="BU339" s="376">
        <f>BU343*BU346/1000</f>
        <v>120.33799999999999</v>
      </c>
      <c r="BV339" s="376">
        <f>BV343*BV346/1000</f>
        <v>109.16134999999998</v>
      </c>
      <c r="BW339" s="376">
        <f>BW343*BW346/1000</f>
        <v>82.214449999999999</v>
      </c>
      <c r="BX339" s="376">
        <f>BX343*BX346/1000</f>
        <v>104.14160000000001</v>
      </c>
      <c r="BY339" s="376">
        <f>BY343*BY346/1000</f>
        <v>116.901</v>
      </c>
      <c r="BZ339" s="376">
        <f>BZ343*BZ346/1000</f>
        <v>114.12725</v>
      </c>
      <c r="CA339" s="376">
        <f>CA343*CA346/1000</f>
        <v>89.157749999999993</v>
      </c>
      <c r="CB339" s="376">
        <f>CB343*CB346/1000</f>
        <v>64.790000000000006</v>
      </c>
      <c r="CC339" s="376">
        <f>CC343*CC346/1000</f>
        <v>55.885249999999999</v>
      </c>
      <c r="CD339" s="376">
        <f>CD343*CD346/1000</f>
        <v>65.94</v>
      </c>
      <c r="CE339" s="376">
        <f>CE343*CE346/1000</f>
        <v>75.992000000000004</v>
      </c>
      <c r="CF339" s="376">
        <f>CF343*CF346/1000</f>
        <v>67.98</v>
      </c>
      <c r="CG339" s="376">
        <f>CG343*CG346/1000</f>
        <v>54.009</v>
      </c>
      <c r="CH339" s="376">
        <f>CH343*CH346/1000</f>
        <v>39.771999999999998</v>
      </c>
      <c r="CI339" s="376">
        <f>CI343*CI346/1000</f>
        <v>36.296999999999997</v>
      </c>
      <c r="CJ339" s="376">
        <f>CJ343*CJ346/1000</f>
        <v>29.327999999999999</v>
      </c>
      <c r="CK339" s="376">
        <f>CK343*CK346/1000</f>
        <v>23.213999999999999</v>
      </c>
      <c r="CL339" s="376">
        <f>CL343*CL346/1000</f>
        <v>17.36</v>
      </c>
      <c r="CM339" s="376">
        <f>CM343*CM346/1000</f>
        <v>13.112</v>
      </c>
      <c r="CN339" s="376">
        <f>CN343*CN346/1000</f>
        <v>8.16</v>
      </c>
      <c r="CO339" s="376">
        <f>CO343*CO346/1000</f>
        <v>8.0280000000000005</v>
      </c>
      <c r="CP339" s="376">
        <f>CP343*CP346/1000</f>
        <v>3.7650000000000001</v>
      </c>
      <c r="CQ339" s="376">
        <f>CQ343*CQ346/1000</f>
        <v>4.9139999999999997</v>
      </c>
      <c r="CR339" s="376">
        <f>CR343*CR346/1000</f>
        <v>4.0949999999999998</v>
      </c>
      <c r="CS339" s="376">
        <f>CS343*CS346/1000</f>
        <v>4.04</v>
      </c>
      <c r="CT339" s="376">
        <f>CT343*CT346/1000</f>
        <v>4.0279999999999996</v>
      </c>
      <c r="CU339" s="376">
        <f>CU343*CU346/1000</f>
        <v>8.14</v>
      </c>
      <c r="CV339" s="376">
        <f>CV343*CV346/1000</f>
        <v>11.375999999999999</v>
      </c>
      <c r="CW339" s="376">
        <f>CW343*CW346/1000</f>
        <v>17.225999999999999</v>
      </c>
      <c r="CX339" s="376">
        <f>CX343*CX346/1000</f>
        <v>44.48</v>
      </c>
      <c r="CY339" s="376">
        <f>CY343*CY346/1000</f>
        <v>70.52</v>
      </c>
      <c r="CZ339" s="376">
        <f>CZ343*CZ346/1000</f>
        <v>78.256</v>
      </c>
      <c r="DA339" s="376">
        <f>DA343*DA346/1000</f>
        <v>159.16999999999999</v>
      </c>
      <c r="DB339" s="376">
        <f>DB343*DB346/1000</f>
        <v>127.53999999999999</v>
      </c>
      <c r="DC339" s="376">
        <f>DC343*DC346/1000</f>
        <v>155.25</v>
      </c>
      <c r="DD339" s="376">
        <f>DD343*DD346/1000</f>
        <v>244.99799999999999</v>
      </c>
      <c r="DE339" s="376">
        <f>DE343*DE346/1000</f>
        <v>321.54500000000002</v>
      </c>
      <c r="DF339" s="376">
        <f>DF343*DF346/1000</f>
        <v>253.92</v>
      </c>
      <c r="DG339" s="376">
        <f>DG343*DG346/1000</f>
        <v>366.93299999999999</v>
      </c>
      <c r="DH339" s="376">
        <f>DH343*DH346/1000</f>
        <v>428.60399999999998</v>
      </c>
      <c r="DI339" s="376">
        <f>DI343*DI346/1000</f>
        <v>499.375</v>
      </c>
      <c r="DJ339" s="397">
        <f>DJ343*DJ346/1000</f>
        <v>582.36</v>
      </c>
      <c r="DK339" s="397">
        <f>DK343*DK346/1000</f>
        <v>745.22500000000002</v>
      </c>
      <c r="DL339" s="397">
        <f>DL343*DL346/1000</f>
        <v>960.4</v>
      </c>
      <c r="DM339" s="397">
        <f>DM343*DM346/1000</f>
        <v>1080.0899999999999</v>
      </c>
      <c r="DN339" s="397">
        <f>DN343*DN346/1000</f>
        <v>1245.8</v>
      </c>
      <c r="DO339" s="397">
        <f>DO343*DO346/1000</f>
        <v>1362.5500000000002</v>
      </c>
      <c r="DP339" s="397">
        <f>DP343*DP346/1000</f>
        <v>1488.9499999999998</v>
      </c>
      <c r="DQ339" s="397">
        <f>DQ343*DQ346/1000</f>
        <v>1482.665</v>
      </c>
      <c r="DR339" s="397">
        <f>DR343*DR346/1000</f>
        <v>1137</v>
      </c>
      <c r="DS339" s="397">
        <f>DS343*DS346/1000</f>
        <v>1189.7750000000001</v>
      </c>
      <c r="DT339" s="397">
        <f>DT343*DT346/1000</f>
        <v>1491.93</v>
      </c>
      <c r="DU339" s="397">
        <f>DU343*DU346/1000</f>
        <v>1733.0250000000001</v>
      </c>
      <c r="DV339" s="376">
        <f>DV343*DV346/1000</f>
        <v>1578.425</v>
      </c>
      <c r="DW339" s="376">
        <f>DW343*DW346/1000</f>
        <v>1685.155</v>
      </c>
      <c r="DX339" s="376">
        <f>DX343*DX346/1000</f>
        <v>1801.2</v>
      </c>
      <c r="DY339" s="376">
        <f>DY343*DY346/1000</f>
        <v>2057.165</v>
      </c>
      <c r="DZ339" s="376">
        <f>DZ343*DZ346/1000</f>
        <v>2126.1999999999998</v>
      </c>
      <c r="EA339" s="376">
        <f>EA343*EA346/1000</f>
        <v>2248.5749999999998</v>
      </c>
      <c r="EB339" s="376">
        <f>EB343*EB346/1000</f>
        <v>2342.15</v>
      </c>
      <c r="EC339" s="376">
        <f>EC343*EC346/1000</f>
        <v>2855.85</v>
      </c>
      <c r="ED339" s="376">
        <f>ED343*ED346/1000</f>
        <v>3207.6907200000005</v>
      </c>
      <c r="EE339" s="380">
        <f>EE343*EE346/1000</f>
        <v>3865.5880866720004</v>
      </c>
      <c r="EF339" s="380">
        <f>EF343*EF346/1000</f>
        <v>4099.4561659156561</v>
      </c>
      <c r="EG339" s="380">
        <f>EG343*EG346/1000</f>
        <v>4386.4180975297531</v>
      </c>
      <c r="EH339" s="380">
        <f>EH343*EH346/1000</f>
        <v>4653.1123178595617</v>
      </c>
      <c r="EI339" s="380">
        <f>EI343*EI346/1000</f>
        <v>5080.2680286390696</v>
      </c>
      <c r="EJ339" s="380">
        <f>EJ343*EJ346/1000</f>
        <v>5494.3098729731555</v>
      </c>
      <c r="EK339" s="380">
        <f>EK343*EK346/1000</f>
        <v>5884.4058739542497</v>
      </c>
      <c r="EL339" s="380">
        <f>EL343*EL346/1000</f>
        <v>6178.6261676519625</v>
      </c>
      <c r="EM339" s="380">
        <f>EM343*EM346/1000</f>
        <v>6614.8371750881906</v>
      </c>
      <c r="EN339" s="380">
        <f>EN343*EN346/1000</f>
        <v>7081.8446796494172</v>
      </c>
      <c r="EO339" s="380">
        <f>EO343*EO346/1000</f>
        <v>7510.2962827682086</v>
      </c>
      <c r="EP339" s="380">
        <f>EP343*EP346/1000</f>
        <v>6834.3696173190701</v>
      </c>
      <c r="EQ339" s="380">
        <f>EQ343*EQ346/1000</f>
        <v>7040.7675797621059</v>
      </c>
      <c r="ER339" s="380">
        <f>ER343*ER346/1000</f>
        <v>7466.7340183377146</v>
      </c>
      <c r="ES339" s="380">
        <f>ES343*ES346/1000</f>
        <v>7843.0574128619355</v>
      </c>
      <c r="ET339" s="380">
        <f>ET343*ET346/1000</f>
        <v>7215.6128198329816</v>
      </c>
      <c r="EU339" s="380">
        <f>EU343*EU346/1000</f>
        <v>7433.5243269919383</v>
      </c>
      <c r="EV339" s="380">
        <f>EV343*EV346/1000</f>
        <v>7883.2525487749499</v>
      </c>
      <c r="EW339" s="380">
        <f>EW343*EW346/1000</f>
        <v>8362.5543037404677</v>
      </c>
      <c r="EZ339" s="376"/>
      <c r="FA339" s="376"/>
      <c r="FB339" s="376"/>
      <c r="FC339" s="376"/>
      <c r="FD339" s="376"/>
      <c r="FE339" s="376"/>
      <c r="FF339" s="376"/>
      <c r="FG339" s="376"/>
      <c r="FH339" s="376">
        <f>AH339+AI339+AJ339+AK339</f>
        <v>17.78866</v>
      </c>
      <c r="FI339" s="376">
        <f>AL339+AM339+AN339+AO339</f>
        <v>44.148669999999996</v>
      </c>
      <c r="FJ339" s="376">
        <f>AP339+AQ339+AR339+AS339</f>
        <v>55.903999999999996</v>
      </c>
      <c r="FK339" s="376">
        <f>AT339+AU339+AV339+AW339</f>
        <v>248.02199999999999</v>
      </c>
      <c r="FL339" s="376">
        <f>AX339+AY339+AZ339+BA339</f>
        <v>685.99</v>
      </c>
      <c r="FM339" s="376">
        <f>BB339+BC339+BD339+BE339</f>
        <v>1219.6199999999999</v>
      </c>
      <c r="FN339" s="376">
        <f>BF339+BG339+BH339+BI339</f>
        <v>635.64700000000005</v>
      </c>
      <c r="FO339" s="376">
        <f>BJ339+BK339+BL339+BM339</f>
        <v>606.49085000000002</v>
      </c>
      <c r="FP339" s="376">
        <f>BN339+BO339+BP339+BQ339</f>
        <v>493.15822226980725</v>
      </c>
      <c r="FQ339" s="376">
        <f>BR339+BS339+BT339+BU339</f>
        <v>542.26049999999998</v>
      </c>
      <c r="FR339" s="376">
        <f>BV339+BW339+BX339+BY339</f>
        <v>412.41839999999996</v>
      </c>
      <c r="FS339" s="376">
        <f>BZ339+CA339+CB339+CC339</f>
        <v>323.96024999999997</v>
      </c>
      <c r="FT339" s="376">
        <f>CD339+CE339+CF339+CG339</f>
        <v>263.92100000000005</v>
      </c>
      <c r="FU339" s="376">
        <f>CH339+CI339+CJ339+CK339</f>
        <v>128.61099999999999</v>
      </c>
      <c r="FV339" s="376">
        <f>CL339+CM339+CN339+CO339</f>
        <v>46.660000000000004</v>
      </c>
      <c r="FW339" s="376">
        <f>CP339+CQ339+CR339+CS339</f>
        <v>16.814</v>
      </c>
      <c r="FX339" s="376">
        <f>CT339+CU339+CV339+CW339</f>
        <v>40.769999999999996</v>
      </c>
      <c r="FY339" s="376">
        <f>CX339+CY339+CZ339+DA339</f>
        <v>352.42599999999999</v>
      </c>
      <c r="FZ339" s="376">
        <f>DB339+DC339+DD339+DE339</f>
        <v>849.33300000000008</v>
      </c>
      <c r="GA339" s="376">
        <f>SUM(DF339:DI339)</f>
        <v>1548.8319999999999</v>
      </c>
      <c r="GB339" s="376">
        <f>SUM(DJ339:DM339)</f>
        <v>3368.0749999999998</v>
      </c>
      <c r="GC339" s="376">
        <f>SUM(DN339:DQ339)</f>
        <v>5579.9650000000001</v>
      </c>
      <c r="GD339" s="376">
        <f>SUM(DR339:DU339)</f>
        <v>5551.73</v>
      </c>
      <c r="GE339" s="376">
        <f>SUM(DV339:DY339)</f>
        <v>7121.9449999999997</v>
      </c>
      <c r="GF339" s="376">
        <f>SUM(DZ339:EC339)</f>
        <v>9572.7749999999996</v>
      </c>
      <c r="GG339" s="380">
        <f>SUM(ED339:EG339)</f>
        <v>15559.153070117409</v>
      </c>
      <c r="GH339" s="380">
        <f>SUM(EH339:EK339)</f>
        <v>21112.096093426037</v>
      </c>
      <c r="GI339" s="380">
        <f>SUM(EL339:EO339)</f>
        <v>27385.60430515778</v>
      </c>
      <c r="GJ339" s="380">
        <f>SUM(EP339:ES339)</f>
        <v>29184.928628280824</v>
      </c>
      <c r="GK339" s="380">
        <f>SUM(ET339:EW339)</f>
        <v>30894.943999340339</v>
      </c>
      <c r="GN339" s="70"/>
    </row>
    <row r="340" spans="1:196" s="382" customFormat="1">
      <c r="A340" s="381" t="s">
        <v>198</v>
      </c>
      <c r="AJ340" s="382">
        <f t="shared" ref="AJ340:CU340" si="642">AJ339/AI339-1</f>
        <v>9.2825396825396815</v>
      </c>
      <c r="AK340" s="382">
        <f t="shared" si="642"/>
        <v>0.64875887619635697</v>
      </c>
      <c r="AL340" s="382">
        <f t="shared" si="642"/>
        <v>0.62911280763548305</v>
      </c>
      <c r="AM340" s="382">
        <f t="shared" si="642"/>
        <v>-0.49292873563218387</v>
      </c>
      <c r="AN340" s="382">
        <f t="shared" si="642"/>
        <v>2.50140541128685E-3</v>
      </c>
      <c r="AO340" s="382">
        <f t="shared" si="642"/>
        <v>2.6614705752669998E-2</v>
      </c>
      <c r="AP340" s="382">
        <f t="shared" si="642"/>
        <v>1.7452744996982572E-2</v>
      </c>
      <c r="AQ340" s="382">
        <f t="shared" si="642"/>
        <v>2.0564996211709374E-3</v>
      </c>
      <c r="AR340" s="382">
        <f t="shared" si="642"/>
        <v>0.65575718297688512</v>
      </c>
      <c r="AS340" s="382">
        <f t="shared" si="642"/>
        <v>0.44027659990866974</v>
      </c>
      <c r="AT340" s="382">
        <f t="shared" si="642"/>
        <v>0.95977896548600428</v>
      </c>
      <c r="AU340" s="382">
        <f t="shared" si="642"/>
        <v>0.47973097901451434</v>
      </c>
      <c r="AV340" s="382">
        <f t="shared" si="642"/>
        <v>-5.2042171026942752E-2</v>
      </c>
      <c r="AW340" s="382">
        <f t="shared" si="642"/>
        <v>0.31870232151977995</v>
      </c>
      <c r="AX340" s="382">
        <f t="shared" si="642"/>
        <v>9.3120595731920774E-2</v>
      </c>
      <c r="AY340" s="382">
        <f t="shared" si="642"/>
        <v>0.89336945215970043</v>
      </c>
      <c r="AZ340" s="382">
        <f t="shared" si="642"/>
        <v>9.5249594021092454E-2</v>
      </c>
      <c r="BA340" s="382">
        <f t="shared" si="642"/>
        <v>0.38581908977164381</v>
      </c>
      <c r="BB340" s="382">
        <f t="shared" si="642"/>
        <v>7.4312419210500025E-2</v>
      </c>
      <c r="BC340" s="382">
        <f t="shared" si="642"/>
        <v>0.23700061826892105</v>
      </c>
      <c r="BD340" s="382">
        <f t="shared" si="642"/>
        <v>9.6005985783763403E-2</v>
      </c>
      <c r="BE340" s="382">
        <f t="shared" si="642"/>
        <v>-0.31954953946308462</v>
      </c>
      <c r="BF340" s="382">
        <f t="shared" si="642"/>
        <v>-0.41575869942973642</v>
      </c>
      <c r="BG340" s="382">
        <f t="shared" si="642"/>
        <v>0.11509585597219463</v>
      </c>
      <c r="BH340" s="382">
        <f t="shared" si="642"/>
        <v>-2.8403525954946107E-2</v>
      </c>
      <c r="BI340" s="382">
        <f t="shared" si="642"/>
        <v>7.7785808480421936E-2</v>
      </c>
      <c r="BJ340" s="382">
        <f t="shared" si="642"/>
        <v>-0.15018353265057627</v>
      </c>
      <c r="BK340" s="382">
        <f t="shared" si="642"/>
        <v>3.5865470308809266E-2</v>
      </c>
      <c r="BL340" s="382">
        <f t="shared" si="642"/>
        <v>0.18547674670358894</v>
      </c>
      <c r="BM340" s="382">
        <f t="shared" si="642"/>
        <v>-0.23917476378035973</v>
      </c>
      <c r="BN340" s="382">
        <f t="shared" si="642"/>
        <v>-9.3761171195033133E-2</v>
      </c>
      <c r="BO340" s="382">
        <f t="shared" si="642"/>
        <v>-0.11772674504161296</v>
      </c>
      <c r="BP340" s="382">
        <f t="shared" si="642"/>
        <v>8.7228643374713366E-2</v>
      </c>
      <c r="BQ340" s="382">
        <f t="shared" si="642"/>
        <v>0.24085155835323735</v>
      </c>
      <c r="BR340" s="382">
        <f t="shared" si="642"/>
        <v>-1.9574646819793484E-2</v>
      </c>
      <c r="BS340" s="382">
        <f t="shared" si="642"/>
        <v>-1.9241143049299247E-2</v>
      </c>
      <c r="BT340" s="382">
        <f t="shared" si="642"/>
        <v>-5.7680837461470125E-3</v>
      </c>
      <c r="BU340" s="382">
        <f t="shared" si="642"/>
        <v>-0.13542212994029623</v>
      </c>
      <c r="BV340" s="382">
        <f t="shared" si="642"/>
        <v>-9.2877146038657821E-2</v>
      </c>
      <c r="BW340" s="382">
        <f t="shared" si="642"/>
        <v>-0.24685385440909247</v>
      </c>
      <c r="BX340" s="382">
        <f t="shared" si="642"/>
        <v>0.26670676505164259</v>
      </c>
      <c r="BY340" s="382">
        <f t="shared" si="642"/>
        <v>0.12251972314617765</v>
      </c>
      <c r="BZ340" s="382">
        <f t="shared" si="642"/>
        <v>-2.3727341938905466E-2</v>
      </c>
      <c r="CA340" s="382">
        <f t="shared" si="642"/>
        <v>-0.21878648613718465</v>
      </c>
      <c r="CB340" s="382">
        <f t="shared" si="642"/>
        <v>-0.27331050862095541</v>
      </c>
      <c r="CC340" s="382">
        <f t="shared" si="642"/>
        <v>-0.13744019138755992</v>
      </c>
      <c r="CD340" s="382">
        <f t="shared" si="642"/>
        <v>0.17991777794677488</v>
      </c>
      <c r="CE340" s="382">
        <f t="shared" si="642"/>
        <v>0.15244161358811059</v>
      </c>
      <c r="CF340" s="382">
        <f t="shared" si="642"/>
        <v>-0.10543215075271084</v>
      </c>
      <c r="CG340" s="382">
        <f t="shared" si="642"/>
        <v>-0.2055163283318624</v>
      </c>
      <c r="CH340" s="382">
        <f t="shared" si="642"/>
        <v>-0.26360421411246282</v>
      </c>
      <c r="CI340" s="382">
        <f t="shared" si="642"/>
        <v>-8.7373026249622843E-2</v>
      </c>
      <c r="CJ340" s="382">
        <f t="shared" si="642"/>
        <v>-0.19199933878832953</v>
      </c>
      <c r="CK340" s="382">
        <f t="shared" si="642"/>
        <v>-0.20846972176759415</v>
      </c>
      <c r="CL340" s="382">
        <f t="shared" si="642"/>
        <v>-0.25217541138967858</v>
      </c>
      <c r="CM340" s="382">
        <f t="shared" si="642"/>
        <v>-0.24470046082949304</v>
      </c>
      <c r="CN340" s="382">
        <f t="shared" si="642"/>
        <v>-0.37766931055521658</v>
      </c>
      <c r="CO340" s="382">
        <f t="shared" si="642"/>
        <v>-1.6176470588235237E-2</v>
      </c>
      <c r="CP340" s="382">
        <f t="shared" si="642"/>
        <v>-0.5310164424514201</v>
      </c>
      <c r="CQ340" s="382">
        <f t="shared" si="642"/>
        <v>0.3051792828685258</v>
      </c>
      <c r="CR340" s="382">
        <f t="shared" si="642"/>
        <v>-0.16666666666666663</v>
      </c>
      <c r="CS340" s="382">
        <f t="shared" si="642"/>
        <v>-1.3431013431013383E-2</v>
      </c>
      <c r="CT340" s="382">
        <f t="shared" si="642"/>
        <v>-2.970297029703084E-3</v>
      </c>
      <c r="CU340" s="382">
        <f t="shared" si="642"/>
        <v>1.0208540218470707</v>
      </c>
      <c r="CV340" s="382">
        <f t="shared" ref="CV340:EH340" si="643">CV339/CU339-1</f>
        <v>0.39754299754299738</v>
      </c>
      <c r="CW340" s="382">
        <f t="shared" si="643"/>
        <v>0.514240506329114</v>
      </c>
      <c r="CX340" s="382">
        <f t="shared" si="643"/>
        <v>1.5821432717984441</v>
      </c>
      <c r="CY340" s="382">
        <f t="shared" si="643"/>
        <v>0.58543165467625902</v>
      </c>
      <c r="CZ340" s="382">
        <f t="shared" si="643"/>
        <v>0.10969937606352809</v>
      </c>
      <c r="DA340" s="382">
        <f t="shared" si="643"/>
        <v>1.0339654467389079</v>
      </c>
      <c r="DB340" s="382">
        <f t="shared" si="643"/>
        <v>-0.19871835144813721</v>
      </c>
      <c r="DC340" s="382">
        <f t="shared" si="643"/>
        <v>0.21726517171083581</v>
      </c>
      <c r="DD340" s="382">
        <f t="shared" si="643"/>
        <v>0.57808695652173903</v>
      </c>
      <c r="DE340" s="382">
        <f t="shared" si="643"/>
        <v>0.31243928521865505</v>
      </c>
      <c r="DF340" s="382">
        <f t="shared" si="643"/>
        <v>-0.21031270895209075</v>
      </c>
      <c r="DG340" s="382">
        <f t="shared" si="643"/>
        <v>0.44507325141776932</v>
      </c>
      <c r="DH340" s="382">
        <f t="shared" si="643"/>
        <v>0.16807155529756113</v>
      </c>
      <c r="DI340" s="382">
        <f t="shared" si="643"/>
        <v>0.16511978422973184</v>
      </c>
      <c r="DJ340" s="383">
        <f t="shared" si="643"/>
        <v>0.166177722152691</v>
      </c>
      <c r="DK340" s="383">
        <f t="shared" si="643"/>
        <v>0.27966378185314933</v>
      </c>
      <c r="DL340" s="383">
        <f t="shared" si="643"/>
        <v>0.28873830051326776</v>
      </c>
      <c r="DM340" s="383">
        <f t="shared" si="643"/>
        <v>0.12462515618492298</v>
      </c>
      <c r="DN340" s="383">
        <f t="shared" si="643"/>
        <v>0.15342239998518648</v>
      </c>
      <c r="DO340" s="383">
        <f t="shared" si="643"/>
        <v>9.3714882003532063E-2</v>
      </c>
      <c r="DP340" s="383">
        <f t="shared" si="643"/>
        <v>9.2767237899526345E-2</v>
      </c>
      <c r="DQ340" s="383">
        <f t="shared" si="643"/>
        <v>-4.2210954028005787E-3</v>
      </c>
      <c r="DR340" s="383">
        <f t="shared" si="643"/>
        <v>-0.23313762717808806</v>
      </c>
      <c r="DS340" s="383">
        <f t="shared" si="643"/>
        <v>4.641600703605997E-2</v>
      </c>
      <c r="DT340" s="383">
        <f t="shared" si="643"/>
        <v>0.25395978231178162</v>
      </c>
      <c r="DU340" s="383">
        <f t="shared" si="643"/>
        <v>0.16159940479781221</v>
      </c>
      <c r="DV340" s="382">
        <f t="shared" si="643"/>
        <v>-8.9208176454465549E-2</v>
      </c>
      <c r="DW340" s="382">
        <f t="shared" si="643"/>
        <v>6.76180369672299E-2</v>
      </c>
      <c r="DX340" s="382">
        <f>DX339/DW339-1</f>
        <v>6.8863101613798161E-2</v>
      </c>
      <c r="DY340" s="382">
        <f t="shared" si="643"/>
        <v>0.14210803908505443</v>
      </c>
      <c r="DZ340" s="382">
        <f t="shared" si="643"/>
        <v>3.3558319337534837E-2</v>
      </c>
      <c r="EA340" s="382">
        <f t="shared" si="643"/>
        <v>5.7555733232997897E-2</v>
      </c>
      <c r="EB340" s="382">
        <f t="shared" si="643"/>
        <v>4.16152452108558E-2</v>
      </c>
      <c r="EC340" s="382">
        <f t="shared" si="643"/>
        <v>0.21932839485088484</v>
      </c>
      <c r="ED340" s="382">
        <f t="shared" si="643"/>
        <v>0.1232000000000002</v>
      </c>
      <c r="EE340" s="384">
        <f t="shared" si="643"/>
        <v>0.20509999999999984</v>
      </c>
      <c r="EF340" s="384">
        <f t="shared" si="643"/>
        <v>6.0499999999999998E-2</v>
      </c>
      <c r="EG340" s="384">
        <f t="shared" si="643"/>
        <v>7.0000000000000284E-2</v>
      </c>
      <c r="EH340" s="384">
        <f t="shared" si="643"/>
        <v>6.0799999999999965E-2</v>
      </c>
      <c r="EI340" s="384">
        <f>EI339/EH339-1</f>
        <v>9.1800000000000104E-2</v>
      </c>
      <c r="EJ340" s="384">
        <f>EJ339/EI339-1</f>
        <v>8.150000000000035E-2</v>
      </c>
      <c r="EK340" s="384">
        <f>EK339/EJ339-1</f>
        <v>7.0999999999999952E-2</v>
      </c>
      <c r="EL340" s="384">
        <f t="shared" ref="EL340" si="644">EL339/EK339-1</f>
        <v>5.0000000000000044E-2</v>
      </c>
      <c r="EM340" s="384">
        <f>EM339/EL339-1</f>
        <v>7.0599999999999996E-2</v>
      </c>
      <c r="EN340" s="384">
        <f>EN339/EM339-1</f>
        <v>7.0599999999999996E-2</v>
      </c>
      <c r="EO340" s="384">
        <f>EO339/EN339-1</f>
        <v>6.050000000000022E-2</v>
      </c>
      <c r="EP340" s="384">
        <f t="shared" ref="EP340" si="645">EP339/EO339-1</f>
        <v>-8.9999999999999969E-2</v>
      </c>
      <c r="EQ340" s="384">
        <f>EQ339/EP339-1</f>
        <v>3.0200000000000005E-2</v>
      </c>
      <c r="ER340" s="384">
        <f>ER339/EQ339-1</f>
        <v>6.050000000000022E-2</v>
      </c>
      <c r="ES340" s="384">
        <f>ES339/ER339-1</f>
        <v>5.04E-2</v>
      </c>
      <c r="ET340" s="384">
        <f t="shared" ref="ET340" si="646">ET339/ES339-1</f>
        <v>-7.9999999999999849E-2</v>
      </c>
      <c r="EU340" s="384">
        <f>EU339/ET339-1</f>
        <v>3.0200000000000005E-2</v>
      </c>
      <c r="EV340" s="384">
        <f>EV339/EU339-1</f>
        <v>6.0499999999999998E-2</v>
      </c>
      <c r="EW340" s="384">
        <f>EW339/EV339-1</f>
        <v>6.0800000000000187E-2</v>
      </c>
      <c r="FZ340" s="386" t="s">
        <v>199</v>
      </c>
      <c r="GA340" s="386" t="s">
        <v>199</v>
      </c>
      <c r="GB340" s="386" t="s">
        <v>199</v>
      </c>
      <c r="GC340" s="386" t="s">
        <v>199</v>
      </c>
      <c r="GD340" s="386" t="s">
        <v>199</v>
      </c>
      <c r="GE340" s="386" t="s">
        <v>199</v>
      </c>
      <c r="GF340" s="386" t="s">
        <v>199</v>
      </c>
      <c r="GG340" s="386" t="s">
        <v>199</v>
      </c>
      <c r="GH340" s="386" t="s">
        <v>199</v>
      </c>
      <c r="GI340" s="386" t="s">
        <v>199</v>
      </c>
      <c r="GJ340" s="386" t="s">
        <v>199</v>
      </c>
      <c r="GK340" s="386" t="s">
        <v>199</v>
      </c>
      <c r="GN340" s="70"/>
    </row>
    <row r="341" spans="1:196" s="382" customFormat="1">
      <c r="A341" s="381" t="s">
        <v>200</v>
      </c>
      <c r="AM341" s="382">
        <f t="shared" ref="AM341:CX341" si="647">AM339/AI339-1</f>
        <v>13.004825396825398</v>
      </c>
      <c r="AN341" s="382">
        <f t="shared" si="647"/>
        <v>0.3654075331892559</v>
      </c>
      <c r="AO341" s="382">
        <f t="shared" si="647"/>
        <v>-0.14981658436838174</v>
      </c>
      <c r="AP341" s="382">
        <f t="shared" si="647"/>
        <v>-0.46902298850574708</v>
      </c>
      <c r="AQ341" s="382">
        <f t="shared" si="647"/>
        <v>4.9298201073552761E-2</v>
      </c>
      <c r="AR341" s="382">
        <f t="shared" si="647"/>
        <v>0.7330479779222645</v>
      </c>
      <c r="AS341" s="382">
        <f t="shared" si="647"/>
        <v>1.4313585565584348</v>
      </c>
      <c r="AT341" s="382">
        <f t="shared" si="647"/>
        <v>3.6831908215174796</v>
      </c>
      <c r="AU341" s="382">
        <f t="shared" si="647"/>
        <v>5.9156405271116883</v>
      </c>
      <c r="AV341" s="382">
        <f t="shared" si="647"/>
        <v>2.9593580794572376</v>
      </c>
      <c r="AW341" s="382">
        <f t="shared" si="647"/>
        <v>2.6251472053628047</v>
      </c>
      <c r="AX341" s="382">
        <f t="shared" si="647"/>
        <v>1.0220255153924378</v>
      </c>
      <c r="AY341" s="382">
        <f t="shared" si="647"/>
        <v>1.5872549785240144</v>
      </c>
      <c r="AZ341" s="382">
        <f t="shared" si="647"/>
        <v>1.9892574102450036</v>
      </c>
      <c r="BA341" s="382">
        <f t="shared" si="647"/>
        <v>2.1413988705082714</v>
      </c>
      <c r="BB341" s="382">
        <f t="shared" si="647"/>
        <v>2.08734812376413</v>
      </c>
      <c r="BC341" s="382">
        <f t="shared" si="647"/>
        <v>1.0170662062553952</v>
      </c>
      <c r="BD341" s="382">
        <f t="shared" si="647"/>
        <v>1.0184592150010747</v>
      </c>
      <c r="BE341" s="382">
        <f t="shared" si="647"/>
        <v>-8.9171721189221786E-3</v>
      </c>
      <c r="BF341" s="382">
        <f t="shared" si="647"/>
        <v>-0.46102129140458104</v>
      </c>
      <c r="BG341" s="382">
        <f t="shared" si="647"/>
        <v>-0.51413692480359141</v>
      </c>
      <c r="BH341" s="382">
        <f t="shared" si="647"/>
        <v>-0.56928807246254121</v>
      </c>
      <c r="BI341" s="382">
        <f t="shared" si="647"/>
        <v>-0.31778251325331175</v>
      </c>
      <c r="BJ341" s="382">
        <f t="shared" si="647"/>
        <v>-7.6708819024199348E-3</v>
      </c>
      <c r="BK341" s="382">
        <f t="shared" si="647"/>
        <v>-7.81783798101503E-2</v>
      </c>
      <c r="BL341" s="382">
        <f t="shared" si="647"/>
        <v>0.12474481385676595</v>
      </c>
      <c r="BM341" s="382">
        <f t="shared" si="647"/>
        <v>-0.20602569457108066</v>
      </c>
      <c r="BN341" s="382">
        <f t="shared" si="647"/>
        <v>-0.15331089441305501</v>
      </c>
      <c r="BO341" s="382">
        <f t="shared" si="647"/>
        <v>-0.27885311892740028</v>
      </c>
      <c r="BP341" s="382">
        <f t="shared" si="647"/>
        <v>-0.3386192117537089</v>
      </c>
      <c r="BQ341" s="382">
        <f t="shared" si="647"/>
        <v>7.8664774367952939E-2</v>
      </c>
      <c r="BR341" s="382">
        <f t="shared" si="647"/>
        <v>0.16696643175983916</v>
      </c>
      <c r="BS341" s="382">
        <f t="shared" si="647"/>
        <v>0.29723150654340014</v>
      </c>
      <c r="BT341" s="382">
        <f t="shared" si="647"/>
        <v>0.18627206377877359</v>
      </c>
      <c r="BU341" s="382">
        <f t="shared" si="647"/>
        <v>-0.17345103263253259</v>
      </c>
      <c r="BV341" s="382">
        <f t="shared" si="647"/>
        <v>-0.23524880728031905</v>
      </c>
      <c r="BW341" s="382">
        <f t="shared" si="647"/>
        <v>-0.41273085728367898</v>
      </c>
      <c r="BX341" s="382">
        <f t="shared" si="647"/>
        <v>-0.25178644557322161</v>
      </c>
      <c r="BY341" s="382">
        <f t="shared" si="647"/>
        <v>-2.8561219232495105E-2</v>
      </c>
      <c r="BZ341" s="382">
        <f t="shared" si="647"/>
        <v>4.5491375839525894E-2</v>
      </c>
      <c r="CA341" s="382">
        <f t="shared" si="647"/>
        <v>8.4453523681055964E-2</v>
      </c>
      <c r="CB341" s="382">
        <f t="shared" si="647"/>
        <v>-0.37786628974396397</v>
      </c>
      <c r="CC341" s="382">
        <f t="shared" si="647"/>
        <v>-0.52194378149032084</v>
      </c>
      <c r="CD341" s="382">
        <f t="shared" si="647"/>
        <v>-0.42222387729486166</v>
      </c>
      <c r="CE341" s="382">
        <f t="shared" si="647"/>
        <v>-0.14766803783182048</v>
      </c>
      <c r="CF341" s="382">
        <f t="shared" si="647"/>
        <v>4.9235993208828432E-2</v>
      </c>
      <c r="CG341" s="382">
        <f t="shared" si="647"/>
        <v>-3.3573259491547436E-2</v>
      </c>
      <c r="CH341" s="382">
        <f t="shared" si="647"/>
        <v>-0.39684561722778289</v>
      </c>
      <c r="CI341" s="382">
        <f t="shared" si="647"/>
        <v>-0.52235761659122026</v>
      </c>
      <c r="CJ341" s="382">
        <f t="shared" si="647"/>
        <v>-0.56857899382171229</v>
      </c>
      <c r="CK341" s="382">
        <f t="shared" si="647"/>
        <v>-0.57018274731989116</v>
      </c>
      <c r="CL341" s="382">
        <f t="shared" si="647"/>
        <v>-0.56351201850548116</v>
      </c>
      <c r="CM341" s="382">
        <f t="shared" si="647"/>
        <v>-0.63875802407912496</v>
      </c>
      <c r="CN341" s="382">
        <f t="shared" si="647"/>
        <v>-0.72176759410801961</v>
      </c>
      <c r="CO341" s="382">
        <f t="shared" si="647"/>
        <v>-0.65417420522098735</v>
      </c>
      <c r="CP341" s="382">
        <f t="shared" si="647"/>
        <v>-0.78312211981566815</v>
      </c>
      <c r="CQ341" s="382">
        <f t="shared" si="647"/>
        <v>-0.62522879804759002</v>
      </c>
      <c r="CR341" s="382">
        <f t="shared" si="647"/>
        <v>-0.49816176470588236</v>
      </c>
      <c r="CS341" s="382">
        <f t="shared" si="647"/>
        <v>-0.4967613353263578</v>
      </c>
      <c r="CT341" s="382">
        <f t="shared" si="647"/>
        <v>6.9853917662682452E-2</v>
      </c>
      <c r="CU341" s="382">
        <f t="shared" si="647"/>
        <v>0.65649165649165675</v>
      </c>
      <c r="CV341" s="382">
        <f t="shared" si="647"/>
        <v>1.7780219780219779</v>
      </c>
      <c r="CW341" s="382">
        <f t="shared" si="647"/>
        <v>3.2638613861386139</v>
      </c>
      <c r="CX341" s="382">
        <f t="shared" si="647"/>
        <v>10.042701092353525</v>
      </c>
      <c r="CY341" s="382">
        <f t="shared" ref="CY341:EW341" si="648">CY339/CU339-1</f>
        <v>7.663390663390663</v>
      </c>
      <c r="CZ341" s="382">
        <f t="shared" si="648"/>
        <v>5.8790436005625883</v>
      </c>
      <c r="DA341" s="382">
        <f t="shared" si="648"/>
        <v>8.2401021711366536</v>
      </c>
      <c r="DB341" s="382">
        <f t="shared" si="648"/>
        <v>1.8673561151079139</v>
      </c>
      <c r="DC341" s="382">
        <f t="shared" si="648"/>
        <v>1.2015031196823598</v>
      </c>
      <c r="DD341" s="382">
        <f t="shared" si="648"/>
        <v>2.1307248006542627</v>
      </c>
      <c r="DE341" s="382">
        <f t="shared" si="648"/>
        <v>1.0201357039643151</v>
      </c>
      <c r="DF341" s="382">
        <f t="shared" si="648"/>
        <v>0.99090481417594489</v>
      </c>
      <c r="DG341" s="382">
        <f t="shared" si="648"/>
        <v>1.3634975845410628</v>
      </c>
      <c r="DH341" s="382">
        <f t="shared" si="648"/>
        <v>0.7494183625988784</v>
      </c>
      <c r="DI341" s="382">
        <f t="shared" si="648"/>
        <v>0.55304856240961597</v>
      </c>
      <c r="DJ341" s="383">
        <f t="shared" si="648"/>
        <v>1.2934782608695654</v>
      </c>
      <c r="DK341" s="383">
        <f t="shared" si="648"/>
        <v>1.0309566051568</v>
      </c>
      <c r="DL341" s="383">
        <f t="shared" si="648"/>
        <v>1.2407630353426473</v>
      </c>
      <c r="DM341" s="383">
        <f t="shared" si="648"/>
        <v>1.1628836045056317</v>
      </c>
      <c r="DN341" s="383">
        <f t="shared" si="648"/>
        <v>1.1392265952331888</v>
      </c>
      <c r="DO341" s="383">
        <f t="shared" si="648"/>
        <v>0.82837398101244619</v>
      </c>
      <c r="DP341" s="383">
        <f t="shared" si="648"/>
        <v>0.55034360683048722</v>
      </c>
      <c r="DQ341" s="383">
        <f t="shared" si="648"/>
        <v>0.37272356933218531</v>
      </c>
      <c r="DR341" s="383">
        <f t="shared" si="648"/>
        <v>-8.7333440359608216E-2</v>
      </c>
      <c r="DS341" s="383">
        <f t="shared" si="648"/>
        <v>-0.12680268613995826</v>
      </c>
      <c r="DT341" s="383">
        <f t="shared" si="648"/>
        <v>2.0014103898722269E-3</v>
      </c>
      <c r="DU341" s="383">
        <f t="shared" si="648"/>
        <v>0.16885810348258046</v>
      </c>
      <c r="DV341" s="382">
        <f t="shared" si="648"/>
        <v>0.38823658751099388</v>
      </c>
      <c r="DW341" s="382">
        <f t="shared" si="648"/>
        <v>0.41636443865436723</v>
      </c>
      <c r="DX341" s="382">
        <f t="shared" si="648"/>
        <v>0.20729524843658886</v>
      </c>
      <c r="DY341" s="382">
        <f t="shared" si="648"/>
        <v>0.18703711717949822</v>
      </c>
      <c r="DZ341" s="382">
        <f t="shared" si="648"/>
        <v>0.34703897872879597</v>
      </c>
      <c r="EA341" s="382">
        <f t="shared" si="648"/>
        <v>0.3343431316407095</v>
      </c>
      <c r="EB341" s="382">
        <f t="shared" si="648"/>
        <v>0.30032755940484113</v>
      </c>
      <c r="EC341" s="382">
        <f t="shared" si="648"/>
        <v>0.38824547374663676</v>
      </c>
      <c r="ED341" s="382">
        <f t="shared" si="648"/>
        <v>0.50864957200639682</v>
      </c>
      <c r="EE341" s="384">
        <f t="shared" si="648"/>
        <v>0.71912793065474823</v>
      </c>
      <c r="EF341" s="384">
        <f t="shared" si="648"/>
        <v>0.75029616630687879</v>
      </c>
      <c r="EG341" s="384">
        <f t="shared" si="648"/>
        <v>0.5359413475952004</v>
      </c>
      <c r="EH341" s="384">
        <f t="shared" si="648"/>
        <v>0.45061127272880008</v>
      </c>
      <c r="EI341" s="384">
        <f t="shared" si="648"/>
        <v>0.31422901631840006</v>
      </c>
      <c r="EJ341" s="384">
        <f t="shared" si="648"/>
        <v>0.34025335327520057</v>
      </c>
      <c r="EK341" s="384">
        <f t="shared" si="648"/>
        <v>0.3415059265025604</v>
      </c>
      <c r="EL341" s="384">
        <f t="shared" si="648"/>
        <v>0.3278480607350005</v>
      </c>
      <c r="EM341" s="384">
        <f t="shared" si="648"/>
        <v>0.30206460324500051</v>
      </c>
      <c r="EN341" s="384">
        <f t="shared" si="648"/>
        <v>0.28894162203800011</v>
      </c>
      <c r="EO341" s="384">
        <f t="shared" si="648"/>
        <v>0.27630493946900025</v>
      </c>
      <c r="EP341" s="384">
        <f t="shared" si="648"/>
        <v>0.10613094753980024</v>
      </c>
      <c r="EQ341" s="384">
        <f t="shared" si="648"/>
        <v>6.439015706660034E-2</v>
      </c>
      <c r="ER341" s="384">
        <f t="shared" si="648"/>
        <v>5.4348740490500536E-2</v>
      </c>
      <c r="ES341" s="384">
        <f t="shared" si="648"/>
        <v>4.4307323914400287E-2</v>
      </c>
      <c r="ET341" s="384">
        <f t="shared" si="648"/>
        <v>5.5783228572800381E-2</v>
      </c>
      <c r="EU341" s="384">
        <f t="shared" si="648"/>
        <v>5.5783228572800381E-2</v>
      </c>
      <c r="EV341" s="384">
        <f t="shared" si="648"/>
        <v>5.5783228572800159E-2</v>
      </c>
      <c r="EW341" s="384">
        <f t="shared" si="648"/>
        <v>6.6236527865600303E-2</v>
      </c>
      <c r="FI341" s="382">
        <f t="shared" ref="FI341:GK341" si="649">FI339/FH339-1</f>
        <v>1.4818434890542624</v>
      </c>
      <c r="FJ341" s="382">
        <f t="shared" si="649"/>
        <v>0.26626691132484859</v>
      </c>
      <c r="FK341" s="382">
        <f t="shared" si="649"/>
        <v>3.436569834001145</v>
      </c>
      <c r="FL341" s="382">
        <f t="shared" si="649"/>
        <v>1.7658433526058173</v>
      </c>
      <c r="FM341" s="382">
        <f t="shared" si="649"/>
        <v>0.77789763699179271</v>
      </c>
      <c r="FN341" s="382">
        <f t="shared" si="649"/>
        <v>-0.47881553270690858</v>
      </c>
      <c r="FO341" s="382">
        <f t="shared" si="649"/>
        <v>-4.5868461583237319E-2</v>
      </c>
      <c r="FP341" s="382">
        <f t="shared" si="649"/>
        <v>-0.1868661789871896</v>
      </c>
      <c r="FQ341" s="382">
        <f t="shared" si="649"/>
        <v>9.9566985833055455E-2</v>
      </c>
      <c r="FR341" s="382">
        <f t="shared" si="649"/>
        <v>-0.23944598583153309</v>
      </c>
      <c r="FS341" s="382">
        <f t="shared" si="649"/>
        <v>-0.2144864293154719</v>
      </c>
      <c r="FT341" s="382">
        <f t="shared" si="649"/>
        <v>-0.18532906429106633</v>
      </c>
      <c r="FU341" s="382">
        <f t="shared" si="649"/>
        <v>-0.51269129777471301</v>
      </c>
      <c r="FV341" s="382">
        <f t="shared" si="649"/>
        <v>-0.63720055049723578</v>
      </c>
      <c r="FW341" s="382">
        <f t="shared" si="649"/>
        <v>-0.63964852121731686</v>
      </c>
      <c r="FX341" s="382">
        <f t="shared" si="649"/>
        <v>1.4247650767217794</v>
      </c>
      <c r="FY341" s="382">
        <f t="shared" si="649"/>
        <v>7.6442482217316652</v>
      </c>
      <c r="FZ341" s="382">
        <f t="shared" si="649"/>
        <v>1.4099612400901185</v>
      </c>
      <c r="GA341" s="382">
        <f t="shared" si="649"/>
        <v>0.82358627299304255</v>
      </c>
      <c r="GB341" s="382">
        <f t="shared" si="649"/>
        <v>1.1745902718952088</v>
      </c>
      <c r="GC341" s="382">
        <f t="shared" si="649"/>
        <v>0.65672231170624173</v>
      </c>
      <c r="GD341" s="382">
        <f t="shared" si="649"/>
        <v>-5.0600675810691387E-3</v>
      </c>
      <c r="GE341" s="382">
        <f t="shared" si="649"/>
        <v>0.28283345911994995</v>
      </c>
      <c r="GF341" s="382">
        <f t="shared" si="649"/>
        <v>0.34412369092993567</v>
      </c>
      <c r="GG341" s="387">
        <f t="shared" si="649"/>
        <v>0.62535451529127228</v>
      </c>
      <c r="GH341" s="387">
        <f t="shared" si="649"/>
        <v>0.35689237057340195</v>
      </c>
      <c r="GI341" s="387">
        <f t="shared" si="649"/>
        <v>0.29715231419798305</v>
      </c>
      <c r="GJ341" s="387">
        <f t="shared" si="649"/>
        <v>6.570329079005055E-2</v>
      </c>
      <c r="GK341" s="387">
        <f t="shared" si="649"/>
        <v>5.8592412297437502E-2</v>
      </c>
      <c r="GN341" s="70"/>
    </row>
    <row r="342" spans="1:196" s="382" customFormat="1">
      <c r="A342" s="381" t="s">
        <v>261</v>
      </c>
      <c r="AI342" s="382">
        <f t="shared" ref="AI342:CT342" si="650">AI339/AI$4</f>
        <v>6.394225304080937E-4</v>
      </c>
      <c r="AJ342" s="382">
        <f t="shared" si="650"/>
        <v>8.4583545510334649E-3</v>
      </c>
      <c r="AK342" s="382">
        <f t="shared" si="650"/>
        <v>1.1220677548370422E-2</v>
      </c>
      <c r="AL342" s="382">
        <f t="shared" si="650"/>
        <v>1.9288904556504848E-2</v>
      </c>
      <c r="AM342" s="382">
        <f t="shared" si="650"/>
        <v>1.4697742291757942E-2</v>
      </c>
      <c r="AN342" s="382">
        <f t="shared" si="650"/>
        <v>1.7403856937943087E-2</v>
      </c>
      <c r="AO342" s="382">
        <f t="shared" si="650"/>
        <v>1.3228617630348325E-2</v>
      </c>
      <c r="AP342" s="382">
        <f t="shared" si="650"/>
        <v>1.2929725493488956E-2</v>
      </c>
      <c r="AQ342" s="382">
        <f t="shared" si="650"/>
        <v>1.4347682565659476E-2</v>
      </c>
      <c r="AR342" s="382">
        <f t="shared" si="650"/>
        <v>1.6072194338402051E-2</v>
      </c>
      <c r="AS342" s="382">
        <f t="shared" si="650"/>
        <v>1.8312979587638611E-2</v>
      </c>
      <c r="AT342" s="382">
        <f t="shared" si="650"/>
        <v>3.4994213192303988E-2</v>
      </c>
      <c r="AU342" s="382">
        <f t="shared" si="650"/>
        <v>5.0739517069161869E-2</v>
      </c>
      <c r="AV342" s="382">
        <f t="shared" si="650"/>
        <v>4.8967331714885279E-2</v>
      </c>
      <c r="AW342" s="382">
        <f t="shared" si="650"/>
        <v>6.3334351502643813E-2</v>
      </c>
      <c r="AX342" s="382">
        <f t="shared" si="650"/>
        <v>7.1324802629648118E-2</v>
      </c>
      <c r="AY342" s="382">
        <f t="shared" si="650"/>
        <v>0.1314760166931499</v>
      </c>
      <c r="AZ342" s="382">
        <f t="shared" si="650"/>
        <v>0.11914392006593312</v>
      </c>
      <c r="BA342" s="382">
        <f t="shared" si="650"/>
        <v>0.13677217131703837</v>
      </c>
      <c r="BB342" s="382">
        <f t="shared" si="650"/>
        <v>0.20276048336608721</v>
      </c>
      <c r="BC342" s="382">
        <f t="shared" si="650"/>
        <v>0.27469094442713426</v>
      </c>
      <c r="BD342" s="382">
        <f t="shared" si="650"/>
        <v>0.27583378401382319</v>
      </c>
      <c r="BE342" s="382">
        <f t="shared" si="650"/>
        <v>0.14054314720812183</v>
      </c>
      <c r="BF342" s="382">
        <f t="shared" si="650"/>
        <v>0.11807218167072181</v>
      </c>
      <c r="BG342" s="382">
        <f t="shared" si="650"/>
        <v>0.11780769230769231</v>
      </c>
      <c r="BH342" s="382">
        <f t="shared" si="650"/>
        <v>9.6647058823529419E-2</v>
      </c>
      <c r="BI342" s="382">
        <f t="shared" si="650"/>
        <v>9.6043502824858767E-2</v>
      </c>
      <c r="BJ342" s="382">
        <f t="shared" si="650"/>
        <v>9.5990863787375411E-2</v>
      </c>
      <c r="BK342" s="382">
        <f t="shared" si="650"/>
        <v>0.11093224610822833</v>
      </c>
      <c r="BL342" s="382">
        <f t="shared" si="650"/>
        <v>0.11046310709838107</v>
      </c>
      <c r="BM342" s="382">
        <f t="shared" si="650"/>
        <v>0.11615598106712566</v>
      </c>
      <c r="BN342" s="382">
        <f t="shared" si="650"/>
        <v>0.10392353440951571</v>
      </c>
      <c r="BO342" s="382">
        <f t="shared" si="650"/>
        <v>9.1146874999999988E-2</v>
      </c>
      <c r="BP342" s="382">
        <f t="shared" si="650"/>
        <v>8.4048303734131788E-2</v>
      </c>
      <c r="BQ342" s="382">
        <f t="shared" si="650"/>
        <v>8.8451330654288771E-2</v>
      </c>
      <c r="BR342" s="382">
        <f t="shared" si="650"/>
        <v>9.0686785260482849E-2</v>
      </c>
      <c r="BS342" s="382">
        <f t="shared" si="650"/>
        <v>8.4691167574107676E-2</v>
      </c>
      <c r="BT342" s="382">
        <f t="shared" si="650"/>
        <v>8.6024103831891227E-2</v>
      </c>
      <c r="BU342" s="382">
        <f t="shared" si="650"/>
        <v>7.2976349302607643E-2</v>
      </c>
      <c r="BV342" s="382">
        <f t="shared" si="650"/>
        <v>6.7675976441413502E-2</v>
      </c>
      <c r="BW342" s="382">
        <f t="shared" si="650"/>
        <v>5.2232814485387545E-2</v>
      </c>
      <c r="BX342" s="382">
        <f t="shared" si="650"/>
        <v>6.1622248520710063E-2</v>
      </c>
      <c r="BY342" s="382">
        <f t="shared" si="650"/>
        <v>6.9131283264340621E-2</v>
      </c>
      <c r="BZ342" s="382">
        <f t="shared" si="650"/>
        <v>7.2004574132492116E-2</v>
      </c>
      <c r="CA342" s="382">
        <f t="shared" si="650"/>
        <v>6.3098195329087045E-2</v>
      </c>
      <c r="CB342" s="382">
        <f t="shared" si="650"/>
        <v>5.105594956658787E-2</v>
      </c>
      <c r="CC342" s="382">
        <f t="shared" si="650"/>
        <v>4.8385497835497837E-2</v>
      </c>
      <c r="CD342" s="382">
        <f t="shared" si="650"/>
        <v>6.0606617647058825E-2</v>
      </c>
      <c r="CE342" s="382">
        <f t="shared" si="650"/>
        <v>6.545391903531439E-2</v>
      </c>
      <c r="CF342" s="382">
        <f t="shared" si="650"/>
        <v>4.6529774127310061E-2</v>
      </c>
      <c r="CG342" s="382">
        <f t="shared" si="650"/>
        <v>3.3989301447451228E-2</v>
      </c>
      <c r="CH342" s="382">
        <f t="shared" si="650"/>
        <v>2.8469577666428058E-2</v>
      </c>
      <c r="CI342" s="382">
        <f t="shared" si="650"/>
        <v>2.5188757807078417E-2</v>
      </c>
      <c r="CJ342" s="382">
        <f t="shared" si="650"/>
        <v>2.0523442967109867E-2</v>
      </c>
      <c r="CK342" s="382">
        <f t="shared" si="650"/>
        <v>1.8736077481840193E-2</v>
      </c>
      <c r="CL342" s="382">
        <f t="shared" si="650"/>
        <v>1.6854368932038833E-2</v>
      </c>
      <c r="CM342" s="382">
        <f t="shared" si="650"/>
        <v>1.3919320594479831E-2</v>
      </c>
      <c r="CN342" s="382">
        <f t="shared" si="650"/>
        <v>7.6908576814326106E-3</v>
      </c>
      <c r="CO342" s="382">
        <f t="shared" si="650"/>
        <v>8.3799582463465559E-3</v>
      </c>
      <c r="CP342" s="382">
        <f t="shared" si="650"/>
        <v>4.5252403846153845E-3</v>
      </c>
      <c r="CQ342" s="382">
        <f t="shared" si="650"/>
        <v>4.7848101265822781E-3</v>
      </c>
      <c r="CR342" s="382">
        <f t="shared" si="650"/>
        <v>3.1331293037490434E-3</v>
      </c>
      <c r="CS342" s="382">
        <f t="shared" si="650"/>
        <v>3.6528028933092223E-3</v>
      </c>
      <c r="CT342" s="382">
        <f t="shared" si="650"/>
        <v>4.0934959349593495E-3</v>
      </c>
      <c r="CU342" s="382">
        <f>CU339/CU$4</f>
        <v>6.6612111292962363E-3</v>
      </c>
      <c r="CV342" s="382">
        <f t="shared" ref="CV342:EW342" si="651">CV339/CV$4</f>
        <v>6.9239196591600726E-3</v>
      </c>
      <c r="CW342" s="382">
        <f>CW339/CW$4</f>
        <v>1.1639189189189188E-2</v>
      </c>
      <c r="CX342" s="382">
        <f t="shared" si="651"/>
        <v>2.7006678809957496E-2</v>
      </c>
      <c r="CY342" s="382">
        <f t="shared" si="651"/>
        <v>4.0159453302961272E-2</v>
      </c>
      <c r="CZ342" s="382">
        <f t="shared" si="651"/>
        <v>4.7341802782819117E-2</v>
      </c>
      <c r="DA342" s="382">
        <f t="shared" si="651"/>
        <v>0.11217054263565891</v>
      </c>
      <c r="DB342" s="382">
        <f t="shared" si="651"/>
        <v>0.10026729559748428</v>
      </c>
      <c r="DC342" s="382">
        <f t="shared" si="651"/>
        <v>0.10140431090790333</v>
      </c>
      <c r="DD342" s="382">
        <f t="shared" si="651"/>
        <v>0.13603442531926707</v>
      </c>
      <c r="DE342" s="382">
        <f t="shared" si="651"/>
        <v>0.15117301363422661</v>
      </c>
      <c r="DF342" s="382">
        <f t="shared" si="651"/>
        <v>0.14217245240761478</v>
      </c>
      <c r="DG342" s="382">
        <f t="shared" si="651"/>
        <v>0.18992391304347825</v>
      </c>
      <c r="DH342" s="382">
        <f t="shared" si="651"/>
        <v>0.15301820778293465</v>
      </c>
      <c r="DI342" s="382">
        <f t="shared" si="651"/>
        <v>0.15393803945745993</v>
      </c>
      <c r="DJ342" s="383">
        <f t="shared" si="651"/>
        <v>0.16904499274310594</v>
      </c>
      <c r="DK342" s="383">
        <f t="shared" si="651"/>
        <v>0.19356493506493508</v>
      </c>
      <c r="DL342" s="383">
        <f t="shared" si="651"/>
        <v>0.22267563181080455</v>
      </c>
      <c r="DM342" s="383">
        <f t="shared" si="651"/>
        <v>0.22380646498135101</v>
      </c>
      <c r="DN342" s="383">
        <f t="shared" si="651"/>
        <v>0.21161882113130626</v>
      </c>
      <c r="DO342" s="383">
        <f>DO339/DO$4</f>
        <v>0.2080229007633588</v>
      </c>
      <c r="DP342" s="383">
        <f t="shared" si="651"/>
        <v>0.26755615453728659</v>
      </c>
      <c r="DQ342" s="383">
        <f>DQ339/DQ$4</f>
        <v>0.2648088944454367</v>
      </c>
      <c r="DR342" s="383">
        <f t="shared" si="651"/>
        <v>0.21240425929385393</v>
      </c>
      <c r="DS342" s="383">
        <f t="shared" si="651"/>
        <v>0.22201436835230456</v>
      </c>
      <c r="DT342" s="383">
        <f>DT339/DT$4</f>
        <v>0.2572293103448276</v>
      </c>
      <c r="DU342" s="383">
        <f t="shared" si="651"/>
        <v>0.28097033073929961</v>
      </c>
      <c r="DV342" s="382">
        <f t="shared" si="651"/>
        <v>0.28840215603873559</v>
      </c>
      <c r="DW342" s="382">
        <f t="shared" si="651"/>
        <v>0.28880119965724077</v>
      </c>
      <c r="DX342" s="382">
        <f t="shared" si="651"/>
        <v>0.26414430268367795</v>
      </c>
      <c r="DY342" s="382">
        <f t="shared" si="651"/>
        <v>0.26862953773831288</v>
      </c>
      <c r="DZ342" s="382">
        <f t="shared" si="651"/>
        <v>0.28585641301425113</v>
      </c>
      <c r="EA342" s="382">
        <f t="shared" si="651"/>
        <v>0.29259271307742352</v>
      </c>
      <c r="EB342" s="382">
        <f t="shared" si="651"/>
        <v>0.25331494700410989</v>
      </c>
      <c r="EC342" s="382">
        <f t="shared" si="651"/>
        <v>0.27807692307692305</v>
      </c>
      <c r="ED342" s="382">
        <f t="shared" si="651"/>
        <v>0.31285386911147961</v>
      </c>
      <c r="EE342" s="384">
        <f t="shared" si="651"/>
        <v>0.34444937917749913</v>
      </c>
      <c r="EF342" s="384">
        <f t="shared" si="651"/>
        <v>0.34180307149076466</v>
      </c>
      <c r="EG342" s="384">
        <f t="shared" si="651"/>
        <v>0.27090742685567892</v>
      </c>
      <c r="EH342" s="384">
        <f t="shared" si="651"/>
        <v>0.26688593701744151</v>
      </c>
      <c r="EI342" s="384">
        <f t="shared" si="651"/>
        <v>0.26443863778165944</v>
      </c>
      <c r="EJ342" s="384">
        <f t="shared" si="651"/>
        <v>0.24820888031847632</v>
      </c>
      <c r="EK342" s="384">
        <f t="shared" si="651"/>
        <v>0.23999853124822079</v>
      </c>
      <c r="EL342" s="384">
        <f t="shared" si="651"/>
        <v>0.25807215066111161</v>
      </c>
      <c r="EM342" s="384">
        <f t="shared" si="651"/>
        <v>0.26424375907010761</v>
      </c>
      <c r="EN342" s="384">
        <f t="shared" si="651"/>
        <v>0.26354061142892699</v>
      </c>
      <c r="EO342" s="384">
        <f t="shared" si="651"/>
        <v>0.26120875293757578</v>
      </c>
      <c r="EP342" s="384">
        <f t="shared" si="651"/>
        <v>0.24255510493582119</v>
      </c>
      <c r="EQ342" s="384">
        <f t="shared" si="651"/>
        <v>0.23965893755458348</v>
      </c>
      <c r="ER342" s="384">
        <f t="shared" si="651"/>
        <v>0.23542387913285454</v>
      </c>
      <c r="ES342" s="384">
        <f t="shared" si="651"/>
        <v>0.23684857430092734</v>
      </c>
      <c r="ET342" s="384">
        <f t="shared" si="651"/>
        <v>0.22752423256733512</v>
      </c>
      <c r="EU342" s="384">
        <f t="shared" si="651"/>
        <v>0.22488392744653327</v>
      </c>
      <c r="EV342" s="384">
        <f t="shared" si="651"/>
        <v>0.21704058244898808</v>
      </c>
      <c r="EW342" s="384">
        <f t="shared" si="651"/>
        <v>0.22008338490879406</v>
      </c>
      <c r="FH342" s="382">
        <f t="shared" ref="FH342:GG342" si="652">FH339/FH$4</f>
        <v>4.5708593091958027E-3</v>
      </c>
      <c r="FI342" s="382">
        <f t="shared" si="652"/>
        <v>1.6369371630783357E-2</v>
      </c>
      <c r="FJ342" s="382">
        <f t="shared" si="652"/>
        <v>1.5885572953607218E-2</v>
      </c>
      <c r="FK342" s="382">
        <f t="shared" si="652"/>
        <v>4.9590167621892514E-2</v>
      </c>
      <c r="FL342" s="382">
        <f t="shared" si="652"/>
        <v>0.11731183702241116</v>
      </c>
      <c r="FM342" s="382">
        <f t="shared" si="652"/>
        <v>0.21589454124666962</v>
      </c>
      <c r="FN342" s="382">
        <f t="shared" si="652"/>
        <v>0.10571212373191419</v>
      </c>
      <c r="FO342" s="382">
        <f t="shared" si="652"/>
        <v>0.10787813055852011</v>
      </c>
      <c r="FP342" s="382">
        <f t="shared" si="652"/>
        <v>9.1274888445272484E-2</v>
      </c>
      <c r="FQ342" s="382">
        <f t="shared" si="652"/>
        <v>8.3501770865414229E-2</v>
      </c>
      <c r="FR342" s="382">
        <f t="shared" si="652"/>
        <v>6.279208282582216E-2</v>
      </c>
      <c r="FS342" s="382">
        <f t="shared" si="652"/>
        <v>5.9749216156399845E-2</v>
      </c>
      <c r="FT342" s="382">
        <f t="shared" si="652"/>
        <v>4.9805812417437263E-2</v>
      </c>
      <c r="FU342" s="382">
        <f t="shared" si="652"/>
        <v>2.335833636033418E-2</v>
      </c>
      <c r="FV342" s="382">
        <f t="shared" si="652"/>
        <v>1.1691305437233778E-2</v>
      </c>
      <c r="FW342" s="382">
        <f t="shared" si="652"/>
        <v>3.9358614232209736E-3</v>
      </c>
      <c r="FX342" s="382">
        <f t="shared" si="652"/>
        <v>7.6505911052730333E-3</v>
      </c>
      <c r="FY342" s="382">
        <f t="shared" si="652"/>
        <v>5.4428725868725866E-2</v>
      </c>
      <c r="FZ342" s="382">
        <f t="shared" si="652"/>
        <v>0.12618229089288369</v>
      </c>
      <c r="GA342" s="382">
        <f t="shared" si="652"/>
        <v>0.15864304004916521</v>
      </c>
      <c r="GB342" s="382">
        <f t="shared" si="652"/>
        <v>0.20494553973469634</v>
      </c>
      <c r="GC342" s="382">
        <f t="shared" si="652"/>
        <v>0.2364291767297996</v>
      </c>
      <c r="GD342" s="382">
        <f t="shared" si="652"/>
        <v>0.24478527336860667</v>
      </c>
      <c r="GE342" s="382">
        <f t="shared" si="652"/>
        <v>0.27620496412643009</v>
      </c>
      <c r="GF342" s="382">
        <f t="shared" si="652"/>
        <v>0.27635829556280495</v>
      </c>
      <c r="GG342" s="384">
        <f t="shared" si="652"/>
        <v>0.31330911439885695</v>
      </c>
      <c r="GH342" s="384">
        <f>GH339/GH$4</f>
        <v>0.25344442132644818</v>
      </c>
      <c r="GI342" s="384">
        <f t="shared" ref="GI342:GK342" si="653">GI339/GI$4</f>
        <v>0.26181623970833834</v>
      </c>
      <c r="GJ342" s="384">
        <f t="shared" si="653"/>
        <v>0.23846779177282115</v>
      </c>
      <c r="GK342" s="384">
        <f t="shared" si="653"/>
        <v>0.22212626275866695</v>
      </c>
      <c r="GN342" s="70"/>
    </row>
    <row r="343" spans="1:196" s="379" customFormat="1">
      <c r="A343" s="405" t="s">
        <v>282</v>
      </c>
      <c r="AI343" s="376">
        <v>3</v>
      </c>
      <c r="AJ343" s="376">
        <v>41</v>
      </c>
      <c r="AK343" s="376">
        <v>54</v>
      </c>
      <c r="AL343" s="376">
        <v>87</v>
      </c>
      <c r="AM343" s="376">
        <v>61</v>
      </c>
      <c r="AN343" s="376">
        <v>69</v>
      </c>
      <c r="AO343" s="376">
        <v>62</v>
      </c>
      <c r="AP343" s="376">
        <v>54</v>
      </c>
      <c r="AQ343" s="376">
        <v>40</v>
      </c>
      <c r="AR343" s="376">
        <v>47</v>
      </c>
      <c r="AS343" s="376">
        <v>60</v>
      </c>
      <c r="AT343" s="376">
        <v>87</v>
      </c>
      <c r="AU343" s="376">
        <v>127</v>
      </c>
      <c r="AV343" s="376">
        <v>137</v>
      </c>
      <c r="AW343" s="376">
        <v>165</v>
      </c>
      <c r="AX343" s="376">
        <v>185</v>
      </c>
      <c r="AY343" s="376">
        <v>298</v>
      </c>
      <c r="AZ343" s="376">
        <v>359</v>
      </c>
      <c r="BA343" s="376">
        <v>519</v>
      </c>
      <c r="BB343" s="376">
        <v>655</v>
      </c>
      <c r="BC343" s="376">
        <v>770</v>
      </c>
      <c r="BD343" s="376">
        <v>810</v>
      </c>
      <c r="BE343" s="376">
        <v>792</v>
      </c>
      <c r="BF343" s="376">
        <v>443</v>
      </c>
      <c r="BG343" s="376">
        <v>423</v>
      </c>
      <c r="BH343" s="376">
        <v>470</v>
      </c>
      <c r="BI343" s="376">
        <v>572</v>
      </c>
      <c r="BJ343" s="376">
        <v>480</v>
      </c>
      <c r="BK343" s="376">
        <v>505</v>
      </c>
      <c r="BL343" s="376">
        <v>510</v>
      </c>
      <c r="BM343" s="376">
        <v>312</v>
      </c>
      <c r="BN343" s="376">
        <v>275</v>
      </c>
      <c r="BO343" s="376">
        <v>285</v>
      </c>
      <c r="BP343" s="376">
        <v>308</v>
      </c>
      <c r="BQ343" s="376">
        <v>370</v>
      </c>
      <c r="BR343" s="376">
        <v>353</v>
      </c>
      <c r="BS343" s="376">
        <v>274</v>
      </c>
      <c r="BT343" s="376">
        <v>275</v>
      </c>
      <c r="BU343" s="376">
        <v>288</v>
      </c>
      <c r="BV343" s="376">
        <v>288</v>
      </c>
      <c r="BW343" s="376">
        <v>244</v>
      </c>
      <c r="BX343" s="376">
        <v>218</v>
      </c>
      <c r="BY343" s="376">
        <v>266</v>
      </c>
      <c r="BZ343" s="376">
        <v>286</v>
      </c>
      <c r="CA343" s="376">
        <v>240</v>
      </c>
      <c r="CB343" s="376">
        <v>200</v>
      </c>
      <c r="CC343" s="376">
        <v>196</v>
      </c>
      <c r="CD343" s="376">
        <v>210</v>
      </c>
      <c r="CE343" s="376">
        <v>236</v>
      </c>
      <c r="CF343" s="376">
        <v>165</v>
      </c>
      <c r="CG343" s="376">
        <v>153</v>
      </c>
      <c r="CH343" s="376">
        <v>122</v>
      </c>
      <c r="CI343" s="376">
        <v>111</v>
      </c>
      <c r="CJ343" s="376">
        <v>94</v>
      </c>
      <c r="CK343" s="376">
        <v>73</v>
      </c>
      <c r="CL343" s="376">
        <v>62</v>
      </c>
      <c r="CM343" s="376">
        <v>44</v>
      </c>
      <c r="CN343" s="376">
        <v>30</v>
      </c>
      <c r="CO343" s="376">
        <v>36</v>
      </c>
      <c r="CP343" s="376">
        <v>15</v>
      </c>
      <c r="CQ343" s="376">
        <v>26</v>
      </c>
      <c r="CR343" s="376">
        <v>21</v>
      </c>
      <c r="CS343" s="376">
        <v>20</v>
      </c>
      <c r="CT343" s="376">
        <v>19</v>
      </c>
      <c r="CU343" s="376">
        <v>37</v>
      </c>
      <c r="CV343" s="376">
        <v>48</v>
      </c>
      <c r="CW343" s="376">
        <v>58</v>
      </c>
      <c r="CX343" s="376">
        <v>74</v>
      </c>
      <c r="CY343" s="376">
        <v>104</v>
      </c>
      <c r="CZ343" s="376">
        <v>134</v>
      </c>
      <c r="DA343" s="376">
        <v>260</v>
      </c>
      <c r="DB343" s="376">
        <v>198</v>
      </c>
      <c r="DC343" s="376">
        <v>230</v>
      </c>
      <c r="DD343" s="376">
        <v>351</v>
      </c>
      <c r="DE343" s="376">
        <v>425</v>
      </c>
      <c r="DF343" s="376">
        <v>460</v>
      </c>
      <c r="DG343" s="376">
        <v>519</v>
      </c>
      <c r="DH343" s="376">
        <v>573</v>
      </c>
      <c r="DI343" s="376">
        <v>625</v>
      </c>
      <c r="DJ343" s="397">
        <v>725</v>
      </c>
      <c r="DK343" s="397">
        <v>875</v>
      </c>
      <c r="DL343" s="397">
        <v>995</v>
      </c>
      <c r="DM343" s="397">
        <v>1143</v>
      </c>
      <c r="DN343" s="397">
        <v>1212</v>
      </c>
      <c r="DO343" s="397">
        <v>1282</v>
      </c>
      <c r="DP343" s="397">
        <v>1426</v>
      </c>
      <c r="DQ343" s="397">
        <v>1472</v>
      </c>
      <c r="DR343" s="397">
        <v>1120</v>
      </c>
      <c r="DS343" s="397">
        <v>1130</v>
      </c>
      <c r="DT343" s="397">
        <v>1215</v>
      </c>
      <c r="DU343" s="397">
        <v>1330</v>
      </c>
      <c r="DV343" s="376">
        <v>1250</v>
      </c>
      <c r="DW343" s="376">
        <v>1298</v>
      </c>
      <c r="DX343" s="376">
        <v>1390</v>
      </c>
      <c r="DY343" s="376">
        <v>1545</v>
      </c>
      <c r="DZ343" s="376">
        <v>1725</v>
      </c>
      <c r="EA343" s="376">
        <v>1735</v>
      </c>
      <c r="EB343" s="376">
        <v>1760</v>
      </c>
      <c r="EC343" s="376">
        <v>2020</v>
      </c>
      <c r="ED343" s="376">
        <f t="shared" ref="ED343:EH343" si="654">EC343*(1+ED344)</f>
        <v>2181.6000000000004</v>
      </c>
      <c r="EE343" s="380">
        <f t="shared" si="654"/>
        <v>2552.4720000000002</v>
      </c>
      <c r="EF343" s="380">
        <f t="shared" si="654"/>
        <v>2680.0956000000001</v>
      </c>
      <c r="EG343" s="380">
        <f t="shared" si="654"/>
        <v>2867.7022920000004</v>
      </c>
      <c r="EH343" s="380">
        <f t="shared" si="654"/>
        <v>2982.4103836800005</v>
      </c>
      <c r="EI343" s="380">
        <f>EH343*(1+EI344)</f>
        <v>3161.3550067008005</v>
      </c>
      <c r="EJ343" s="380">
        <f>EI343*(1+EJ344)</f>
        <v>3319.4227570358407</v>
      </c>
      <c r="EK343" s="380">
        <f>EJ343*(1+EK344)</f>
        <v>3485.393894887633</v>
      </c>
      <c r="EL343" s="380">
        <f t="shared" ref="EL343" si="655">EK343*(1+EL344)</f>
        <v>3659.6635896320149</v>
      </c>
      <c r="EM343" s="380">
        <f>EL343*(1+EM344)</f>
        <v>3879.2434050099359</v>
      </c>
      <c r="EN343" s="380">
        <f>EM343*(1+EN344)</f>
        <v>4111.9980093105323</v>
      </c>
      <c r="EO343" s="380">
        <f>EN343*(1+EO344)</f>
        <v>4317.5979097760592</v>
      </c>
      <c r="EP343" s="380">
        <f t="shared" ref="EP343" si="656">EO343*(1+EP344)</f>
        <v>3929.014097896214</v>
      </c>
      <c r="EQ343" s="380">
        <f>EP343*(1+EQ344)</f>
        <v>4007.5943798541384</v>
      </c>
      <c r="ER343" s="380">
        <f>EQ343*(1+ER344)</f>
        <v>4207.9740988468457</v>
      </c>
      <c r="ES343" s="380">
        <f>ER343*(1+ES344)</f>
        <v>4376.2930628007198</v>
      </c>
      <c r="ET343" s="380">
        <f t="shared" ref="ET343" si="657">ES343*(1+ET344)</f>
        <v>4026.1896177766625</v>
      </c>
      <c r="EU343" s="380">
        <f>ET343*(1+EU344)</f>
        <v>4106.7134101321963</v>
      </c>
      <c r="EV343" s="380">
        <f>EU343*(1+EV344)</f>
        <v>4312.0490806388061</v>
      </c>
      <c r="EW343" s="380">
        <f>EV343*(1+EW344)</f>
        <v>4484.5310438643583</v>
      </c>
      <c r="EZ343" s="376"/>
      <c r="FA343" s="376"/>
      <c r="FB343" s="376"/>
      <c r="FC343" s="376"/>
      <c r="FD343" s="376"/>
      <c r="FE343" s="376"/>
      <c r="FF343" s="376"/>
      <c r="FG343" s="376"/>
      <c r="FH343" s="376">
        <f>AH343+AI343+AJ343+AK343</f>
        <v>98</v>
      </c>
      <c r="FI343" s="376">
        <f>AL343+AM343+AN343+AO343</f>
        <v>279</v>
      </c>
      <c r="FJ343" s="376">
        <f>AP343+AQ343+AR343+AS343</f>
        <v>201</v>
      </c>
      <c r="FK343" s="376">
        <f>AT343+AU343+AV343+AW343</f>
        <v>516</v>
      </c>
      <c r="FL343" s="376">
        <f>AX343+AY343+AZ343+BA343</f>
        <v>1361</v>
      </c>
      <c r="FM343" s="376">
        <f>BB343+BC343+BD343+BE343</f>
        <v>3027</v>
      </c>
      <c r="FN343" s="376">
        <f>BF343+BG343+BH343+BI343</f>
        <v>1908</v>
      </c>
      <c r="FO343" s="376">
        <f>BJ343+BK343+BL343+BM343</f>
        <v>1807</v>
      </c>
      <c r="FP343" s="376">
        <f>BN343+BO343+BP343+BQ343</f>
        <v>1238</v>
      </c>
      <c r="FQ343" s="376">
        <f>BR343+BS343+BT343+BU343</f>
        <v>1190</v>
      </c>
      <c r="FR343" s="376">
        <f>BV343+BW343+BX343+BY343</f>
        <v>1016</v>
      </c>
      <c r="FS343" s="376">
        <f>BZ343+CA343+CB343+CC343</f>
        <v>922</v>
      </c>
      <c r="FT343" s="376">
        <f>CD343+CE343+CF343+CG343</f>
        <v>764</v>
      </c>
      <c r="FU343" s="376">
        <f>CH343+CI343+CJ343+CK343</f>
        <v>400</v>
      </c>
      <c r="FV343" s="376">
        <f>CL343+CM343+CN343+CO343</f>
        <v>172</v>
      </c>
      <c r="FW343" s="376">
        <f>CP343+CQ343+CR343+CS343</f>
        <v>82</v>
      </c>
      <c r="FX343" s="376">
        <f>CT343+CU343+CV343+CW343</f>
        <v>162</v>
      </c>
      <c r="FY343" s="376">
        <f>CX343+CY343+CZ343+DA343</f>
        <v>572</v>
      </c>
      <c r="FZ343" s="376">
        <f>DB343+DC343+DD343+DE343</f>
        <v>1204</v>
      </c>
      <c r="GA343" s="376">
        <f>SUM(DF343:DI343)</f>
        <v>2177</v>
      </c>
      <c r="GB343" s="376">
        <f>SUM(DJ343:DM343)</f>
        <v>3738</v>
      </c>
      <c r="GC343" s="376">
        <f>SUM(DN343:DQ343)</f>
        <v>5392</v>
      </c>
      <c r="GD343" s="376">
        <f>SUM(DR343:DU343)</f>
        <v>4795</v>
      </c>
      <c r="GE343" s="376">
        <f>SUM(DV343:DY343)</f>
        <v>5483</v>
      </c>
      <c r="GF343" s="376">
        <f>SUM(DZ343:EC343)</f>
        <v>7240</v>
      </c>
      <c r="GG343" s="380">
        <f>SUM(ED343:EG343)</f>
        <v>10281.869892000001</v>
      </c>
      <c r="GH343" s="380">
        <f>SUM(EH343:EK343)</f>
        <v>12948.582042304273</v>
      </c>
      <c r="GI343" s="380">
        <f>SUM(EL343:EO343)</f>
        <v>15968.502913728544</v>
      </c>
      <c r="GJ343" s="380">
        <f>SUM(EP343:ES343)</f>
        <v>16520.87563939792</v>
      </c>
      <c r="GK343" s="380">
        <f>SUM(ET343:EW343)</f>
        <v>16929.483152412024</v>
      </c>
      <c r="GN343" s="70"/>
    </row>
    <row r="344" spans="1:196" s="382" customFormat="1">
      <c r="A344" s="381" t="s">
        <v>198</v>
      </c>
      <c r="AJ344" s="382">
        <f t="shared" ref="AJ344:CU344" si="658">AJ343/AI343-1</f>
        <v>12.666666666666666</v>
      </c>
      <c r="AK344" s="382">
        <f t="shared" si="658"/>
        <v>0.31707317073170738</v>
      </c>
      <c r="AL344" s="382">
        <f t="shared" si="658"/>
        <v>0.61111111111111116</v>
      </c>
      <c r="AM344" s="382">
        <f t="shared" si="658"/>
        <v>-0.29885057471264365</v>
      </c>
      <c r="AN344" s="382">
        <f t="shared" si="658"/>
        <v>0.13114754098360648</v>
      </c>
      <c r="AO344" s="382">
        <f t="shared" si="658"/>
        <v>-0.10144927536231885</v>
      </c>
      <c r="AP344" s="382">
        <f t="shared" si="658"/>
        <v>-0.12903225806451613</v>
      </c>
      <c r="AQ344" s="382">
        <f t="shared" si="658"/>
        <v>-0.2592592592592593</v>
      </c>
      <c r="AR344" s="382">
        <f t="shared" si="658"/>
        <v>0.17500000000000004</v>
      </c>
      <c r="AS344" s="382">
        <f t="shared" si="658"/>
        <v>0.27659574468085113</v>
      </c>
      <c r="AT344" s="382">
        <f t="shared" si="658"/>
        <v>0.44999999999999996</v>
      </c>
      <c r="AU344" s="382">
        <f t="shared" si="658"/>
        <v>0.45977011494252884</v>
      </c>
      <c r="AV344" s="382">
        <f t="shared" si="658"/>
        <v>7.8740157480315043E-2</v>
      </c>
      <c r="AW344" s="382">
        <f t="shared" si="658"/>
        <v>0.20437956204379559</v>
      </c>
      <c r="AX344" s="382">
        <f t="shared" si="658"/>
        <v>0.1212121212121211</v>
      </c>
      <c r="AY344" s="382">
        <f t="shared" si="658"/>
        <v>0.61081081081081079</v>
      </c>
      <c r="AZ344" s="382">
        <f t="shared" si="658"/>
        <v>0.20469798657718119</v>
      </c>
      <c r="BA344" s="382">
        <f t="shared" si="658"/>
        <v>0.44568245125348183</v>
      </c>
      <c r="BB344" s="382">
        <f t="shared" si="658"/>
        <v>0.26204238921001921</v>
      </c>
      <c r="BC344" s="382">
        <f t="shared" si="658"/>
        <v>0.17557251908396942</v>
      </c>
      <c r="BD344" s="382">
        <f t="shared" si="658"/>
        <v>5.1948051948051965E-2</v>
      </c>
      <c r="BE344" s="382">
        <f t="shared" si="658"/>
        <v>-2.2222222222222254E-2</v>
      </c>
      <c r="BF344" s="382">
        <f t="shared" si="658"/>
        <v>-0.44065656565656564</v>
      </c>
      <c r="BG344" s="382">
        <f t="shared" si="658"/>
        <v>-4.5146726862302478E-2</v>
      </c>
      <c r="BH344" s="382">
        <f t="shared" si="658"/>
        <v>0.11111111111111116</v>
      </c>
      <c r="BI344" s="382">
        <f t="shared" si="658"/>
        <v>0.21702127659574466</v>
      </c>
      <c r="BJ344" s="382">
        <f t="shared" si="658"/>
        <v>-0.16083916083916083</v>
      </c>
      <c r="BK344" s="382">
        <f t="shared" si="658"/>
        <v>5.2083333333333259E-2</v>
      </c>
      <c r="BL344" s="382">
        <f t="shared" si="658"/>
        <v>9.9009900990099098E-3</v>
      </c>
      <c r="BM344" s="382">
        <f t="shared" si="658"/>
        <v>-0.38823529411764701</v>
      </c>
      <c r="BN344" s="382">
        <f t="shared" si="658"/>
        <v>-0.11858974358974361</v>
      </c>
      <c r="BO344" s="382">
        <f t="shared" si="658"/>
        <v>3.6363636363636376E-2</v>
      </c>
      <c r="BP344" s="382">
        <f t="shared" si="658"/>
        <v>8.0701754385964941E-2</v>
      </c>
      <c r="BQ344" s="382">
        <f t="shared" si="658"/>
        <v>0.20129870129870131</v>
      </c>
      <c r="BR344" s="382">
        <f t="shared" si="658"/>
        <v>-4.5945945945945921E-2</v>
      </c>
      <c r="BS344" s="382">
        <f t="shared" si="658"/>
        <v>-0.22379603399433423</v>
      </c>
      <c r="BT344" s="382">
        <f t="shared" si="658"/>
        <v>3.6496350364962904E-3</v>
      </c>
      <c r="BU344" s="382">
        <f t="shared" si="658"/>
        <v>4.7272727272727355E-2</v>
      </c>
      <c r="BV344" s="382">
        <f t="shared" si="658"/>
        <v>0</v>
      </c>
      <c r="BW344" s="382">
        <f t="shared" si="658"/>
        <v>-0.15277777777777779</v>
      </c>
      <c r="BX344" s="382">
        <f t="shared" si="658"/>
        <v>-0.10655737704918034</v>
      </c>
      <c r="BY344" s="382">
        <f t="shared" si="658"/>
        <v>0.22018348623853212</v>
      </c>
      <c r="BZ344" s="382">
        <f t="shared" si="658"/>
        <v>7.5187969924812137E-2</v>
      </c>
      <c r="CA344" s="382">
        <f t="shared" si="658"/>
        <v>-0.16083916083916083</v>
      </c>
      <c r="CB344" s="382">
        <f t="shared" si="658"/>
        <v>-0.16666666666666663</v>
      </c>
      <c r="CC344" s="382">
        <f t="shared" si="658"/>
        <v>-2.0000000000000018E-2</v>
      </c>
      <c r="CD344" s="382">
        <f t="shared" si="658"/>
        <v>7.1428571428571397E-2</v>
      </c>
      <c r="CE344" s="382">
        <f t="shared" si="658"/>
        <v>0.12380952380952381</v>
      </c>
      <c r="CF344" s="382">
        <f t="shared" si="658"/>
        <v>-0.30084745762711862</v>
      </c>
      <c r="CG344" s="382">
        <f t="shared" si="658"/>
        <v>-7.2727272727272751E-2</v>
      </c>
      <c r="CH344" s="382">
        <f t="shared" si="658"/>
        <v>-0.20261437908496727</v>
      </c>
      <c r="CI344" s="382">
        <f t="shared" si="658"/>
        <v>-9.0163934426229497E-2</v>
      </c>
      <c r="CJ344" s="382">
        <f t="shared" si="658"/>
        <v>-0.15315315315315314</v>
      </c>
      <c r="CK344" s="382">
        <f t="shared" si="658"/>
        <v>-0.22340425531914898</v>
      </c>
      <c r="CL344" s="382">
        <f t="shared" si="658"/>
        <v>-0.15068493150684936</v>
      </c>
      <c r="CM344" s="382">
        <f t="shared" si="658"/>
        <v>-0.29032258064516125</v>
      </c>
      <c r="CN344" s="382">
        <f t="shared" si="658"/>
        <v>-0.31818181818181823</v>
      </c>
      <c r="CO344" s="382">
        <f t="shared" si="658"/>
        <v>0.19999999999999996</v>
      </c>
      <c r="CP344" s="382">
        <f t="shared" si="658"/>
        <v>-0.58333333333333326</v>
      </c>
      <c r="CQ344" s="382">
        <f t="shared" si="658"/>
        <v>0.73333333333333339</v>
      </c>
      <c r="CR344" s="382">
        <f t="shared" si="658"/>
        <v>-0.19230769230769229</v>
      </c>
      <c r="CS344" s="382">
        <f t="shared" si="658"/>
        <v>-4.7619047619047672E-2</v>
      </c>
      <c r="CT344" s="382">
        <f t="shared" si="658"/>
        <v>-5.0000000000000044E-2</v>
      </c>
      <c r="CU344" s="382">
        <f t="shared" si="658"/>
        <v>0.94736842105263164</v>
      </c>
      <c r="CV344" s="382">
        <f t="shared" ref="CV344:DC344" si="659">CV343/CU343-1</f>
        <v>0.29729729729729737</v>
      </c>
      <c r="CW344" s="382">
        <f t="shared" si="659"/>
        <v>0.20833333333333326</v>
      </c>
      <c r="CX344" s="382">
        <f t="shared" si="659"/>
        <v>0.27586206896551735</v>
      </c>
      <c r="CY344" s="382">
        <f t="shared" si="659"/>
        <v>0.40540540540540548</v>
      </c>
      <c r="CZ344" s="382">
        <f t="shared" si="659"/>
        <v>0.28846153846153855</v>
      </c>
      <c r="DA344" s="382">
        <f t="shared" si="659"/>
        <v>0.94029850746268662</v>
      </c>
      <c r="DB344" s="382">
        <f t="shared" si="659"/>
        <v>-0.2384615384615385</v>
      </c>
      <c r="DC344" s="382">
        <f t="shared" si="659"/>
        <v>0.16161616161616155</v>
      </c>
      <c r="DD344" s="382">
        <f>DD343/DC343-1</f>
        <v>0.5260869565217392</v>
      </c>
      <c r="DE344" s="382">
        <f>DE343/DD343-1</f>
        <v>0.21082621082621089</v>
      </c>
      <c r="DF344" s="382">
        <v>0.12</v>
      </c>
      <c r="DG344" s="382">
        <f t="shared" ref="DG344:EC344" si="660">DG343/DF343-1</f>
        <v>0.12826086956521743</v>
      </c>
      <c r="DH344" s="382">
        <f t="shared" si="660"/>
        <v>0.10404624277456653</v>
      </c>
      <c r="DI344" s="382">
        <f t="shared" si="660"/>
        <v>9.0750436300174542E-2</v>
      </c>
      <c r="DJ344" s="383">
        <f t="shared" si="660"/>
        <v>0.15999999999999992</v>
      </c>
      <c r="DK344" s="383">
        <f t="shared" si="660"/>
        <v>0.2068965517241379</v>
      </c>
      <c r="DL344" s="383">
        <f t="shared" si="660"/>
        <v>0.13714285714285723</v>
      </c>
      <c r="DM344" s="383">
        <f t="shared" si="660"/>
        <v>0.14874371859296476</v>
      </c>
      <c r="DN344" s="383">
        <f t="shared" si="660"/>
        <v>6.0367454068241511E-2</v>
      </c>
      <c r="DO344" s="383">
        <f t="shared" si="660"/>
        <v>5.7755775577557733E-2</v>
      </c>
      <c r="DP344" s="383">
        <f t="shared" si="660"/>
        <v>0.11232449297971914</v>
      </c>
      <c r="DQ344" s="383">
        <f t="shared" si="660"/>
        <v>3.2258064516129004E-2</v>
      </c>
      <c r="DR344" s="383">
        <f t="shared" si="660"/>
        <v>-0.23913043478260865</v>
      </c>
      <c r="DS344" s="383">
        <f t="shared" si="660"/>
        <v>8.9285714285713969E-3</v>
      </c>
      <c r="DT344" s="383">
        <f t="shared" si="660"/>
        <v>7.5221238938053103E-2</v>
      </c>
      <c r="DU344" s="383">
        <f t="shared" si="660"/>
        <v>9.4650205761316775E-2</v>
      </c>
      <c r="DV344" s="382">
        <f t="shared" si="660"/>
        <v>-6.0150375939849621E-2</v>
      </c>
      <c r="DW344" s="382">
        <f t="shared" si="660"/>
        <v>3.839999999999999E-2</v>
      </c>
      <c r="DX344" s="382">
        <f t="shared" si="660"/>
        <v>7.0878274268104668E-2</v>
      </c>
      <c r="DY344" s="382">
        <f t="shared" si="660"/>
        <v>0.11151079136690645</v>
      </c>
      <c r="DZ344" s="382">
        <f t="shared" si="660"/>
        <v>0.11650485436893199</v>
      </c>
      <c r="EA344" s="382">
        <f t="shared" si="660"/>
        <v>5.7971014492752548E-3</v>
      </c>
      <c r="EB344" s="382">
        <f t="shared" si="660"/>
        <v>1.4409221902017322E-2</v>
      </c>
      <c r="EC344" s="382">
        <f t="shared" si="660"/>
        <v>0.14772727272727271</v>
      </c>
      <c r="ED344" s="382">
        <v>0.08</v>
      </c>
      <c r="EE344" s="384">
        <v>0.17</v>
      </c>
      <c r="EF344" s="384">
        <v>0.05</v>
      </c>
      <c r="EG344" s="384">
        <v>7.0000000000000007E-2</v>
      </c>
      <c r="EH344" s="384">
        <v>0.04</v>
      </c>
      <c r="EI344" s="384">
        <v>0.06</v>
      </c>
      <c r="EJ344" s="384">
        <v>0.05</v>
      </c>
      <c r="EK344" s="384">
        <v>0.05</v>
      </c>
      <c r="EL344" s="384">
        <v>0.05</v>
      </c>
      <c r="EM344" s="384">
        <v>0.06</v>
      </c>
      <c r="EN344" s="384">
        <v>0.06</v>
      </c>
      <c r="EO344" s="384">
        <v>0.05</v>
      </c>
      <c r="EP344" s="384">
        <v>-0.09</v>
      </c>
      <c r="EQ344" s="384">
        <v>0.02</v>
      </c>
      <c r="ER344" s="384">
        <v>0.05</v>
      </c>
      <c r="ES344" s="384">
        <v>0.04</v>
      </c>
      <c r="ET344" s="384">
        <v>-0.08</v>
      </c>
      <c r="EU344" s="384">
        <v>0.02</v>
      </c>
      <c r="EV344" s="384">
        <v>0.05</v>
      </c>
      <c r="EW344" s="384">
        <v>0.04</v>
      </c>
      <c r="FZ344" s="386" t="s">
        <v>199</v>
      </c>
      <c r="GA344" s="386" t="s">
        <v>199</v>
      </c>
      <c r="GB344" s="386" t="s">
        <v>199</v>
      </c>
      <c r="GC344" s="386" t="s">
        <v>199</v>
      </c>
      <c r="GD344" s="386" t="s">
        <v>199</v>
      </c>
      <c r="GE344" s="386" t="s">
        <v>199</v>
      </c>
      <c r="GF344" s="386" t="s">
        <v>199</v>
      </c>
      <c r="GG344" s="386" t="s">
        <v>199</v>
      </c>
      <c r="GH344" s="386" t="s">
        <v>199</v>
      </c>
      <c r="GI344" s="386" t="s">
        <v>199</v>
      </c>
      <c r="GJ344" s="386" t="s">
        <v>199</v>
      </c>
      <c r="GK344" s="386" t="s">
        <v>199</v>
      </c>
      <c r="GN344" s="70"/>
    </row>
    <row r="345" spans="1:196" s="382" customFormat="1">
      <c r="A345" s="381" t="s">
        <v>200</v>
      </c>
      <c r="AM345" s="382">
        <f t="shared" ref="AM345:CX345" si="661">AM343/AI343-1</f>
        <v>19.333333333333332</v>
      </c>
      <c r="AN345" s="382">
        <f t="shared" si="661"/>
        <v>0.68292682926829262</v>
      </c>
      <c r="AO345" s="382">
        <f t="shared" si="661"/>
        <v>0.14814814814814814</v>
      </c>
      <c r="AP345" s="382">
        <f t="shared" si="661"/>
        <v>-0.37931034482758619</v>
      </c>
      <c r="AQ345" s="382">
        <f t="shared" si="661"/>
        <v>-0.34426229508196726</v>
      </c>
      <c r="AR345" s="382">
        <f t="shared" si="661"/>
        <v>-0.3188405797101449</v>
      </c>
      <c r="AS345" s="382">
        <f t="shared" si="661"/>
        <v>-3.2258064516129004E-2</v>
      </c>
      <c r="AT345" s="382">
        <f t="shared" si="661"/>
        <v>0.61111111111111116</v>
      </c>
      <c r="AU345" s="382">
        <f t="shared" si="661"/>
        <v>2.1749999999999998</v>
      </c>
      <c r="AV345" s="382">
        <f t="shared" si="661"/>
        <v>1.9148936170212765</v>
      </c>
      <c r="AW345" s="382">
        <f t="shared" si="661"/>
        <v>1.75</v>
      </c>
      <c r="AX345" s="382">
        <f t="shared" si="661"/>
        <v>1.1264367816091956</v>
      </c>
      <c r="AY345" s="382">
        <f t="shared" si="661"/>
        <v>1.3464566929133857</v>
      </c>
      <c r="AZ345" s="382">
        <f t="shared" si="661"/>
        <v>1.6204379562043796</v>
      </c>
      <c r="BA345" s="382">
        <f t="shared" si="661"/>
        <v>2.1454545454545455</v>
      </c>
      <c r="BB345" s="382">
        <f t="shared" si="661"/>
        <v>2.5405405405405403</v>
      </c>
      <c r="BC345" s="382">
        <f t="shared" si="661"/>
        <v>1.5838926174496644</v>
      </c>
      <c r="BD345" s="382">
        <f t="shared" si="661"/>
        <v>1.2562674094707522</v>
      </c>
      <c r="BE345" s="382">
        <f t="shared" si="661"/>
        <v>0.52601156069364152</v>
      </c>
      <c r="BF345" s="382">
        <f t="shared" si="661"/>
        <v>-0.32366412213740459</v>
      </c>
      <c r="BG345" s="382">
        <f t="shared" si="661"/>
        <v>-0.45064935064935063</v>
      </c>
      <c r="BH345" s="382">
        <f t="shared" si="661"/>
        <v>-0.41975308641975306</v>
      </c>
      <c r="BI345" s="382">
        <f t="shared" si="661"/>
        <v>-0.27777777777777779</v>
      </c>
      <c r="BJ345" s="382">
        <f t="shared" si="661"/>
        <v>8.3521444695259683E-2</v>
      </c>
      <c r="BK345" s="382">
        <f t="shared" si="661"/>
        <v>0.19385342789598115</v>
      </c>
      <c r="BL345" s="382">
        <f t="shared" si="661"/>
        <v>8.5106382978723305E-2</v>
      </c>
      <c r="BM345" s="382">
        <f t="shared" si="661"/>
        <v>-0.45454545454545459</v>
      </c>
      <c r="BN345" s="382">
        <f t="shared" si="661"/>
        <v>-0.42708333333333337</v>
      </c>
      <c r="BO345" s="382">
        <f t="shared" si="661"/>
        <v>-0.4356435643564357</v>
      </c>
      <c r="BP345" s="382">
        <f t="shared" si="661"/>
        <v>-0.39607843137254906</v>
      </c>
      <c r="BQ345" s="382">
        <f t="shared" si="661"/>
        <v>0.1858974358974359</v>
      </c>
      <c r="BR345" s="382">
        <f t="shared" si="661"/>
        <v>0.28363636363636369</v>
      </c>
      <c r="BS345" s="382">
        <f t="shared" si="661"/>
        <v>-3.8596491228070184E-2</v>
      </c>
      <c r="BT345" s="382">
        <f t="shared" si="661"/>
        <v>-0.1071428571428571</v>
      </c>
      <c r="BU345" s="382">
        <f t="shared" si="661"/>
        <v>-0.22162162162162158</v>
      </c>
      <c r="BV345" s="382">
        <f t="shared" si="661"/>
        <v>-0.18413597733711051</v>
      </c>
      <c r="BW345" s="382">
        <f t="shared" si="661"/>
        <v>-0.10948905109489049</v>
      </c>
      <c r="BX345" s="382">
        <f t="shared" si="661"/>
        <v>-0.20727272727272728</v>
      </c>
      <c r="BY345" s="382">
        <f t="shared" si="661"/>
        <v>-7.638888888888884E-2</v>
      </c>
      <c r="BZ345" s="382">
        <f t="shared" si="661"/>
        <v>-6.9444444444444198E-3</v>
      </c>
      <c r="CA345" s="382">
        <f t="shared" si="661"/>
        <v>-1.6393442622950838E-2</v>
      </c>
      <c r="CB345" s="382">
        <f t="shared" si="661"/>
        <v>-8.256880733944949E-2</v>
      </c>
      <c r="CC345" s="382">
        <f t="shared" si="661"/>
        <v>-0.26315789473684215</v>
      </c>
      <c r="CD345" s="382">
        <f t="shared" si="661"/>
        <v>-0.26573426573426573</v>
      </c>
      <c r="CE345" s="382">
        <f t="shared" si="661"/>
        <v>-1.6666666666666718E-2</v>
      </c>
      <c r="CF345" s="382">
        <f t="shared" si="661"/>
        <v>-0.17500000000000004</v>
      </c>
      <c r="CG345" s="382">
        <f t="shared" si="661"/>
        <v>-0.21938775510204078</v>
      </c>
      <c r="CH345" s="382">
        <f t="shared" si="661"/>
        <v>-0.419047619047619</v>
      </c>
      <c r="CI345" s="382">
        <f t="shared" si="661"/>
        <v>-0.52966101694915246</v>
      </c>
      <c r="CJ345" s="382">
        <f t="shared" si="661"/>
        <v>-0.4303030303030303</v>
      </c>
      <c r="CK345" s="382">
        <f t="shared" si="661"/>
        <v>-0.52287581699346397</v>
      </c>
      <c r="CL345" s="382">
        <f t="shared" si="661"/>
        <v>-0.49180327868852458</v>
      </c>
      <c r="CM345" s="382">
        <f t="shared" si="661"/>
        <v>-0.60360360360360366</v>
      </c>
      <c r="CN345" s="382">
        <f t="shared" si="661"/>
        <v>-0.68085106382978722</v>
      </c>
      <c r="CO345" s="382">
        <f t="shared" si="661"/>
        <v>-0.50684931506849318</v>
      </c>
      <c r="CP345" s="382">
        <f t="shared" si="661"/>
        <v>-0.75806451612903225</v>
      </c>
      <c r="CQ345" s="382">
        <f t="shared" si="661"/>
        <v>-0.40909090909090906</v>
      </c>
      <c r="CR345" s="382">
        <f t="shared" si="661"/>
        <v>-0.30000000000000004</v>
      </c>
      <c r="CS345" s="382">
        <f t="shared" si="661"/>
        <v>-0.44444444444444442</v>
      </c>
      <c r="CT345" s="382">
        <f t="shared" si="661"/>
        <v>0.26666666666666661</v>
      </c>
      <c r="CU345" s="382">
        <f t="shared" si="661"/>
        <v>0.42307692307692313</v>
      </c>
      <c r="CV345" s="382">
        <f t="shared" si="661"/>
        <v>1.2857142857142856</v>
      </c>
      <c r="CW345" s="382">
        <f t="shared" si="661"/>
        <v>1.9</v>
      </c>
      <c r="CX345" s="382">
        <f t="shared" si="661"/>
        <v>2.8947368421052633</v>
      </c>
      <c r="CY345" s="382">
        <f t="shared" ref="CY345:DC345" si="662">CY343/CU343-1</f>
        <v>1.810810810810811</v>
      </c>
      <c r="CZ345" s="382">
        <f t="shared" si="662"/>
        <v>1.7916666666666665</v>
      </c>
      <c r="DA345" s="382">
        <f t="shared" si="662"/>
        <v>3.4827586206896548</v>
      </c>
      <c r="DB345" s="382">
        <f t="shared" si="662"/>
        <v>1.6756756756756759</v>
      </c>
      <c r="DC345" s="382">
        <f t="shared" si="662"/>
        <v>1.2115384615384617</v>
      </c>
      <c r="DD345" s="382">
        <f>DD343/CZ343-1</f>
        <v>1.6194029850746268</v>
      </c>
      <c r="DE345" s="382">
        <f>DE343/DA343-1</f>
        <v>0.63461538461538458</v>
      </c>
      <c r="DF345" s="382">
        <f t="shared" ref="DF345:EW345" si="663">DF343/DB343-1</f>
        <v>1.3232323232323231</v>
      </c>
      <c r="DG345" s="382">
        <f t="shared" si="663"/>
        <v>1.2565217391304349</v>
      </c>
      <c r="DH345" s="382">
        <f t="shared" si="663"/>
        <v>0.63247863247863245</v>
      </c>
      <c r="DI345" s="382">
        <f t="shared" si="663"/>
        <v>0.47058823529411775</v>
      </c>
      <c r="DJ345" s="383">
        <f t="shared" si="663"/>
        <v>0.57608695652173902</v>
      </c>
      <c r="DK345" s="383">
        <f t="shared" si="663"/>
        <v>0.68593448940269752</v>
      </c>
      <c r="DL345" s="383">
        <f t="shared" si="663"/>
        <v>0.73647469458987791</v>
      </c>
      <c r="DM345" s="383">
        <f t="shared" si="663"/>
        <v>0.82879999999999998</v>
      </c>
      <c r="DN345" s="383">
        <f t="shared" si="663"/>
        <v>0.67172413793103458</v>
      </c>
      <c r="DO345" s="383">
        <f t="shared" si="663"/>
        <v>0.46514285714285708</v>
      </c>
      <c r="DP345" s="383">
        <f t="shared" si="663"/>
        <v>0.43316582914572854</v>
      </c>
      <c r="DQ345" s="383">
        <f t="shared" si="663"/>
        <v>0.28783902012248475</v>
      </c>
      <c r="DR345" s="383">
        <f t="shared" si="663"/>
        <v>-7.5907590759075938E-2</v>
      </c>
      <c r="DS345" s="383">
        <f t="shared" si="663"/>
        <v>-0.11856474258970362</v>
      </c>
      <c r="DT345" s="383">
        <f t="shared" si="663"/>
        <v>-0.14796633941093973</v>
      </c>
      <c r="DU345" s="383">
        <f t="shared" si="663"/>
        <v>-9.6467391304347783E-2</v>
      </c>
      <c r="DV345" s="382">
        <f t="shared" si="663"/>
        <v>0.1160714285714286</v>
      </c>
      <c r="DW345" s="382">
        <f t="shared" si="663"/>
        <v>0.14867256637168147</v>
      </c>
      <c r="DX345" s="382">
        <f t="shared" si="663"/>
        <v>0.14403292181069949</v>
      </c>
      <c r="DY345" s="382">
        <f t="shared" si="663"/>
        <v>0.16165413533834583</v>
      </c>
      <c r="DZ345" s="382">
        <f t="shared" si="663"/>
        <v>0.37999999999999989</v>
      </c>
      <c r="EA345" s="382">
        <f t="shared" si="663"/>
        <v>0.33667180277349762</v>
      </c>
      <c r="EB345" s="382">
        <f t="shared" si="663"/>
        <v>0.26618705035971213</v>
      </c>
      <c r="EC345" s="382">
        <f t="shared" si="663"/>
        <v>0.30744336569579289</v>
      </c>
      <c r="ED345" s="382">
        <f t="shared" si="663"/>
        <v>0.26469565217391322</v>
      </c>
      <c r="EE345" s="384">
        <f t="shared" si="663"/>
        <v>0.47116541786743538</v>
      </c>
      <c r="EF345" s="384">
        <f t="shared" si="663"/>
        <v>0.52278159090909093</v>
      </c>
      <c r="EG345" s="384">
        <f t="shared" si="663"/>
        <v>0.4196546000000001</v>
      </c>
      <c r="EH345" s="384">
        <f t="shared" si="663"/>
        <v>0.36707479999999992</v>
      </c>
      <c r="EI345" s="384">
        <f t="shared" si="663"/>
        <v>0.23854640000000016</v>
      </c>
      <c r="EJ345" s="384">
        <f t="shared" si="663"/>
        <v>0.23854640000000016</v>
      </c>
      <c r="EK345" s="384">
        <f t="shared" si="663"/>
        <v>0.21539600000000014</v>
      </c>
      <c r="EL345" s="384">
        <f t="shared" si="663"/>
        <v>0.2270825000000003</v>
      </c>
      <c r="EM345" s="384">
        <f t="shared" si="663"/>
        <v>0.2270825000000003</v>
      </c>
      <c r="EN345" s="384">
        <f t="shared" si="663"/>
        <v>0.23876900000000023</v>
      </c>
      <c r="EO345" s="384">
        <f t="shared" si="663"/>
        <v>0.23876900000000023</v>
      </c>
      <c r="EP345" s="384">
        <f t="shared" si="663"/>
        <v>7.3599800000000215E-2</v>
      </c>
      <c r="EQ345" s="384">
        <f t="shared" si="663"/>
        <v>3.3086600000000299E-2</v>
      </c>
      <c r="ER345" s="384">
        <f t="shared" si="663"/>
        <v>2.3340500000000208E-2</v>
      </c>
      <c r="ES345" s="384">
        <f t="shared" si="663"/>
        <v>1.3594400000000118E-2</v>
      </c>
      <c r="ET345" s="384">
        <f t="shared" si="663"/>
        <v>2.4732800000000221E-2</v>
      </c>
      <c r="EU345" s="384">
        <f t="shared" si="663"/>
        <v>2.4732800000000443E-2</v>
      </c>
      <c r="EV345" s="384">
        <f t="shared" si="663"/>
        <v>2.4732800000000221E-2</v>
      </c>
      <c r="EW345" s="384">
        <f t="shared" si="663"/>
        <v>2.4732800000000221E-2</v>
      </c>
      <c r="FI345" s="382">
        <f t="shared" ref="FI345:GK345" si="664">FI343/FH343-1</f>
        <v>1.8469387755102042</v>
      </c>
      <c r="FJ345" s="382">
        <f t="shared" si="664"/>
        <v>-0.27956989247311825</v>
      </c>
      <c r="FK345" s="382">
        <f t="shared" si="664"/>
        <v>1.5671641791044775</v>
      </c>
      <c r="FL345" s="382">
        <f t="shared" si="664"/>
        <v>1.637596899224806</v>
      </c>
      <c r="FM345" s="382">
        <f t="shared" si="664"/>
        <v>1.2240999265246142</v>
      </c>
      <c r="FN345" s="382">
        <f t="shared" si="664"/>
        <v>-0.36967294350842417</v>
      </c>
      <c r="FO345" s="382">
        <f t="shared" si="664"/>
        <v>-5.29350104821803E-2</v>
      </c>
      <c r="FP345" s="382">
        <f t="shared" si="664"/>
        <v>-0.31488655229662421</v>
      </c>
      <c r="FQ345" s="382">
        <f t="shared" si="664"/>
        <v>-3.8772213247172838E-2</v>
      </c>
      <c r="FR345" s="382">
        <f t="shared" si="664"/>
        <v>-0.14621848739495802</v>
      </c>
      <c r="FS345" s="382">
        <f t="shared" si="664"/>
        <v>-9.2519685039370025E-2</v>
      </c>
      <c r="FT345" s="382">
        <f t="shared" si="664"/>
        <v>-0.17136659436008672</v>
      </c>
      <c r="FU345" s="382">
        <f t="shared" si="664"/>
        <v>-0.47643979057591623</v>
      </c>
      <c r="FV345" s="382">
        <f t="shared" si="664"/>
        <v>-0.57000000000000006</v>
      </c>
      <c r="FW345" s="382">
        <f t="shared" si="664"/>
        <v>-0.52325581395348841</v>
      </c>
      <c r="FX345" s="382">
        <f t="shared" si="664"/>
        <v>0.97560975609756095</v>
      </c>
      <c r="FY345" s="382">
        <f t="shared" si="664"/>
        <v>2.5308641975308643</v>
      </c>
      <c r="FZ345" s="382">
        <f t="shared" si="664"/>
        <v>1.104895104895105</v>
      </c>
      <c r="GA345" s="382">
        <f t="shared" si="664"/>
        <v>0.80813953488372103</v>
      </c>
      <c r="GB345" s="382">
        <f t="shared" si="664"/>
        <v>0.71704180064308676</v>
      </c>
      <c r="GC345" s="382">
        <f t="shared" si="664"/>
        <v>0.44248261102193687</v>
      </c>
      <c r="GD345" s="382">
        <f t="shared" si="664"/>
        <v>-0.11071958456973297</v>
      </c>
      <c r="GE345" s="382">
        <f t="shared" si="664"/>
        <v>0.14348279457768509</v>
      </c>
      <c r="GF345" s="382">
        <f t="shared" si="664"/>
        <v>0.3204450118548241</v>
      </c>
      <c r="GG345" s="387">
        <f t="shared" si="664"/>
        <v>0.42014777513812174</v>
      </c>
      <c r="GH345" s="387">
        <f t="shared" si="664"/>
        <v>0.25936062003460658</v>
      </c>
      <c r="GI345" s="387">
        <f t="shared" si="664"/>
        <v>0.23322405971232185</v>
      </c>
      <c r="GJ345" s="387">
        <f t="shared" si="664"/>
        <v>3.4591390855712945E-2</v>
      </c>
      <c r="GK345" s="387">
        <f t="shared" si="664"/>
        <v>2.4732800000000221E-2</v>
      </c>
      <c r="GN345" s="70"/>
    </row>
    <row r="346" spans="1:196" s="379" customFormat="1">
      <c r="A346" s="405" t="s">
        <v>283</v>
      </c>
      <c r="AI346" s="376">
        <v>210</v>
      </c>
      <c r="AJ346" s="376">
        <v>158</v>
      </c>
      <c r="AK346" s="376">
        <v>197.79</v>
      </c>
      <c r="AL346" s="376">
        <v>200</v>
      </c>
      <c r="AM346" s="376">
        <v>144.64000000000001</v>
      </c>
      <c r="AN346" s="376">
        <v>128.19</v>
      </c>
      <c r="AO346" s="376">
        <v>146.46</v>
      </c>
      <c r="AP346" s="376">
        <v>171.09259259259258</v>
      </c>
      <c r="AQ346" s="376">
        <v>231.45</v>
      </c>
      <c r="AR346" s="376">
        <v>326.14893617021278</v>
      </c>
      <c r="AS346" s="376">
        <v>367.96666666666664</v>
      </c>
      <c r="AT346" s="376">
        <v>497.33333333333331</v>
      </c>
      <c r="AU346" s="376">
        <v>504.13385826771656</v>
      </c>
      <c r="AV346" s="376">
        <v>443.01459854014598</v>
      </c>
      <c r="AW346" s="376">
        <v>485.06666666666666</v>
      </c>
      <c r="AX346" s="376">
        <v>472.91351351351352</v>
      </c>
      <c r="AY346" s="376">
        <v>555.86912751677858</v>
      </c>
      <c r="AZ346" s="376">
        <v>505.36768802228414</v>
      </c>
      <c r="BA346" s="376">
        <v>484.44123314065513</v>
      </c>
      <c r="BB346" s="376">
        <v>412.38015267175575</v>
      </c>
      <c r="BC346" s="376">
        <v>433.92857142857144</v>
      </c>
      <c r="BD346" s="376">
        <v>452.10246913580249</v>
      </c>
      <c r="BE346" s="376">
        <v>314.625</v>
      </c>
      <c r="BF346" s="376">
        <v>328.62979683972912</v>
      </c>
      <c r="BG346" s="376">
        <v>383.78014184397165</v>
      </c>
      <c r="BH346" s="376">
        <v>335.59148936170214</v>
      </c>
      <c r="BI346" s="376">
        <v>297.19755244755243</v>
      </c>
      <c r="BJ346" s="376">
        <v>300.97135416666669</v>
      </c>
      <c r="BK346" s="376">
        <v>296.33188118811881</v>
      </c>
      <c r="BL346" s="376">
        <v>347.85049019607845</v>
      </c>
      <c r="BM346" s="376">
        <v>432.6065705128205</v>
      </c>
      <c r="BN346" s="376">
        <v>444.79272727272729</v>
      </c>
      <c r="BO346" s="376">
        <v>378.65929824561402</v>
      </c>
      <c r="BP346" s="376">
        <v>380.94620783392202</v>
      </c>
      <c r="BQ346" s="376">
        <v>393.48889258637649</v>
      </c>
      <c r="BR346" s="376">
        <v>404.36543909348444</v>
      </c>
      <c r="BS346" s="376">
        <v>510.92883211678833</v>
      </c>
      <c r="BT346" s="376">
        <v>506.13454545454545</v>
      </c>
      <c r="BU346" s="376">
        <v>417.84027777777777</v>
      </c>
      <c r="BV346" s="376">
        <v>379.03246527777776</v>
      </c>
      <c r="BW346" s="376">
        <v>336.94446721311476</v>
      </c>
      <c r="BX346" s="376">
        <v>477.71376146788992</v>
      </c>
      <c r="BY346" s="376">
        <v>439.47744360902254</v>
      </c>
      <c r="BZ346" s="376">
        <v>399.04632867132869</v>
      </c>
      <c r="CA346" s="376">
        <v>371.49062500000002</v>
      </c>
      <c r="CB346" s="376">
        <v>323.95</v>
      </c>
      <c r="CC346" s="376">
        <v>285.12882653061223</v>
      </c>
      <c r="CD346" s="376">
        <v>314</v>
      </c>
      <c r="CE346" s="376">
        <v>322</v>
      </c>
      <c r="CF346" s="376">
        <v>412</v>
      </c>
      <c r="CG346" s="376">
        <v>353</v>
      </c>
      <c r="CH346" s="376">
        <v>326</v>
      </c>
      <c r="CI346" s="376">
        <v>327</v>
      </c>
      <c r="CJ346" s="376">
        <v>312</v>
      </c>
      <c r="CK346" s="376">
        <v>318</v>
      </c>
      <c r="CL346" s="376">
        <v>280</v>
      </c>
      <c r="CM346" s="376">
        <v>298</v>
      </c>
      <c r="CN346" s="376">
        <v>272</v>
      </c>
      <c r="CO346" s="376">
        <v>223</v>
      </c>
      <c r="CP346" s="376">
        <v>251</v>
      </c>
      <c r="CQ346" s="376">
        <v>189</v>
      </c>
      <c r="CR346" s="376">
        <v>195</v>
      </c>
      <c r="CS346" s="376">
        <v>202</v>
      </c>
      <c r="CT346" s="376">
        <v>212</v>
      </c>
      <c r="CU346" s="376">
        <v>220</v>
      </c>
      <c r="CV346" s="376">
        <v>237</v>
      </c>
      <c r="CW346" s="376">
        <v>297</v>
      </c>
      <c r="CX346" s="376">
        <v>601.08108108108104</v>
      </c>
      <c r="CY346" s="376">
        <v>678.07692307692309</v>
      </c>
      <c r="CZ346" s="376">
        <v>584</v>
      </c>
      <c r="DA346" s="376">
        <v>612.19230769230774</v>
      </c>
      <c r="DB346" s="376">
        <v>644.14141414141409</v>
      </c>
      <c r="DC346" s="376">
        <v>675</v>
      </c>
      <c r="DD346" s="376">
        <v>698</v>
      </c>
      <c r="DE346" s="376">
        <v>756.57647058823534</v>
      </c>
      <c r="DF346" s="376">
        <v>552</v>
      </c>
      <c r="DG346" s="376">
        <v>707</v>
      </c>
      <c r="DH346" s="376">
        <v>748</v>
      </c>
      <c r="DI346" s="376">
        <v>799</v>
      </c>
      <c r="DJ346" s="397">
        <v>803.25517241379305</v>
      </c>
      <c r="DK346" s="397">
        <v>851.68571428571431</v>
      </c>
      <c r="DL346" s="397">
        <v>965.2261306532663</v>
      </c>
      <c r="DM346" s="397">
        <v>944.96062992125985</v>
      </c>
      <c r="DN346" s="397">
        <v>1027.8877887788778</v>
      </c>
      <c r="DO346" s="397">
        <v>1062.8315132605305</v>
      </c>
      <c r="DP346" s="397">
        <v>1044.1444600280504</v>
      </c>
      <c r="DQ346" s="397">
        <v>1007.2452445652174</v>
      </c>
      <c r="DR346" s="397">
        <v>1015.1785714285714</v>
      </c>
      <c r="DS346" s="397">
        <v>1052.8982300884957</v>
      </c>
      <c r="DT346" s="397">
        <v>1227.9259259259259</v>
      </c>
      <c r="DU346" s="397">
        <v>1303.0263157894738</v>
      </c>
      <c r="DV346" s="376">
        <v>1262.74</v>
      </c>
      <c r="DW346" s="376">
        <v>1298.2704160246533</v>
      </c>
      <c r="DX346" s="376">
        <v>1295.8273381294964</v>
      </c>
      <c r="DY346" s="376">
        <v>1331.4983818770227</v>
      </c>
      <c r="DZ346" s="376">
        <v>1232.5797101449275</v>
      </c>
      <c r="EA346" s="376">
        <v>1296.0086455331411</v>
      </c>
      <c r="EB346" s="376">
        <v>1330.7670454545455</v>
      </c>
      <c r="EC346" s="376">
        <v>1413.7871287128712</v>
      </c>
      <c r="ED346" s="376">
        <f t="shared" ref="ED346:EH346" si="665">EC346*(1+ED347)</f>
        <v>1470.3386138613862</v>
      </c>
      <c r="EE346" s="380">
        <f t="shared" si="665"/>
        <v>1514.4487722772278</v>
      </c>
      <c r="EF346" s="380">
        <f t="shared" si="665"/>
        <v>1529.5932600000001</v>
      </c>
      <c r="EG346" s="380">
        <f t="shared" si="665"/>
        <v>1529.5932600000001</v>
      </c>
      <c r="EH346" s="380">
        <f t="shared" si="665"/>
        <v>1560.1851252000001</v>
      </c>
      <c r="EI346" s="380">
        <f>EH346*(1+EI347)</f>
        <v>1606.9906789560002</v>
      </c>
      <c r="EJ346" s="380">
        <f>EI346*(1+EJ347)</f>
        <v>1655.2003993246803</v>
      </c>
      <c r="EK346" s="380">
        <f>EJ346*(1+EK347)</f>
        <v>1688.3044073111739</v>
      </c>
      <c r="EL346" s="380">
        <f t="shared" ref="EL346" si="666">EK346*(1+EL347)</f>
        <v>1688.3044073111739</v>
      </c>
      <c r="EM346" s="380">
        <f>EL346*(1+EM347)</f>
        <v>1705.1874513842856</v>
      </c>
      <c r="EN346" s="380">
        <f>EM346*(1+EN347)</f>
        <v>1722.2393258981285</v>
      </c>
      <c r="EO346" s="380">
        <f>EN346*(1+EO347)</f>
        <v>1739.4617191571099</v>
      </c>
      <c r="EP346" s="380">
        <f t="shared" ref="EP346" si="667">EO346*(1+EP347)</f>
        <v>1739.4617191571099</v>
      </c>
      <c r="EQ346" s="380">
        <f>EP346*(1+EQ347)</f>
        <v>1756.856336348681</v>
      </c>
      <c r="ER346" s="380">
        <f>EQ346*(1+ER347)</f>
        <v>1774.4248997121679</v>
      </c>
      <c r="ES346" s="380">
        <f>ER346*(1+ES347)</f>
        <v>1792.1691487092896</v>
      </c>
      <c r="ET346" s="380">
        <f t="shared" ref="ET346" si="668">ES346*(1+ET347)</f>
        <v>1792.1691487092896</v>
      </c>
      <c r="EU346" s="380">
        <f>ET346*(1+EU347)</f>
        <v>1810.0908401963825</v>
      </c>
      <c r="EV346" s="380">
        <f>EU346*(1+EV347)</f>
        <v>1828.1917485983463</v>
      </c>
      <c r="EW346" s="380">
        <f>EV346*(1+EW347)</f>
        <v>1864.7555835703133</v>
      </c>
      <c r="EZ346" s="376"/>
      <c r="FA346" s="376"/>
      <c r="FB346" s="376"/>
      <c r="FC346" s="376"/>
      <c r="FD346" s="376"/>
      <c r="FE346" s="376"/>
      <c r="FF346" s="376"/>
      <c r="FG346" s="376"/>
      <c r="FH346" s="376">
        <f>FH339/FH343*1000</f>
        <v>181.5169387755102</v>
      </c>
      <c r="FI346" s="376">
        <f>FI339/FI343*1000</f>
        <v>158.2389605734767</v>
      </c>
      <c r="FJ346" s="376">
        <f>FJ339/FJ343*1000</f>
        <v>278.12935323383078</v>
      </c>
      <c r="FK346" s="376">
        <f>FK339/FK343*1000</f>
        <v>480.66279069767444</v>
      </c>
      <c r="FL346" s="376">
        <f>FL339/FL343*1000</f>
        <v>504.03379867744303</v>
      </c>
      <c r="FM346" s="376">
        <f>FM339/FM343*1000</f>
        <v>402.91377601585725</v>
      </c>
      <c r="FN346" s="376">
        <f>FN339/FN343*1000</f>
        <v>333.14832285115307</v>
      </c>
      <c r="FO346" s="376">
        <f>FO339/FO343*1000</f>
        <v>335.63411732152741</v>
      </c>
      <c r="FP346" s="376">
        <f>FP339/FP343*1000</f>
        <v>398.35074496753413</v>
      </c>
      <c r="FQ346" s="376">
        <f>FQ339/FQ343*1000</f>
        <v>455.68109243697478</v>
      </c>
      <c r="FR346" s="376">
        <f>FR339/FR343*1000</f>
        <v>405.92362204724407</v>
      </c>
      <c r="FS346" s="376">
        <f>FS339/FS343*1000</f>
        <v>351.3668655097614</v>
      </c>
      <c r="FT346" s="376">
        <f>FT339/FT343*1000</f>
        <v>345.4463350785341</v>
      </c>
      <c r="FU346" s="376">
        <f>FU339/FU343*1000</f>
        <v>321.52749999999997</v>
      </c>
      <c r="FV346" s="376">
        <f>FV339/FV343*1000</f>
        <v>271.27906976744185</v>
      </c>
      <c r="FW346" s="376">
        <f>FW339/FW343*1000</f>
        <v>205.04878048780486</v>
      </c>
      <c r="FX346" s="376">
        <f>FX339/FX343*1000</f>
        <v>251.66666666666666</v>
      </c>
      <c r="FY346" s="376">
        <f>FY339/FY343*1000</f>
        <v>616.12937062937056</v>
      </c>
      <c r="FZ346" s="376">
        <f>FZ339/FZ343*1000</f>
        <v>705.42607973421934</v>
      </c>
      <c r="GA346" s="376">
        <f>GA339/GA343*1000</f>
        <v>711.45245751033531</v>
      </c>
      <c r="GB346" s="376">
        <f>GB339/GB343*1000</f>
        <v>901.03665061530228</v>
      </c>
      <c r="GC346" s="376">
        <f>GC339/GC343*1000</f>
        <v>1034.8599777448071</v>
      </c>
      <c r="GD346" s="376">
        <f>GD339/GD343*1000</f>
        <v>1157.8164754953075</v>
      </c>
      <c r="GE346" s="376">
        <f>GE339/GE343*1000</f>
        <v>1298.9139157395587</v>
      </c>
      <c r="GF346" s="376">
        <f>GF339/GF343*1000</f>
        <v>1322.2064917127072</v>
      </c>
      <c r="GG346" s="380">
        <f>GG339/GG343*1000</f>
        <v>1513.2610345734386</v>
      </c>
      <c r="GH346" s="380">
        <f>GH339/GH343*1000</f>
        <v>1630.4562170939466</v>
      </c>
      <c r="GI346" s="380">
        <f>GI339/GI343*1000</f>
        <v>1714.9763163842774</v>
      </c>
      <c r="GJ346" s="380">
        <f>GJ339/GJ343*1000</f>
        <v>1766.5485332195399</v>
      </c>
      <c r="GK346" s="380">
        <f>GK339/GK343*1000</f>
        <v>1824.9195041101177</v>
      </c>
      <c r="GN346" s="70"/>
    </row>
    <row r="347" spans="1:196" s="382" customFormat="1">
      <c r="A347" s="381" t="s">
        <v>198</v>
      </c>
      <c r="AJ347" s="382">
        <f t="shared" ref="AJ347:CU347" si="669">AJ346/AI346-1</f>
        <v>-0.24761904761904763</v>
      </c>
      <c r="AK347" s="382">
        <f t="shared" si="669"/>
        <v>0.25183544303797456</v>
      </c>
      <c r="AL347" s="382">
        <f t="shared" si="669"/>
        <v>1.1173466808231058E-2</v>
      </c>
      <c r="AM347" s="382">
        <f t="shared" si="669"/>
        <v>-0.27679999999999993</v>
      </c>
      <c r="AN347" s="382">
        <f t="shared" si="669"/>
        <v>-0.11373064159292046</v>
      </c>
      <c r="AO347" s="382">
        <f t="shared" si="669"/>
        <v>0.14252281769248776</v>
      </c>
      <c r="AP347" s="382">
        <f t="shared" si="669"/>
        <v>0.16818648499653532</v>
      </c>
      <c r="AQ347" s="382">
        <f t="shared" si="669"/>
        <v>0.35277627448858095</v>
      </c>
      <c r="AR347" s="382">
        <f t="shared" si="669"/>
        <v>0.40915504934202973</v>
      </c>
      <c r="AS347" s="382">
        <f t="shared" si="669"/>
        <v>0.12821666992845793</v>
      </c>
      <c r="AT347" s="382">
        <f t="shared" si="669"/>
        <v>0.35157170033517526</v>
      </c>
      <c r="AU347" s="382">
        <f t="shared" si="669"/>
        <v>1.3673977750100264E-2</v>
      </c>
      <c r="AV347" s="382">
        <f t="shared" si="669"/>
        <v>-0.12123617314176438</v>
      </c>
      <c r="AW347" s="382">
        <f t="shared" si="669"/>
        <v>9.4922533625514172E-2</v>
      </c>
      <c r="AX347" s="382">
        <f t="shared" si="669"/>
        <v>-2.5054603806665354E-2</v>
      </c>
      <c r="AY347" s="382">
        <f t="shared" si="669"/>
        <v>0.17541392164276681</v>
      </c>
      <c r="AZ347" s="382">
        <f t="shared" si="669"/>
        <v>-9.0851311926780975E-2</v>
      </c>
      <c r="BA347" s="382">
        <f t="shared" si="669"/>
        <v>-4.1408375283198295E-2</v>
      </c>
      <c r="BB347" s="382">
        <f t="shared" si="669"/>
        <v>-0.1487509227935121</v>
      </c>
      <c r="BC347" s="382">
        <f t="shared" si="669"/>
        <v>5.2253772683303001E-2</v>
      </c>
      <c r="BD347" s="382">
        <f t="shared" si="669"/>
        <v>4.1882233399380242E-2</v>
      </c>
      <c r="BE347" s="382">
        <f t="shared" si="669"/>
        <v>-0.30408475626906395</v>
      </c>
      <c r="BF347" s="382">
        <f t="shared" si="669"/>
        <v>4.4512663773473626E-2</v>
      </c>
      <c r="BG347" s="382">
        <f t="shared" si="669"/>
        <v>0.16781906429239291</v>
      </c>
      <c r="BH347" s="382">
        <f t="shared" si="669"/>
        <v>-0.12556317335945155</v>
      </c>
      <c r="BI347" s="382">
        <f t="shared" si="669"/>
        <v>-0.11440676575909392</v>
      </c>
      <c r="BJ347" s="382">
        <f t="shared" si="669"/>
        <v>1.2697956924730081E-2</v>
      </c>
      <c r="BK347" s="382">
        <f t="shared" si="669"/>
        <v>-1.5414998518359702E-2</v>
      </c>
      <c r="BL347" s="382">
        <f t="shared" si="669"/>
        <v>0.17385442565747544</v>
      </c>
      <c r="BM347" s="382">
        <f t="shared" si="669"/>
        <v>0.24365663612825794</v>
      </c>
      <c r="BN347" s="382">
        <f t="shared" si="669"/>
        <v>2.8169143953271636E-2</v>
      </c>
      <c r="BO347" s="382">
        <f t="shared" si="669"/>
        <v>-0.14868370135594222</v>
      </c>
      <c r="BP347" s="382">
        <f t="shared" si="669"/>
        <v>6.0394914343939732E-3</v>
      </c>
      <c r="BQ347" s="382">
        <f t="shared" si="669"/>
        <v>3.292508100755942E-2</v>
      </c>
      <c r="BR347" s="382">
        <f t="shared" si="669"/>
        <v>2.7641305033077712E-2</v>
      </c>
      <c r="BS347" s="382">
        <f t="shared" si="669"/>
        <v>0.26353239599853073</v>
      </c>
      <c r="BT347" s="382">
        <f t="shared" si="669"/>
        <v>-9.3834725325248058E-3</v>
      </c>
      <c r="BU347" s="382">
        <f t="shared" si="669"/>
        <v>-0.17444821435271329</v>
      </c>
      <c r="BV347" s="382">
        <f t="shared" si="669"/>
        <v>-9.2877146038657821E-2</v>
      </c>
      <c r="BW347" s="382">
        <f t="shared" si="669"/>
        <v>-0.11104061504024043</v>
      </c>
      <c r="BX347" s="382">
        <f t="shared" si="669"/>
        <v>0.41778188381926951</v>
      </c>
      <c r="BY347" s="382">
        <f t="shared" si="669"/>
        <v>-8.0040226895237709E-2</v>
      </c>
      <c r="BZ347" s="382">
        <f t="shared" si="669"/>
        <v>-9.1998157187933027E-2</v>
      </c>
      <c r="CA347" s="382">
        <f t="shared" si="669"/>
        <v>-6.9053895980144997E-2</v>
      </c>
      <c r="CB347" s="382">
        <f t="shared" si="669"/>
        <v>-0.12797261034514673</v>
      </c>
      <c r="CC347" s="382">
        <f t="shared" si="669"/>
        <v>-0.119836929987306</v>
      </c>
      <c r="CD347" s="382">
        <f t="shared" si="669"/>
        <v>0.10125659275032328</v>
      </c>
      <c r="CE347" s="382">
        <f t="shared" si="669"/>
        <v>2.5477707006369421E-2</v>
      </c>
      <c r="CF347" s="382">
        <f t="shared" si="669"/>
        <v>0.27950310559006208</v>
      </c>
      <c r="CG347" s="382">
        <f t="shared" si="669"/>
        <v>-0.14320388349514568</v>
      </c>
      <c r="CH347" s="382">
        <f t="shared" si="669"/>
        <v>-7.648725212464591E-2</v>
      </c>
      <c r="CI347" s="382">
        <f t="shared" si="669"/>
        <v>3.0674846625766694E-3</v>
      </c>
      <c r="CJ347" s="382">
        <f t="shared" si="669"/>
        <v>-4.587155963302747E-2</v>
      </c>
      <c r="CK347" s="382">
        <f t="shared" si="669"/>
        <v>1.9230769230769162E-2</v>
      </c>
      <c r="CL347" s="382">
        <f t="shared" si="669"/>
        <v>-0.11949685534591192</v>
      </c>
      <c r="CM347" s="382">
        <f t="shared" si="669"/>
        <v>6.4285714285714279E-2</v>
      </c>
      <c r="CN347" s="382">
        <f t="shared" si="669"/>
        <v>-8.7248322147650992E-2</v>
      </c>
      <c r="CO347" s="382">
        <f t="shared" si="669"/>
        <v>-0.18014705882352944</v>
      </c>
      <c r="CP347" s="382">
        <f t="shared" si="669"/>
        <v>0.12556053811659185</v>
      </c>
      <c r="CQ347" s="382">
        <f t="shared" si="669"/>
        <v>-0.24701195219123506</v>
      </c>
      <c r="CR347" s="382">
        <f t="shared" si="669"/>
        <v>3.1746031746031855E-2</v>
      </c>
      <c r="CS347" s="382">
        <f t="shared" si="669"/>
        <v>3.5897435897435992E-2</v>
      </c>
      <c r="CT347" s="382">
        <f t="shared" si="669"/>
        <v>4.9504950495049549E-2</v>
      </c>
      <c r="CU347" s="382">
        <f t="shared" si="669"/>
        <v>3.7735849056603765E-2</v>
      </c>
      <c r="CV347" s="382">
        <f t="shared" ref="CV347:EC347" si="670">CV346/CU346-1</f>
        <v>7.7272727272727382E-2</v>
      </c>
      <c r="CW347" s="382">
        <f t="shared" si="670"/>
        <v>0.25316455696202533</v>
      </c>
      <c r="CX347" s="382">
        <f t="shared" si="670"/>
        <v>1.0238420238420236</v>
      </c>
      <c r="CY347" s="382">
        <f t="shared" si="670"/>
        <v>0.12809560044272295</v>
      </c>
      <c r="CZ347" s="382">
        <f t="shared" si="670"/>
        <v>-0.13874078275666479</v>
      </c>
      <c r="DA347" s="382">
        <f t="shared" si="670"/>
        <v>4.8274499473129673E-2</v>
      </c>
      <c r="DB347" s="382">
        <f t="shared" si="670"/>
        <v>5.2188023350930868E-2</v>
      </c>
      <c r="DC347" s="382">
        <f t="shared" si="670"/>
        <v>4.7906539124980441E-2</v>
      </c>
      <c r="DD347" s="382">
        <f t="shared" si="670"/>
        <v>3.4074074074074145E-2</v>
      </c>
      <c r="DE347" s="382">
        <f t="shared" si="670"/>
        <v>8.3920444968818453E-2</v>
      </c>
      <c r="DF347" s="382">
        <f t="shared" si="670"/>
        <v>-0.27039761153182296</v>
      </c>
      <c r="DG347" s="382">
        <f t="shared" si="670"/>
        <v>0.28079710144927539</v>
      </c>
      <c r="DH347" s="382">
        <f t="shared" si="670"/>
        <v>5.7991513437057884E-2</v>
      </c>
      <c r="DI347" s="382">
        <f t="shared" si="670"/>
        <v>6.8181818181818121E-2</v>
      </c>
      <c r="DJ347" s="383">
        <f t="shared" si="670"/>
        <v>5.3256225454230144E-3</v>
      </c>
      <c r="DK347" s="383">
        <f t="shared" si="670"/>
        <v>6.0292847821180828E-2</v>
      </c>
      <c r="DL347" s="383">
        <f t="shared" si="670"/>
        <v>0.13331257582825051</v>
      </c>
      <c r="DM347" s="383">
        <f t="shared" si="670"/>
        <v>-2.0995598946633054E-2</v>
      </c>
      <c r="DN347" s="383">
        <f t="shared" si="670"/>
        <v>8.7757263352366444E-2</v>
      </c>
      <c r="DO347" s="383">
        <f t="shared" si="670"/>
        <v>3.399566067728621E-2</v>
      </c>
      <c r="DP347" s="383">
        <f t="shared" si="670"/>
        <v>-1.7582328900986766E-2</v>
      </c>
      <c r="DQ347" s="383">
        <f t="shared" si="670"/>
        <v>-3.5339186171463033E-2</v>
      </c>
      <c r="DR347" s="383">
        <f t="shared" si="670"/>
        <v>7.8762614230842853E-3</v>
      </c>
      <c r="DS347" s="383">
        <f t="shared" si="670"/>
        <v>3.7155688389723052E-2</v>
      </c>
      <c r="DT347" s="383">
        <f t="shared" si="670"/>
        <v>0.16623420083317941</v>
      </c>
      <c r="DU347" s="383">
        <f t="shared" si="670"/>
        <v>6.116035851830226E-2</v>
      </c>
      <c r="DV347" s="382">
        <f t="shared" si="670"/>
        <v>-3.0917499747551314E-2</v>
      </c>
      <c r="DW347" s="382">
        <f t="shared" si="670"/>
        <v>2.8137554860583558E-2</v>
      </c>
      <c r="DX347" s="382">
        <f t="shared" si="670"/>
        <v>-1.8817943203525145E-3</v>
      </c>
      <c r="DY347" s="382">
        <f t="shared" si="670"/>
        <v>2.7527620924417961E-2</v>
      </c>
      <c r="DZ347" s="382">
        <f t="shared" si="670"/>
        <v>-7.4291244419425251E-2</v>
      </c>
      <c r="EA347" s="382">
        <f t="shared" si="670"/>
        <v>5.1460311139435833E-2</v>
      </c>
      <c r="EB347" s="382">
        <f t="shared" si="670"/>
        <v>2.6819574114110845E-2</v>
      </c>
      <c r="EC347" s="382">
        <f t="shared" si="670"/>
        <v>6.2385136107701467E-2</v>
      </c>
      <c r="ED347" s="382">
        <v>0.04</v>
      </c>
      <c r="EE347" s="384">
        <v>0.03</v>
      </c>
      <c r="EF347" s="384">
        <v>0.01</v>
      </c>
      <c r="EG347" s="384">
        <v>0</v>
      </c>
      <c r="EH347" s="384">
        <v>0.02</v>
      </c>
      <c r="EI347" s="384">
        <v>0.03</v>
      </c>
      <c r="EJ347" s="384">
        <v>0.03</v>
      </c>
      <c r="EK347" s="384">
        <v>0.02</v>
      </c>
      <c r="EL347" s="384">
        <v>0</v>
      </c>
      <c r="EM347" s="384">
        <v>0.01</v>
      </c>
      <c r="EN347" s="384">
        <v>0.01</v>
      </c>
      <c r="EO347" s="384">
        <v>0.01</v>
      </c>
      <c r="EP347" s="384">
        <v>0</v>
      </c>
      <c r="EQ347" s="384">
        <v>0.01</v>
      </c>
      <c r="ER347" s="384">
        <v>0.01</v>
      </c>
      <c r="ES347" s="384">
        <v>0.01</v>
      </c>
      <c r="ET347" s="384">
        <v>0</v>
      </c>
      <c r="EU347" s="384">
        <v>0.01</v>
      </c>
      <c r="EV347" s="384">
        <v>0.01</v>
      </c>
      <c r="EW347" s="384">
        <v>0.02</v>
      </c>
      <c r="FZ347" s="386" t="s">
        <v>199</v>
      </c>
      <c r="GA347" s="386" t="s">
        <v>199</v>
      </c>
      <c r="GB347" s="386" t="s">
        <v>199</v>
      </c>
      <c r="GC347" s="386" t="s">
        <v>199</v>
      </c>
      <c r="GD347" s="386" t="s">
        <v>199</v>
      </c>
      <c r="GE347" s="386" t="s">
        <v>199</v>
      </c>
      <c r="GF347" s="386" t="s">
        <v>199</v>
      </c>
      <c r="GG347" s="386" t="s">
        <v>199</v>
      </c>
      <c r="GH347" s="386" t="s">
        <v>199</v>
      </c>
      <c r="GI347" s="386" t="s">
        <v>199</v>
      </c>
      <c r="GJ347" s="386" t="s">
        <v>199</v>
      </c>
      <c r="GK347" s="386" t="s">
        <v>199</v>
      </c>
      <c r="GN347" s="70"/>
    </row>
    <row r="348" spans="1:196" s="382" customFormat="1">
      <c r="A348" s="381" t="s">
        <v>200</v>
      </c>
      <c r="AM348" s="382">
        <f t="shared" ref="AM348:CX348" si="671">AM346/AI346-1</f>
        <v>-0.3112380952380952</v>
      </c>
      <c r="AN348" s="382">
        <f t="shared" si="671"/>
        <v>-0.1886708860759494</v>
      </c>
      <c r="AO348" s="382">
        <f t="shared" si="671"/>
        <v>-0.25951767025633243</v>
      </c>
      <c r="AP348" s="382">
        <f t="shared" si="671"/>
        <v>-0.14453703703703713</v>
      </c>
      <c r="AQ348" s="382">
        <f t="shared" si="671"/>
        <v>0.60017975663716783</v>
      </c>
      <c r="AR348" s="382">
        <f t="shared" si="671"/>
        <v>1.5442619250348137</v>
      </c>
      <c r="AS348" s="382">
        <f t="shared" si="671"/>
        <v>1.5124038417770493</v>
      </c>
      <c r="AT348" s="382">
        <f t="shared" si="671"/>
        <v>1.9068080961142981</v>
      </c>
      <c r="AU348" s="382">
        <f t="shared" si="671"/>
        <v>1.1781544967280908</v>
      </c>
      <c r="AV348" s="382">
        <f t="shared" si="671"/>
        <v>0.35831992506927124</v>
      </c>
      <c r="AW348" s="382">
        <f t="shared" si="671"/>
        <v>0.3182353474046562</v>
      </c>
      <c r="AX348" s="382">
        <f t="shared" si="671"/>
        <v>-4.9101514383015687E-2</v>
      </c>
      <c r="AY348" s="382">
        <f t="shared" si="671"/>
        <v>0.10262208816291873</v>
      </c>
      <c r="AZ348" s="382">
        <f t="shared" si="671"/>
        <v>0.14074725683444433</v>
      </c>
      <c r="BA348" s="382">
        <f t="shared" si="671"/>
        <v>-1.2893764280061948E-3</v>
      </c>
      <c r="BB348" s="382">
        <f t="shared" si="671"/>
        <v>-0.12800091160860438</v>
      </c>
      <c r="BC348" s="382">
        <f t="shared" si="671"/>
        <v>-0.21936918251414572</v>
      </c>
      <c r="BD348" s="382">
        <f t="shared" si="671"/>
        <v>-0.10539894051186927</v>
      </c>
      <c r="BE348" s="382">
        <f t="shared" si="671"/>
        <v>-0.35054041960823312</v>
      </c>
      <c r="BF348" s="382">
        <f t="shared" si="671"/>
        <v>-0.20309017126410978</v>
      </c>
      <c r="BG348" s="382">
        <f t="shared" si="671"/>
        <v>-0.11556839739660862</v>
      </c>
      <c r="BH348" s="382">
        <f t="shared" si="671"/>
        <v>-0.25770923126523071</v>
      </c>
      <c r="BI348" s="382">
        <f t="shared" si="671"/>
        <v>-5.5391172196893379E-2</v>
      </c>
      <c r="BJ348" s="382">
        <f t="shared" si="671"/>
        <v>-8.4162918089108363E-2</v>
      </c>
      <c r="BK348" s="382">
        <f t="shared" si="671"/>
        <v>-0.22786030625681908</v>
      </c>
      <c r="BL348" s="382">
        <f t="shared" si="671"/>
        <v>3.6529534338588299E-2</v>
      </c>
      <c r="BM348" s="382">
        <f t="shared" si="671"/>
        <v>0.45561955995301884</v>
      </c>
      <c r="BN348" s="382">
        <f t="shared" si="671"/>
        <v>0.47785734793357681</v>
      </c>
      <c r="BO348" s="382">
        <f t="shared" si="671"/>
        <v>0.27782166646197526</v>
      </c>
      <c r="BP348" s="382">
        <f t="shared" si="671"/>
        <v>9.514351300522228E-2</v>
      </c>
      <c r="BQ348" s="382">
        <f t="shared" si="671"/>
        <v>-9.0423217289726132E-2</v>
      </c>
      <c r="BR348" s="382">
        <f t="shared" si="671"/>
        <v>-9.089017355819895E-2</v>
      </c>
      <c r="BS348" s="382">
        <f t="shared" si="671"/>
        <v>0.34931014366740532</v>
      </c>
      <c r="BT348" s="382">
        <f t="shared" si="671"/>
        <v>0.32862471143222605</v>
      </c>
      <c r="BU348" s="382">
        <f t="shared" si="671"/>
        <v>6.1885826131815813E-2</v>
      </c>
      <c r="BV348" s="382">
        <f t="shared" si="671"/>
        <v>-6.2648711701224324E-2</v>
      </c>
      <c r="BW348" s="382">
        <f t="shared" si="671"/>
        <v>-0.34052563481855758</v>
      </c>
      <c r="BX348" s="382">
        <f t="shared" si="671"/>
        <v>-5.615262629649509E-2</v>
      </c>
      <c r="BY348" s="382">
        <f t="shared" si="671"/>
        <v>5.1783341582862352E-2</v>
      </c>
      <c r="BZ348" s="382">
        <f t="shared" si="671"/>
        <v>5.2802504341900036E-2</v>
      </c>
      <c r="CA348" s="382">
        <f t="shared" si="671"/>
        <v>0.10252774907574036</v>
      </c>
      <c r="CB348" s="382">
        <f t="shared" si="671"/>
        <v>-0.32187425582092077</v>
      </c>
      <c r="CC348" s="382">
        <f t="shared" si="671"/>
        <v>-0.35120941773686409</v>
      </c>
      <c r="CD348" s="382">
        <f t="shared" si="671"/>
        <v>-0.21312394717300209</v>
      </c>
      <c r="CE348" s="382">
        <f t="shared" si="671"/>
        <v>-0.13322173338829213</v>
      </c>
      <c r="CF348" s="382">
        <f t="shared" si="671"/>
        <v>0.27180120388948925</v>
      </c>
      <c r="CG348" s="382">
        <f t="shared" si="671"/>
        <v>0.23803687019383468</v>
      </c>
      <c r="CH348" s="382">
        <f t="shared" si="671"/>
        <v>3.8216560509554132E-2</v>
      </c>
      <c r="CI348" s="382">
        <f t="shared" si="671"/>
        <v>1.552795031055898E-2</v>
      </c>
      <c r="CJ348" s="382">
        <f t="shared" si="671"/>
        <v>-0.24271844660194175</v>
      </c>
      <c r="CK348" s="382">
        <f t="shared" si="671"/>
        <v>-9.9150141643059464E-2</v>
      </c>
      <c r="CL348" s="382">
        <f t="shared" si="671"/>
        <v>-0.14110429447852757</v>
      </c>
      <c r="CM348" s="382">
        <f t="shared" si="671"/>
        <v>-8.8685015290519864E-2</v>
      </c>
      <c r="CN348" s="382">
        <f t="shared" si="671"/>
        <v>-0.12820512820512819</v>
      </c>
      <c r="CO348" s="382">
        <f t="shared" si="671"/>
        <v>-0.29874213836477992</v>
      </c>
      <c r="CP348" s="382">
        <f t="shared" si="671"/>
        <v>-0.10357142857142854</v>
      </c>
      <c r="CQ348" s="382">
        <f t="shared" si="671"/>
        <v>-0.36577181208053688</v>
      </c>
      <c r="CR348" s="382">
        <f t="shared" si="671"/>
        <v>-0.28308823529411764</v>
      </c>
      <c r="CS348" s="382">
        <f t="shared" si="671"/>
        <v>-9.4170403587443996E-2</v>
      </c>
      <c r="CT348" s="382">
        <f t="shared" si="671"/>
        <v>-0.15537848605577687</v>
      </c>
      <c r="CU348" s="382">
        <f t="shared" si="671"/>
        <v>0.16402116402116396</v>
      </c>
      <c r="CV348" s="382">
        <f t="shared" si="671"/>
        <v>0.21538461538461529</v>
      </c>
      <c r="CW348" s="382">
        <f t="shared" si="671"/>
        <v>0.47029702970297027</v>
      </c>
      <c r="CX348" s="382">
        <f t="shared" si="671"/>
        <v>1.8352881183069862</v>
      </c>
      <c r="CY348" s="382">
        <f t="shared" ref="CY348:EW348" si="672">CY346/CU346-1</f>
        <v>2.0821678321678321</v>
      </c>
      <c r="CZ348" s="382">
        <f t="shared" si="672"/>
        <v>1.4641350210970465</v>
      </c>
      <c r="DA348" s="382">
        <f t="shared" si="672"/>
        <v>1.0612535612535612</v>
      </c>
      <c r="DB348" s="382">
        <f t="shared" si="672"/>
        <v>7.1638144030230277E-2</v>
      </c>
      <c r="DC348" s="382">
        <f t="shared" si="672"/>
        <v>-4.5377197958026416E-3</v>
      </c>
      <c r="DD348" s="382">
        <f t="shared" si="672"/>
        <v>0.1952054794520548</v>
      </c>
      <c r="DE348" s="382">
        <f t="shared" si="672"/>
        <v>0.23584772477816918</v>
      </c>
      <c r="DF348" s="382">
        <f t="shared" si="672"/>
        <v>-0.1430453191155715</v>
      </c>
      <c r="DG348" s="382">
        <f t="shared" si="672"/>
        <v>4.7407407407407343E-2</v>
      </c>
      <c r="DH348" s="382">
        <f t="shared" si="672"/>
        <v>7.1633237822349649E-2</v>
      </c>
      <c r="DI348" s="382">
        <f t="shared" si="672"/>
        <v>5.6073022438538844E-2</v>
      </c>
      <c r="DJ348" s="383">
        <f t="shared" si="672"/>
        <v>0.45517241379310325</v>
      </c>
      <c r="DK348" s="383">
        <f t="shared" si="672"/>
        <v>0.20464740351586186</v>
      </c>
      <c r="DL348" s="383">
        <f t="shared" si="672"/>
        <v>0.29040926557923297</v>
      </c>
      <c r="DM348" s="383">
        <f t="shared" si="672"/>
        <v>0.1826791363219773</v>
      </c>
      <c r="DN348" s="383">
        <f t="shared" si="672"/>
        <v>0.27965287256110738</v>
      </c>
      <c r="DO348" s="383">
        <f t="shared" si="672"/>
        <v>0.24791515864734026</v>
      </c>
      <c r="DP348" s="383">
        <f t="shared" si="672"/>
        <v>8.1761492844554473E-2</v>
      </c>
      <c r="DQ348" s="383">
        <f t="shared" si="672"/>
        <v>6.5912391132260773E-2</v>
      </c>
      <c r="DR348" s="383">
        <f t="shared" si="672"/>
        <v>-1.2364401532004576E-2</v>
      </c>
      <c r="DS348" s="383">
        <f t="shared" si="672"/>
        <v>-9.3460563109968309E-3</v>
      </c>
      <c r="DT348" s="383">
        <f t="shared" si="672"/>
        <v>0.17601153186498575</v>
      </c>
      <c r="DU348" s="383">
        <f t="shared" si="672"/>
        <v>0.29365347994463042</v>
      </c>
      <c r="DV348" s="382">
        <f t="shared" si="672"/>
        <v>0.24385998240985041</v>
      </c>
      <c r="DW348" s="382">
        <f t="shared" si="672"/>
        <v>0.23304454212591286</v>
      </c>
      <c r="DX348" s="382">
        <f t="shared" si="672"/>
        <v>5.52976452161551E-2</v>
      </c>
      <c r="DY348" s="382">
        <f t="shared" si="672"/>
        <v>2.1850722232189312E-2</v>
      </c>
      <c r="DZ348" s="382">
        <f t="shared" si="672"/>
        <v>-2.3884798022611564E-2</v>
      </c>
      <c r="EA348" s="382">
        <f t="shared" si="672"/>
        <v>-1.7421412855095353E-3</v>
      </c>
      <c r="EB348" s="382">
        <f t="shared" si="672"/>
        <v>2.6963242939050724E-2</v>
      </c>
      <c r="EC348" s="382">
        <f t="shared" si="672"/>
        <v>6.1801612345818713E-2</v>
      </c>
      <c r="ED348" s="382">
        <f t="shared" si="672"/>
        <v>0.19289535740329744</v>
      </c>
      <c r="EE348" s="384">
        <f t="shared" si="672"/>
        <v>0.16854835613710484</v>
      </c>
      <c r="EF348" s="384">
        <f t="shared" si="672"/>
        <v>0.14940722737655587</v>
      </c>
      <c r="EG348" s="384">
        <f t="shared" si="672"/>
        <v>8.1912000000000207E-2</v>
      </c>
      <c r="EH348" s="384">
        <f t="shared" si="672"/>
        <v>6.1106000000000105E-2</v>
      </c>
      <c r="EI348" s="384">
        <f t="shared" si="672"/>
        <v>6.1106000000000105E-2</v>
      </c>
      <c r="EJ348" s="384">
        <f t="shared" si="672"/>
        <v>8.2118000000000135E-2</v>
      </c>
      <c r="EK348" s="384">
        <f t="shared" si="672"/>
        <v>0.10376036000000011</v>
      </c>
      <c r="EL348" s="384">
        <f t="shared" si="672"/>
        <v>8.2118000000000135E-2</v>
      </c>
      <c r="EM348" s="384">
        <f t="shared" si="672"/>
        <v>6.1106000000000105E-2</v>
      </c>
      <c r="EN348" s="384">
        <f t="shared" si="672"/>
        <v>4.0502000000000038E-2</v>
      </c>
      <c r="EO348" s="384">
        <f t="shared" si="672"/>
        <v>3.0301000000000133E-2</v>
      </c>
      <c r="EP348" s="384">
        <f t="shared" si="672"/>
        <v>3.0301000000000133E-2</v>
      </c>
      <c r="EQ348" s="384">
        <f t="shared" si="672"/>
        <v>3.0301000000000133E-2</v>
      </c>
      <c r="ER348" s="384">
        <f t="shared" si="672"/>
        <v>3.0301000000000133E-2</v>
      </c>
      <c r="ES348" s="384">
        <f t="shared" si="672"/>
        <v>3.0301000000000133E-2</v>
      </c>
      <c r="ET348" s="384">
        <f t="shared" si="672"/>
        <v>3.0301000000000133E-2</v>
      </c>
      <c r="EU348" s="384">
        <f t="shared" si="672"/>
        <v>3.0301000000000133E-2</v>
      </c>
      <c r="EV348" s="384">
        <f t="shared" si="672"/>
        <v>3.0300999999999911E-2</v>
      </c>
      <c r="EW348" s="384">
        <f t="shared" si="672"/>
        <v>4.0502000000000038E-2</v>
      </c>
      <c r="FI348" s="382">
        <f t="shared" ref="FI348:GK348" si="673">FI346/FH346-1</f>
        <v>-0.12824135509921952</v>
      </c>
      <c r="FJ348" s="382">
        <f t="shared" si="673"/>
        <v>0.75765407094344606</v>
      </c>
      <c r="FK348" s="382">
        <f t="shared" si="673"/>
        <v>0.72819871440742312</v>
      </c>
      <c r="FL348" s="382">
        <f t="shared" si="673"/>
        <v>4.8622461384718374E-2</v>
      </c>
      <c r="FM348" s="382">
        <f t="shared" si="673"/>
        <v>-0.20062151174567888</v>
      </c>
      <c r="FN348" s="382">
        <f t="shared" si="673"/>
        <v>-0.17315231525357044</v>
      </c>
      <c r="FO348" s="382">
        <f t="shared" si="673"/>
        <v>7.4615247920217787E-3</v>
      </c>
      <c r="FP348" s="382">
        <f t="shared" si="673"/>
        <v>0.1868601086996351</v>
      </c>
      <c r="FQ348" s="382">
        <f t="shared" si="673"/>
        <v>0.14391926761455687</v>
      </c>
      <c r="FR348" s="382">
        <f t="shared" si="673"/>
        <v>-0.10919362513732711</v>
      </c>
      <c r="FS348" s="382">
        <f t="shared" si="673"/>
        <v>-0.13440153165349167</v>
      </c>
      <c r="FT348" s="382">
        <f t="shared" si="673"/>
        <v>-1.6849996435030379E-2</v>
      </c>
      <c r="FU348" s="382">
        <f t="shared" si="673"/>
        <v>-6.9240378749701903E-2</v>
      </c>
      <c r="FV348" s="382">
        <f t="shared" si="673"/>
        <v>-0.15628034999357165</v>
      </c>
      <c r="FW348" s="382">
        <f t="shared" si="673"/>
        <v>-0.24414080060217669</v>
      </c>
      <c r="FX348" s="382">
        <f t="shared" si="673"/>
        <v>0.22735022401966609</v>
      </c>
      <c r="FY348" s="382">
        <f t="shared" si="673"/>
        <v>1.4481961746862408</v>
      </c>
      <c r="FZ348" s="382">
        <f t="shared" si="673"/>
        <v>0.14493175193650165</v>
      </c>
      <c r="GA348" s="382">
        <f t="shared" si="673"/>
        <v>8.5428905299143043E-3</v>
      </c>
      <c r="GB348" s="382">
        <f t="shared" si="673"/>
        <v>0.26647485872548682</v>
      </c>
      <c r="GC348" s="382">
        <f t="shared" si="673"/>
        <v>0.14852151356786569</v>
      </c>
      <c r="GD348" s="382">
        <f t="shared" si="673"/>
        <v>0.11881462264919196</v>
      </c>
      <c r="GE348" s="382">
        <f t="shared" si="673"/>
        <v>0.12186511699437563</v>
      </c>
      <c r="GF348" s="382">
        <f t="shared" si="673"/>
        <v>1.7932347702878104E-2</v>
      </c>
      <c r="GG348" s="387">
        <f t="shared" si="673"/>
        <v>0.14449675149700014</v>
      </c>
      <c r="GH348" s="387">
        <f t="shared" si="673"/>
        <v>7.7445450482733991E-2</v>
      </c>
      <c r="GI348" s="387">
        <f t="shared" si="673"/>
        <v>5.1838312739838965E-2</v>
      </c>
      <c r="GJ348" s="387">
        <f t="shared" si="673"/>
        <v>3.007167874130956E-2</v>
      </c>
      <c r="GK348" s="387">
        <f t="shared" si="673"/>
        <v>3.3042381679826649E-2</v>
      </c>
      <c r="GN348" s="70"/>
    </row>
    <row r="349" spans="1:196" s="382" customFormat="1">
      <c r="A349" s="478"/>
      <c r="AI349" s="389"/>
      <c r="AJ349" s="389"/>
      <c r="AK349" s="389"/>
      <c r="AL349" s="389"/>
      <c r="AM349" s="389"/>
      <c r="AN349" s="389"/>
      <c r="AO349" s="389"/>
      <c r="AP349" s="389"/>
      <c r="AQ349" s="389"/>
      <c r="AR349" s="389"/>
      <c r="AS349" s="389"/>
      <c r="AT349" s="389"/>
      <c r="AU349" s="389"/>
      <c r="AV349" s="389"/>
      <c r="AW349" s="389"/>
      <c r="AX349" s="389"/>
      <c r="AY349" s="389"/>
      <c r="AZ349" s="389"/>
      <c r="BA349" s="389"/>
      <c r="BB349" s="389"/>
      <c r="BC349" s="389"/>
      <c r="BD349" s="389"/>
      <c r="BE349" s="389"/>
      <c r="BF349" s="389"/>
      <c r="BG349" s="389"/>
      <c r="BH349" s="389"/>
      <c r="BI349" s="389"/>
      <c r="BJ349" s="389"/>
      <c r="BK349" s="389"/>
      <c r="BL349" s="389"/>
      <c r="BM349" s="389"/>
      <c r="BN349" s="389"/>
      <c r="BO349" s="389"/>
      <c r="BP349" s="389"/>
      <c r="BQ349" s="389"/>
      <c r="BR349" s="389"/>
      <c r="BS349" s="389"/>
      <c r="BT349" s="389"/>
      <c r="BU349" s="389"/>
      <c r="BV349" s="389"/>
      <c r="BW349" s="389"/>
      <c r="BX349" s="389"/>
      <c r="BY349" s="389"/>
      <c r="BZ349" s="389"/>
      <c r="CA349" s="389"/>
      <c r="CB349" s="389"/>
      <c r="CC349" s="389"/>
      <c r="CD349" s="389"/>
      <c r="CE349" s="389"/>
      <c r="CF349" s="389"/>
      <c r="CG349" s="389"/>
      <c r="CH349" s="389"/>
      <c r="CI349" s="389"/>
      <c r="CJ349" s="389"/>
      <c r="CK349" s="389"/>
      <c r="CL349" s="389"/>
      <c r="CM349" s="389"/>
      <c r="CN349" s="389"/>
      <c r="CO349" s="389"/>
      <c r="CP349" s="389"/>
      <c r="CQ349" s="389"/>
      <c r="CR349" s="389"/>
      <c r="CS349" s="389"/>
      <c r="CT349" s="389"/>
      <c r="CU349" s="389"/>
      <c r="CV349" s="389"/>
      <c r="CW349" s="389"/>
      <c r="CX349" s="389"/>
      <c r="CY349" s="389"/>
      <c r="CZ349" s="389"/>
      <c r="DA349" s="389"/>
      <c r="DB349" s="389"/>
      <c r="DC349" s="389"/>
      <c r="DD349" s="389"/>
      <c r="DE349" s="389"/>
      <c r="DF349" s="389"/>
      <c r="DG349" s="389"/>
      <c r="DH349" s="389"/>
      <c r="DI349" s="389"/>
      <c r="DJ349" s="479"/>
      <c r="DK349" s="479"/>
      <c r="DL349" s="479"/>
      <c r="DM349" s="479"/>
      <c r="DN349" s="420"/>
      <c r="DO349" s="420"/>
      <c r="DP349" s="420"/>
      <c r="DQ349" s="420"/>
      <c r="DR349" s="420"/>
      <c r="DS349" s="420"/>
      <c r="DT349" s="420"/>
      <c r="DU349" s="420"/>
      <c r="DV349" s="419"/>
      <c r="DW349" s="419"/>
      <c r="DX349" s="419"/>
      <c r="DY349" s="419"/>
      <c r="DZ349" s="419"/>
      <c r="EA349" s="419"/>
      <c r="EB349" s="419"/>
      <c r="EC349" s="419"/>
      <c r="ED349" s="419"/>
      <c r="EE349" s="419"/>
      <c r="EF349" s="419"/>
      <c r="EG349" s="419"/>
      <c r="EH349" s="419"/>
      <c r="EI349" s="419"/>
      <c r="EJ349" s="419"/>
      <c r="EK349" s="419"/>
      <c r="EL349" s="419"/>
      <c r="EM349" s="419"/>
      <c r="EN349" s="419"/>
      <c r="EO349" s="419"/>
      <c r="EP349" s="419"/>
      <c r="EQ349" s="419"/>
      <c r="ER349" s="419"/>
      <c r="ES349" s="419"/>
      <c r="ET349" s="419"/>
      <c r="EU349" s="419"/>
      <c r="EV349" s="419"/>
      <c r="EW349" s="419"/>
      <c r="FH349" s="389"/>
      <c r="FI349" s="389"/>
      <c r="FJ349" s="389"/>
      <c r="FK349" s="389"/>
      <c r="FL349" s="389"/>
      <c r="FM349" s="389"/>
      <c r="FN349" s="389"/>
      <c r="FO349" s="389"/>
      <c r="FP349" s="389"/>
      <c r="FQ349" s="389"/>
      <c r="FR349" s="389"/>
      <c r="FS349" s="389"/>
      <c r="FT349" s="389"/>
      <c r="FU349" s="389"/>
      <c r="FV349" s="389"/>
      <c r="FW349" s="389"/>
      <c r="FX349" s="389"/>
      <c r="FY349" s="389"/>
      <c r="FZ349" s="389"/>
      <c r="GA349" s="389"/>
      <c r="GB349" s="389"/>
      <c r="GC349" s="389"/>
      <c r="GD349" s="389"/>
      <c r="GE349" s="389"/>
      <c r="GF349" s="389"/>
      <c r="GG349" s="389"/>
      <c r="GH349" s="389"/>
      <c r="GI349" s="389"/>
      <c r="GJ349" s="389"/>
      <c r="GK349" s="389"/>
      <c r="GN349" s="70"/>
    </row>
    <row r="350" spans="1:196" hidden="1" outlineLevel="1">
      <c r="A350" s="61" t="s">
        <v>297</v>
      </c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75"/>
      <c r="CS350" s="62"/>
      <c r="CT350" s="76"/>
      <c r="CU350" s="76"/>
      <c r="CV350" s="76"/>
      <c r="CW350" s="76"/>
      <c r="CX350" s="76"/>
      <c r="CY350" s="76"/>
      <c r="CZ350" s="77"/>
      <c r="DA350" s="76"/>
      <c r="DB350" s="78"/>
      <c r="DC350" s="62"/>
      <c r="DD350" s="62"/>
      <c r="DE350" s="79"/>
      <c r="DF350" s="75"/>
      <c r="DG350" s="62"/>
      <c r="DH350" s="62"/>
      <c r="DI350" s="75"/>
      <c r="DJ350" s="80"/>
      <c r="DK350" s="80"/>
      <c r="DL350" s="80"/>
      <c r="DM350" s="80"/>
      <c r="DN350" s="128"/>
      <c r="DO350" s="81"/>
      <c r="DP350" s="132"/>
      <c r="DQ350" s="132"/>
      <c r="DR350" s="132"/>
      <c r="DS350" s="132"/>
      <c r="DT350" s="133"/>
      <c r="DU350" s="133"/>
      <c r="DV350" s="80"/>
      <c r="DW350" s="80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N350" s="48"/>
    </row>
    <row r="351" spans="1:196" s="418" customFormat="1" hidden="1" outlineLevel="1">
      <c r="A351" s="405" t="s">
        <v>294</v>
      </c>
      <c r="CR351" s="379"/>
      <c r="CT351" s="457"/>
      <c r="CU351" s="457"/>
      <c r="CV351" s="457"/>
      <c r="CW351" s="457"/>
      <c r="CX351" s="457"/>
      <c r="CY351" s="457"/>
      <c r="CZ351" s="134"/>
      <c r="DA351" s="457"/>
      <c r="DB351" s="94"/>
      <c r="DE351" s="95"/>
      <c r="DF351" s="379"/>
      <c r="DI351" s="379"/>
      <c r="DJ351" s="458"/>
      <c r="DK351" s="458"/>
      <c r="DL351" s="458"/>
      <c r="DM351" s="458"/>
      <c r="DN351" s="480">
        <f>DN355+DN359</f>
        <v>734.85500000000002</v>
      </c>
      <c r="DO351" s="480">
        <f>DO355+DO359</f>
        <v>1374.4651495999999</v>
      </c>
      <c r="DP351" s="480">
        <f t="shared" ref="DP351:EW351" si="674">DP355+DP359</f>
        <v>1423.0351040879998</v>
      </c>
      <c r="DQ351" s="480">
        <f>DQ355+DQ359+39.8</f>
        <v>1556.36645512888</v>
      </c>
      <c r="DR351" s="480">
        <f>DR355+DR359</f>
        <v>1658.6495119277704</v>
      </c>
      <c r="DS351" s="480">
        <f t="shared" si="674"/>
        <v>1555.919000822194</v>
      </c>
      <c r="DT351" s="480">
        <f t="shared" si="674"/>
        <v>1339.1806390397019</v>
      </c>
      <c r="DU351" s="480">
        <f t="shared" si="674"/>
        <v>1138.8201316837467</v>
      </c>
      <c r="DV351" s="480">
        <f t="shared" si="674"/>
        <v>972.50014022093751</v>
      </c>
      <c r="DW351" s="480">
        <f t="shared" si="674"/>
        <v>972.50014022093751</v>
      </c>
      <c r="DX351" s="480">
        <f t="shared" si="674"/>
        <v>1110.1085727540781</v>
      </c>
      <c r="DY351" s="480">
        <f t="shared" si="674"/>
        <v>1271.1082701671896</v>
      </c>
      <c r="DZ351" s="480">
        <f t="shared" si="674"/>
        <v>1083.9586181421109</v>
      </c>
      <c r="EA351" s="480">
        <f t="shared" si="674"/>
        <v>1136.713437140224</v>
      </c>
      <c r="EB351" s="480">
        <f t="shared" si="674"/>
        <v>1206.1746480931884</v>
      </c>
      <c r="EC351" s="480">
        <f t="shared" si="674"/>
        <v>1254.3958192564012</v>
      </c>
      <c r="ED351" s="480">
        <f t="shared" si="674"/>
        <v>1198.2172623787092</v>
      </c>
      <c r="EE351" s="480">
        <f t="shared" si="674"/>
        <v>1252.7632614291101</v>
      </c>
      <c r="EF351" s="480">
        <f t="shared" si="674"/>
        <v>1341.3397148678375</v>
      </c>
      <c r="EG351" s="480">
        <f t="shared" si="674"/>
        <v>1392.7288599926021</v>
      </c>
      <c r="EH351" s="480">
        <f t="shared" si="674"/>
        <v>1425.0811806862805</v>
      </c>
      <c r="EI351" s="480">
        <f t="shared" si="674"/>
        <v>1458.429175029624</v>
      </c>
      <c r="EJ351" s="480">
        <f t="shared" si="674"/>
        <v>1492.8065467415486</v>
      </c>
      <c r="EK351" s="480">
        <f t="shared" si="674"/>
        <v>1528.2482538941683</v>
      </c>
      <c r="EL351" s="480">
        <f t="shared" si="674"/>
        <v>1564.7905597367967</v>
      </c>
      <c r="EM351" s="480">
        <f t="shared" si="674"/>
        <v>1602.4710857249636</v>
      </c>
      <c r="EN351" s="480">
        <f t="shared" si="674"/>
        <v>1641.3288668550279</v>
      </c>
      <c r="EO351" s="480">
        <f t="shared" si="674"/>
        <v>1681.4044094097076</v>
      </c>
      <c r="EP351" s="480">
        <f t="shared" si="674"/>
        <v>1722.7397512248331</v>
      </c>
      <c r="EQ351" s="480">
        <f t="shared" si="674"/>
        <v>1765.3785245928354</v>
      </c>
      <c r="ER351" s="480">
        <f t="shared" si="674"/>
        <v>1809.3660219239569</v>
      </c>
      <c r="ES351" s="480">
        <f t="shared" si="674"/>
        <v>1854.749264291906</v>
      </c>
      <c r="ET351" s="480">
        <f t="shared" si="674"/>
        <v>1901.5770729966766</v>
      </c>
      <c r="EU351" s="480">
        <f t="shared" si="674"/>
        <v>1949.9001442835679</v>
      </c>
      <c r="EV351" s="480">
        <f t="shared" si="674"/>
        <v>1999.7711273640359</v>
      </c>
      <c r="EW351" s="480">
        <f t="shared" si="674"/>
        <v>2051.2447058909393</v>
      </c>
      <c r="GB351" s="376"/>
      <c r="GC351" s="376">
        <f>SUM(DN351:DQ351)</f>
        <v>5088.72170881688</v>
      </c>
      <c r="GD351" s="376">
        <f>SUM(DR351:DU351)</f>
        <v>5692.5692834734136</v>
      </c>
      <c r="GE351" s="376">
        <f>SUM(DV351:DY351)</f>
        <v>4326.2171233631425</v>
      </c>
      <c r="GF351" s="376">
        <f>SUM(DZ351:EC351)</f>
        <v>4681.2425226319247</v>
      </c>
      <c r="GG351" s="380">
        <f>SUM(ED351:EG351)</f>
        <v>5185.0490986682589</v>
      </c>
      <c r="GH351" s="380">
        <f>SUM(EH351:EK351)</f>
        <v>5904.5651563516212</v>
      </c>
      <c r="GI351" s="380">
        <f>SUM(EI351:EL351)</f>
        <v>6044.2745354021372</v>
      </c>
      <c r="GJ351" s="380">
        <f>SUM(EJ351:EM351)</f>
        <v>6188.3164460974776</v>
      </c>
      <c r="GK351" s="380">
        <f>SUM(EK351:EN351)</f>
        <v>6336.8387662109562</v>
      </c>
      <c r="GN351" s="70"/>
    </row>
    <row r="352" spans="1:196" s="418" customFormat="1" hidden="1" outlineLevel="1">
      <c r="A352" s="381" t="s">
        <v>198</v>
      </c>
      <c r="CR352" s="379"/>
      <c r="CT352" s="457"/>
      <c r="CU352" s="457"/>
      <c r="CV352" s="457"/>
      <c r="CW352" s="457"/>
      <c r="CX352" s="457"/>
      <c r="CY352" s="457"/>
      <c r="CZ352" s="134"/>
      <c r="DA352" s="457"/>
      <c r="DB352" s="94"/>
      <c r="DE352" s="95"/>
      <c r="DF352" s="379"/>
      <c r="DI352" s="379"/>
      <c r="DJ352" s="458"/>
      <c r="DK352" s="458"/>
      <c r="DL352" s="458"/>
      <c r="DM352" s="458"/>
      <c r="DN352" s="481"/>
      <c r="DO352" s="481">
        <f t="shared" ref="DO352:EH352" si="675">+DO351/DN351-1</f>
        <v>0.87038960012519451</v>
      </c>
      <c r="DP352" s="481">
        <f t="shared" si="675"/>
        <v>3.5337348860489337E-2</v>
      </c>
      <c r="DQ352" s="481">
        <f t="shared" si="675"/>
        <v>9.369505408394696E-2</v>
      </c>
      <c r="DR352" s="481">
        <f t="shared" si="675"/>
        <v>6.5719134758928321E-2</v>
      </c>
      <c r="DS352" s="481">
        <f t="shared" si="675"/>
        <v>-6.1936238106251595E-2</v>
      </c>
      <c r="DT352" s="481">
        <f t="shared" si="675"/>
        <v>-0.13929925765284767</v>
      </c>
      <c r="DU352" s="481">
        <f t="shared" si="675"/>
        <v>-0.14961425032221898</v>
      </c>
      <c r="DV352" s="481">
        <f t="shared" si="675"/>
        <v>-0.14604588278300357</v>
      </c>
      <c r="DW352" s="481">
        <f t="shared" si="675"/>
        <v>0</v>
      </c>
      <c r="DX352" s="481">
        <f>+DX351/DW351-1</f>
        <v>0.14149965315365187</v>
      </c>
      <c r="DY352" s="481">
        <f t="shared" si="675"/>
        <v>0.14503058652514134</v>
      </c>
      <c r="DZ352" s="481">
        <f t="shared" si="675"/>
        <v>-0.14723344691987783</v>
      </c>
      <c r="EA352" s="481">
        <f t="shared" si="675"/>
        <v>4.8668665127211241E-2</v>
      </c>
      <c r="EB352" s="481">
        <f t="shared" si="675"/>
        <v>6.1107055378633479E-2</v>
      </c>
      <c r="EC352" s="481">
        <f t="shared" si="675"/>
        <v>3.9978597825318651E-2</v>
      </c>
      <c r="ED352" s="481">
        <f t="shared" si="675"/>
        <v>-4.4785350855995665E-2</v>
      </c>
      <c r="EE352" s="481">
        <f t="shared" si="675"/>
        <v>4.5522628293733547E-2</v>
      </c>
      <c r="EF352" s="481">
        <f t="shared" si="675"/>
        <v>7.0704861936709662E-2</v>
      </c>
      <c r="EG352" s="481">
        <f t="shared" si="675"/>
        <v>3.8311804649598269E-2</v>
      </c>
      <c r="EH352" s="481">
        <f t="shared" si="675"/>
        <v>2.3229446608760806E-2</v>
      </c>
      <c r="EI352" s="481">
        <f>+EI351/EH351-1</f>
        <v>2.340076817749015E-2</v>
      </c>
      <c r="EJ352" s="481">
        <f>+EJ351/EI351-1</f>
        <v>2.3571505768338996E-2</v>
      </c>
      <c r="EK352" s="481">
        <f>+EK351/EJ351-1</f>
        <v>2.3741661121450042E-2</v>
      </c>
      <c r="EL352" s="481">
        <f t="shared" ref="EL352" si="676">+EL351/EK351-1</f>
        <v>2.3911236770278732E-2</v>
      </c>
      <c r="EM352" s="481">
        <f>+EM351/EL351-1</f>
        <v>2.4080236012226974E-2</v>
      </c>
      <c r="EN352" s="481">
        <f>+EN351/EM351-1</f>
        <v>2.4248662878360028E-2</v>
      </c>
      <c r="EO352" s="481">
        <f>+EO351/EN351-1</f>
        <v>2.441652210228229E-2</v>
      </c>
      <c r="EP352" s="481">
        <f t="shared" ref="EP352" si="677">+EP351/EO351-1</f>
        <v>2.4583819088256798E-2</v>
      </c>
      <c r="EQ352" s="481">
        <f>+EQ351/EP351-1</f>
        <v>2.4750559878639278E-2</v>
      </c>
      <c r="ER352" s="481">
        <f>+ER351/EQ351-1</f>
        <v>2.4916751120707348E-2</v>
      </c>
      <c r="ES352" s="481">
        <f>+ES351/ER351-1</f>
        <v>2.5082400032963914E-2</v>
      </c>
      <c r="ET352" s="481">
        <f t="shared" ref="ET352" si="678">+ET351/ES351-1</f>
        <v>2.524751437097783E-2</v>
      </c>
      <c r="EU352" s="481">
        <f>+EU351/ET351-1</f>
        <v>2.5412102392851965E-2</v>
      </c>
      <c r="EV352" s="481">
        <f>+EV351/EU351-1</f>
        <v>2.5576172824373744E-2</v>
      </c>
      <c r="EW352" s="481">
        <f>+EW351/EV351-1</f>
        <v>2.5739734823930771E-2</v>
      </c>
      <c r="GB352" s="382"/>
      <c r="GC352" s="386" t="s">
        <v>199</v>
      </c>
      <c r="GD352" s="386" t="s">
        <v>199</v>
      </c>
      <c r="GE352" s="386" t="s">
        <v>199</v>
      </c>
      <c r="GF352" s="386" t="s">
        <v>199</v>
      </c>
      <c r="GG352" s="386" t="s">
        <v>199</v>
      </c>
      <c r="GH352" s="386" t="s">
        <v>199</v>
      </c>
      <c r="GI352" s="386" t="s">
        <v>199</v>
      </c>
      <c r="GJ352" s="386" t="s">
        <v>199</v>
      </c>
      <c r="GK352" s="386" t="s">
        <v>199</v>
      </c>
      <c r="GN352" s="70"/>
    </row>
    <row r="353" spans="1:196" s="418" customFormat="1" hidden="1" outlineLevel="1">
      <c r="A353" s="381" t="s">
        <v>200</v>
      </c>
      <c r="CR353" s="379"/>
      <c r="CT353" s="457"/>
      <c r="CU353" s="457"/>
      <c r="CV353" s="457"/>
      <c r="CW353" s="457"/>
      <c r="CX353" s="457"/>
      <c r="CY353" s="457"/>
      <c r="CZ353" s="134"/>
      <c r="DA353" s="457"/>
      <c r="DB353" s="94"/>
      <c r="DE353" s="95"/>
      <c r="DF353" s="379"/>
      <c r="DI353" s="379"/>
      <c r="DJ353" s="458"/>
      <c r="DK353" s="458"/>
      <c r="DL353" s="458"/>
      <c r="DM353" s="458"/>
      <c r="DN353" s="481"/>
      <c r="DO353" s="481"/>
      <c r="DP353" s="481"/>
      <c r="DQ353" s="481"/>
      <c r="DR353" s="481">
        <f t="shared" ref="DR353:EW353" si="679">+DR351/DN351-1</f>
        <v>1.2571112830800231</v>
      </c>
      <c r="DS353" s="481">
        <f t="shared" si="679"/>
        <v>0.13201778981082302</v>
      </c>
      <c r="DT353" s="481">
        <f t="shared" si="679"/>
        <v>-5.8926490855641167E-2</v>
      </c>
      <c r="DU353" s="481">
        <f t="shared" si="679"/>
        <v>-0.26828278267572725</v>
      </c>
      <c r="DV353" s="481">
        <f t="shared" si="679"/>
        <v>-0.41367954276811247</v>
      </c>
      <c r="DW353" s="481">
        <f t="shared" si="679"/>
        <v>-0.37496737316850082</v>
      </c>
      <c r="DX353" s="481">
        <f t="shared" si="679"/>
        <v>-0.17105389639584889</v>
      </c>
      <c r="DY353" s="481">
        <f t="shared" si="679"/>
        <v>0.11616245164884353</v>
      </c>
      <c r="DZ353" s="481">
        <f t="shared" si="679"/>
        <v>0.11461024354798721</v>
      </c>
      <c r="EA353" s="481">
        <f t="shared" si="679"/>
        <v>0.16885683623858361</v>
      </c>
      <c r="EB353" s="481">
        <f t="shared" si="679"/>
        <v>8.6537549296443306E-2</v>
      </c>
      <c r="EC353" s="481">
        <f t="shared" si="679"/>
        <v>-1.3147936570808594E-2</v>
      </c>
      <c r="ED353" s="481">
        <f t="shared" si="679"/>
        <v>0.10540867734640624</v>
      </c>
      <c r="EE353" s="481">
        <f t="shared" si="679"/>
        <v>0.10209241880772302</v>
      </c>
      <c r="EF353" s="481">
        <f t="shared" si="679"/>
        <v>0.11206094157950375</v>
      </c>
      <c r="EG353" s="481">
        <f t="shared" si="679"/>
        <v>0.11027862068147187</v>
      </c>
      <c r="EH353" s="481">
        <f t="shared" si="679"/>
        <v>0.18933454343430123</v>
      </c>
      <c r="EI353" s="481">
        <f t="shared" si="679"/>
        <v>0.16416981558502686</v>
      </c>
      <c r="EJ353" s="481">
        <f t="shared" si="679"/>
        <v>0.11292205113649012</v>
      </c>
      <c r="EK353" s="481">
        <f t="shared" si="679"/>
        <v>9.7304936943926057E-2</v>
      </c>
      <c r="EL353" s="481">
        <f t="shared" si="679"/>
        <v>9.8036084500979781E-2</v>
      </c>
      <c r="EM353" s="481">
        <f t="shared" si="679"/>
        <v>9.8765105060664826E-2</v>
      </c>
      <c r="EN353" s="481">
        <f t="shared" si="679"/>
        <v>9.9492007479247135E-2</v>
      </c>
      <c r="EO353" s="481">
        <f t="shared" si="679"/>
        <v>0.10021680386369036</v>
      </c>
      <c r="EP353" s="481">
        <f t="shared" si="679"/>
        <v>0.10093950944758001</v>
      </c>
      <c r="EQ353" s="481">
        <f t="shared" si="679"/>
        <v>0.10166014246314581</v>
      </c>
      <c r="ER353" s="481">
        <f t="shared" si="679"/>
        <v>0.10237872400971493</v>
      </c>
      <c r="ES353" s="481">
        <f t="shared" si="679"/>
        <v>0.10309527791892426</v>
      </c>
      <c r="ET353" s="481">
        <f t="shared" si="679"/>
        <v>0.1038098306170121</v>
      </c>
      <c r="EU353" s="481">
        <f t="shared" si="679"/>
        <v>0.10452241098451687</v>
      </c>
      <c r="EV353" s="481">
        <f t="shared" si="679"/>
        <v>0.105233050213696</v>
      </c>
      <c r="EW353" s="481">
        <f t="shared" si="679"/>
        <v>0.10594178166397605</v>
      </c>
      <c r="GB353" s="382"/>
      <c r="GC353" s="392"/>
      <c r="GD353" s="392">
        <f>GD351/GC351-1</f>
        <v>0.11866390209751265</v>
      </c>
      <c r="GE353" s="392">
        <f>GE351/GD351-1</f>
        <v>-0.24002380859501271</v>
      </c>
      <c r="GF353" s="392">
        <f>GF351/GE351-1</f>
        <v>8.2063703495489415E-2</v>
      </c>
      <c r="GG353" s="387">
        <f>GG351/GF351-1</f>
        <v>0.10762240443656412</v>
      </c>
      <c r="GH353" s="387">
        <f>GH351/GG351-1</f>
        <v>0.13876745311209593</v>
      </c>
      <c r="GI353" s="387">
        <f t="shared" ref="GI353:GK353" si="680">GI351/GH351-1</f>
        <v>2.3661247755091486E-2</v>
      </c>
      <c r="GJ353" s="387">
        <f t="shared" si="680"/>
        <v>2.3831133058511478E-2</v>
      </c>
      <c r="GK353" s="387">
        <f t="shared" si="680"/>
        <v>2.4000440411727997E-2</v>
      </c>
      <c r="GN353" s="70"/>
    </row>
    <row r="354" spans="1:196" s="418" customFormat="1" hidden="1" outlineLevel="1">
      <c r="A354" s="381" t="s">
        <v>261</v>
      </c>
      <c r="CR354" s="379"/>
      <c r="CT354" s="457"/>
      <c r="CU354" s="457"/>
      <c r="CV354" s="457"/>
      <c r="CW354" s="457"/>
      <c r="CX354" s="457"/>
      <c r="CY354" s="457"/>
      <c r="CZ354" s="134"/>
      <c r="DA354" s="457"/>
      <c r="DB354" s="94"/>
      <c r="DE354" s="95"/>
      <c r="DF354" s="379"/>
      <c r="DI354" s="379"/>
      <c r="DJ354" s="458"/>
      <c r="DK354" s="458"/>
      <c r="DL354" s="458"/>
      <c r="DM354" s="458"/>
      <c r="DN354" s="391">
        <f t="shared" ref="DN354:EW354" si="681">DN351/DN$4</f>
        <v>0.1248267368778665</v>
      </c>
      <c r="DO354" s="391">
        <f t="shared" si="681"/>
        <v>0.20984200757251906</v>
      </c>
      <c r="DP354" s="391">
        <f t="shared" si="681"/>
        <v>0.25571160900053902</v>
      </c>
      <c r="DQ354" s="391">
        <f>DQ351/DQ$4</f>
        <v>0.27797221916929454</v>
      </c>
      <c r="DR354" s="391">
        <f t="shared" si="681"/>
        <v>0.30985419613819737</v>
      </c>
      <c r="DS354" s="391">
        <f t="shared" si="681"/>
        <v>0.29033756313159059</v>
      </c>
      <c r="DT354" s="391">
        <f t="shared" si="681"/>
        <v>0.23089321362753482</v>
      </c>
      <c r="DU354" s="391">
        <f t="shared" si="681"/>
        <v>0.18463361408621054</v>
      </c>
      <c r="DV354" s="391">
        <f t="shared" si="681"/>
        <v>0.17769050616132606</v>
      </c>
      <c r="DW354" s="391">
        <f t="shared" si="681"/>
        <v>0.16666669069767567</v>
      </c>
      <c r="DX354" s="384">
        <f t="shared" si="681"/>
        <v>0.16279638843731897</v>
      </c>
      <c r="DY354" s="384">
        <f t="shared" si="681"/>
        <v>0.1659843653913802</v>
      </c>
      <c r="DZ354" s="384">
        <f t="shared" si="681"/>
        <v>0.1457325380669684</v>
      </c>
      <c r="EA354" s="384">
        <f t="shared" si="681"/>
        <v>0.14791326442943709</v>
      </c>
      <c r="EB354" s="384">
        <f t="shared" si="681"/>
        <v>0.13045367165186983</v>
      </c>
      <c r="EC354" s="384">
        <f t="shared" si="681"/>
        <v>0.12214175455271677</v>
      </c>
      <c r="ED354" s="384">
        <f t="shared" si="681"/>
        <v>0.11686504070795954</v>
      </c>
      <c r="EE354" s="384">
        <f t="shared" si="681"/>
        <v>0.11162946438691526</v>
      </c>
      <c r="EF354" s="384">
        <f t="shared" si="681"/>
        <v>0.11183776966961871</v>
      </c>
      <c r="EG354" s="384">
        <f t="shared" si="681"/>
        <v>8.6015647250023627E-2</v>
      </c>
      <c r="EH354" s="384">
        <f t="shared" si="681"/>
        <v>8.1737576970489736E-2</v>
      </c>
      <c r="EI354" s="384">
        <f t="shared" si="681"/>
        <v>7.591430652314958E-2</v>
      </c>
      <c r="EJ354" s="384">
        <f t="shared" si="681"/>
        <v>6.7438468172583407E-2</v>
      </c>
      <c r="EK354" s="384">
        <f t="shared" si="681"/>
        <v>6.2330393955437421E-2</v>
      </c>
      <c r="EL354" s="384">
        <f t="shared" si="681"/>
        <v>6.5359006052140747E-2</v>
      </c>
      <c r="EM354" s="384">
        <f t="shared" si="681"/>
        <v>6.4014120421259729E-2</v>
      </c>
      <c r="EN354" s="384">
        <f t="shared" si="681"/>
        <v>6.1079680887372326E-2</v>
      </c>
      <c r="EO354" s="384">
        <f t="shared" si="681"/>
        <v>5.8479390483349575E-2</v>
      </c>
      <c r="EP354" s="384">
        <f t="shared" si="681"/>
        <v>6.1140872462698947E-2</v>
      </c>
      <c r="EQ354" s="384">
        <f t="shared" si="681"/>
        <v>6.0091280786162861E-2</v>
      </c>
      <c r="ER354" s="384">
        <f t="shared" si="681"/>
        <v>5.7048766784296247E-2</v>
      </c>
      <c r="ES354" s="384">
        <f t="shared" si="681"/>
        <v>5.6010646844536223E-2</v>
      </c>
      <c r="ET354" s="384">
        <f t="shared" si="681"/>
        <v>5.9960931247863551E-2</v>
      </c>
      <c r="EU354" s="384">
        <f t="shared" si="681"/>
        <v>5.8989677478124995E-2</v>
      </c>
      <c r="EV354" s="384">
        <f t="shared" si="681"/>
        <v>5.5057412858758148E-2</v>
      </c>
      <c r="EW354" s="384">
        <f t="shared" si="681"/>
        <v>5.3984089280806932E-2</v>
      </c>
      <c r="GB354" s="382"/>
      <c r="GC354" s="382">
        <f t="shared" ref="GC354:GK354" si="682">GC351/GC$4</f>
        <v>0.21561466500643531</v>
      </c>
      <c r="GD354" s="382">
        <f t="shared" si="682"/>
        <v>0.25099511831893356</v>
      </c>
      <c r="GE354" s="382">
        <f t="shared" si="682"/>
        <v>0.16778038097200476</v>
      </c>
      <c r="GF354" s="382">
        <f t="shared" si="682"/>
        <v>0.13514369706492463</v>
      </c>
      <c r="GG354" s="384">
        <f t="shared" si="682"/>
        <v>0.10440948385155806</v>
      </c>
      <c r="GH354" s="384">
        <f t="shared" si="682"/>
        <v>7.0882544898127134E-2</v>
      </c>
      <c r="GI354" s="384">
        <f t="shared" si="682"/>
        <v>5.7785441321293277E-2</v>
      </c>
      <c r="GJ354" s="384">
        <f t="shared" si="682"/>
        <v>5.0564254464624564E-2</v>
      </c>
      <c r="GK354" s="384">
        <f t="shared" si="682"/>
        <v>4.5560150970745762E-2</v>
      </c>
      <c r="GN354" s="70"/>
    </row>
    <row r="355" spans="1:196" s="379" customFormat="1" hidden="1" outlineLevel="1">
      <c r="A355" s="405" t="s">
        <v>274</v>
      </c>
      <c r="CD355" s="376">
        <f>CD321-CD327-CD339</f>
        <v>109.06</v>
      </c>
      <c r="CE355" s="376">
        <f>CE321-CE327-CE339</f>
        <v>91.007999999999996</v>
      </c>
      <c r="CF355" s="376">
        <f>CF321-CF327-CF339</f>
        <v>103.08400000000002</v>
      </c>
      <c r="CG355" s="376">
        <f>CG321-CG327-CG339</f>
        <v>178.12700000000001</v>
      </c>
      <c r="CH355" s="376">
        <f>CH321-CH327-CH339</f>
        <v>165.70300000000003</v>
      </c>
      <c r="CI355" s="376">
        <f>CI321-CI327-CI339</f>
        <v>114.703</v>
      </c>
      <c r="CJ355" s="376">
        <f>CJ321-CJ327-CJ339</f>
        <v>123.672</v>
      </c>
      <c r="CK355" s="376">
        <f>CK321-CK327-CK339</f>
        <v>113.21800000000002</v>
      </c>
      <c r="CL355" s="376">
        <f>CL321-CL327-CL339</f>
        <v>102.08</v>
      </c>
      <c r="CM355" s="376">
        <f>CM321-CM327-CM339</f>
        <v>100.40799999999999</v>
      </c>
      <c r="CN355" s="376">
        <f>CN321-CN327-CN339</f>
        <v>124.66600000000003</v>
      </c>
      <c r="CO355" s="376">
        <f>CO321-CO327-CO339</f>
        <v>93.649999999999991</v>
      </c>
      <c r="CP355" s="376">
        <f>CP321-CP327-CP339</f>
        <v>89.367000000000004</v>
      </c>
      <c r="CQ355" s="376">
        <f>CQ321-CQ327-CQ339</f>
        <v>109.19199999999999</v>
      </c>
      <c r="CR355" s="376">
        <f>CR321-CR327-CR339</f>
        <v>116.01699999999997</v>
      </c>
      <c r="CS355" s="376">
        <f>CS321-CS327-CS339</f>
        <v>107.39999999999999</v>
      </c>
      <c r="CT355" s="376">
        <f>CT321-CT327-CT339</f>
        <v>86.731999999999985</v>
      </c>
      <c r="CU355" s="376">
        <f>CU321-CU327-CU339</f>
        <v>92.862999999999985</v>
      </c>
      <c r="CV355" s="376">
        <f>CV321-CV327-CV339</f>
        <v>156.30399999999995</v>
      </c>
      <c r="CW355" s="376">
        <f>CW321-CW327-CW339</f>
        <v>117.40800000000002</v>
      </c>
      <c r="CX355" s="376">
        <f>CX321-CX327-CX339</f>
        <v>84.00800000000001</v>
      </c>
      <c r="CY355" s="376">
        <f>CY321-CY327-CY339</f>
        <v>113.14399999999999</v>
      </c>
      <c r="CZ355" s="376">
        <f>CZ321-CZ327-CZ339</f>
        <v>183.25199999999998</v>
      </c>
      <c r="DA355" s="376">
        <f>DA321-DA327-DA339</f>
        <v>67.450000000000017</v>
      </c>
      <c r="DB355" s="376">
        <f>DB321-DB327-DB339</f>
        <v>96.849000000000018</v>
      </c>
      <c r="DC355" s="376">
        <f>DC321-DC327-DC339</f>
        <v>133.44600000000003</v>
      </c>
      <c r="DD355" s="376">
        <f>DD321-DD327-DD339</f>
        <v>82.41900000000004</v>
      </c>
      <c r="DE355" s="376">
        <f>DE321-DE327-DE339</f>
        <v>81.077999999999975</v>
      </c>
      <c r="DF355" s="376">
        <f>DF321-DF327-DF339</f>
        <v>91.467000000000013</v>
      </c>
      <c r="DG355" s="376">
        <f>DG321-DG327-DG339</f>
        <v>68.266999999999996</v>
      </c>
      <c r="DH355" s="376">
        <f>DH321-DH327-DH339</f>
        <v>151.536</v>
      </c>
      <c r="DI355" s="376">
        <f>DI321-DI327-DI339</f>
        <v>123.755</v>
      </c>
      <c r="DJ355" s="397">
        <f>DJ321-DJ327-DJ339</f>
        <v>95.98255000000006</v>
      </c>
      <c r="DK355" s="397">
        <f>DK321-DK327-DK339</f>
        <v>90.040949999999953</v>
      </c>
      <c r="DL355" s="397">
        <f>DL321-DL327-DL339</f>
        <v>61.771830000000136</v>
      </c>
      <c r="DM355" s="397">
        <f>DM321-DM327-DM339</f>
        <v>82.392560000000231</v>
      </c>
      <c r="DN355" s="397">
        <f>DN321-DN327-DN339</f>
        <v>175.85500000000002</v>
      </c>
      <c r="DO355" s="410">
        <f>1257-DO365-DO369-DO373-DO381+1.8</f>
        <v>127.45531076999997</v>
      </c>
      <c r="DP355" s="410">
        <f>1303-DP365-DP369-DP373-DP381+0.9</f>
        <v>125.13725030539993</v>
      </c>
      <c r="DQ355" s="410">
        <f>1397-DQ365-DQ369-DQ373-DQ381-0.76</f>
        <v>167.86115970750791</v>
      </c>
      <c r="DR355" s="410">
        <v>200</v>
      </c>
      <c r="DS355" s="410">
        <f>DR355</f>
        <v>200</v>
      </c>
      <c r="DT355" s="410">
        <v>200</v>
      </c>
      <c r="DU355" s="410">
        <v>169</v>
      </c>
      <c r="DV355" s="410">
        <v>145</v>
      </c>
      <c r="DW355" s="410">
        <v>145</v>
      </c>
      <c r="DX355" s="380">
        <v>160</v>
      </c>
      <c r="DY355" s="380">
        <v>180</v>
      </c>
      <c r="DZ355" s="380">
        <v>155</v>
      </c>
      <c r="EA355" s="380">
        <v>178</v>
      </c>
      <c r="EB355" s="380">
        <v>185</v>
      </c>
      <c r="EC355" s="380">
        <v>205</v>
      </c>
      <c r="ED355" s="380">
        <v>180</v>
      </c>
      <c r="EE355" s="380">
        <v>200</v>
      </c>
      <c r="EF355" s="380">
        <v>215</v>
      </c>
      <c r="EG355" s="380">
        <v>235</v>
      </c>
      <c r="EH355" s="380">
        <v>235</v>
      </c>
      <c r="EI355" s="380">
        <v>235</v>
      </c>
      <c r="EJ355" s="380">
        <v>235</v>
      </c>
      <c r="EK355" s="380">
        <v>235</v>
      </c>
      <c r="EL355" s="380">
        <v>235</v>
      </c>
      <c r="EM355" s="380">
        <v>235</v>
      </c>
      <c r="EN355" s="380">
        <v>235</v>
      </c>
      <c r="EO355" s="380">
        <v>235</v>
      </c>
      <c r="EP355" s="380">
        <v>235</v>
      </c>
      <c r="EQ355" s="380">
        <v>235</v>
      </c>
      <c r="ER355" s="380">
        <v>235</v>
      </c>
      <c r="ES355" s="380">
        <v>235</v>
      </c>
      <c r="ET355" s="380">
        <v>235</v>
      </c>
      <c r="EU355" s="380">
        <v>235</v>
      </c>
      <c r="EV355" s="380">
        <v>235</v>
      </c>
      <c r="EW355" s="380">
        <v>235</v>
      </c>
      <c r="FH355" s="376"/>
      <c r="FI355" s="376"/>
      <c r="FJ355" s="376"/>
      <c r="FK355" s="376"/>
      <c r="FL355" s="376"/>
      <c r="FM355" s="376"/>
      <c r="FN355" s="376"/>
      <c r="FO355" s="376"/>
      <c r="FP355" s="376"/>
      <c r="FQ355" s="376"/>
      <c r="FR355" s="376"/>
      <c r="FS355" s="376"/>
      <c r="FT355" s="376">
        <f>CD355+CE355+CF355+CG355</f>
        <v>481.279</v>
      </c>
      <c r="FU355" s="376">
        <f>CH355+CI355+CJ355+CK355</f>
        <v>517.29600000000005</v>
      </c>
      <c r="FV355" s="376">
        <f>CL355+CM355+CN355+CO355</f>
        <v>420.80399999999997</v>
      </c>
      <c r="FW355" s="376">
        <f>CP355+CQ355+CR355+CS355</f>
        <v>421.97599999999994</v>
      </c>
      <c r="FX355" s="376">
        <f>CT355+CU355+CV355+CW355</f>
        <v>453.3069999999999</v>
      </c>
      <c r="FY355" s="376">
        <f>CX355+CY355+CZ355+DA355</f>
        <v>447.85400000000004</v>
      </c>
      <c r="FZ355" s="376">
        <f>DB355+DC355+DD355+DE355</f>
        <v>393.79200000000003</v>
      </c>
      <c r="GA355" s="376">
        <f>SUM(DF355:DI355)</f>
        <v>435.02499999999998</v>
      </c>
      <c r="GB355" s="376">
        <f>SUM(DJ355:DM355)</f>
        <v>330.18789000000038</v>
      </c>
      <c r="GC355" s="376">
        <f>SUM(DN355:DQ355)</f>
        <v>596.30872078290781</v>
      </c>
      <c r="GD355" s="376">
        <f>SUM(DR355:DU355)</f>
        <v>769</v>
      </c>
      <c r="GE355" s="376">
        <f>SUM(DV355:DY355)</f>
        <v>630</v>
      </c>
      <c r="GF355" s="376">
        <f>SUM(DZ355:EC355)</f>
        <v>723</v>
      </c>
      <c r="GG355" s="380">
        <f>SUM(ED355:EG355)</f>
        <v>830</v>
      </c>
      <c r="GH355" s="380">
        <f>SUM(EH355:EK355)</f>
        <v>940</v>
      </c>
      <c r="GI355" s="380">
        <f>SUM(EI355:EL355)</f>
        <v>940</v>
      </c>
      <c r="GJ355" s="380">
        <f>SUM(EJ355:EM355)</f>
        <v>940</v>
      </c>
      <c r="GK355" s="380">
        <f>SUM(EK355:EN355)</f>
        <v>940</v>
      </c>
      <c r="GN355" s="70"/>
    </row>
    <row r="356" spans="1:196" s="382" customFormat="1" hidden="1" outlineLevel="1">
      <c r="A356" s="381" t="s">
        <v>198</v>
      </c>
      <c r="CE356" s="382">
        <f t="shared" ref="CE356:DC356" si="683">CE355/CD355-1</f>
        <v>-0.16552356501008625</v>
      </c>
      <c r="CF356" s="382">
        <f t="shared" si="683"/>
        <v>0.13269163150492291</v>
      </c>
      <c r="CG356" s="382">
        <f t="shared" si="683"/>
        <v>0.72797912382134933</v>
      </c>
      <c r="CH356" s="382">
        <f t="shared" si="683"/>
        <v>-6.9747988794511606E-2</v>
      </c>
      <c r="CI356" s="382">
        <f t="shared" si="683"/>
        <v>-0.30777958154046714</v>
      </c>
      <c r="CJ356" s="382">
        <f t="shared" si="683"/>
        <v>7.8193246907229952E-2</v>
      </c>
      <c r="CK356" s="382">
        <f t="shared" si="683"/>
        <v>-8.4530047221683002E-2</v>
      </c>
      <c r="CL356" s="382">
        <f t="shared" si="683"/>
        <v>-9.8376583228815373E-2</v>
      </c>
      <c r="CM356" s="382">
        <f t="shared" si="683"/>
        <v>-1.6379310344827647E-2</v>
      </c>
      <c r="CN356" s="382">
        <f t="shared" si="683"/>
        <v>0.2415942952752772</v>
      </c>
      <c r="CO356" s="382">
        <f t="shared" si="683"/>
        <v>-0.24879277429291091</v>
      </c>
      <c r="CP356" s="382">
        <f t="shared" si="683"/>
        <v>-4.5734116390816704E-2</v>
      </c>
      <c r="CQ356" s="382">
        <f t="shared" si="683"/>
        <v>0.22183803864961327</v>
      </c>
      <c r="CR356" s="382">
        <f t="shared" si="683"/>
        <v>6.2504579090042922E-2</v>
      </c>
      <c r="CS356" s="382">
        <f t="shared" si="683"/>
        <v>-7.427359783479992E-2</v>
      </c>
      <c r="CT356" s="382">
        <f t="shared" si="683"/>
        <v>-0.19243947858473009</v>
      </c>
      <c r="CU356" s="382">
        <f t="shared" si="683"/>
        <v>7.0689019047179835E-2</v>
      </c>
      <c r="CV356" s="382">
        <f t="shared" si="683"/>
        <v>0.68316767711575088</v>
      </c>
      <c r="CW356" s="382">
        <f t="shared" si="683"/>
        <v>-0.24884839799365299</v>
      </c>
      <c r="CX356" s="382">
        <f t="shared" si="683"/>
        <v>-0.28447805941673476</v>
      </c>
      <c r="CY356" s="382">
        <f t="shared" si="683"/>
        <v>0.34682411198933405</v>
      </c>
      <c r="CZ356" s="382">
        <f t="shared" si="683"/>
        <v>0.61963515520045243</v>
      </c>
      <c r="DA356" s="382">
        <f t="shared" si="683"/>
        <v>-0.63192761879815762</v>
      </c>
      <c r="DB356" s="382">
        <f t="shared" si="683"/>
        <v>0.43586360266864332</v>
      </c>
      <c r="DC356" s="382">
        <f t="shared" si="683"/>
        <v>0.37787690115540684</v>
      </c>
      <c r="DD356" s="382">
        <f>DD355/DC355-1</f>
        <v>-0.3823793894159434</v>
      </c>
      <c r="DE356" s="382">
        <f>DE355/DD355-1</f>
        <v>-1.6270520147054213E-2</v>
      </c>
      <c r="DF356" s="382">
        <f>DF355/DE355-1</f>
        <v>0.12813586916302877</v>
      </c>
      <c r="DG356" s="382">
        <f t="shared" ref="DG356:EH356" si="684">DG355/DF355-1</f>
        <v>-0.25364339051242535</v>
      </c>
      <c r="DH356" s="382">
        <f t="shared" si="684"/>
        <v>1.2197547863535823</v>
      </c>
      <c r="DI356" s="382">
        <f t="shared" si="684"/>
        <v>-0.1833293738781544</v>
      </c>
      <c r="DJ356" s="383">
        <f t="shared" si="684"/>
        <v>-0.22441477112035824</v>
      </c>
      <c r="DK356" s="383">
        <f t="shared" si="684"/>
        <v>-6.1902918811805985E-2</v>
      </c>
      <c r="DL356" s="383">
        <f t="shared" si="684"/>
        <v>-0.31395848222391953</v>
      </c>
      <c r="DM356" s="383">
        <f t="shared" si="684"/>
        <v>0.3338209342349101</v>
      </c>
      <c r="DN356" s="383">
        <f t="shared" si="684"/>
        <v>1.1343553349962607</v>
      </c>
      <c r="DO356" s="391">
        <f t="shared" si="684"/>
        <v>-0.27522498211594804</v>
      </c>
      <c r="DP356" s="391">
        <f t="shared" si="684"/>
        <v>-1.8187241085489969E-2</v>
      </c>
      <c r="DQ356" s="391">
        <f t="shared" si="684"/>
        <v>0.34141639917641986</v>
      </c>
      <c r="DR356" s="391">
        <f t="shared" si="684"/>
        <v>0.19146084983859812</v>
      </c>
      <c r="DS356" s="391">
        <f t="shared" si="684"/>
        <v>0</v>
      </c>
      <c r="DT356" s="391">
        <f t="shared" si="684"/>
        <v>0</v>
      </c>
      <c r="DU356" s="391">
        <f t="shared" si="684"/>
        <v>-0.15500000000000003</v>
      </c>
      <c r="DV356" s="391">
        <f t="shared" si="684"/>
        <v>-0.14201183431952658</v>
      </c>
      <c r="DW356" s="391">
        <f t="shared" si="684"/>
        <v>0</v>
      </c>
      <c r="DX356" s="384">
        <f>DX355/DW355-1</f>
        <v>0.10344827586206895</v>
      </c>
      <c r="DY356" s="384">
        <f t="shared" si="684"/>
        <v>0.125</v>
      </c>
      <c r="DZ356" s="384">
        <f t="shared" si="684"/>
        <v>-0.13888888888888884</v>
      </c>
      <c r="EA356" s="384">
        <f t="shared" si="684"/>
        <v>0.14838709677419359</v>
      </c>
      <c r="EB356" s="384">
        <f t="shared" si="684"/>
        <v>3.9325842696629199E-2</v>
      </c>
      <c r="EC356" s="384">
        <f t="shared" si="684"/>
        <v>0.10810810810810811</v>
      </c>
      <c r="ED356" s="384">
        <f t="shared" si="684"/>
        <v>-0.12195121951219512</v>
      </c>
      <c r="EE356" s="384">
        <f t="shared" si="684"/>
        <v>0.11111111111111116</v>
      </c>
      <c r="EF356" s="384">
        <f t="shared" si="684"/>
        <v>7.4999999999999956E-2</v>
      </c>
      <c r="EG356" s="384">
        <f t="shared" si="684"/>
        <v>9.3023255813953432E-2</v>
      </c>
      <c r="EH356" s="384">
        <f t="shared" si="684"/>
        <v>0</v>
      </c>
      <c r="EI356" s="384">
        <f>EI355/EH355-1</f>
        <v>0</v>
      </c>
      <c r="EJ356" s="384">
        <f>EJ355/EI355-1</f>
        <v>0</v>
      </c>
      <c r="EK356" s="384">
        <f>EK355/EJ355-1</f>
        <v>0</v>
      </c>
      <c r="EL356" s="384">
        <f t="shared" ref="EL356" si="685">EL355/EK355-1</f>
        <v>0</v>
      </c>
      <c r="EM356" s="384">
        <f>EM355/EL355-1</f>
        <v>0</v>
      </c>
      <c r="EN356" s="384">
        <f>EN355/EM355-1</f>
        <v>0</v>
      </c>
      <c r="EO356" s="384">
        <f>EO355/EN355-1</f>
        <v>0</v>
      </c>
      <c r="EP356" s="384">
        <f t="shared" ref="EP356" si="686">EP355/EO355-1</f>
        <v>0</v>
      </c>
      <c r="EQ356" s="384">
        <f>EQ355/EP355-1</f>
        <v>0</v>
      </c>
      <c r="ER356" s="384">
        <f>ER355/EQ355-1</f>
        <v>0</v>
      </c>
      <c r="ES356" s="384">
        <f>ES355/ER355-1</f>
        <v>0</v>
      </c>
      <c r="ET356" s="384">
        <f t="shared" ref="ET356" si="687">ET355/ES355-1</f>
        <v>0</v>
      </c>
      <c r="EU356" s="384">
        <f>EU355/ET355-1</f>
        <v>0</v>
      </c>
      <c r="EV356" s="384">
        <f>EV355/EU355-1</f>
        <v>0</v>
      </c>
      <c r="EW356" s="384">
        <f>EW355/EV355-1</f>
        <v>0</v>
      </c>
      <c r="FZ356" s="386" t="s">
        <v>199</v>
      </c>
      <c r="GA356" s="386" t="s">
        <v>199</v>
      </c>
      <c r="GB356" s="386" t="s">
        <v>199</v>
      </c>
      <c r="GC356" s="386" t="s">
        <v>199</v>
      </c>
      <c r="GD356" s="386" t="s">
        <v>199</v>
      </c>
      <c r="GE356" s="386" t="s">
        <v>199</v>
      </c>
      <c r="GF356" s="386" t="s">
        <v>199</v>
      </c>
      <c r="GG356" s="386" t="s">
        <v>199</v>
      </c>
      <c r="GH356" s="386" t="s">
        <v>199</v>
      </c>
      <c r="GI356" s="386" t="s">
        <v>199</v>
      </c>
      <c r="GJ356" s="386" t="s">
        <v>199</v>
      </c>
      <c r="GK356" s="386" t="s">
        <v>199</v>
      </c>
      <c r="GN356" s="70"/>
    </row>
    <row r="357" spans="1:196" s="382" customFormat="1" hidden="1" outlineLevel="1">
      <c r="A357" s="381" t="s">
        <v>200</v>
      </c>
      <c r="CH357" s="382">
        <f t="shared" ref="CH357:ES357" si="688">CH355/CD355-1</f>
        <v>0.51937465615257672</v>
      </c>
      <c r="CI357" s="382">
        <f t="shared" si="688"/>
        <v>0.26036172644163158</v>
      </c>
      <c r="CJ357" s="382">
        <f t="shared" si="688"/>
        <v>0.19972061619649972</v>
      </c>
      <c r="CK357" s="382">
        <f t="shared" si="688"/>
        <v>-0.36439731203018066</v>
      </c>
      <c r="CL357" s="382">
        <f t="shared" si="688"/>
        <v>-0.38395804541861056</v>
      </c>
      <c r="CM357" s="382">
        <f t="shared" si="688"/>
        <v>-0.12462620855601003</v>
      </c>
      <c r="CN357" s="382">
        <f t="shared" si="688"/>
        <v>8.0373892231064836E-3</v>
      </c>
      <c r="CO357" s="382">
        <f t="shared" si="688"/>
        <v>-0.17283470826193736</v>
      </c>
      <c r="CP357" s="382">
        <f t="shared" si="688"/>
        <v>-0.12453957680250782</v>
      </c>
      <c r="CQ357" s="382">
        <f t="shared" si="688"/>
        <v>8.7483069078161169E-2</v>
      </c>
      <c r="CR357" s="382">
        <f t="shared" si="688"/>
        <v>-6.9377376349606612E-2</v>
      </c>
      <c r="CS357" s="382">
        <f t="shared" si="688"/>
        <v>0.14682327816337426</v>
      </c>
      <c r="CT357" s="382">
        <f t="shared" si="688"/>
        <v>-2.9485156713328409E-2</v>
      </c>
      <c r="CU357" s="382">
        <f t="shared" si="688"/>
        <v>-0.14954392263169469</v>
      </c>
      <c r="CV357" s="382">
        <f t="shared" si="688"/>
        <v>0.34725083392951017</v>
      </c>
      <c r="CW357" s="382">
        <f t="shared" si="688"/>
        <v>9.3184357541899576E-2</v>
      </c>
      <c r="CX357" s="382">
        <f t="shared" si="688"/>
        <v>-3.1407093114421136E-2</v>
      </c>
      <c r="CY357" s="382">
        <f t="shared" si="688"/>
        <v>0.21839699342041508</v>
      </c>
      <c r="CZ357" s="382">
        <f t="shared" si="688"/>
        <v>0.17240761592793552</v>
      </c>
      <c r="DA357" s="382">
        <f t="shared" si="688"/>
        <v>-0.42550763150722259</v>
      </c>
      <c r="DB357" s="382">
        <f t="shared" si="688"/>
        <v>0.15285449004856688</v>
      </c>
      <c r="DC357" s="382">
        <f t="shared" si="688"/>
        <v>0.17943505621155365</v>
      </c>
      <c r="DD357" s="382">
        <f t="shared" si="688"/>
        <v>-0.55024228930652841</v>
      </c>
      <c r="DE357" s="382">
        <f t="shared" si="688"/>
        <v>0.20204595997034769</v>
      </c>
      <c r="DF357" s="382">
        <f t="shared" si="688"/>
        <v>-5.5571043583310109E-2</v>
      </c>
      <c r="DG357" s="382">
        <f t="shared" si="688"/>
        <v>-0.48842977683857158</v>
      </c>
      <c r="DH357" s="382">
        <f t="shared" si="688"/>
        <v>0.83860517599097206</v>
      </c>
      <c r="DI357" s="382">
        <f t="shared" si="688"/>
        <v>0.5263696687140782</v>
      </c>
      <c r="DJ357" s="383">
        <f t="shared" si="688"/>
        <v>4.9368078104672142E-2</v>
      </c>
      <c r="DK357" s="383">
        <f t="shared" si="688"/>
        <v>0.31895278831646268</v>
      </c>
      <c r="DL357" s="383">
        <f t="shared" si="688"/>
        <v>-0.59236201298701208</v>
      </c>
      <c r="DM357" s="383">
        <f t="shared" si="688"/>
        <v>-0.33422843521473689</v>
      </c>
      <c r="DN357" s="383">
        <f t="shared" si="688"/>
        <v>0.83215594918034475</v>
      </c>
      <c r="DO357" s="391">
        <f t="shared" si="688"/>
        <v>0.41552605531150033</v>
      </c>
      <c r="DP357" s="391">
        <f t="shared" si="688"/>
        <v>1.0257980102807323</v>
      </c>
      <c r="DQ357" s="391">
        <f t="shared" si="688"/>
        <v>1.0373339499040624</v>
      </c>
      <c r="DR357" s="391">
        <f t="shared" si="688"/>
        <v>0.1373006169855846</v>
      </c>
      <c r="DS357" s="391">
        <f t="shared" si="688"/>
        <v>0.56917745358536576</v>
      </c>
      <c r="DT357" s="391">
        <f t="shared" si="688"/>
        <v>0.59824512295016907</v>
      </c>
      <c r="DU357" s="391">
        <f t="shared" si="688"/>
        <v>6.7844181136154091E-3</v>
      </c>
      <c r="DV357" s="391">
        <f t="shared" si="688"/>
        <v>-0.27500000000000002</v>
      </c>
      <c r="DW357" s="391">
        <f t="shared" si="688"/>
        <v>-0.27500000000000002</v>
      </c>
      <c r="DX357" s="384">
        <f t="shared" si="688"/>
        <v>-0.19999999999999996</v>
      </c>
      <c r="DY357" s="384">
        <f t="shared" si="688"/>
        <v>6.5088757396449815E-2</v>
      </c>
      <c r="DZ357" s="384">
        <f t="shared" si="688"/>
        <v>6.8965517241379226E-2</v>
      </c>
      <c r="EA357" s="384">
        <f t="shared" si="688"/>
        <v>0.22758620689655173</v>
      </c>
      <c r="EB357" s="384">
        <f t="shared" si="688"/>
        <v>0.15625</v>
      </c>
      <c r="EC357" s="384">
        <f t="shared" si="688"/>
        <v>0.13888888888888884</v>
      </c>
      <c r="ED357" s="384">
        <f t="shared" si="688"/>
        <v>0.16129032258064524</v>
      </c>
      <c r="EE357" s="384">
        <f t="shared" si="688"/>
        <v>0.12359550561797761</v>
      </c>
      <c r="EF357" s="384">
        <f t="shared" si="688"/>
        <v>0.16216216216216206</v>
      </c>
      <c r="EG357" s="384">
        <f t="shared" si="688"/>
        <v>0.14634146341463405</v>
      </c>
      <c r="EH357" s="384">
        <f t="shared" si="688"/>
        <v>0.30555555555555558</v>
      </c>
      <c r="EI357" s="384">
        <f t="shared" si="688"/>
        <v>0.17500000000000004</v>
      </c>
      <c r="EJ357" s="384">
        <f t="shared" si="688"/>
        <v>9.3023255813953432E-2</v>
      </c>
      <c r="EK357" s="384">
        <f t="shared" si="688"/>
        <v>0</v>
      </c>
      <c r="EL357" s="384">
        <f t="shared" si="688"/>
        <v>0</v>
      </c>
      <c r="EM357" s="384">
        <f t="shared" si="688"/>
        <v>0</v>
      </c>
      <c r="EN357" s="384">
        <f t="shared" si="688"/>
        <v>0</v>
      </c>
      <c r="EO357" s="384">
        <f t="shared" si="688"/>
        <v>0</v>
      </c>
      <c r="EP357" s="384">
        <f t="shared" si="688"/>
        <v>0</v>
      </c>
      <c r="EQ357" s="384">
        <f t="shared" si="688"/>
        <v>0</v>
      </c>
      <c r="ER357" s="384">
        <f t="shared" si="688"/>
        <v>0</v>
      </c>
      <c r="ES357" s="384">
        <f t="shared" si="688"/>
        <v>0</v>
      </c>
      <c r="ET357" s="384">
        <f t="shared" ref="ET357:EW357" si="689">ET355/EP355-1</f>
        <v>0</v>
      </c>
      <c r="EU357" s="384">
        <f t="shared" si="689"/>
        <v>0</v>
      </c>
      <c r="EV357" s="384">
        <f t="shared" si="689"/>
        <v>0</v>
      </c>
      <c r="EW357" s="384">
        <f t="shared" si="689"/>
        <v>0</v>
      </c>
      <c r="FU357" s="382">
        <f t="shared" ref="FU357:GK357" si="690">FU355/FT355-1</f>
        <v>7.4836009882002008E-2</v>
      </c>
      <c r="FV357" s="382">
        <f t="shared" si="690"/>
        <v>-0.18653150227336002</v>
      </c>
      <c r="FW357" s="382">
        <f t="shared" si="690"/>
        <v>2.7851446279028025E-3</v>
      </c>
      <c r="FX357" s="382">
        <f t="shared" si="690"/>
        <v>7.4248298481430108E-2</v>
      </c>
      <c r="FY357" s="382">
        <f t="shared" si="690"/>
        <v>-1.2029375235767081E-2</v>
      </c>
      <c r="FZ357" s="382">
        <f t="shared" si="690"/>
        <v>-0.12071344679292806</v>
      </c>
      <c r="GA357" s="382">
        <f t="shared" si="690"/>
        <v>0.10470756135218573</v>
      </c>
      <c r="GB357" s="382">
        <f t="shared" si="690"/>
        <v>-0.24099100051721078</v>
      </c>
      <c r="GC357" s="392">
        <f t="shared" si="690"/>
        <v>0.80596787115029311</v>
      </c>
      <c r="GD357" s="392">
        <f t="shared" si="690"/>
        <v>0.2896004589541501</v>
      </c>
      <c r="GE357" s="392">
        <f t="shared" si="690"/>
        <v>-0.1807542262678804</v>
      </c>
      <c r="GF357" s="392">
        <f t="shared" si="690"/>
        <v>0.14761904761904754</v>
      </c>
      <c r="GG357" s="387">
        <f t="shared" si="690"/>
        <v>0.1479944674965421</v>
      </c>
      <c r="GH357" s="387">
        <f t="shared" si="690"/>
        <v>0.1325301204819278</v>
      </c>
      <c r="GI357" s="387">
        <f t="shared" si="690"/>
        <v>0</v>
      </c>
      <c r="GJ357" s="387">
        <f t="shared" si="690"/>
        <v>0</v>
      </c>
      <c r="GK357" s="387">
        <f t="shared" si="690"/>
        <v>0</v>
      </c>
      <c r="GN357" s="70"/>
    </row>
    <row r="358" spans="1:196" s="382" customFormat="1" hidden="1" outlineLevel="1">
      <c r="A358" s="381" t="s">
        <v>261</v>
      </c>
      <c r="CT358" s="384"/>
      <c r="CU358" s="384"/>
      <c r="CV358" s="384"/>
      <c r="CW358" s="384"/>
      <c r="CX358" s="384"/>
      <c r="CY358" s="384"/>
      <c r="CZ358" s="384"/>
      <c r="DA358" s="384"/>
      <c r="DB358" s="384"/>
      <c r="DC358" s="384"/>
      <c r="DD358" s="384"/>
      <c r="DE358" s="384"/>
      <c r="DF358" s="384"/>
      <c r="DG358" s="384"/>
      <c r="DH358" s="384"/>
      <c r="DI358" s="384"/>
      <c r="DJ358" s="391"/>
      <c r="DK358" s="391"/>
      <c r="DL358" s="391"/>
      <c r="DM358" s="391"/>
      <c r="DN358" s="383">
        <f t="shared" ref="DN358:EW358" si="691">DN355/DN$4</f>
        <v>2.9871751316459999E-2</v>
      </c>
      <c r="DO358" s="391">
        <f t="shared" si="691"/>
        <v>1.9458826071755721E-2</v>
      </c>
      <c r="DP358" s="391">
        <f t="shared" si="691"/>
        <v>2.2486478042300077E-2</v>
      </c>
      <c r="DQ358" s="391">
        <f>DQ355/DQ$4</f>
        <v>2.9980560762191088E-2</v>
      </c>
      <c r="DR358" s="391">
        <f t="shared" si="691"/>
        <v>3.7362226788716604E-2</v>
      </c>
      <c r="DS358" s="391">
        <f t="shared" si="691"/>
        <v>3.7320395596193316E-2</v>
      </c>
      <c r="DT358" s="391">
        <f t="shared" si="691"/>
        <v>3.4482758620689655E-2</v>
      </c>
      <c r="DU358" s="391">
        <f t="shared" si="691"/>
        <v>2.7399481193255512E-2</v>
      </c>
      <c r="DV358" s="391">
        <f t="shared" si="691"/>
        <v>2.6493696327425542E-2</v>
      </c>
      <c r="DW358" s="391">
        <f t="shared" si="691"/>
        <v>2.4850042844901457E-2</v>
      </c>
      <c r="DX358" s="384">
        <f t="shared" si="691"/>
        <v>2.3463851004546121E-2</v>
      </c>
      <c r="DY358" s="384">
        <f t="shared" si="691"/>
        <v>2.3504831548707233E-2</v>
      </c>
      <c r="DZ358" s="384">
        <f t="shared" si="691"/>
        <v>2.0838935197633773E-2</v>
      </c>
      <c r="EA358" s="384">
        <f t="shared" si="691"/>
        <v>2.3162003903708522E-2</v>
      </c>
      <c r="EB358" s="384">
        <f t="shared" si="691"/>
        <v>2.00086523902228E-2</v>
      </c>
      <c r="EC358" s="384">
        <f t="shared" si="691"/>
        <v>1.9961051606621226E-2</v>
      </c>
      <c r="ED358" s="384">
        <f t="shared" si="691"/>
        <v>1.7555837315907541E-2</v>
      </c>
      <c r="EE358" s="384">
        <f t="shared" si="691"/>
        <v>1.7821318332654826E-2</v>
      </c>
      <c r="EF358" s="384">
        <f t="shared" si="691"/>
        <v>1.792619737747584E-2</v>
      </c>
      <c r="EG358" s="384">
        <f t="shared" si="691"/>
        <v>1.4513720282828721E-2</v>
      </c>
      <c r="EH358" s="384">
        <f t="shared" si="691"/>
        <v>1.3478762366937494E-2</v>
      </c>
      <c r="EI358" s="384">
        <f t="shared" si="691"/>
        <v>1.223224434781194E-2</v>
      </c>
      <c r="EJ358" s="384">
        <f t="shared" si="691"/>
        <v>1.0616271783607667E-2</v>
      </c>
      <c r="EK358" s="384">
        <f t="shared" si="691"/>
        <v>9.584596312937876E-3</v>
      </c>
      <c r="EL358" s="384">
        <f t="shared" si="691"/>
        <v>9.8156052429384383E-3</v>
      </c>
      <c r="EM358" s="384">
        <f t="shared" si="691"/>
        <v>9.3875754969958702E-3</v>
      </c>
      <c r="EN358" s="384">
        <f t="shared" si="691"/>
        <v>8.7451852571361031E-3</v>
      </c>
      <c r="EO358" s="384">
        <f t="shared" si="691"/>
        <v>8.1733202831386648E-3</v>
      </c>
      <c r="EP358" s="384">
        <f t="shared" si="691"/>
        <v>8.3402644064600132E-3</v>
      </c>
      <c r="EQ358" s="384">
        <f t="shared" si="691"/>
        <v>7.9991065870732882E-3</v>
      </c>
      <c r="ER358" s="384">
        <f t="shared" si="691"/>
        <v>7.4094793600987929E-3</v>
      </c>
      <c r="ES358" s="384">
        <f t="shared" si="691"/>
        <v>7.0966476503718182E-3</v>
      </c>
      <c r="ET358" s="384">
        <f t="shared" si="691"/>
        <v>7.4100698011899937E-3</v>
      </c>
      <c r="EU358" s="384">
        <f t="shared" si="691"/>
        <v>7.1093764714052887E-3</v>
      </c>
      <c r="EV358" s="384">
        <f t="shared" si="691"/>
        <v>6.4699864123265024E-3</v>
      </c>
      <c r="EW358" s="384">
        <f t="shared" si="691"/>
        <v>6.1846648254867609E-3</v>
      </c>
      <c r="FT358" s="382">
        <f t="shared" ref="FT358:GG358" si="692">FT355/FT$4</f>
        <v>9.0824495187771276E-2</v>
      </c>
      <c r="FU358" s="382">
        <f t="shared" si="692"/>
        <v>9.3951325826371238E-2</v>
      </c>
      <c r="FV358" s="382">
        <f t="shared" si="692"/>
        <v>0.1054382360310699</v>
      </c>
      <c r="FW358" s="382">
        <f t="shared" si="692"/>
        <v>9.8777153558052416E-2</v>
      </c>
      <c r="FX358" s="382">
        <f t="shared" si="692"/>
        <v>8.5064177143929429E-2</v>
      </c>
      <c r="FY358" s="382">
        <f t="shared" si="692"/>
        <v>6.9166640926640932E-2</v>
      </c>
      <c r="FZ358" s="382">
        <f t="shared" si="692"/>
        <v>5.8504234140543759E-2</v>
      </c>
      <c r="GA358" s="382">
        <f t="shared" si="692"/>
        <v>4.4558537334835599E-2</v>
      </c>
      <c r="GB358" s="382">
        <f t="shared" si="692"/>
        <v>2.0091754289886844E-2</v>
      </c>
      <c r="GC358" s="382">
        <f t="shared" si="692"/>
        <v>2.5266248073509929E-2</v>
      </c>
      <c r="GD358" s="382">
        <f t="shared" si="692"/>
        <v>3.3906525573192237E-2</v>
      </c>
      <c r="GE358" s="382">
        <f t="shared" si="692"/>
        <v>2.4432809773123908E-2</v>
      </c>
      <c r="GF358" s="382">
        <f t="shared" si="692"/>
        <v>2.0872427033112966E-2</v>
      </c>
      <c r="GG358" s="384">
        <f t="shared" si="692"/>
        <v>1.6713413884364398E-2</v>
      </c>
      <c r="GH358" s="384">
        <f>GH355/GH$4</f>
        <v>1.1284419841241847E-2</v>
      </c>
      <c r="GI358" s="384">
        <f t="shared" ref="GI358:GK358" si="693">GI355/GI$4</f>
        <v>8.9867385281502243E-3</v>
      </c>
      <c r="GJ358" s="384">
        <f t="shared" si="693"/>
        <v>7.6806672074310398E-3</v>
      </c>
      <c r="GK358" s="384">
        <f t="shared" si="693"/>
        <v>6.7583448928603051E-3</v>
      </c>
      <c r="GN358" s="70"/>
    </row>
    <row r="359" spans="1:196" s="382" customFormat="1" hidden="1" outlineLevel="1">
      <c r="A359" s="405" t="s">
        <v>298</v>
      </c>
      <c r="CT359" s="384"/>
      <c r="CU359" s="384"/>
      <c r="CV359" s="384"/>
      <c r="CW359" s="384"/>
      <c r="CX359" s="384"/>
      <c r="CY359" s="384"/>
      <c r="CZ359" s="384"/>
      <c r="DA359" s="384"/>
      <c r="DB359" s="384"/>
      <c r="DC359" s="384"/>
      <c r="DD359" s="384"/>
      <c r="DE359" s="384"/>
      <c r="DF359" s="384"/>
      <c r="DG359" s="384"/>
      <c r="DH359" s="384"/>
      <c r="DI359" s="384"/>
      <c r="DJ359" s="391"/>
      <c r="DK359" s="391"/>
      <c r="DL359" s="391"/>
      <c r="DM359" s="391"/>
      <c r="DN359" s="397">
        <v>559</v>
      </c>
      <c r="DO359" s="410">
        <f>DO383</f>
        <v>1247.00983883</v>
      </c>
      <c r="DP359" s="410">
        <f t="shared" ref="DP359:DW359" si="694">DP383</f>
        <v>1297.8978537825999</v>
      </c>
      <c r="DQ359" s="410">
        <f>DQ383</f>
        <v>1348.7052954213721</v>
      </c>
      <c r="DR359" s="410">
        <f t="shared" si="694"/>
        <v>1458.6495119277704</v>
      </c>
      <c r="DS359" s="410">
        <f t="shared" si="694"/>
        <v>1355.919000822194</v>
      </c>
      <c r="DT359" s="410">
        <f t="shared" si="694"/>
        <v>1139.1806390397019</v>
      </c>
      <c r="DU359" s="410">
        <f t="shared" si="694"/>
        <v>969.82013168374669</v>
      </c>
      <c r="DV359" s="410">
        <f t="shared" si="694"/>
        <v>827.50014022093751</v>
      </c>
      <c r="DW359" s="410">
        <f t="shared" si="694"/>
        <v>827.50014022093751</v>
      </c>
      <c r="DX359" s="380">
        <f>DX383</f>
        <v>950.10857275407807</v>
      </c>
      <c r="DY359" s="380">
        <f>DY383</f>
        <v>1091.1082701671896</v>
      </c>
      <c r="DZ359" s="380">
        <f t="shared" ref="DZ359:EW359" si="695">DZ383</f>
        <v>928.95861814211105</v>
      </c>
      <c r="EA359" s="380">
        <f t="shared" si="695"/>
        <v>958.71343714022407</v>
      </c>
      <c r="EB359" s="380">
        <f t="shared" si="695"/>
        <v>1021.1746480931885</v>
      </c>
      <c r="EC359" s="380">
        <f t="shared" si="695"/>
        <v>1049.3958192564012</v>
      </c>
      <c r="ED359" s="380">
        <f t="shared" si="695"/>
        <v>1018.2172623787092</v>
      </c>
      <c r="EE359" s="380">
        <f t="shared" si="695"/>
        <v>1052.7632614291101</v>
      </c>
      <c r="EF359" s="380">
        <f t="shared" si="695"/>
        <v>1126.3397148678375</v>
      </c>
      <c r="EG359" s="380">
        <f t="shared" si="695"/>
        <v>1157.7288599926021</v>
      </c>
      <c r="EH359" s="380">
        <f t="shared" si="695"/>
        <v>1190.0811806862805</v>
      </c>
      <c r="EI359" s="380">
        <f t="shared" si="695"/>
        <v>1223.429175029624</v>
      </c>
      <c r="EJ359" s="380">
        <f t="shared" si="695"/>
        <v>1257.8065467415486</v>
      </c>
      <c r="EK359" s="380">
        <f t="shared" si="695"/>
        <v>1293.2482538941683</v>
      </c>
      <c r="EL359" s="380">
        <f t="shared" si="695"/>
        <v>1329.7905597367967</v>
      </c>
      <c r="EM359" s="380">
        <f t="shared" si="695"/>
        <v>1367.4710857249636</v>
      </c>
      <c r="EN359" s="380">
        <f t="shared" si="695"/>
        <v>1406.3288668550279</v>
      </c>
      <c r="EO359" s="380">
        <f t="shared" si="695"/>
        <v>1446.4044094097076</v>
      </c>
      <c r="EP359" s="380">
        <f t="shared" si="695"/>
        <v>1487.7397512248331</v>
      </c>
      <c r="EQ359" s="380">
        <f t="shared" si="695"/>
        <v>1530.3785245928354</v>
      </c>
      <c r="ER359" s="380">
        <f t="shared" si="695"/>
        <v>1574.3660219239569</v>
      </c>
      <c r="ES359" s="380">
        <f t="shared" si="695"/>
        <v>1619.749264291906</v>
      </c>
      <c r="ET359" s="380">
        <f t="shared" si="695"/>
        <v>1666.5770729966766</v>
      </c>
      <c r="EU359" s="380">
        <f t="shared" si="695"/>
        <v>1714.9001442835679</v>
      </c>
      <c r="EV359" s="380">
        <f t="shared" si="695"/>
        <v>1764.7711273640359</v>
      </c>
      <c r="EW359" s="380">
        <f t="shared" si="695"/>
        <v>1816.244705890939</v>
      </c>
      <c r="GB359" s="376"/>
      <c r="GC359" s="376">
        <f>SUM(DN359:DQ359)</f>
        <v>4452.6129880339722</v>
      </c>
      <c r="GD359" s="376">
        <f>SUM(DR359:DU359)</f>
        <v>4923.5692834734127</v>
      </c>
      <c r="GE359" s="376">
        <f>SUM(DV359:DY359)</f>
        <v>3696.2171233631425</v>
      </c>
      <c r="GF359" s="376">
        <f>SUM(DZ359:EC359)</f>
        <v>3958.2425226319247</v>
      </c>
      <c r="GG359" s="380">
        <f>SUM(ED359:EG359)</f>
        <v>4355.0490986682589</v>
      </c>
      <c r="GH359" s="380">
        <f>SUM(EH359:EK359)</f>
        <v>4964.5651563516212</v>
      </c>
      <c r="GI359" s="380">
        <f>SUM(EI359:EL359)</f>
        <v>5104.2745354021372</v>
      </c>
      <c r="GJ359" s="380">
        <f>SUM(EJ359:EM359)</f>
        <v>5248.3164460974767</v>
      </c>
      <c r="GK359" s="380">
        <f>SUM(EK359:EN359)</f>
        <v>5396.8387662109562</v>
      </c>
      <c r="GN359" s="70"/>
    </row>
    <row r="360" spans="1:196" s="382" customFormat="1" hidden="1" outlineLevel="1">
      <c r="A360" s="381" t="s">
        <v>198</v>
      </c>
      <c r="CT360" s="384"/>
      <c r="CU360" s="384"/>
      <c r="CV360" s="384"/>
      <c r="CW360" s="384"/>
      <c r="CX360" s="384"/>
      <c r="CY360" s="384"/>
      <c r="CZ360" s="384"/>
      <c r="DA360" s="384"/>
      <c r="DB360" s="384"/>
      <c r="DC360" s="384"/>
      <c r="DD360" s="384"/>
      <c r="DE360" s="384"/>
      <c r="DF360" s="384"/>
      <c r="DG360" s="384"/>
      <c r="DH360" s="384"/>
      <c r="DI360" s="384"/>
      <c r="DJ360" s="391"/>
      <c r="DK360" s="391"/>
      <c r="DL360" s="391"/>
      <c r="DM360" s="391"/>
      <c r="DN360" s="383"/>
      <c r="DO360" s="391">
        <f t="shared" ref="DO360:EH360" si="696">DO359/DN359-1</f>
        <v>1.2307868315384618</v>
      </c>
      <c r="DP360" s="391">
        <f t="shared" si="696"/>
        <v>4.0808030031539433E-2</v>
      </c>
      <c r="DQ360" s="391">
        <f t="shared" si="696"/>
        <v>3.914594780374947E-2</v>
      </c>
      <c r="DR360" s="391">
        <f t="shared" si="696"/>
        <v>8.1518339758611891E-2</v>
      </c>
      <c r="DS360" s="391">
        <f t="shared" si="696"/>
        <v>-7.0428509566911934E-2</v>
      </c>
      <c r="DT360" s="391">
        <f t="shared" si="696"/>
        <v>-0.15984609821904383</v>
      </c>
      <c r="DU360" s="391">
        <f t="shared" si="696"/>
        <v>-0.14866870235674079</v>
      </c>
      <c r="DV360" s="391">
        <f t="shared" si="696"/>
        <v>-0.14674885250703273</v>
      </c>
      <c r="DW360" s="391">
        <f t="shared" si="696"/>
        <v>0</v>
      </c>
      <c r="DX360" s="384">
        <f>DX359/DW359-1</f>
        <v>0.14816726496312715</v>
      </c>
      <c r="DY360" s="384">
        <f t="shared" si="696"/>
        <v>0.1484037734807464</v>
      </c>
      <c r="DZ360" s="384">
        <f t="shared" si="696"/>
        <v>-0.14861004765387076</v>
      </c>
      <c r="EA360" s="384">
        <f t="shared" si="696"/>
        <v>3.2030295448059576E-2</v>
      </c>
      <c r="EB360" s="384">
        <f t="shared" si="696"/>
        <v>6.5151074902300099E-2</v>
      </c>
      <c r="EC360" s="384">
        <f t="shared" si="696"/>
        <v>2.7635988825133184E-2</v>
      </c>
      <c r="ED360" s="384">
        <f t="shared" si="696"/>
        <v>-2.971095968324422E-2</v>
      </c>
      <c r="EE360" s="384">
        <f t="shared" si="696"/>
        <v>3.3927925136228998E-2</v>
      </c>
      <c r="EF360" s="384">
        <f t="shared" si="696"/>
        <v>6.9888887781711206E-2</v>
      </c>
      <c r="EG360" s="384">
        <f t="shared" si="696"/>
        <v>2.78682751841417E-2</v>
      </c>
      <c r="EH360" s="384">
        <f t="shared" si="696"/>
        <v>2.7944643872732877E-2</v>
      </c>
      <c r="EI360" s="384">
        <f>EI359/EH359-1</f>
        <v>2.8021613050055016E-2</v>
      </c>
      <c r="EJ360" s="384">
        <f>EJ359/EI359-1</f>
        <v>2.8099192346865642E-2</v>
      </c>
      <c r="EK360" s="384">
        <f>EK359/EJ359-1</f>
        <v>2.8177391224774917E-2</v>
      </c>
      <c r="EL360" s="384">
        <f t="shared" ref="EL360" si="697">EL359/EK359-1</f>
        <v>2.8256218968472524E-2</v>
      </c>
      <c r="EM360" s="384">
        <f>EM359/EL359-1</f>
        <v>2.8335684677762263E-2</v>
      </c>
      <c r="EN360" s="384">
        <f>EN359/EM359-1</f>
        <v>2.8415797259408793E-2</v>
      </c>
      <c r="EO360" s="384">
        <f>EO359/EN359-1</f>
        <v>2.8496565418798969E-2</v>
      </c>
      <c r="EP360" s="384">
        <f t="shared" ref="EP360" si="698">EP359/EO359-1</f>
        <v>2.8577997651427767E-2</v>
      </c>
      <c r="EQ360" s="384">
        <f>EQ359/EP359-1</f>
        <v>2.8660102234210338E-2</v>
      </c>
      <c r="ER360" s="384">
        <f>ER359/EQ359-1</f>
        <v>2.8742887216627988E-2</v>
      </c>
      <c r="ES360" s="384">
        <f>ES359/ER359-1</f>
        <v>2.8826360411722041E-2</v>
      </c>
      <c r="ET360" s="384">
        <f t="shared" ref="ET360" si="699">ET359/ES359-1</f>
        <v>2.8910529386930728E-2</v>
      </c>
      <c r="EU360" s="384">
        <f>EU359/ET359-1</f>
        <v>2.899540145479218E-2</v>
      </c>
      <c r="EV360" s="384">
        <f>EV359/EU359-1</f>
        <v>2.9080983663513971E-2</v>
      </c>
      <c r="EW360" s="384">
        <f>EW359/EV359-1</f>
        <v>2.91672827874212E-2</v>
      </c>
      <c r="GC360" s="386" t="s">
        <v>199</v>
      </c>
      <c r="GD360" s="386" t="s">
        <v>199</v>
      </c>
      <c r="GE360" s="386" t="s">
        <v>199</v>
      </c>
      <c r="GF360" s="386" t="s">
        <v>199</v>
      </c>
      <c r="GG360" s="386" t="s">
        <v>199</v>
      </c>
      <c r="GH360" s="386" t="s">
        <v>199</v>
      </c>
      <c r="GI360" s="386" t="s">
        <v>199</v>
      </c>
      <c r="GJ360" s="386" t="s">
        <v>199</v>
      </c>
      <c r="GK360" s="386" t="s">
        <v>199</v>
      </c>
      <c r="GN360" s="70"/>
    </row>
    <row r="361" spans="1:196" s="382" customFormat="1" hidden="1" outlineLevel="1">
      <c r="A361" s="381" t="s">
        <v>200</v>
      </c>
      <c r="CT361" s="384"/>
      <c r="CU361" s="384"/>
      <c r="CV361" s="384"/>
      <c r="CW361" s="384"/>
      <c r="CX361" s="384"/>
      <c r="CY361" s="384"/>
      <c r="CZ361" s="384"/>
      <c r="DA361" s="384"/>
      <c r="DB361" s="384"/>
      <c r="DC361" s="384"/>
      <c r="DD361" s="384"/>
      <c r="DE361" s="384"/>
      <c r="DF361" s="384"/>
      <c r="DG361" s="384"/>
      <c r="DH361" s="384"/>
      <c r="DI361" s="384"/>
      <c r="DJ361" s="391"/>
      <c r="DK361" s="391"/>
      <c r="DL361" s="391"/>
      <c r="DM361" s="391"/>
      <c r="DN361" s="383"/>
      <c r="DO361" s="391"/>
      <c r="DP361" s="391"/>
      <c r="DQ361" s="391"/>
      <c r="DR361" s="391">
        <f t="shared" ref="DR361:EW361" si="700">DR359/DN359-1</f>
        <v>1.6093908979029883</v>
      </c>
      <c r="DS361" s="391">
        <f t="shared" si="700"/>
        <v>8.7336249162538682E-2</v>
      </c>
      <c r="DT361" s="391">
        <f t="shared" si="700"/>
        <v>-0.12228790908339338</v>
      </c>
      <c r="DU361" s="391">
        <f t="shared" si="700"/>
        <v>-0.28092509536655408</v>
      </c>
      <c r="DV361" s="391">
        <f t="shared" si="700"/>
        <v>-0.43269432892943394</v>
      </c>
      <c r="DW361" s="391">
        <f t="shared" si="700"/>
        <v>-0.38971270428457527</v>
      </c>
      <c r="DX361" s="384">
        <f t="shared" si="700"/>
        <v>-0.16597198004085323</v>
      </c>
      <c r="DY361" s="384">
        <f t="shared" si="700"/>
        <v>0.12506250852193523</v>
      </c>
      <c r="DZ361" s="384">
        <f t="shared" si="700"/>
        <v>0.12260841175698745</v>
      </c>
      <c r="EA361" s="384">
        <f t="shared" si="700"/>
        <v>0.15856589085804074</v>
      </c>
      <c r="EB361" s="384">
        <f t="shared" si="700"/>
        <v>7.4797846664104162E-2</v>
      </c>
      <c r="EC361" s="384">
        <f t="shared" si="700"/>
        <v>-3.8229433367228394E-2</v>
      </c>
      <c r="ED361" s="384">
        <f t="shared" si="700"/>
        <v>9.608462906034787E-2</v>
      </c>
      <c r="EE361" s="384">
        <f t="shared" si="700"/>
        <v>9.810003766029407E-2</v>
      </c>
      <c r="EF361" s="384">
        <f t="shared" si="700"/>
        <v>0.10298440817251087</v>
      </c>
      <c r="EG361" s="384">
        <f t="shared" si="700"/>
        <v>0.10323372625304095</v>
      </c>
      <c r="EH361" s="384">
        <f t="shared" si="700"/>
        <v>0.16878904400625783</v>
      </c>
      <c r="EI361" s="384">
        <f t="shared" si="700"/>
        <v>0.16211233793325719</v>
      </c>
      <c r="EJ361" s="384">
        <f t="shared" si="700"/>
        <v>0.11672040871713119</v>
      </c>
      <c r="EK361" s="384">
        <f t="shared" si="700"/>
        <v>0.11705624571061679</v>
      </c>
      <c r="EL361" s="384">
        <f t="shared" si="700"/>
        <v>0.11739483097274972</v>
      </c>
      <c r="EM361" s="384">
        <f t="shared" si="700"/>
        <v>0.11773620707700694</v>
      </c>
      <c r="EN361" s="384">
        <f t="shared" si="700"/>
        <v>0.1180804158622315</v>
      </c>
      <c r="EO361" s="384">
        <f t="shared" si="700"/>
        <v>0.11842749839743649</v>
      </c>
      <c r="EP361" s="384">
        <f t="shared" si="700"/>
        <v>0.11877749494574474</v>
      </c>
      <c r="EQ361" s="384">
        <f t="shared" si="700"/>
        <v>0.11913044492747482</v>
      </c>
      <c r="ER361" s="384">
        <f t="shared" si="700"/>
        <v>0.11948638688240143</v>
      </c>
      <c r="ES361" s="384">
        <f t="shared" si="700"/>
        <v>0.11984535843121646</v>
      </c>
      <c r="ET361" s="384">
        <f t="shared" si="700"/>
        <v>0.1202073962362098</v>
      </c>
      <c r="EU361" s="384">
        <f t="shared" si="700"/>
        <v>0.12057253596120954</v>
      </c>
      <c r="EV361" s="384">
        <f t="shared" si="700"/>
        <v>0.12094081223081421</v>
      </c>
      <c r="EW361" s="384">
        <f t="shared" si="700"/>
        <v>0.12131225858894501</v>
      </c>
      <c r="GC361" s="392"/>
      <c r="GD361" s="392">
        <f>GD359/GC359-1</f>
        <v>0.10577076801983387</v>
      </c>
      <c r="GE361" s="392">
        <f>GE359/GD359-1</f>
        <v>-0.24928097675603633</v>
      </c>
      <c r="GF361" s="392">
        <f>GF359/GE359-1</f>
        <v>7.0890153506558251E-2</v>
      </c>
      <c r="GG361" s="387">
        <f>GG359/GF359-1</f>
        <v>0.10024817169931488</v>
      </c>
      <c r="GH361" s="387">
        <f>GH359/GG359-1</f>
        <v>0.13995618507946284</v>
      </c>
      <c r="GI361" s="387">
        <f t="shared" ref="GI361:GK361" si="701">GI359/GH359-1</f>
        <v>2.8141312411173125E-2</v>
      </c>
      <c r="GJ361" s="387">
        <f t="shared" si="701"/>
        <v>2.8219859589506013E-2</v>
      </c>
      <c r="GK361" s="387">
        <f t="shared" si="701"/>
        <v>2.8299040585465729E-2</v>
      </c>
      <c r="GN361" s="70"/>
    </row>
    <row r="362" spans="1:196" s="382" customFormat="1" hidden="1" outlineLevel="1">
      <c r="A362" s="381" t="s">
        <v>261</v>
      </c>
      <c r="CT362" s="384"/>
      <c r="CU362" s="384"/>
      <c r="CV362" s="384"/>
      <c r="CW362" s="384"/>
      <c r="CX362" s="384"/>
      <c r="CY362" s="384"/>
      <c r="CZ362" s="384"/>
      <c r="DA362" s="384"/>
      <c r="DB362" s="384"/>
      <c r="DC362" s="384"/>
      <c r="DD362" s="384"/>
      <c r="DE362" s="384"/>
      <c r="DF362" s="384"/>
      <c r="DG362" s="384"/>
      <c r="DH362" s="384"/>
      <c r="DI362" s="384"/>
      <c r="DJ362" s="391"/>
      <c r="DK362" s="391"/>
      <c r="DL362" s="391"/>
      <c r="DM362" s="391"/>
      <c r="DN362" s="383">
        <f t="shared" ref="DN362:EW362" si="702">DN359/DN$4</f>
        <v>9.4954985561406482E-2</v>
      </c>
      <c r="DO362" s="391">
        <f t="shared" si="702"/>
        <v>0.19038318150076336</v>
      </c>
      <c r="DP362" s="391">
        <f t="shared" si="702"/>
        <v>0.23322513095823896</v>
      </c>
      <c r="DQ362" s="391">
        <f>DQ359/DQ$4</f>
        <v>0.2408832461906362</v>
      </c>
      <c r="DR362" s="391">
        <f t="shared" si="702"/>
        <v>0.27249196934948072</v>
      </c>
      <c r="DS362" s="391">
        <f t="shared" si="702"/>
        <v>0.25301716753539727</v>
      </c>
      <c r="DT362" s="391">
        <f t="shared" si="702"/>
        <v>0.19641045500684515</v>
      </c>
      <c r="DU362" s="391">
        <f t="shared" si="702"/>
        <v>0.15723413289295504</v>
      </c>
      <c r="DV362" s="391">
        <f t="shared" si="702"/>
        <v>0.15119680983390052</v>
      </c>
      <c r="DW362" s="391">
        <f t="shared" si="702"/>
        <v>0.1418166478527742</v>
      </c>
      <c r="DX362" s="384">
        <f t="shared" si="702"/>
        <v>0.13933253743277285</v>
      </c>
      <c r="DY362" s="384">
        <f t="shared" si="702"/>
        <v>0.14247953384267298</v>
      </c>
      <c r="DZ362" s="384">
        <f t="shared" si="702"/>
        <v>0.12489360286933464</v>
      </c>
      <c r="EA362" s="384">
        <f t="shared" si="702"/>
        <v>0.12475126052572857</v>
      </c>
      <c r="EB362" s="384">
        <f t="shared" si="702"/>
        <v>0.11044501926164703</v>
      </c>
      <c r="EC362" s="384">
        <f t="shared" si="702"/>
        <v>0.10218070294609553</v>
      </c>
      <c r="ED362" s="384">
        <f t="shared" si="702"/>
        <v>9.9309203392052001E-2</v>
      </c>
      <c r="EE362" s="384">
        <f t="shared" si="702"/>
        <v>9.3808146054260438E-2</v>
      </c>
      <c r="EF362" s="384">
        <f t="shared" si="702"/>
        <v>9.3911572292142864E-2</v>
      </c>
      <c r="EG362" s="384">
        <f t="shared" si="702"/>
        <v>7.1501926967194901E-2</v>
      </c>
      <c r="EH362" s="384">
        <f t="shared" si="702"/>
        <v>6.8258814603552237E-2</v>
      </c>
      <c r="EI362" s="384">
        <f t="shared" si="702"/>
        <v>6.3682062175337631E-2</v>
      </c>
      <c r="EJ362" s="384">
        <f t="shared" si="702"/>
        <v>5.6822196388975746E-2</v>
      </c>
      <c r="EK362" s="384">
        <f t="shared" si="702"/>
        <v>5.2745797642499544E-2</v>
      </c>
      <c r="EL362" s="384">
        <f t="shared" si="702"/>
        <v>5.5543400809202302E-2</v>
      </c>
      <c r="EM362" s="384">
        <f t="shared" si="702"/>
        <v>5.4626544924263866E-2</v>
      </c>
      <c r="EN362" s="384">
        <f t="shared" si="702"/>
        <v>5.2334495630236219E-2</v>
      </c>
      <c r="EO362" s="384">
        <f t="shared" si="702"/>
        <v>5.0306070200210912E-2</v>
      </c>
      <c r="EP362" s="384">
        <f t="shared" si="702"/>
        <v>5.2800608056238936E-2</v>
      </c>
      <c r="EQ362" s="384">
        <f t="shared" si="702"/>
        <v>5.2092174199089576E-2</v>
      </c>
      <c r="ER362" s="384">
        <f t="shared" si="702"/>
        <v>4.9639287424197452E-2</v>
      </c>
      <c r="ES362" s="384">
        <f t="shared" si="702"/>
        <v>4.8913999194164406E-2</v>
      </c>
      <c r="ET362" s="384">
        <f t="shared" si="702"/>
        <v>5.2550861446673557E-2</v>
      </c>
      <c r="EU362" s="384">
        <f t="shared" si="702"/>
        <v>5.1880301006719712E-2</v>
      </c>
      <c r="EV362" s="384">
        <f t="shared" si="702"/>
        <v>4.8587426446431645E-2</v>
      </c>
      <c r="EW362" s="384">
        <f t="shared" si="702"/>
        <v>4.7799424455320164E-2</v>
      </c>
      <c r="GC362" s="382">
        <f t="shared" ref="GC362:GK362" si="703">GC359/GC$4</f>
        <v>0.18866204771128225</v>
      </c>
      <c r="GD362" s="382">
        <f t="shared" si="703"/>
        <v>0.2170885927457413</v>
      </c>
      <c r="GE362" s="382">
        <f t="shared" si="703"/>
        <v>0.14334757119888084</v>
      </c>
      <c r="GF362" s="382">
        <f t="shared" si="703"/>
        <v>0.11427127003181167</v>
      </c>
      <c r="GG362" s="384">
        <f t="shared" si="703"/>
        <v>8.769606996719366E-2</v>
      </c>
      <c r="GH362" s="384">
        <f t="shared" si="703"/>
        <v>5.959812505688529E-2</v>
      </c>
      <c r="GI362" s="384">
        <f t="shared" si="703"/>
        <v>4.8798702793143051E-2</v>
      </c>
      <c r="GJ362" s="384">
        <f t="shared" si="703"/>
        <v>4.2883587257193517E-2</v>
      </c>
      <c r="GK362" s="384">
        <f t="shared" si="703"/>
        <v>3.8801806077885456E-2</v>
      </c>
      <c r="GN362" s="70"/>
    </row>
    <row r="363" spans="1:196" s="418" customFormat="1" hidden="1" outlineLevel="1">
      <c r="A363" s="482"/>
      <c r="CT363" s="483"/>
      <c r="CU363" s="483"/>
      <c r="CV363" s="483"/>
      <c r="CW363" s="427"/>
      <c r="CX363" s="483"/>
      <c r="CY363" s="484"/>
      <c r="CZ363" s="483"/>
      <c r="DA363" s="476"/>
      <c r="DB363" s="476"/>
      <c r="DC363" s="483"/>
      <c r="DD363" s="483"/>
      <c r="DE363" s="483"/>
      <c r="DF363" s="483"/>
      <c r="DG363" s="483"/>
      <c r="DH363" s="483"/>
      <c r="DI363" s="483"/>
      <c r="DJ363" s="485"/>
      <c r="DK363" s="485"/>
      <c r="DL363" s="485"/>
      <c r="DM363" s="485"/>
      <c r="DN363" s="486">
        <f>DN383-DN359</f>
        <v>477.43658090000008</v>
      </c>
      <c r="DO363" s="486"/>
      <c r="DP363" s="485"/>
      <c r="DQ363" s="485"/>
      <c r="DR363" s="485"/>
      <c r="DS363" s="485"/>
      <c r="DT363" s="487" t="e">
        <f>#REF!</f>
        <v>#REF!</v>
      </c>
      <c r="DU363" s="487"/>
      <c r="DV363" s="485"/>
      <c r="DW363" s="485"/>
      <c r="DX363" s="483"/>
      <c r="DY363" s="483"/>
      <c r="DZ363" s="483"/>
      <c r="EA363" s="483"/>
      <c r="EB363" s="483"/>
      <c r="EC363" s="483"/>
      <c r="ED363" s="483"/>
      <c r="EE363" s="483"/>
      <c r="EF363" s="483"/>
      <c r="EG363" s="483"/>
      <c r="EH363" s="483"/>
      <c r="EI363" s="483"/>
      <c r="EJ363" s="483"/>
      <c r="EK363" s="483"/>
      <c r="EL363" s="483"/>
      <c r="EM363" s="483"/>
      <c r="EN363" s="483"/>
      <c r="EO363" s="483"/>
      <c r="EP363" s="483"/>
      <c r="EQ363" s="483"/>
      <c r="ER363" s="483"/>
      <c r="ES363" s="483"/>
      <c r="ET363" s="483"/>
      <c r="EU363" s="483"/>
      <c r="EV363" s="483"/>
      <c r="EW363" s="483"/>
      <c r="EZ363" s="449"/>
      <c r="FA363" s="449"/>
      <c r="FB363" s="449"/>
      <c r="FC363" s="449"/>
      <c r="FD363" s="449"/>
      <c r="FE363" s="449"/>
      <c r="FF363" s="449"/>
      <c r="FG363" s="449"/>
      <c r="FH363" s="449"/>
      <c r="FI363" s="449"/>
      <c r="FJ363" s="449"/>
      <c r="FK363" s="449"/>
      <c r="FL363" s="449"/>
      <c r="FM363" s="449"/>
      <c r="FN363" s="449"/>
      <c r="FO363" s="449"/>
      <c r="FP363" s="449"/>
      <c r="FQ363" s="449"/>
      <c r="FR363" s="449"/>
      <c r="FS363" s="449"/>
      <c r="FT363" s="449"/>
      <c r="FU363" s="449"/>
      <c r="FV363" s="449"/>
      <c r="FW363" s="449"/>
      <c r="FX363" s="477"/>
      <c r="FY363" s="477"/>
      <c r="FZ363" s="477"/>
      <c r="GA363" s="477"/>
      <c r="GB363" s="477"/>
      <c r="GC363" s="449"/>
      <c r="GD363" s="449"/>
      <c r="GE363" s="449"/>
      <c r="GF363" s="449"/>
      <c r="GG363" s="477"/>
      <c r="GH363" s="477"/>
      <c r="GI363" s="477"/>
      <c r="GJ363" s="477"/>
      <c r="GK363" s="477"/>
      <c r="GN363" s="70"/>
    </row>
    <row r="364" spans="1:196" hidden="1" outlineLevel="1" collapsed="1">
      <c r="A364" s="135" t="s">
        <v>298</v>
      </c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35"/>
      <c r="BD364" s="135"/>
      <c r="BE364" s="135"/>
      <c r="BF364" s="135"/>
      <c r="BG364" s="135"/>
      <c r="BH364" s="135"/>
      <c r="BI364" s="135"/>
      <c r="BJ364" s="135"/>
      <c r="BK364" s="135"/>
      <c r="BL364" s="135"/>
      <c r="BM364" s="135"/>
      <c r="BN364" s="135"/>
      <c r="BO364" s="135"/>
      <c r="BP364" s="135"/>
      <c r="BQ364" s="135"/>
      <c r="BR364" s="135"/>
      <c r="BS364" s="135"/>
      <c r="BT364" s="135"/>
      <c r="BU364" s="135"/>
      <c r="BV364" s="135"/>
      <c r="BW364" s="135"/>
      <c r="BX364" s="135"/>
      <c r="BY364" s="135"/>
      <c r="BZ364" s="135"/>
      <c r="CA364" s="135"/>
      <c r="CB364" s="135"/>
      <c r="CC364" s="135"/>
      <c r="CD364" s="135"/>
      <c r="CE364" s="135"/>
      <c r="CF364" s="135"/>
      <c r="CG364" s="135"/>
      <c r="CH364" s="135"/>
      <c r="CI364" s="135"/>
      <c r="CJ364" s="135"/>
      <c r="CK364" s="135"/>
      <c r="CL364" s="135"/>
      <c r="CM364" s="135"/>
      <c r="CN364" s="135"/>
      <c r="CO364" s="135"/>
      <c r="CP364" s="135"/>
      <c r="CQ364" s="135"/>
      <c r="CR364" s="136"/>
      <c r="CS364" s="135"/>
      <c r="CT364" s="137"/>
      <c r="CU364" s="137"/>
      <c r="CV364" s="137"/>
      <c r="CW364" s="137"/>
      <c r="CX364" s="137"/>
      <c r="CY364" s="137"/>
      <c r="CZ364" s="138"/>
      <c r="DA364" s="137"/>
      <c r="DB364" s="138"/>
      <c r="DC364" s="135"/>
      <c r="DD364" s="135"/>
      <c r="DE364" s="139"/>
      <c r="DF364" s="136"/>
      <c r="DG364" s="135"/>
      <c r="DH364" s="135"/>
      <c r="DI364" s="136"/>
      <c r="DJ364" s="140"/>
      <c r="DK364" s="140"/>
      <c r="DL364" s="140"/>
      <c r="DM364" s="140"/>
      <c r="DN364" s="140"/>
      <c r="DO364" s="140"/>
      <c r="DP364" s="140"/>
      <c r="DQ364" s="140"/>
      <c r="DR364" s="140"/>
      <c r="DS364" s="140"/>
      <c r="DT364" s="140"/>
      <c r="DU364" s="140"/>
      <c r="DV364" s="140"/>
      <c r="DW364" s="140"/>
      <c r="DX364" s="135"/>
      <c r="DY364" s="135"/>
      <c r="DZ364" s="135"/>
      <c r="EA364" s="135"/>
      <c r="EB364" s="135"/>
      <c r="EC364" s="135"/>
      <c r="ED364" s="135"/>
      <c r="EE364" s="135"/>
      <c r="EF364" s="135"/>
      <c r="EG364" s="135"/>
      <c r="EH364" s="135"/>
      <c r="EI364" s="135"/>
      <c r="EJ364" s="135"/>
      <c r="EK364" s="135"/>
      <c r="EL364" s="135"/>
      <c r="EM364" s="135"/>
      <c r="EN364" s="135"/>
      <c r="EO364" s="135"/>
      <c r="EP364" s="135"/>
      <c r="EQ364" s="135"/>
      <c r="ER364" s="135"/>
      <c r="ES364" s="135"/>
      <c r="ET364" s="135"/>
      <c r="EU364" s="135"/>
      <c r="EV364" s="135"/>
      <c r="EW364" s="135"/>
      <c r="EZ364" s="135"/>
      <c r="FA364" s="135"/>
      <c r="FB364" s="135"/>
      <c r="FC364" s="135"/>
      <c r="FD364" s="135"/>
      <c r="FE364" s="135"/>
      <c r="FF364" s="135"/>
      <c r="FG364" s="135"/>
      <c r="FH364" s="135"/>
      <c r="FI364" s="135"/>
      <c r="FJ364" s="135"/>
      <c r="FK364" s="135"/>
      <c r="FL364" s="135"/>
      <c r="FM364" s="135"/>
      <c r="FN364" s="135"/>
      <c r="FO364" s="135"/>
      <c r="FP364" s="135"/>
      <c r="FQ364" s="135"/>
      <c r="FR364" s="135"/>
      <c r="FS364" s="135"/>
      <c r="FT364" s="135"/>
      <c r="FU364" s="135"/>
      <c r="FV364" s="135"/>
      <c r="FW364" s="135"/>
      <c r="FX364" s="135"/>
      <c r="FY364" s="135"/>
      <c r="FZ364" s="135"/>
      <c r="GA364" s="135"/>
      <c r="GB364" s="135"/>
      <c r="GC364" s="135"/>
      <c r="GD364" s="135"/>
      <c r="GE364" s="135"/>
      <c r="GF364" s="135"/>
      <c r="GG364" s="135"/>
      <c r="GH364" s="135"/>
      <c r="GI364" s="135"/>
      <c r="GJ364" s="135"/>
      <c r="GK364" s="135"/>
      <c r="GN364" s="48"/>
    </row>
    <row r="365" spans="1:196" s="376" customFormat="1" hidden="1" outlineLevel="1">
      <c r="A365" s="488" t="s">
        <v>299</v>
      </c>
      <c r="CT365" s="380"/>
      <c r="CU365" s="380"/>
      <c r="CV365" s="380"/>
      <c r="CW365" s="380"/>
      <c r="CX365" s="380"/>
      <c r="CY365" s="489">
        <v>304.5</v>
      </c>
      <c r="CZ365" s="489">
        <v>282.3</v>
      </c>
      <c r="DA365" s="489">
        <v>322</v>
      </c>
      <c r="DB365" s="489">
        <v>326.2</v>
      </c>
      <c r="DC365" s="489">
        <v>333.5</v>
      </c>
      <c r="DD365" s="489">
        <v>302.10000000000002</v>
      </c>
      <c r="DE365" s="489">
        <v>288.3</v>
      </c>
      <c r="DF365" s="489">
        <v>378.08449999999999</v>
      </c>
      <c r="DG365" s="489">
        <v>327.00285000000002</v>
      </c>
      <c r="DH365" s="489">
        <v>337.27539999999999</v>
      </c>
      <c r="DI365" s="489">
        <v>361.53180000000003</v>
      </c>
      <c r="DJ365" s="489">
        <v>348.90466999999995</v>
      </c>
      <c r="DK365" s="489">
        <v>316.29816</v>
      </c>
      <c r="DL365" s="489">
        <v>374.30799999999999</v>
      </c>
      <c r="DM365" s="489">
        <v>465.08714000000003</v>
      </c>
      <c r="DN365" s="480">
        <f t="shared" ref="DN365:EW365" si="704">DM365*(1+DN366)</f>
        <v>474.38888280000003</v>
      </c>
      <c r="DO365" s="480">
        <f t="shared" si="704"/>
        <v>592.98610350000001</v>
      </c>
      <c r="DP365" s="480">
        <f t="shared" si="704"/>
        <v>622.63540867500001</v>
      </c>
      <c r="DQ365" s="480">
        <f t="shared" si="704"/>
        <v>653.76717910875004</v>
      </c>
      <c r="DR365" s="480">
        <f t="shared" si="704"/>
        <v>725.68156881071263</v>
      </c>
      <c r="DS365" s="480">
        <f t="shared" si="704"/>
        <v>703.91112174639125</v>
      </c>
      <c r="DT365" s="480">
        <f t="shared" si="704"/>
        <v>598.32445348443252</v>
      </c>
      <c r="DU365" s="480">
        <f t="shared" si="704"/>
        <v>508.57578546176762</v>
      </c>
      <c r="DV365" s="480">
        <f t="shared" si="704"/>
        <v>432.28941764250249</v>
      </c>
      <c r="DW365" s="480">
        <f t="shared" si="704"/>
        <v>432.28941764250249</v>
      </c>
      <c r="DX365" s="480">
        <f t="shared" si="704"/>
        <v>497.13283028887781</v>
      </c>
      <c r="DY365" s="480">
        <f t="shared" si="704"/>
        <v>571.70275483220939</v>
      </c>
      <c r="DZ365" s="480">
        <f t="shared" si="704"/>
        <v>485.94734160737795</v>
      </c>
      <c r="EA365" s="480">
        <f t="shared" si="704"/>
        <v>495.66628843952554</v>
      </c>
      <c r="EB365" s="480">
        <f t="shared" si="704"/>
        <v>535.31959151468766</v>
      </c>
      <c r="EC365" s="480">
        <f t="shared" si="704"/>
        <v>551.37917926012835</v>
      </c>
      <c r="ED365" s="480">
        <f t="shared" si="704"/>
        <v>534.83780388232447</v>
      </c>
      <c r="EE365" s="480">
        <f t="shared" si="704"/>
        <v>545.53455995997092</v>
      </c>
      <c r="EF365" s="480">
        <f t="shared" si="704"/>
        <v>589.1773247567686</v>
      </c>
      <c r="EG365" s="480">
        <f t="shared" si="704"/>
        <v>606.85264449947169</v>
      </c>
      <c r="EH365" s="480">
        <f t="shared" si="704"/>
        <v>625.05822383445582</v>
      </c>
      <c r="EI365" s="480">
        <f t="shared" si="704"/>
        <v>643.80997054948955</v>
      </c>
      <c r="EJ365" s="480">
        <f t="shared" si="704"/>
        <v>663.12426966597423</v>
      </c>
      <c r="EK365" s="480">
        <f t="shared" si="704"/>
        <v>683.0179977559535</v>
      </c>
      <c r="EL365" s="480">
        <f t="shared" si="704"/>
        <v>703.50853768863215</v>
      </c>
      <c r="EM365" s="480">
        <f t="shared" si="704"/>
        <v>724.61379381929112</v>
      </c>
      <c r="EN365" s="480">
        <f t="shared" si="704"/>
        <v>746.35220763386985</v>
      </c>
      <c r="EO365" s="480">
        <f t="shared" si="704"/>
        <v>768.742773862886</v>
      </c>
      <c r="EP365" s="480">
        <f t="shared" si="704"/>
        <v>791.80505707877262</v>
      </c>
      <c r="EQ365" s="480">
        <f t="shared" si="704"/>
        <v>815.5592087911358</v>
      </c>
      <c r="ER365" s="480">
        <f t="shared" si="704"/>
        <v>840.02598505486992</v>
      </c>
      <c r="ES365" s="480">
        <f t="shared" si="704"/>
        <v>865.22676460651599</v>
      </c>
      <c r="ET365" s="480">
        <f t="shared" si="704"/>
        <v>891.18356754471154</v>
      </c>
      <c r="EU365" s="480">
        <f t="shared" si="704"/>
        <v>917.91907457105287</v>
      </c>
      <c r="EV365" s="480">
        <f t="shared" si="704"/>
        <v>945.45664680818447</v>
      </c>
      <c r="EW365" s="480">
        <f t="shared" si="704"/>
        <v>973.82034621243008</v>
      </c>
      <c r="EX365" s="480"/>
      <c r="GA365" s="376">
        <f>DF365+DG365+DH365+DI365</f>
        <v>1403.89455</v>
      </c>
      <c r="GB365" s="376">
        <f>DJ365+DK365+DL365+DM365</f>
        <v>1504.59797</v>
      </c>
      <c r="GC365" s="376">
        <f>DN365+DO365+DP365+DQ365</f>
        <v>2343.7775740837501</v>
      </c>
      <c r="GD365" s="376">
        <f>DR365+DS365+DT365+DU365</f>
        <v>2536.4929295033039</v>
      </c>
      <c r="GE365" s="376">
        <f>DV365+DW365+DX365+DY365</f>
        <v>1933.4144204060922</v>
      </c>
      <c r="GF365" s="376">
        <f>SUM(DZ365:EC365)</f>
        <v>2068.3124008217196</v>
      </c>
      <c r="GG365" s="380">
        <f>SUM(ED365:EG365)</f>
        <v>2276.4023330985356</v>
      </c>
      <c r="GH365" s="380">
        <f>SUM(EH365:EK365)</f>
        <v>2615.0104618058731</v>
      </c>
      <c r="GI365" s="380">
        <f>SUM(EI365:EL365)</f>
        <v>2693.4607756600494</v>
      </c>
      <c r="GJ365" s="380">
        <f>SUM(EJ365:EM365)</f>
        <v>2774.2645989298508</v>
      </c>
      <c r="GK365" s="380">
        <f>SUM(EK365:EN365)</f>
        <v>2857.4925368977465</v>
      </c>
      <c r="GN365" s="70"/>
    </row>
    <row r="366" spans="1:196" s="418" customFormat="1" hidden="1" outlineLevel="1">
      <c r="A366" s="482" t="s">
        <v>198</v>
      </c>
      <c r="CT366" s="483"/>
      <c r="CU366" s="483"/>
      <c r="CV366" s="483"/>
      <c r="CW366" s="427"/>
      <c r="CX366" s="483"/>
      <c r="CY366" s="490"/>
      <c r="CZ366" s="490">
        <f t="shared" ref="CZ366:DM366" si="705">+CZ365/CY365-1</f>
        <v>-7.2906403940886655E-2</v>
      </c>
      <c r="DA366" s="490">
        <f t="shared" si="705"/>
        <v>0.14063053489195876</v>
      </c>
      <c r="DB366" s="490">
        <f t="shared" si="705"/>
        <v>1.304347826086949E-2</v>
      </c>
      <c r="DC366" s="490">
        <f t="shared" si="705"/>
        <v>2.2378908645003026E-2</v>
      </c>
      <c r="DD366" s="490">
        <f t="shared" si="705"/>
        <v>-9.4152923538230793E-2</v>
      </c>
      <c r="DE366" s="490">
        <f t="shared" si="705"/>
        <v>-4.5680238331678336E-2</v>
      </c>
      <c r="DF366" s="490">
        <f t="shared" si="705"/>
        <v>0.31142733263961153</v>
      </c>
      <c r="DG366" s="490">
        <f t="shared" si="705"/>
        <v>-0.13510643784656595</v>
      </c>
      <c r="DH366" s="490">
        <f t="shared" si="705"/>
        <v>3.1414252199942538E-2</v>
      </c>
      <c r="DI366" s="490">
        <f t="shared" si="705"/>
        <v>7.1918675361440698E-2</v>
      </c>
      <c r="DJ366" s="490">
        <f t="shared" si="705"/>
        <v>-3.4926747799225666E-2</v>
      </c>
      <c r="DK366" s="490">
        <f t="shared" si="705"/>
        <v>-9.3453922528465849E-2</v>
      </c>
      <c r="DL366" s="490">
        <f t="shared" si="705"/>
        <v>0.18340239475310249</v>
      </c>
      <c r="DM366" s="490">
        <f t="shared" si="705"/>
        <v>0.24252524658837116</v>
      </c>
      <c r="DN366" s="481">
        <v>0.02</v>
      </c>
      <c r="DO366" s="481">
        <v>0.25</v>
      </c>
      <c r="DP366" s="481">
        <v>0.05</v>
      </c>
      <c r="DQ366" s="481">
        <v>0.05</v>
      </c>
      <c r="DR366" s="481">
        <v>0.11</v>
      </c>
      <c r="DS366" s="481">
        <v>-0.03</v>
      </c>
      <c r="DT366" s="481">
        <v>-0.15</v>
      </c>
      <c r="DU366" s="481">
        <v>-0.15</v>
      </c>
      <c r="DV366" s="481">
        <v>-0.15</v>
      </c>
      <c r="DW366" s="481">
        <v>0</v>
      </c>
      <c r="DX366" s="481">
        <v>0.15</v>
      </c>
      <c r="DY366" s="481">
        <v>0.15</v>
      </c>
      <c r="DZ366" s="481">
        <v>-0.15</v>
      </c>
      <c r="EA366" s="481">
        <v>0.02</v>
      </c>
      <c r="EB366" s="481">
        <v>0.08</v>
      </c>
      <c r="EC366" s="481">
        <v>0.03</v>
      </c>
      <c r="ED366" s="481">
        <v>-0.03</v>
      </c>
      <c r="EE366" s="481">
        <v>0.02</v>
      </c>
      <c r="EF366" s="481">
        <v>0.08</v>
      </c>
      <c r="EG366" s="481">
        <v>0.03</v>
      </c>
      <c r="EH366" s="481">
        <v>0.03</v>
      </c>
      <c r="EI366" s="481">
        <v>0.03</v>
      </c>
      <c r="EJ366" s="481">
        <v>0.03</v>
      </c>
      <c r="EK366" s="481">
        <v>0.03</v>
      </c>
      <c r="EL366" s="481">
        <v>0.03</v>
      </c>
      <c r="EM366" s="481">
        <v>0.03</v>
      </c>
      <c r="EN366" s="481">
        <v>0.03</v>
      </c>
      <c r="EO366" s="481">
        <v>0.03</v>
      </c>
      <c r="EP366" s="481">
        <v>0.03</v>
      </c>
      <c r="EQ366" s="481">
        <v>0.03</v>
      </c>
      <c r="ER366" s="481">
        <v>0.03</v>
      </c>
      <c r="ES366" s="481">
        <v>0.03</v>
      </c>
      <c r="ET366" s="481">
        <v>0.03</v>
      </c>
      <c r="EU366" s="481">
        <v>0.03</v>
      </c>
      <c r="EV366" s="481">
        <v>0.03</v>
      </c>
      <c r="EW366" s="481">
        <v>0.03</v>
      </c>
      <c r="EX366" s="481"/>
      <c r="EZ366" s="449"/>
      <c r="FA366" s="449"/>
      <c r="FB366" s="449"/>
      <c r="FC366" s="449"/>
      <c r="FD366" s="449"/>
      <c r="FE366" s="449"/>
      <c r="FF366" s="449"/>
      <c r="FG366" s="449"/>
      <c r="FH366" s="449"/>
      <c r="FI366" s="449"/>
      <c r="FJ366" s="449"/>
      <c r="FK366" s="449"/>
      <c r="FL366" s="449"/>
      <c r="FM366" s="449"/>
      <c r="FN366" s="449"/>
      <c r="FO366" s="449"/>
      <c r="FP366" s="449"/>
      <c r="FQ366" s="449"/>
      <c r="FR366" s="449"/>
      <c r="FS366" s="449"/>
      <c r="FT366" s="449"/>
      <c r="FU366" s="449"/>
      <c r="FV366" s="449"/>
      <c r="FW366" s="449"/>
      <c r="FX366" s="477"/>
      <c r="FY366" s="477"/>
      <c r="FZ366" s="477"/>
      <c r="GA366" s="477"/>
      <c r="GB366" s="477"/>
      <c r="GC366" s="477"/>
      <c r="GD366" s="477"/>
      <c r="GE366" s="477"/>
      <c r="GF366" s="477"/>
      <c r="GG366" s="477"/>
      <c r="GH366" s="477"/>
      <c r="GI366" s="477"/>
      <c r="GJ366" s="477"/>
      <c r="GK366" s="477"/>
      <c r="GL366" s="449"/>
      <c r="GN366" s="70"/>
    </row>
    <row r="367" spans="1:196" s="418" customFormat="1" hidden="1" outlineLevel="1">
      <c r="A367" s="482" t="s">
        <v>200</v>
      </c>
      <c r="CT367" s="483"/>
      <c r="CU367" s="483"/>
      <c r="CV367" s="483"/>
      <c r="CW367" s="427"/>
      <c r="CX367" s="483"/>
      <c r="CY367" s="490"/>
      <c r="CZ367" s="490"/>
      <c r="DA367" s="490"/>
      <c r="DB367" s="490"/>
      <c r="DC367" s="490">
        <f>+DC365/CY365-1</f>
        <v>9.5238095238095344E-2</v>
      </c>
      <c r="DD367" s="490">
        <f>+DD365/CZ365-1</f>
        <v>7.0138150903294338E-2</v>
      </c>
      <c r="DE367" s="490">
        <f t="shared" ref="DE367:EW367" si="706">+DE365/DA365-1</f>
        <v>-0.10465838509316772</v>
      </c>
      <c r="DF367" s="490">
        <f t="shared" si="706"/>
        <v>0.15905732679337836</v>
      </c>
      <c r="DG367" s="490">
        <f t="shared" si="706"/>
        <v>-1.948170914542724E-2</v>
      </c>
      <c r="DH367" s="490">
        <f t="shared" si="706"/>
        <v>0.11643627937768941</v>
      </c>
      <c r="DI367" s="490">
        <f t="shared" si="706"/>
        <v>0.25401248699271606</v>
      </c>
      <c r="DJ367" s="490">
        <f t="shared" si="706"/>
        <v>-7.7178064691887815E-2</v>
      </c>
      <c r="DK367" s="490">
        <f t="shared" si="706"/>
        <v>-3.2735769734117071E-2</v>
      </c>
      <c r="DL367" s="490">
        <f t="shared" si="706"/>
        <v>0.10979929161747348</v>
      </c>
      <c r="DM367" s="490">
        <f t="shared" si="706"/>
        <v>0.28643494154594418</v>
      </c>
      <c r="DN367" s="481">
        <f t="shared" si="706"/>
        <v>0.35965185791293686</v>
      </c>
      <c r="DO367" s="481">
        <f t="shared" si="706"/>
        <v>0.87476937425118129</v>
      </c>
      <c r="DP367" s="481">
        <f t="shared" si="706"/>
        <v>0.66343067387018184</v>
      </c>
      <c r="DQ367" s="481">
        <f t="shared" si="706"/>
        <v>0.40568749999999998</v>
      </c>
      <c r="DR367" s="481">
        <f t="shared" si="706"/>
        <v>0.52971875000000024</v>
      </c>
      <c r="DS367" s="481">
        <f t="shared" si="706"/>
        <v>0.18706175000000025</v>
      </c>
      <c r="DT367" s="481">
        <f t="shared" si="706"/>
        <v>-3.904524999999992E-2</v>
      </c>
      <c r="DU367" s="481">
        <f t="shared" si="706"/>
        <v>-0.22208424999999998</v>
      </c>
      <c r="DV367" s="481">
        <f t="shared" si="706"/>
        <v>-0.40429875000000004</v>
      </c>
      <c r="DW367" s="481">
        <f t="shared" si="706"/>
        <v>-0.38587500000000008</v>
      </c>
      <c r="DX367" s="481">
        <f>+DX365/DT365-1</f>
        <v>-0.16912500000000008</v>
      </c>
      <c r="DY367" s="481">
        <f>+DY365/DU365-1</f>
        <v>0.12412499999999982</v>
      </c>
      <c r="DZ367" s="481">
        <f>+DZ365/DV365-1</f>
        <v>0.1241249999999996</v>
      </c>
      <c r="EA367" s="481">
        <f>+EA365/DW365-1</f>
        <v>0.14660749999999978</v>
      </c>
      <c r="EB367" s="481">
        <f t="shared" si="706"/>
        <v>7.6813999999999938E-2</v>
      </c>
      <c r="EC367" s="481">
        <f t="shared" si="706"/>
        <v>-3.5549199999999725E-2</v>
      </c>
      <c r="ED367" s="481">
        <f t="shared" si="706"/>
        <v>0.10060856000000018</v>
      </c>
      <c r="EE367" s="481">
        <f t="shared" si="706"/>
        <v>0.10060856000000018</v>
      </c>
      <c r="EF367" s="481">
        <f t="shared" si="706"/>
        <v>0.10060855999999996</v>
      </c>
      <c r="EG367" s="481">
        <f t="shared" si="706"/>
        <v>0.10060855999999996</v>
      </c>
      <c r="EH367" s="481">
        <f t="shared" si="706"/>
        <v>0.16868744000000002</v>
      </c>
      <c r="EI367" s="481">
        <f t="shared" si="706"/>
        <v>0.18014516000000014</v>
      </c>
      <c r="EJ367" s="481">
        <f t="shared" si="706"/>
        <v>0.12550881000000014</v>
      </c>
      <c r="EK367" s="481">
        <f t="shared" si="706"/>
        <v>0.12550881000000014</v>
      </c>
      <c r="EL367" s="481">
        <f t="shared" si="706"/>
        <v>0.12550881000000014</v>
      </c>
      <c r="EM367" s="481">
        <f t="shared" si="706"/>
        <v>0.12550881000000014</v>
      </c>
      <c r="EN367" s="481">
        <f t="shared" si="706"/>
        <v>0.12550881000000014</v>
      </c>
      <c r="EO367" s="481">
        <f t="shared" si="706"/>
        <v>0.12550881000000014</v>
      </c>
      <c r="EP367" s="481">
        <f t="shared" si="706"/>
        <v>0.12550881000000014</v>
      </c>
      <c r="EQ367" s="481">
        <f t="shared" si="706"/>
        <v>0.12550881000000014</v>
      </c>
      <c r="ER367" s="481">
        <f t="shared" si="706"/>
        <v>0.12550881000000014</v>
      </c>
      <c r="ES367" s="481">
        <f t="shared" si="706"/>
        <v>0.12550881000000014</v>
      </c>
      <c r="ET367" s="481">
        <f t="shared" si="706"/>
        <v>0.12550881000000014</v>
      </c>
      <c r="EU367" s="481">
        <f t="shared" si="706"/>
        <v>0.12550881000000014</v>
      </c>
      <c r="EV367" s="481">
        <f t="shared" si="706"/>
        <v>0.12550881000000014</v>
      </c>
      <c r="EW367" s="481">
        <f t="shared" si="706"/>
        <v>0.12550881000000014</v>
      </c>
      <c r="EX367" s="481"/>
      <c r="EZ367" s="449"/>
      <c r="FA367" s="449"/>
      <c r="FB367" s="449"/>
      <c r="FC367" s="449"/>
      <c r="FD367" s="449"/>
      <c r="FE367" s="449"/>
      <c r="FF367" s="449"/>
      <c r="FG367" s="449"/>
      <c r="FH367" s="449"/>
      <c r="FI367" s="449"/>
      <c r="FJ367" s="449"/>
      <c r="FK367" s="449"/>
      <c r="FL367" s="449"/>
      <c r="FM367" s="449"/>
      <c r="FN367" s="449"/>
      <c r="FO367" s="449"/>
      <c r="FP367" s="449"/>
      <c r="FQ367" s="449"/>
      <c r="FR367" s="449"/>
      <c r="FS367" s="449"/>
      <c r="FT367" s="449"/>
      <c r="FU367" s="449"/>
      <c r="FV367" s="449"/>
      <c r="FW367" s="449"/>
      <c r="FX367" s="477"/>
      <c r="FY367" s="477"/>
      <c r="FZ367" s="477"/>
      <c r="GA367" s="477"/>
      <c r="GB367" s="382">
        <f t="shared" ref="GB367:GK367" si="707">GB365/GA365-1</f>
        <v>7.1731470144962062E-2</v>
      </c>
      <c r="GC367" s="382">
        <f t="shared" si="707"/>
        <v>0.55774341107462089</v>
      </c>
      <c r="GD367" s="382">
        <f t="shared" si="707"/>
        <v>8.2224250948766731E-2</v>
      </c>
      <c r="GE367" s="382">
        <f t="shared" si="707"/>
        <v>-0.23776076884839048</v>
      </c>
      <c r="GF367" s="382">
        <f t="shared" si="707"/>
        <v>6.9771891112353268E-2</v>
      </c>
      <c r="GG367" s="384">
        <f t="shared" si="707"/>
        <v>0.10060855999999996</v>
      </c>
      <c r="GH367" s="384">
        <f t="shared" si="707"/>
        <v>0.14874704870225619</v>
      </c>
      <c r="GI367" s="384">
        <f t="shared" si="707"/>
        <v>3.0000000000000027E-2</v>
      </c>
      <c r="GJ367" s="384">
        <f t="shared" si="707"/>
        <v>3.0000000000000027E-2</v>
      </c>
      <c r="GK367" s="384">
        <f t="shared" si="707"/>
        <v>3.0000000000000027E-2</v>
      </c>
      <c r="GL367" s="449"/>
      <c r="GN367" s="70"/>
    </row>
    <row r="368" spans="1:196" s="418" customFormat="1" hidden="1" outlineLevel="1">
      <c r="A368" s="482" t="s">
        <v>261</v>
      </c>
      <c r="CT368" s="483"/>
      <c r="CU368" s="483"/>
      <c r="CV368" s="483"/>
      <c r="CW368" s="427"/>
      <c r="CX368" s="483"/>
      <c r="CY368" s="490">
        <f>+CY365/CY$383</f>
        <v>0.44491525423728817</v>
      </c>
      <c r="CZ368" s="490">
        <f t="shared" ref="CZ368:EW368" si="708">+CZ365/CZ$383</f>
        <v>0.37826611282326139</v>
      </c>
      <c r="DA368" s="490">
        <f t="shared" si="708"/>
        <v>0.40244969378827644</v>
      </c>
      <c r="DB368" s="490">
        <f t="shared" si="708"/>
        <v>0.39377112506035733</v>
      </c>
      <c r="DC368" s="490">
        <f t="shared" si="708"/>
        <v>0.3925376647834275</v>
      </c>
      <c r="DD368" s="490">
        <f t="shared" si="708"/>
        <v>0.36249100071994239</v>
      </c>
      <c r="DE368" s="490">
        <f t="shared" si="708"/>
        <v>0.39847961299239809</v>
      </c>
      <c r="DF368" s="490">
        <f t="shared" si="708"/>
        <v>0.4986810328567905</v>
      </c>
      <c r="DG368" s="490">
        <f t="shared" si="708"/>
        <v>0.45014450132015771</v>
      </c>
      <c r="DH368" s="490">
        <f t="shared" si="708"/>
        <v>0.44</v>
      </c>
      <c r="DI368" s="490">
        <f t="shared" si="708"/>
        <v>0.44999999999999996</v>
      </c>
      <c r="DJ368" s="490">
        <f t="shared" si="708"/>
        <v>0.41</v>
      </c>
      <c r="DK368" s="490">
        <f t="shared" si="708"/>
        <v>0.36000000000000004</v>
      </c>
      <c r="DL368" s="490">
        <f t="shared" si="708"/>
        <v>0.4</v>
      </c>
      <c r="DM368" s="490">
        <v>0.46</v>
      </c>
      <c r="DN368" s="481">
        <f t="shared" si="708"/>
        <v>0.45771144278606962</v>
      </c>
      <c r="DO368" s="481">
        <f t="shared" si="708"/>
        <v>0.47552640326909201</v>
      </c>
      <c r="DP368" s="481">
        <f t="shared" si="708"/>
        <v>0.4797260484408602</v>
      </c>
      <c r="DQ368" s="481">
        <f>+DQ365/DQ$383</f>
        <v>0.48473686677747896</v>
      </c>
      <c r="DR368" s="481">
        <f t="shared" si="708"/>
        <v>0.49750235603317916</v>
      </c>
      <c r="DS368" s="481">
        <f t="shared" si="708"/>
        <v>0.51913950709412426</v>
      </c>
      <c r="DT368" s="481">
        <f t="shared" si="708"/>
        <v>0.52522350975768306</v>
      </c>
      <c r="DU368" s="481">
        <f t="shared" si="708"/>
        <v>0.52440217401839984</v>
      </c>
      <c r="DV368" s="481">
        <f t="shared" si="708"/>
        <v>0.52240404155953835</v>
      </c>
      <c r="DW368" s="481">
        <f t="shared" si="708"/>
        <v>0.52240404155953835</v>
      </c>
      <c r="DX368" s="481">
        <f t="shared" si="708"/>
        <v>0.52323791674444087</v>
      </c>
      <c r="DY368" s="481">
        <f t="shared" si="708"/>
        <v>0.52396519251440354</v>
      </c>
      <c r="DZ368" s="481">
        <f t="shared" si="708"/>
        <v>0.52310978348988013</v>
      </c>
      <c r="EA368" s="481">
        <f t="shared" si="708"/>
        <v>0.51701193415841107</v>
      </c>
      <c r="EB368" s="481">
        <f t="shared" si="708"/>
        <v>0.52421942956993239</v>
      </c>
      <c r="EC368" s="481">
        <f t="shared" si="708"/>
        <v>0.52542536299680898</v>
      </c>
      <c r="ED368" s="481">
        <f t="shared" si="708"/>
        <v>0.52526884354019165</v>
      </c>
      <c r="EE368" s="481">
        <f t="shared" si="708"/>
        <v>0.51819300686786507</v>
      </c>
      <c r="EF368" s="481">
        <f t="shared" si="708"/>
        <v>0.52309025152851107</v>
      </c>
      <c r="EG368" s="481">
        <f t="shared" si="708"/>
        <v>0.52417510305767923</v>
      </c>
      <c r="EH368" s="481">
        <f t="shared" si="708"/>
        <v>0.52522318139171431</v>
      </c>
      <c r="EI368" s="481">
        <f t="shared" si="708"/>
        <v>0.52623395263881978</v>
      </c>
      <c r="EJ368" s="481">
        <f t="shared" si="708"/>
        <v>0.52720688358941381</v>
      </c>
      <c r="EK368" s="481">
        <f t="shared" si="708"/>
        <v>0.52814144206209579</v>
      </c>
      <c r="EL368" s="481">
        <f t="shared" si="708"/>
        <v>0.52903709726129844</v>
      </c>
      <c r="EM368" s="481">
        <f t="shared" si="708"/>
        <v>0.5298933201466105</v>
      </c>
      <c r="EN368" s="481">
        <f t="shared" si="708"/>
        <v>0.53070958381373246</v>
      </c>
      <c r="EO368" s="481">
        <f t="shared" si="708"/>
        <v>0.53148536388700429</v>
      </c>
      <c r="EP368" s="481">
        <f t="shared" si="708"/>
        <v>0.53222013892341846</v>
      </c>
      <c r="EQ368" s="481">
        <f t="shared" si="708"/>
        <v>0.53291339082801048</v>
      </c>
      <c r="ER368" s="481">
        <f t="shared" si="708"/>
        <v>0.5335646052804891</v>
      </c>
      <c r="ES368" s="481">
        <f t="shared" si="708"/>
        <v>0.53417327217293775</v>
      </c>
      <c r="ET368" s="481">
        <f t="shared" si="708"/>
        <v>0.53473888605839992</v>
      </c>
      <c r="EU368" s="481">
        <f t="shared" si="708"/>
        <v>0.53526094661011936</v>
      </c>
      <c r="EV368" s="481">
        <f t="shared" si="708"/>
        <v>0.5357389590911843</v>
      </c>
      <c r="EW368" s="481">
        <f t="shared" si="708"/>
        <v>0.536172434834288</v>
      </c>
      <c r="EX368" s="481"/>
      <c r="EZ368" s="449"/>
      <c r="FA368" s="449"/>
      <c r="FB368" s="449"/>
      <c r="FC368" s="449"/>
      <c r="FD368" s="449"/>
      <c r="FE368" s="449"/>
      <c r="FF368" s="449"/>
      <c r="FG368" s="449"/>
      <c r="FH368" s="449"/>
      <c r="FI368" s="449"/>
      <c r="FJ368" s="449"/>
      <c r="FK368" s="449"/>
      <c r="FL368" s="449"/>
      <c r="FM368" s="449"/>
      <c r="FN368" s="449"/>
      <c r="FO368" s="449"/>
      <c r="FP368" s="449"/>
      <c r="FQ368" s="449"/>
      <c r="FR368" s="449"/>
      <c r="FS368" s="449"/>
      <c r="FT368" s="449"/>
      <c r="FU368" s="449"/>
      <c r="FV368" s="449"/>
      <c r="FW368" s="449"/>
      <c r="FX368" s="477"/>
      <c r="FY368" s="477"/>
      <c r="FZ368" s="477"/>
      <c r="GA368" s="477"/>
      <c r="GB368" s="477"/>
      <c r="GC368" s="477"/>
      <c r="GD368" s="477"/>
      <c r="GE368" s="477"/>
      <c r="GF368" s="477"/>
      <c r="GG368" s="477"/>
      <c r="GH368" s="477"/>
      <c r="GI368" s="477"/>
      <c r="GJ368" s="477"/>
      <c r="GK368" s="477"/>
      <c r="GL368" s="449"/>
      <c r="GN368" s="70"/>
    </row>
    <row r="369" spans="1:196" s="376" customFormat="1" hidden="1" outlineLevel="1">
      <c r="A369" s="488" t="s">
        <v>300</v>
      </c>
      <c r="CT369" s="380"/>
      <c r="CU369" s="380"/>
      <c r="CV369" s="380"/>
      <c r="CW369" s="380"/>
      <c r="CX369" s="380"/>
      <c r="CY369" s="489">
        <v>112.3</v>
      </c>
      <c r="CZ369" s="489">
        <v>120.3</v>
      </c>
      <c r="DA369" s="489">
        <v>122.2</v>
      </c>
      <c r="DB369" s="489">
        <v>114.9</v>
      </c>
      <c r="DC369" s="489">
        <v>124</v>
      </c>
      <c r="DD369" s="489">
        <v>131.5</v>
      </c>
      <c r="DE369" s="489">
        <v>134.6</v>
      </c>
      <c r="DF369" s="489">
        <v>120.98703999999999</v>
      </c>
      <c r="DG369" s="489">
        <v>87.200760000000002</v>
      </c>
      <c r="DH369" s="489">
        <v>122.6456</v>
      </c>
      <c r="DI369" s="489">
        <v>152.64676</v>
      </c>
      <c r="DJ369" s="489">
        <v>153.17765999999997</v>
      </c>
      <c r="DK369" s="489">
        <v>175.72120000000001</v>
      </c>
      <c r="DL369" s="489">
        <v>205.86939999999998</v>
      </c>
      <c r="DM369" s="489">
        <v>192.10121000000001</v>
      </c>
      <c r="DN369" s="480">
        <f t="shared" ref="DN369:EH369" si="709">DM369*(1+DN370)</f>
        <v>192.10121000000001</v>
      </c>
      <c r="DO369" s="480">
        <f t="shared" si="709"/>
        <v>240.12651250000002</v>
      </c>
      <c r="DP369" s="480">
        <f t="shared" si="709"/>
        <v>252.13283812500003</v>
      </c>
      <c r="DQ369" s="480">
        <f t="shared" si="709"/>
        <v>264.73948003125003</v>
      </c>
      <c r="DR369" s="480">
        <f t="shared" si="709"/>
        <v>293.86082283468755</v>
      </c>
      <c r="DS369" s="480">
        <f t="shared" si="709"/>
        <v>264.47474055121882</v>
      </c>
      <c r="DT369" s="480">
        <f t="shared" si="709"/>
        <v>223.61339313605552</v>
      </c>
      <c r="DU369" s="480">
        <f t="shared" si="709"/>
        <v>190.07138416564717</v>
      </c>
      <c r="DV369" s="480">
        <f t="shared" si="709"/>
        <v>161.5606765408001</v>
      </c>
      <c r="DW369" s="480">
        <f t="shared" si="709"/>
        <v>161.5606765408001</v>
      </c>
      <c r="DX369" s="480">
        <f>DW369*(1+DX370)</f>
        <v>185.79477802192011</v>
      </c>
      <c r="DY369" s="480">
        <f t="shared" si="709"/>
        <v>213.66399472520811</v>
      </c>
      <c r="DZ369" s="480">
        <f t="shared" si="709"/>
        <v>181.6143955164269</v>
      </c>
      <c r="EA369" s="480">
        <f t="shared" si="709"/>
        <v>192.51125924741251</v>
      </c>
      <c r="EB369" s="480">
        <f t="shared" si="709"/>
        <v>204.06193480225727</v>
      </c>
      <c r="EC369" s="480">
        <f t="shared" si="709"/>
        <v>208.14317349830242</v>
      </c>
      <c r="ED369" s="480">
        <f t="shared" si="709"/>
        <v>201.89887829335333</v>
      </c>
      <c r="EE369" s="480">
        <f t="shared" si="709"/>
        <v>214.01281099095453</v>
      </c>
      <c r="EF369" s="480">
        <f t="shared" si="709"/>
        <v>226.85357965041183</v>
      </c>
      <c r="EG369" s="480">
        <f t="shared" si="709"/>
        <v>231.39065124342008</v>
      </c>
      <c r="EH369" s="480">
        <f t="shared" si="709"/>
        <v>236.01846426828848</v>
      </c>
      <c r="EI369" s="480">
        <f>EH369*(1+EI370)</f>
        <v>240.73883355365425</v>
      </c>
      <c r="EJ369" s="480">
        <f>EI369*(1+EJ370)</f>
        <v>245.55361022472732</v>
      </c>
      <c r="EK369" s="480">
        <f>EJ369*(1+EK370)</f>
        <v>250.46468242922188</v>
      </c>
      <c r="EL369" s="480">
        <f t="shared" ref="EL369" si="710">EK369*(1+EL370)</f>
        <v>255.47397607780633</v>
      </c>
      <c r="EM369" s="480">
        <f>EL369*(1+EM370)</f>
        <v>260.58345559936248</v>
      </c>
      <c r="EN369" s="480">
        <f>EM369*(1+EN370)</f>
        <v>265.79512471134973</v>
      </c>
      <c r="EO369" s="480">
        <f>EN369*(1+EO370)</f>
        <v>271.1110272055767</v>
      </c>
      <c r="EP369" s="480">
        <f t="shared" ref="EP369" si="711">EO369*(1+EP370)</f>
        <v>276.53324774968826</v>
      </c>
      <c r="EQ369" s="480">
        <f>EP369*(1+EQ370)</f>
        <v>282.06391270468202</v>
      </c>
      <c r="ER369" s="480">
        <f>EQ369*(1+ER370)</f>
        <v>287.70519095877569</v>
      </c>
      <c r="ES369" s="480">
        <f>ER369*(1+ES370)</f>
        <v>293.45929477795119</v>
      </c>
      <c r="ET369" s="480">
        <f t="shared" ref="ET369" si="712">ES369*(1+ET370)</f>
        <v>299.32848067351023</v>
      </c>
      <c r="EU369" s="480">
        <f>ET369*(1+EU370)</f>
        <v>305.31505028698047</v>
      </c>
      <c r="EV369" s="480">
        <f>EU369*(1+EV370)</f>
        <v>311.42135129272009</v>
      </c>
      <c r="EW369" s="480">
        <f>EV369*(1+EW370)</f>
        <v>317.64977831857448</v>
      </c>
      <c r="FX369" s="380"/>
      <c r="FY369" s="380"/>
      <c r="FZ369" s="380"/>
      <c r="GA369" s="376">
        <f>DF369+DG369+DH369+DI369</f>
        <v>483.48015999999996</v>
      </c>
      <c r="GB369" s="376">
        <f>DJ369+DK369+DL369+DM369</f>
        <v>726.86947000000009</v>
      </c>
      <c r="GC369" s="376">
        <f>DN369+DO369+DP369+DQ369</f>
        <v>949.10004065625003</v>
      </c>
      <c r="GD369" s="376">
        <f>DR369+DS369+DT369+DU369</f>
        <v>972.02034068760906</v>
      </c>
      <c r="GE369" s="376">
        <f>DV369+DW369+DX369+DY369</f>
        <v>722.58012582872846</v>
      </c>
      <c r="GF369" s="376">
        <f>SUM(DZ369:EC369)</f>
        <v>786.33076306439909</v>
      </c>
      <c r="GG369" s="380">
        <f>SUM(ED369:EG369)</f>
        <v>874.1559201781397</v>
      </c>
      <c r="GH369" s="380">
        <f>SUM(EH369:EK369)</f>
        <v>972.77559047589193</v>
      </c>
      <c r="GI369" s="380">
        <f>SUM(EI369:EL369)</f>
        <v>992.23110228540975</v>
      </c>
      <c r="GJ369" s="380">
        <f>SUM(EJ369:EM369)</f>
        <v>1012.075724331118</v>
      </c>
      <c r="GK369" s="380">
        <f>SUM(EK369:EN369)</f>
        <v>1032.3172388177404</v>
      </c>
      <c r="GN369" s="70"/>
    </row>
    <row r="370" spans="1:196" s="418" customFormat="1" hidden="1" outlineLevel="1">
      <c r="A370" s="482" t="s">
        <v>198</v>
      </c>
      <c r="CT370" s="483"/>
      <c r="CU370" s="483"/>
      <c r="CV370" s="483"/>
      <c r="CW370" s="427"/>
      <c r="CX370" s="483"/>
      <c r="CY370" s="490"/>
      <c r="CZ370" s="490">
        <f t="shared" ref="CZ370:DM370" si="713">+CZ369/CY369-1</f>
        <v>7.1237756010685604E-2</v>
      </c>
      <c r="DA370" s="490">
        <f t="shared" si="713"/>
        <v>1.5793848711554537E-2</v>
      </c>
      <c r="DB370" s="490">
        <f t="shared" si="713"/>
        <v>-5.9738134206219318E-2</v>
      </c>
      <c r="DC370" s="490">
        <f t="shared" si="713"/>
        <v>7.9199303742384597E-2</v>
      </c>
      <c r="DD370" s="490">
        <f t="shared" si="713"/>
        <v>6.0483870967741993E-2</v>
      </c>
      <c r="DE370" s="490">
        <f t="shared" si="713"/>
        <v>2.3574144486691928E-2</v>
      </c>
      <c r="DF370" s="490">
        <f t="shared" si="713"/>
        <v>-0.10113640416047553</v>
      </c>
      <c r="DG370" s="490">
        <f t="shared" si="713"/>
        <v>-0.27925536487213831</v>
      </c>
      <c r="DH370" s="490">
        <f t="shared" si="713"/>
        <v>0.40647398027264892</v>
      </c>
      <c r="DI370" s="490">
        <f t="shared" si="713"/>
        <v>0.24461668416967264</v>
      </c>
      <c r="DJ370" s="490">
        <f t="shared" si="713"/>
        <v>3.4779644192903802E-3</v>
      </c>
      <c r="DK370" s="490">
        <f t="shared" si="713"/>
        <v>0.14717250544237359</v>
      </c>
      <c r="DL370" s="490">
        <f t="shared" si="713"/>
        <v>0.1715683708055713</v>
      </c>
      <c r="DM370" s="490">
        <f t="shared" si="713"/>
        <v>-6.6878273313080938E-2</v>
      </c>
      <c r="DN370" s="481">
        <v>0</v>
      </c>
      <c r="DO370" s="481">
        <v>0.25</v>
      </c>
      <c r="DP370" s="481">
        <v>0.05</v>
      </c>
      <c r="DQ370" s="481">
        <v>0.05</v>
      </c>
      <c r="DR370" s="481">
        <v>0.11</v>
      </c>
      <c r="DS370" s="481">
        <v>-0.1</v>
      </c>
      <c r="DT370" s="481">
        <v>-0.1545</v>
      </c>
      <c r="DU370" s="481">
        <v>-0.15</v>
      </c>
      <c r="DV370" s="481">
        <v>-0.15</v>
      </c>
      <c r="DW370" s="481">
        <v>0</v>
      </c>
      <c r="DX370" s="481">
        <v>0.15</v>
      </c>
      <c r="DY370" s="481">
        <v>0.15</v>
      </c>
      <c r="DZ370" s="481">
        <v>-0.15</v>
      </c>
      <c r="EA370" s="481">
        <v>0.06</v>
      </c>
      <c r="EB370" s="481">
        <v>0.06</v>
      </c>
      <c r="EC370" s="481">
        <v>0.02</v>
      </c>
      <c r="ED370" s="481">
        <v>-0.03</v>
      </c>
      <c r="EE370" s="481">
        <v>0.06</v>
      </c>
      <c r="EF370" s="481">
        <v>0.06</v>
      </c>
      <c r="EG370" s="481">
        <v>0.02</v>
      </c>
      <c r="EH370" s="481">
        <v>0.02</v>
      </c>
      <c r="EI370" s="481">
        <v>0.02</v>
      </c>
      <c r="EJ370" s="481">
        <v>0.02</v>
      </c>
      <c r="EK370" s="481">
        <v>0.02</v>
      </c>
      <c r="EL370" s="481">
        <v>0.02</v>
      </c>
      <c r="EM370" s="481">
        <v>0.02</v>
      </c>
      <c r="EN370" s="481">
        <v>0.02</v>
      </c>
      <c r="EO370" s="481">
        <v>0.02</v>
      </c>
      <c r="EP370" s="481">
        <v>0.02</v>
      </c>
      <c r="EQ370" s="481">
        <v>0.02</v>
      </c>
      <c r="ER370" s="481">
        <v>0.02</v>
      </c>
      <c r="ES370" s="481">
        <v>0.02</v>
      </c>
      <c r="ET370" s="481">
        <v>0.02</v>
      </c>
      <c r="EU370" s="481">
        <v>0.02</v>
      </c>
      <c r="EV370" s="481">
        <v>0.02</v>
      </c>
      <c r="EW370" s="481">
        <v>0.02</v>
      </c>
      <c r="EX370" s="481"/>
      <c r="EZ370" s="449"/>
      <c r="FA370" s="449"/>
      <c r="FB370" s="449"/>
      <c r="FC370" s="449"/>
      <c r="FD370" s="449"/>
      <c r="FE370" s="449"/>
      <c r="FF370" s="449"/>
      <c r="FG370" s="449"/>
      <c r="FH370" s="449"/>
      <c r="FI370" s="449"/>
      <c r="FJ370" s="449"/>
      <c r="FK370" s="449"/>
      <c r="FL370" s="449"/>
      <c r="FM370" s="449"/>
      <c r="FN370" s="449"/>
      <c r="FO370" s="449"/>
      <c r="FP370" s="449"/>
      <c r="FQ370" s="449"/>
      <c r="FR370" s="449"/>
      <c r="FS370" s="449"/>
      <c r="FT370" s="449"/>
      <c r="FU370" s="449"/>
      <c r="FV370" s="449"/>
      <c r="FW370" s="449"/>
      <c r="FX370" s="477"/>
      <c r="FY370" s="477"/>
      <c r="FZ370" s="477"/>
      <c r="GA370" s="477"/>
      <c r="GB370" s="477"/>
      <c r="GC370" s="477"/>
      <c r="GD370" s="477"/>
      <c r="GE370" s="477"/>
      <c r="GF370" s="477"/>
      <c r="GG370" s="477"/>
      <c r="GH370" s="477"/>
      <c r="GI370" s="477"/>
      <c r="GJ370" s="477"/>
      <c r="GK370" s="477"/>
      <c r="GL370" s="449"/>
      <c r="GN370" s="70"/>
    </row>
    <row r="371" spans="1:196" s="418" customFormat="1" hidden="1" outlineLevel="1">
      <c r="A371" s="482" t="s">
        <v>200</v>
      </c>
      <c r="CT371" s="483"/>
      <c r="CU371" s="483"/>
      <c r="CV371" s="483"/>
      <c r="CW371" s="427"/>
      <c r="CX371" s="483"/>
      <c r="CY371" s="490"/>
      <c r="CZ371" s="490"/>
      <c r="DA371" s="490"/>
      <c r="DB371" s="490"/>
      <c r="DC371" s="490">
        <f t="shared" ref="DC371:EW371" si="714">DC369/CY369-1</f>
        <v>0.10418521816562776</v>
      </c>
      <c r="DD371" s="490">
        <f t="shared" si="714"/>
        <v>9.310058187863679E-2</v>
      </c>
      <c r="DE371" s="490">
        <f t="shared" si="714"/>
        <v>0.10147299509001639</v>
      </c>
      <c r="DF371" s="490">
        <f t="shared" si="714"/>
        <v>5.2976849434290596E-2</v>
      </c>
      <c r="DG371" s="490">
        <f t="shared" si="714"/>
        <v>-0.29676806451612903</v>
      </c>
      <c r="DH371" s="490">
        <f t="shared" si="714"/>
        <v>-6.7333840304182546E-2</v>
      </c>
      <c r="DI371" s="490">
        <f t="shared" si="714"/>
        <v>0.13407696879643383</v>
      </c>
      <c r="DJ371" s="490">
        <f t="shared" si="714"/>
        <v>0.26606667953856866</v>
      </c>
      <c r="DK371" s="490">
        <f t="shared" si="714"/>
        <v>1.0151338130539229</v>
      </c>
      <c r="DL371" s="490">
        <f t="shared" si="714"/>
        <v>0.67857142857142838</v>
      </c>
      <c r="DM371" s="490">
        <f t="shared" si="714"/>
        <v>0.25846896455581514</v>
      </c>
      <c r="DN371" s="481">
        <f t="shared" si="714"/>
        <v>0.25410722425189181</v>
      </c>
      <c r="DO371" s="481">
        <f t="shared" si="714"/>
        <v>0.36651987637234429</v>
      </c>
      <c r="DP371" s="481">
        <f t="shared" si="714"/>
        <v>0.22472226627658154</v>
      </c>
      <c r="DQ371" s="481">
        <f t="shared" si="714"/>
        <v>0.37812500000000004</v>
      </c>
      <c r="DR371" s="481">
        <f t="shared" si="714"/>
        <v>0.52971875000000024</v>
      </c>
      <c r="DS371" s="481">
        <f t="shared" si="714"/>
        <v>0.10139750000000025</v>
      </c>
      <c r="DT371" s="481">
        <f t="shared" si="714"/>
        <v>-0.11311277499999983</v>
      </c>
      <c r="DU371" s="481">
        <f t="shared" si="714"/>
        <v>-0.28204367499999994</v>
      </c>
      <c r="DV371" s="481">
        <f t="shared" si="714"/>
        <v>-0.45021362499999995</v>
      </c>
      <c r="DW371" s="481">
        <f t="shared" si="714"/>
        <v>-0.38912625000000001</v>
      </c>
      <c r="DX371" s="481">
        <f>DX369/DT369-1</f>
        <v>-0.16912500000000008</v>
      </c>
      <c r="DY371" s="481">
        <f>DY369/DU369-1</f>
        <v>0.12412499999999982</v>
      </c>
      <c r="DZ371" s="481">
        <f>DZ369/DV369-1</f>
        <v>0.12412499999999982</v>
      </c>
      <c r="EA371" s="481">
        <f>EA369/DW369-1</f>
        <v>0.19157249999999992</v>
      </c>
      <c r="EB371" s="481">
        <f t="shared" si="714"/>
        <v>9.8319000000000045E-2</v>
      </c>
      <c r="EC371" s="481">
        <f t="shared" si="714"/>
        <v>-2.583879999999994E-2</v>
      </c>
      <c r="ED371" s="481">
        <f t="shared" si="714"/>
        <v>0.11168983999999993</v>
      </c>
      <c r="EE371" s="481">
        <f t="shared" si="714"/>
        <v>0.11168983999999993</v>
      </c>
      <c r="EF371" s="481">
        <f t="shared" si="714"/>
        <v>0.11168984000000015</v>
      </c>
      <c r="EG371" s="481">
        <f t="shared" si="714"/>
        <v>0.11168984000000015</v>
      </c>
      <c r="EH371" s="481">
        <f t="shared" si="714"/>
        <v>0.16899344000000016</v>
      </c>
      <c r="EI371" s="481">
        <f t="shared" si="714"/>
        <v>0.12488048000000007</v>
      </c>
      <c r="EJ371" s="481">
        <f t="shared" si="714"/>
        <v>8.2432159999999977E-2</v>
      </c>
      <c r="EK371" s="481">
        <f t="shared" si="714"/>
        <v>8.2432159999999977E-2</v>
      </c>
      <c r="EL371" s="481">
        <f t="shared" si="714"/>
        <v>8.2432159999999977E-2</v>
      </c>
      <c r="EM371" s="481">
        <f t="shared" si="714"/>
        <v>8.2432160000000199E-2</v>
      </c>
      <c r="EN371" s="481">
        <f t="shared" si="714"/>
        <v>8.2432160000000199E-2</v>
      </c>
      <c r="EO371" s="481">
        <f t="shared" si="714"/>
        <v>8.2432159999999977E-2</v>
      </c>
      <c r="EP371" s="481">
        <f t="shared" si="714"/>
        <v>8.2432160000000199E-2</v>
      </c>
      <c r="EQ371" s="481">
        <f t="shared" si="714"/>
        <v>8.2432159999999977E-2</v>
      </c>
      <c r="ER371" s="481">
        <f t="shared" si="714"/>
        <v>8.2432160000000199E-2</v>
      </c>
      <c r="ES371" s="481">
        <f t="shared" si="714"/>
        <v>8.2432160000000199E-2</v>
      </c>
      <c r="ET371" s="481">
        <f t="shared" si="714"/>
        <v>8.2432160000000199E-2</v>
      </c>
      <c r="EU371" s="481">
        <f t="shared" si="714"/>
        <v>8.2432160000000199E-2</v>
      </c>
      <c r="EV371" s="481">
        <f t="shared" si="714"/>
        <v>8.2432160000000199E-2</v>
      </c>
      <c r="EW371" s="481">
        <f t="shared" si="714"/>
        <v>8.2432160000000199E-2</v>
      </c>
      <c r="EX371" s="481"/>
      <c r="EZ371" s="449"/>
      <c r="FA371" s="449"/>
      <c r="FB371" s="449"/>
      <c r="FC371" s="449"/>
      <c r="FD371" s="449"/>
      <c r="FE371" s="449"/>
      <c r="FF371" s="449"/>
      <c r="FG371" s="449"/>
      <c r="FH371" s="449"/>
      <c r="FI371" s="449"/>
      <c r="FJ371" s="449"/>
      <c r="FK371" s="449"/>
      <c r="FL371" s="449"/>
      <c r="FM371" s="449"/>
      <c r="FN371" s="449"/>
      <c r="FO371" s="449"/>
      <c r="FP371" s="449"/>
      <c r="FQ371" s="449"/>
      <c r="FR371" s="449"/>
      <c r="FS371" s="449"/>
      <c r="FT371" s="449"/>
      <c r="FU371" s="449"/>
      <c r="FV371" s="449"/>
      <c r="FW371" s="449"/>
      <c r="FX371" s="477"/>
      <c r="FY371" s="477"/>
      <c r="FZ371" s="477"/>
      <c r="GA371" s="477"/>
      <c r="GB371" s="382">
        <f t="shared" ref="GB371:GK371" si="715">GB369/GA369-1</f>
        <v>0.50341116375902617</v>
      </c>
      <c r="GC371" s="382">
        <f t="shared" si="715"/>
        <v>0.30573655907745012</v>
      </c>
      <c r="GD371" s="382">
        <f t="shared" si="715"/>
        <v>2.414950906072133E-2</v>
      </c>
      <c r="GE371" s="382">
        <f t="shared" si="715"/>
        <v>-0.25662036525123144</v>
      </c>
      <c r="GF371" s="382">
        <f t="shared" si="715"/>
        <v>8.8226391727221909E-2</v>
      </c>
      <c r="GG371" s="384">
        <f t="shared" si="715"/>
        <v>0.11168983999999993</v>
      </c>
      <c r="GH371" s="384">
        <f t="shared" si="715"/>
        <v>0.11281702499670199</v>
      </c>
      <c r="GI371" s="384">
        <f t="shared" si="715"/>
        <v>2.0000000000000018E-2</v>
      </c>
      <c r="GJ371" s="384">
        <f t="shared" si="715"/>
        <v>2.0000000000000018E-2</v>
      </c>
      <c r="GK371" s="384">
        <f t="shared" si="715"/>
        <v>2.0000000000000018E-2</v>
      </c>
      <c r="GL371" s="449"/>
      <c r="GN371" s="70"/>
    </row>
    <row r="372" spans="1:196" s="418" customFormat="1" hidden="1" outlineLevel="1">
      <c r="A372" s="482" t="s">
        <v>261</v>
      </c>
      <c r="CT372" s="483"/>
      <c r="CU372" s="483"/>
      <c r="CV372" s="483"/>
      <c r="CW372" s="427"/>
      <c r="CX372" s="483"/>
      <c r="CY372" s="490">
        <f>+CY369/CY$383</f>
        <v>0.1640853302162478</v>
      </c>
      <c r="CZ372" s="490">
        <f t="shared" ref="CZ372:EW372" si="716">+CZ369/CZ$383</f>
        <v>0.16119522980034837</v>
      </c>
      <c r="DA372" s="490">
        <f t="shared" si="716"/>
        <v>0.15273090863642044</v>
      </c>
      <c r="DB372" s="490">
        <f t="shared" si="716"/>
        <v>0.13870111057460166</v>
      </c>
      <c r="DC372" s="490">
        <f t="shared" si="716"/>
        <v>0.14595103578154425</v>
      </c>
      <c r="DD372" s="490">
        <f t="shared" si="716"/>
        <v>0.15778737700983919</v>
      </c>
      <c r="DE372" s="490">
        <f t="shared" si="716"/>
        <v>0.18604008293020041</v>
      </c>
      <c r="DF372" s="490">
        <f t="shared" si="716"/>
        <v>0.15957793051417296</v>
      </c>
      <c r="DG372" s="490">
        <f t="shared" si="716"/>
        <v>0.12003853368537538</v>
      </c>
      <c r="DH372" s="490">
        <f t="shared" si="716"/>
        <v>0.16</v>
      </c>
      <c r="DI372" s="490">
        <f t="shared" si="716"/>
        <v>0.18999999999999997</v>
      </c>
      <c r="DJ372" s="490">
        <f t="shared" si="716"/>
        <v>0.17999999999999997</v>
      </c>
      <c r="DK372" s="490">
        <f t="shared" si="716"/>
        <v>0.20000000000000004</v>
      </c>
      <c r="DL372" s="490">
        <f t="shared" si="716"/>
        <v>0.22</v>
      </c>
      <c r="DM372" s="490">
        <v>0.19</v>
      </c>
      <c r="DN372" s="481">
        <f t="shared" si="716"/>
        <v>0.18534777094917568</v>
      </c>
      <c r="DO372" s="481">
        <f t="shared" si="716"/>
        <v>0.19256184275602617</v>
      </c>
      <c r="DP372" s="481">
        <f t="shared" si="716"/>
        <v>0.19426246633368169</v>
      </c>
      <c r="DQ372" s="481">
        <f>+DQ369/DQ$383</f>
        <v>0.19629157009318202</v>
      </c>
      <c r="DR372" s="481">
        <f t="shared" si="716"/>
        <v>0.20146088586168806</v>
      </c>
      <c r="DS372" s="481">
        <f t="shared" si="716"/>
        <v>0.19505202035729879</v>
      </c>
      <c r="DT372" s="481">
        <f t="shared" si="716"/>
        <v>0.19629318254965736</v>
      </c>
      <c r="DU372" s="481">
        <f t="shared" si="716"/>
        <v>0.19598622255413076</v>
      </c>
      <c r="DV372" s="481">
        <f t="shared" si="716"/>
        <v>0.19523945518325156</v>
      </c>
      <c r="DW372" s="481">
        <f t="shared" si="716"/>
        <v>0.19523945518325156</v>
      </c>
      <c r="DX372" s="481">
        <f t="shared" si="716"/>
        <v>0.19555110157921962</v>
      </c>
      <c r="DY372" s="481">
        <f t="shared" si="716"/>
        <v>0.19582290829164786</v>
      </c>
      <c r="DZ372" s="481">
        <f t="shared" si="716"/>
        <v>0.19550321399638895</v>
      </c>
      <c r="EA372" s="481">
        <f t="shared" si="716"/>
        <v>0.20080167001899993</v>
      </c>
      <c r="EB372" s="481">
        <f t="shared" si="716"/>
        <v>0.19983059233138675</v>
      </c>
      <c r="EC372" s="481">
        <f t="shared" si="716"/>
        <v>0.19834572396695088</v>
      </c>
      <c r="ED372" s="481">
        <f t="shared" si="716"/>
        <v>0.19828663857228965</v>
      </c>
      <c r="EE372" s="481">
        <f t="shared" si="716"/>
        <v>0.20328673960414936</v>
      </c>
      <c r="EF372" s="481">
        <f t="shared" si="716"/>
        <v>0.20140777836021737</v>
      </c>
      <c r="EG372" s="481">
        <f t="shared" si="716"/>
        <v>0.19986601288051045</v>
      </c>
      <c r="EH372" s="481">
        <f t="shared" si="716"/>
        <v>0.1983213146284562</v>
      </c>
      <c r="EI372" s="481">
        <f t="shared" si="716"/>
        <v>0.19677382104920377</v>
      </c>
      <c r="EJ372" s="481">
        <f t="shared" si="716"/>
        <v>0.19522367001575414</v>
      </c>
      <c r="EK372" s="481">
        <f t="shared" si="716"/>
        <v>0.19367099988345965</v>
      </c>
      <c r="EL372" s="481">
        <f t="shared" si="716"/>
        <v>0.19211594954349193</v>
      </c>
      <c r="EM372" s="481">
        <f t="shared" si="716"/>
        <v>0.19055865847519138</v>
      </c>
      <c r="EN372" s="481">
        <f t="shared" si="716"/>
        <v>0.1889992667972088</v>
      </c>
      <c r="EO372" s="481">
        <f t="shared" si="716"/>
        <v>0.18743791531734882</v>
      </c>
      <c r="EP372" s="481">
        <f t="shared" si="716"/>
        <v>0.18587474558102163</v>
      </c>
      <c r="EQ372" s="481">
        <f t="shared" si="716"/>
        <v>0.18430989991820912</v>
      </c>
      <c r="ER372" s="481">
        <f t="shared" si="716"/>
        <v>0.18274352148884987</v>
      </c>
      <c r="ES372" s="481">
        <f t="shared" si="716"/>
        <v>0.18117575432654426</v>
      </c>
      <c r="ET372" s="481">
        <f t="shared" si="716"/>
        <v>0.1796067433804828</v>
      </c>
      <c r="EU372" s="481">
        <f t="shared" si="716"/>
        <v>0.17803663455549573</v>
      </c>
      <c r="EV372" s="481">
        <f t="shared" si="716"/>
        <v>0.17646557475012467</v>
      </c>
      <c r="EW372" s="481">
        <f t="shared" si="716"/>
        <v>0.17489371189261352</v>
      </c>
      <c r="EX372" s="481"/>
      <c r="EZ372" s="449"/>
      <c r="FA372" s="449"/>
      <c r="FB372" s="449"/>
      <c r="FC372" s="449"/>
      <c r="FD372" s="449"/>
      <c r="FE372" s="449"/>
      <c r="FF372" s="449"/>
      <c r="FG372" s="449"/>
      <c r="FH372" s="449"/>
      <c r="FI372" s="449"/>
      <c r="FJ372" s="449"/>
      <c r="FK372" s="449"/>
      <c r="FL372" s="449"/>
      <c r="FM372" s="449"/>
      <c r="FN372" s="449"/>
      <c r="FO372" s="449"/>
      <c r="FP372" s="449"/>
      <c r="FQ372" s="449"/>
      <c r="FR372" s="449"/>
      <c r="FS372" s="449"/>
      <c r="FT372" s="449"/>
      <c r="FU372" s="449"/>
      <c r="FV372" s="449"/>
      <c r="FW372" s="449"/>
      <c r="FX372" s="477"/>
      <c r="FY372" s="477"/>
      <c r="FZ372" s="477"/>
      <c r="GA372" s="477"/>
      <c r="GB372" s="477"/>
      <c r="GC372" s="477"/>
      <c r="GD372" s="477"/>
      <c r="GE372" s="477"/>
      <c r="GF372" s="477"/>
      <c r="GG372" s="477"/>
      <c r="GH372" s="477"/>
      <c r="GI372" s="477"/>
      <c r="GJ372" s="477"/>
      <c r="GK372" s="477"/>
      <c r="GL372" s="449"/>
      <c r="GN372" s="70"/>
    </row>
    <row r="373" spans="1:196" s="376" customFormat="1" hidden="1" outlineLevel="1">
      <c r="A373" s="488" t="s">
        <v>301</v>
      </c>
      <c r="CT373" s="380"/>
      <c r="CU373" s="380"/>
      <c r="CV373" s="380"/>
      <c r="CW373" s="380"/>
      <c r="CX373" s="380"/>
      <c r="CY373" s="489">
        <v>210.7</v>
      </c>
      <c r="CZ373" s="489">
        <v>258.89999999999998</v>
      </c>
      <c r="DA373" s="489">
        <v>278.60000000000002</v>
      </c>
      <c r="DB373" s="489">
        <v>343.7</v>
      </c>
      <c r="DC373" s="489">
        <v>350.1</v>
      </c>
      <c r="DD373" s="489">
        <v>320.5</v>
      </c>
      <c r="DE373" s="489">
        <v>227.9</v>
      </c>
      <c r="DF373" s="489">
        <v>181.48056</v>
      </c>
      <c r="DG373" s="489">
        <v>232.53536</v>
      </c>
      <c r="DH373" s="489">
        <v>199.29910000000001</v>
      </c>
      <c r="DI373" s="489">
        <v>232.98715999999999</v>
      </c>
      <c r="DJ373" s="489">
        <v>263.80597</v>
      </c>
      <c r="DK373" s="489">
        <v>263.58179999999999</v>
      </c>
      <c r="DL373" s="489">
        <v>290.08870000000002</v>
      </c>
      <c r="DM373" s="489">
        <v>232.54357000000002</v>
      </c>
      <c r="DN373" s="480">
        <f t="shared" ref="DN373:EH373" si="717">DM373*(1+DN374)</f>
        <v>244.17074850000003</v>
      </c>
      <c r="DO373" s="480">
        <f t="shared" si="717"/>
        <v>288.12148323000002</v>
      </c>
      <c r="DP373" s="480">
        <f t="shared" si="717"/>
        <v>293.88391289460003</v>
      </c>
      <c r="DQ373" s="480">
        <f t="shared" si="717"/>
        <v>299.76159115249203</v>
      </c>
      <c r="DR373" s="480">
        <f t="shared" si="717"/>
        <v>332.73536617926618</v>
      </c>
      <c r="DS373" s="480">
        <f t="shared" si="717"/>
        <v>281.16138442147991</v>
      </c>
      <c r="DT373" s="480">
        <f t="shared" si="717"/>
        <v>210.87103831610995</v>
      </c>
      <c r="DU373" s="480">
        <f t="shared" si="717"/>
        <v>179.24038256869346</v>
      </c>
      <c r="DV373" s="480">
        <f t="shared" si="717"/>
        <v>152.35432518338945</v>
      </c>
      <c r="DW373" s="480">
        <f t="shared" si="717"/>
        <v>152.35432518338945</v>
      </c>
      <c r="DX373" s="480">
        <f>DW373*(1+DX374)</f>
        <v>175.20747396089786</v>
      </c>
      <c r="DY373" s="480">
        <f t="shared" si="717"/>
        <v>201.48859505503253</v>
      </c>
      <c r="DZ373" s="480">
        <f t="shared" si="717"/>
        <v>171.26530579677765</v>
      </c>
      <c r="EA373" s="480">
        <f t="shared" si="717"/>
        <v>176.40326497068099</v>
      </c>
      <c r="EB373" s="480">
        <f t="shared" si="717"/>
        <v>183.45939556950825</v>
      </c>
      <c r="EC373" s="480">
        <f t="shared" si="717"/>
        <v>187.12858348089841</v>
      </c>
      <c r="ED373" s="480">
        <f t="shared" si="717"/>
        <v>181.51472597647145</v>
      </c>
      <c r="EE373" s="480">
        <f t="shared" si="717"/>
        <v>186.96016775576561</v>
      </c>
      <c r="EF373" s="480">
        <f t="shared" si="717"/>
        <v>194.43857446599625</v>
      </c>
      <c r="EG373" s="480">
        <f t="shared" si="717"/>
        <v>198.32734595531619</v>
      </c>
      <c r="EH373" s="480">
        <f t="shared" si="717"/>
        <v>202.29389287442251</v>
      </c>
      <c r="EI373" s="480">
        <f>EH373*(1+EI374)</f>
        <v>206.33977073191096</v>
      </c>
      <c r="EJ373" s="480">
        <f>EI373*(1+EJ374)</f>
        <v>210.46656614654918</v>
      </c>
      <c r="EK373" s="480">
        <f>EJ373*(1+EK374)</f>
        <v>214.67589746948016</v>
      </c>
      <c r="EL373" s="480">
        <f t="shared" ref="EL373" si="718">EK373*(1+EL374)</f>
        <v>218.96941541886977</v>
      </c>
      <c r="EM373" s="480">
        <f>EL373*(1+EM374)</f>
        <v>223.34880372724717</v>
      </c>
      <c r="EN373" s="480">
        <f>EM373*(1+EN374)</f>
        <v>227.81577980179213</v>
      </c>
      <c r="EO373" s="480">
        <f>EN373*(1+EO374)</f>
        <v>232.37209539782799</v>
      </c>
      <c r="EP373" s="480">
        <f t="shared" ref="EP373" si="719">EO373*(1+EP374)</f>
        <v>237.01953730578455</v>
      </c>
      <c r="EQ373" s="480">
        <f>EP373*(1+EQ374)</f>
        <v>241.75992805190026</v>
      </c>
      <c r="ER373" s="480">
        <f>EQ373*(1+ER374)</f>
        <v>246.59512661293826</v>
      </c>
      <c r="ES373" s="480">
        <f>ER373*(1+ES374)</f>
        <v>251.52702914519702</v>
      </c>
      <c r="ET373" s="480">
        <f t="shared" ref="ET373" si="720">ES373*(1+ET374)</f>
        <v>256.55756972810099</v>
      </c>
      <c r="EU373" s="480">
        <f>ET373*(1+EU374)</f>
        <v>261.68872112266303</v>
      </c>
      <c r="EV373" s="480">
        <f>EU373*(1+EV374)</f>
        <v>266.92249554511631</v>
      </c>
      <c r="EW373" s="480">
        <f>EV373*(1+EW374)</f>
        <v>272.26094545601865</v>
      </c>
      <c r="FX373" s="380"/>
      <c r="FY373" s="380"/>
      <c r="FZ373" s="380"/>
      <c r="GA373" s="376">
        <f>DF373+DG373+DH373+DI373</f>
        <v>846.30218000000002</v>
      </c>
      <c r="GB373" s="376">
        <f>DJ373+DK373+DL373+DM373</f>
        <v>1050.0200400000001</v>
      </c>
      <c r="GC373" s="376">
        <f>DN373+DO373+DP373+DQ373</f>
        <v>1125.937735777092</v>
      </c>
      <c r="GD373" s="376">
        <f>DR373+DS373+DT373+DU373</f>
        <v>1004.0081714855495</v>
      </c>
      <c r="GE373" s="376">
        <f>DV373+DW373+DX373+DY373</f>
        <v>681.40471938270935</v>
      </c>
      <c r="GF373" s="376">
        <f>SUM(DZ373:EC373)</f>
        <v>718.25654981786533</v>
      </c>
      <c r="GG373" s="380">
        <f>SUM(ED373:EG373)</f>
        <v>761.24081415354954</v>
      </c>
      <c r="GH373" s="380">
        <f>SUM(EH373:EK373)</f>
        <v>833.7761272223629</v>
      </c>
      <c r="GI373" s="380">
        <f>SUM(EI373:EL373)</f>
        <v>850.45164976680996</v>
      </c>
      <c r="GJ373" s="380">
        <f>SUM(EJ373:EM373)</f>
        <v>867.46068276214623</v>
      </c>
      <c r="GK373" s="380">
        <f>SUM(EK373:EN373)</f>
        <v>884.80989641738927</v>
      </c>
      <c r="GN373" s="70"/>
    </row>
    <row r="374" spans="1:196" s="418" customFormat="1" hidden="1" outlineLevel="1">
      <c r="A374" s="491" t="s">
        <v>198</v>
      </c>
      <c r="CT374" s="483"/>
      <c r="CU374" s="483"/>
      <c r="CV374" s="483"/>
      <c r="CW374" s="427"/>
      <c r="CX374" s="483"/>
      <c r="CY374" s="490"/>
      <c r="CZ374" s="490">
        <f t="shared" ref="CZ374:DM374" si="721">+CZ373/CY373-1</f>
        <v>0.22876127195064067</v>
      </c>
      <c r="DA374" s="490">
        <f t="shared" si="721"/>
        <v>7.6091154886056556E-2</v>
      </c>
      <c r="DB374" s="490">
        <f t="shared" si="721"/>
        <v>0.23366834170854256</v>
      </c>
      <c r="DC374" s="490">
        <f t="shared" si="721"/>
        <v>1.8620890311318083E-2</v>
      </c>
      <c r="DD374" s="490">
        <f t="shared" si="721"/>
        <v>-8.4547272207940671E-2</v>
      </c>
      <c r="DE374" s="490">
        <f t="shared" si="721"/>
        <v>-0.28892355694227767</v>
      </c>
      <c r="DF374" s="490">
        <f t="shared" si="721"/>
        <v>-0.20368336989907854</v>
      </c>
      <c r="DG374" s="490">
        <f t="shared" si="721"/>
        <v>0.28132379578286515</v>
      </c>
      <c r="DH374" s="490">
        <f t="shared" si="721"/>
        <v>-0.14292991827135448</v>
      </c>
      <c r="DI374" s="490">
        <f t="shared" si="721"/>
        <v>0.16903267500957098</v>
      </c>
      <c r="DJ374" s="490">
        <f t="shared" si="721"/>
        <v>0.13227686023555973</v>
      </c>
      <c r="DK374" s="490">
        <f t="shared" si="721"/>
        <v>-8.4975332438463891E-4</v>
      </c>
      <c r="DL374" s="490">
        <f t="shared" si="721"/>
        <v>0.10056422712038549</v>
      </c>
      <c r="DM374" s="490">
        <f t="shared" si="721"/>
        <v>-0.19837080865266377</v>
      </c>
      <c r="DN374" s="481">
        <v>0.05</v>
      </c>
      <c r="DO374" s="481">
        <v>0.18</v>
      </c>
      <c r="DP374" s="481">
        <v>0.02</v>
      </c>
      <c r="DQ374" s="481">
        <v>0.02</v>
      </c>
      <c r="DR374" s="481">
        <v>0.11</v>
      </c>
      <c r="DS374" s="481">
        <v>-0.155</v>
      </c>
      <c r="DT374" s="481">
        <v>-0.25</v>
      </c>
      <c r="DU374" s="481">
        <v>-0.15</v>
      </c>
      <c r="DV374" s="481">
        <v>-0.15</v>
      </c>
      <c r="DW374" s="481">
        <v>0</v>
      </c>
      <c r="DX374" s="481">
        <v>0.15</v>
      </c>
      <c r="DY374" s="481">
        <v>0.15</v>
      </c>
      <c r="DZ374" s="481">
        <v>-0.15</v>
      </c>
      <c r="EA374" s="481">
        <v>0.03</v>
      </c>
      <c r="EB374" s="481">
        <v>0.04</v>
      </c>
      <c r="EC374" s="481">
        <v>0.02</v>
      </c>
      <c r="ED374" s="481">
        <v>-0.03</v>
      </c>
      <c r="EE374" s="481">
        <v>0.03</v>
      </c>
      <c r="EF374" s="481">
        <v>0.04</v>
      </c>
      <c r="EG374" s="481">
        <v>0.02</v>
      </c>
      <c r="EH374" s="481">
        <v>0.02</v>
      </c>
      <c r="EI374" s="481">
        <v>0.02</v>
      </c>
      <c r="EJ374" s="481">
        <v>0.02</v>
      </c>
      <c r="EK374" s="481">
        <v>0.02</v>
      </c>
      <c r="EL374" s="481">
        <v>0.02</v>
      </c>
      <c r="EM374" s="481">
        <v>0.02</v>
      </c>
      <c r="EN374" s="481">
        <v>0.02</v>
      </c>
      <c r="EO374" s="481">
        <v>0.02</v>
      </c>
      <c r="EP374" s="481">
        <v>0.02</v>
      </c>
      <c r="EQ374" s="481">
        <v>0.02</v>
      </c>
      <c r="ER374" s="481">
        <v>0.02</v>
      </c>
      <c r="ES374" s="481">
        <v>0.02</v>
      </c>
      <c r="ET374" s="481">
        <v>0.02</v>
      </c>
      <c r="EU374" s="481">
        <v>0.02</v>
      </c>
      <c r="EV374" s="481">
        <v>0.02</v>
      </c>
      <c r="EW374" s="481">
        <v>0.02</v>
      </c>
      <c r="EX374" s="481"/>
      <c r="EZ374" s="449"/>
      <c r="FA374" s="449"/>
      <c r="FB374" s="449"/>
      <c r="FC374" s="449"/>
      <c r="FD374" s="449"/>
      <c r="FE374" s="449"/>
      <c r="FF374" s="449"/>
      <c r="FG374" s="449"/>
      <c r="FH374" s="449"/>
      <c r="FI374" s="449"/>
      <c r="FJ374" s="449"/>
      <c r="FK374" s="449"/>
      <c r="FL374" s="449"/>
      <c r="FM374" s="449"/>
      <c r="FN374" s="449"/>
      <c r="FO374" s="449"/>
      <c r="FP374" s="449"/>
      <c r="FQ374" s="449"/>
      <c r="FR374" s="449"/>
      <c r="FS374" s="449"/>
      <c r="FT374" s="449"/>
      <c r="FU374" s="449"/>
      <c r="FV374" s="449"/>
      <c r="FW374" s="449"/>
      <c r="FX374" s="477"/>
      <c r="FY374" s="477"/>
      <c r="FZ374" s="477"/>
      <c r="GA374" s="477"/>
      <c r="GB374" s="477"/>
      <c r="GC374" s="477"/>
      <c r="GD374" s="477"/>
      <c r="GE374" s="477"/>
      <c r="GF374" s="477"/>
      <c r="GG374" s="477"/>
      <c r="GH374" s="477"/>
      <c r="GI374" s="477"/>
      <c r="GJ374" s="477"/>
      <c r="GK374" s="477"/>
      <c r="GL374" s="449"/>
      <c r="GN374" s="70"/>
    </row>
    <row r="375" spans="1:196" s="418" customFormat="1" hidden="1" outlineLevel="1">
      <c r="A375" s="491" t="s">
        <v>200</v>
      </c>
      <c r="CT375" s="483"/>
      <c r="CU375" s="483"/>
      <c r="CV375" s="483"/>
      <c r="CW375" s="427"/>
      <c r="CX375" s="483"/>
      <c r="CY375" s="490"/>
      <c r="CZ375" s="490"/>
      <c r="DA375" s="490"/>
      <c r="DB375" s="490"/>
      <c r="DC375" s="490">
        <f t="shared" ref="DC375:EW375" si="722">DC373/CY373-1</f>
        <v>0.66160417655434278</v>
      </c>
      <c r="DD375" s="490">
        <f t="shared" si="722"/>
        <v>0.23792970258787194</v>
      </c>
      <c r="DE375" s="490">
        <f t="shared" si="722"/>
        <v>-0.18198133524766691</v>
      </c>
      <c r="DF375" s="490">
        <f t="shared" si="722"/>
        <v>-0.47197974978178647</v>
      </c>
      <c r="DG375" s="490">
        <f t="shared" si="722"/>
        <v>-0.33580302770636961</v>
      </c>
      <c r="DH375" s="490">
        <f t="shared" si="722"/>
        <v>-0.37816193447737911</v>
      </c>
      <c r="DI375" s="490">
        <f t="shared" si="722"/>
        <v>2.2321895568231609E-2</v>
      </c>
      <c r="DJ375" s="490">
        <f t="shared" si="722"/>
        <v>0.45363211354428268</v>
      </c>
      <c r="DK375" s="490">
        <f t="shared" si="722"/>
        <v>0.13351276984283156</v>
      </c>
      <c r="DL375" s="490">
        <f t="shared" si="722"/>
        <v>0.45554445554445566</v>
      </c>
      <c r="DM375" s="490">
        <f t="shared" si="722"/>
        <v>-1.9039246626293416E-3</v>
      </c>
      <c r="DN375" s="481">
        <f t="shared" si="722"/>
        <v>-7.4430542644656539E-2</v>
      </c>
      <c r="DO375" s="481">
        <f t="shared" si="722"/>
        <v>9.3100825739865334E-2</v>
      </c>
      <c r="DP375" s="481">
        <f t="shared" si="722"/>
        <v>1.3082939440936636E-2</v>
      </c>
      <c r="DQ375" s="481">
        <f t="shared" si="722"/>
        <v>0.28905559999999997</v>
      </c>
      <c r="DR375" s="481">
        <f t="shared" si="722"/>
        <v>0.36271592000000008</v>
      </c>
      <c r="DS375" s="481">
        <f t="shared" si="722"/>
        <v>-2.4156819999999968E-2</v>
      </c>
      <c r="DT375" s="481">
        <f t="shared" si="722"/>
        <v>-0.28246824999999998</v>
      </c>
      <c r="DU375" s="481">
        <f t="shared" si="722"/>
        <v>-0.40205687499999987</v>
      </c>
      <c r="DV375" s="481">
        <f t="shared" si="722"/>
        <v>-0.54211562499999988</v>
      </c>
      <c r="DW375" s="481">
        <f t="shared" si="722"/>
        <v>-0.45812499999999989</v>
      </c>
      <c r="DX375" s="481">
        <f>DX373/DT373-1</f>
        <v>-0.16912499999999997</v>
      </c>
      <c r="DY375" s="481">
        <f>DY373/DU373-1</f>
        <v>0.12412500000000004</v>
      </c>
      <c r="DZ375" s="481">
        <f>DZ373/DV373-1</f>
        <v>0.12412499999999982</v>
      </c>
      <c r="EA375" s="481">
        <f>EA373/DW373-1</f>
        <v>0.15784875000000009</v>
      </c>
      <c r="EB375" s="481">
        <f t="shared" si="722"/>
        <v>4.7098000000000084E-2</v>
      </c>
      <c r="EC375" s="481">
        <f t="shared" si="722"/>
        <v>-7.1269599999999822E-2</v>
      </c>
      <c r="ED375" s="481">
        <f t="shared" si="722"/>
        <v>5.9845280000000001E-2</v>
      </c>
      <c r="EE375" s="481">
        <f t="shared" si="722"/>
        <v>5.9845280000000223E-2</v>
      </c>
      <c r="EF375" s="481">
        <f t="shared" si="722"/>
        <v>5.9845280000000223E-2</v>
      </c>
      <c r="EG375" s="481">
        <f t="shared" si="722"/>
        <v>5.9845280000000223E-2</v>
      </c>
      <c r="EH375" s="481">
        <f t="shared" si="722"/>
        <v>0.11447648000000021</v>
      </c>
      <c r="EI375" s="481">
        <f t="shared" si="722"/>
        <v>0.10365632000000025</v>
      </c>
      <c r="EJ375" s="481">
        <f t="shared" si="722"/>
        <v>8.2432159999999977E-2</v>
      </c>
      <c r="EK375" s="481">
        <f t="shared" si="722"/>
        <v>8.2432159999999977E-2</v>
      </c>
      <c r="EL375" s="481">
        <f t="shared" si="722"/>
        <v>8.2432159999999977E-2</v>
      </c>
      <c r="EM375" s="481">
        <f t="shared" si="722"/>
        <v>8.2432159999999977E-2</v>
      </c>
      <c r="EN375" s="481">
        <f t="shared" si="722"/>
        <v>8.2432160000000199E-2</v>
      </c>
      <c r="EO375" s="481">
        <f t="shared" si="722"/>
        <v>8.2432160000000199E-2</v>
      </c>
      <c r="EP375" s="481">
        <f t="shared" si="722"/>
        <v>8.2432160000000199E-2</v>
      </c>
      <c r="EQ375" s="481">
        <f t="shared" si="722"/>
        <v>8.2432160000000199E-2</v>
      </c>
      <c r="ER375" s="481">
        <f t="shared" si="722"/>
        <v>8.2432160000000199E-2</v>
      </c>
      <c r="ES375" s="481">
        <f t="shared" si="722"/>
        <v>8.2432159999999977E-2</v>
      </c>
      <c r="ET375" s="481">
        <f t="shared" si="722"/>
        <v>8.2432160000000199E-2</v>
      </c>
      <c r="EU375" s="481">
        <f t="shared" si="722"/>
        <v>8.2432160000000199E-2</v>
      </c>
      <c r="EV375" s="481">
        <f t="shared" si="722"/>
        <v>8.2432160000000199E-2</v>
      </c>
      <c r="EW375" s="481">
        <f t="shared" si="722"/>
        <v>8.2432160000000421E-2</v>
      </c>
      <c r="EX375" s="481"/>
      <c r="EZ375" s="449"/>
      <c r="FA375" s="449"/>
      <c r="FB375" s="449"/>
      <c r="FC375" s="449"/>
      <c r="FD375" s="449"/>
      <c r="FE375" s="449"/>
      <c r="FF375" s="449"/>
      <c r="FG375" s="449"/>
      <c r="FH375" s="449"/>
      <c r="FI375" s="449"/>
      <c r="FJ375" s="449"/>
      <c r="FK375" s="449"/>
      <c r="FL375" s="449"/>
      <c r="FM375" s="449"/>
      <c r="FN375" s="449"/>
      <c r="FO375" s="449"/>
      <c r="FP375" s="449"/>
      <c r="FQ375" s="449"/>
      <c r="FR375" s="449"/>
      <c r="FS375" s="449"/>
      <c r="FT375" s="449"/>
      <c r="FU375" s="449"/>
      <c r="FV375" s="449"/>
      <c r="FW375" s="449"/>
      <c r="FX375" s="477"/>
      <c r="FY375" s="477"/>
      <c r="FZ375" s="477"/>
      <c r="GA375" s="477"/>
      <c r="GB375" s="382">
        <f t="shared" ref="GB375:GK375" si="723">GB373/GA373-1</f>
        <v>0.24071527264646786</v>
      </c>
      <c r="GC375" s="382">
        <f t="shared" si="723"/>
        <v>7.2301187486947249E-2</v>
      </c>
      <c r="GD375" s="382">
        <f t="shared" si="723"/>
        <v>-0.10829156925572803</v>
      </c>
      <c r="GE375" s="382">
        <f t="shared" si="723"/>
        <v>-0.32131556422046847</v>
      </c>
      <c r="GF375" s="382">
        <f t="shared" si="723"/>
        <v>5.4082147344885367E-2</v>
      </c>
      <c r="GG375" s="384">
        <f t="shared" si="723"/>
        <v>5.9845280000000223E-2</v>
      </c>
      <c r="GH375" s="384">
        <f t="shared" si="723"/>
        <v>9.5285633297878203E-2</v>
      </c>
      <c r="GI375" s="384">
        <f t="shared" si="723"/>
        <v>1.9999999999999796E-2</v>
      </c>
      <c r="GJ375" s="384">
        <f t="shared" si="723"/>
        <v>2.0000000000000018E-2</v>
      </c>
      <c r="GK375" s="384">
        <f t="shared" si="723"/>
        <v>2.0000000000000018E-2</v>
      </c>
      <c r="GL375" s="449"/>
      <c r="GN375" s="70"/>
    </row>
    <row r="376" spans="1:196" s="418" customFormat="1" hidden="1" outlineLevel="1">
      <c r="A376" s="491" t="s">
        <v>261</v>
      </c>
      <c r="CT376" s="483"/>
      <c r="CU376" s="483"/>
      <c r="CV376" s="483"/>
      <c r="CW376" s="427"/>
      <c r="CX376" s="483"/>
      <c r="CY376" s="490">
        <f>+CY373/CY$383</f>
        <v>0.30786090005844535</v>
      </c>
      <c r="CZ376" s="490">
        <f t="shared" ref="CZ376:EW376" si="724">+CZ373/CZ$383</f>
        <v>0.3469114297199517</v>
      </c>
      <c r="DA376" s="490">
        <f t="shared" si="724"/>
        <v>0.3482064741907262</v>
      </c>
      <c r="DB376" s="490">
        <f t="shared" si="724"/>
        <v>0.41489618541767265</v>
      </c>
      <c r="DC376" s="490">
        <f t="shared" si="724"/>
        <v>0.41207627118644069</v>
      </c>
      <c r="DD376" s="490">
        <f t="shared" si="724"/>
        <v>0.38456923446124308</v>
      </c>
      <c r="DE376" s="490">
        <f t="shared" si="724"/>
        <v>0.31499654457498272</v>
      </c>
      <c r="DF376" s="490">
        <f t="shared" si="724"/>
        <v>0.23936689577125944</v>
      </c>
      <c r="DG376" s="490">
        <f t="shared" si="724"/>
        <v>0.32010275649433434</v>
      </c>
      <c r="DH376" s="490">
        <f t="shared" si="724"/>
        <v>0.26</v>
      </c>
      <c r="DI376" s="490">
        <f t="shared" si="724"/>
        <v>0.28999999999999992</v>
      </c>
      <c r="DJ376" s="490">
        <f t="shared" si="724"/>
        <v>0.31</v>
      </c>
      <c r="DK376" s="490">
        <f t="shared" si="724"/>
        <v>0.30000000000000004</v>
      </c>
      <c r="DL376" s="490">
        <f t="shared" si="724"/>
        <v>0.31</v>
      </c>
      <c r="DM376" s="490">
        <v>0.23</v>
      </c>
      <c r="DN376" s="481">
        <f t="shared" si="724"/>
        <v>0.23558677202224174</v>
      </c>
      <c r="DO376" s="481">
        <f t="shared" si="724"/>
        <v>0.23104988770604118</v>
      </c>
      <c r="DP376" s="481">
        <f t="shared" si="724"/>
        <v>0.22643069486408604</v>
      </c>
      <c r="DQ376" s="481">
        <f>+DQ373/DQ$383</f>
        <v>0.22225877822985665</v>
      </c>
      <c r="DR376" s="481">
        <f t="shared" si="724"/>
        <v>0.2281119374177274</v>
      </c>
      <c r="DS376" s="481">
        <f t="shared" si="724"/>
        <v>0.20735854003888946</v>
      </c>
      <c r="DT376" s="481">
        <f t="shared" si="724"/>
        <v>0.18510763884985657</v>
      </c>
      <c r="DU376" s="481">
        <f t="shared" si="724"/>
        <v>0.1848181706204701</v>
      </c>
      <c r="DV376" s="481">
        <f t="shared" si="724"/>
        <v>0.18411395693868013</v>
      </c>
      <c r="DW376" s="481">
        <f t="shared" si="724"/>
        <v>0.18411395693868013</v>
      </c>
      <c r="DX376" s="481">
        <f t="shared" si="724"/>
        <v>0.1844078445193103</v>
      </c>
      <c r="DY376" s="481">
        <f t="shared" si="724"/>
        <v>0.18466416263544461</v>
      </c>
      <c r="DZ376" s="481">
        <f t="shared" si="724"/>
        <v>0.18436268575590919</v>
      </c>
      <c r="EA376" s="481">
        <f t="shared" si="724"/>
        <v>0.18399999221548385</v>
      </c>
      <c r="EB376" s="481">
        <f t="shared" si="724"/>
        <v>0.17965525868868462</v>
      </c>
      <c r="EC376" s="481">
        <f t="shared" si="724"/>
        <v>0.17832030588181416</v>
      </c>
      <c r="ED376" s="481">
        <f t="shared" si="724"/>
        <v>0.17826718587782106</v>
      </c>
      <c r="EE376" s="481">
        <f t="shared" si="724"/>
        <v>0.17758994315775231</v>
      </c>
      <c r="EF376" s="481">
        <f t="shared" si="724"/>
        <v>0.17262871218991979</v>
      </c>
      <c r="EG376" s="481">
        <f t="shared" si="724"/>
        <v>0.17130724888086793</v>
      </c>
      <c r="EH376" s="481">
        <f t="shared" si="724"/>
        <v>0.16998327186198028</v>
      </c>
      <c r="EI376" s="481">
        <f t="shared" si="724"/>
        <v>0.16865689893893093</v>
      </c>
      <c r="EJ376" s="481">
        <f t="shared" si="724"/>
        <v>0.16732824828411028</v>
      </c>
      <c r="EK376" s="481">
        <f t="shared" si="724"/>
        <v>0.16599743848333698</v>
      </c>
      <c r="EL376" s="481">
        <f t="shared" si="724"/>
        <v>0.16466458858168614</v>
      </c>
      <c r="EM376" s="481">
        <f t="shared" si="724"/>
        <v>0.16332981812835845</v>
      </c>
      <c r="EN376" s="481">
        <f t="shared" si="724"/>
        <v>0.1619932472205142</v>
      </c>
      <c r="EO376" s="481">
        <f t="shared" si="724"/>
        <v>0.16065499654599463</v>
      </c>
      <c r="EP376" s="481">
        <f t="shared" si="724"/>
        <v>0.15931518742485037</v>
      </c>
      <c r="EQ376" s="481">
        <f t="shared" si="724"/>
        <v>0.15797394184959676</v>
      </c>
      <c r="ER376" s="481">
        <f t="shared" si="724"/>
        <v>0.15663138252411357</v>
      </c>
      <c r="ES376" s="481">
        <f t="shared" si="724"/>
        <v>0.15528763290110539</v>
      </c>
      <c r="ET376" s="481">
        <f t="shared" si="724"/>
        <v>0.15394281721803849</v>
      </c>
      <c r="EU376" s="481">
        <f t="shared" si="724"/>
        <v>0.15259706053146813</v>
      </c>
      <c r="EV376" s="481">
        <f t="shared" si="724"/>
        <v>0.15125048874966987</v>
      </c>
      <c r="EW376" s="481">
        <f t="shared" si="724"/>
        <v>0.14990322866348785</v>
      </c>
      <c r="EX376" s="481"/>
      <c r="EZ376" s="449"/>
      <c r="FA376" s="449"/>
      <c r="FB376" s="449"/>
      <c r="FC376" s="449"/>
      <c r="FD376" s="449"/>
      <c r="FE376" s="449"/>
      <c r="FF376" s="449"/>
      <c r="FG376" s="449"/>
      <c r="FH376" s="449"/>
      <c r="FI376" s="449"/>
      <c r="FJ376" s="449"/>
      <c r="FK376" s="449"/>
      <c r="FL376" s="449"/>
      <c r="FM376" s="449"/>
      <c r="FN376" s="449"/>
      <c r="FO376" s="449"/>
      <c r="FP376" s="449"/>
      <c r="FQ376" s="449"/>
      <c r="FR376" s="449"/>
      <c r="FS376" s="449"/>
      <c r="FT376" s="449"/>
      <c r="FU376" s="449"/>
      <c r="FV376" s="449"/>
      <c r="FW376" s="449"/>
      <c r="FX376" s="477"/>
      <c r="FY376" s="477"/>
      <c r="FZ376" s="477"/>
      <c r="GA376" s="477"/>
      <c r="GB376" s="477"/>
      <c r="GC376" s="477"/>
      <c r="GD376" s="477"/>
      <c r="GE376" s="477"/>
      <c r="GF376" s="477"/>
      <c r="GG376" s="477"/>
      <c r="GH376" s="477"/>
      <c r="GI376" s="477"/>
      <c r="GJ376" s="477"/>
      <c r="GK376" s="477"/>
      <c r="GL376" s="449"/>
      <c r="GN376" s="70"/>
    </row>
    <row r="377" spans="1:196" s="376" customFormat="1" hidden="1" outlineLevel="1">
      <c r="A377" s="488" t="s">
        <v>302</v>
      </c>
      <c r="CT377" s="380"/>
      <c r="CU377" s="380"/>
      <c r="CV377" s="380"/>
      <c r="CW377" s="380"/>
      <c r="CX377" s="380"/>
      <c r="CY377" s="489">
        <v>48.5</v>
      </c>
      <c r="CZ377" s="489">
        <v>65.7</v>
      </c>
      <c r="DA377" s="489">
        <v>63.7</v>
      </c>
      <c r="DB377" s="489">
        <v>44.2</v>
      </c>
      <c r="DC377" s="489">
        <v>42.4</v>
      </c>
      <c r="DD377" s="489">
        <v>81.2</v>
      </c>
      <c r="DE377" s="489">
        <v>68.5</v>
      </c>
      <c r="DF377" s="489">
        <v>75.616900000000001</v>
      </c>
      <c r="DG377" s="489">
        <v>87.200760000000002</v>
      </c>
      <c r="DH377" s="489">
        <v>107.31490000000001</v>
      </c>
      <c r="DI377" s="489">
        <v>56.238280000000003</v>
      </c>
      <c r="DJ377" s="489">
        <v>76.588829999999987</v>
      </c>
      <c r="DK377" s="489">
        <v>87.860600000000005</v>
      </c>
      <c r="DL377" s="489">
        <v>84.21929999999999</v>
      </c>
      <c r="DM377" s="489">
        <v>111.21648999999999</v>
      </c>
      <c r="DN377" s="480">
        <f t="shared" ref="DN377:EH377" si="725">DM377*(1+DN378)</f>
        <v>115.66514959999999</v>
      </c>
      <c r="DO377" s="480">
        <f t="shared" si="725"/>
        <v>115.66514959999999</v>
      </c>
      <c r="DP377" s="480">
        <f t="shared" si="725"/>
        <v>119.13510408799999</v>
      </c>
      <c r="DQ377" s="480">
        <f t="shared" si="725"/>
        <v>120.32645512888</v>
      </c>
      <c r="DR377" s="480">
        <f t="shared" si="725"/>
        <v>96.261164103104008</v>
      </c>
      <c r="DS377" s="480">
        <f t="shared" si="725"/>
        <v>96.261164103104008</v>
      </c>
      <c r="DT377" s="480">
        <f t="shared" si="725"/>
        <v>96.261164103104008</v>
      </c>
      <c r="DU377" s="480">
        <f t="shared" si="725"/>
        <v>81.821989487638405</v>
      </c>
      <c r="DV377" s="480">
        <f t="shared" si="725"/>
        <v>71.185130854245415</v>
      </c>
      <c r="DW377" s="480">
        <f t="shared" si="725"/>
        <v>71.185130854245415</v>
      </c>
      <c r="DX377" s="480">
        <f>DW377*(1+DX378)</f>
        <v>81.862900482382216</v>
      </c>
      <c r="DY377" s="480">
        <f t="shared" si="725"/>
        <v>94.142335554739546</v>
      </c>
      <c r="DZ377" s="480">
        <f t="shared" si="725"/>
        <v>80.020985221528619</v>
      </c>
      <c r="EA377" s="480">
        <f t="shared" si="725"/>
        <v>84.022034482605051</v>
      </c>
      <c r="EB377" s="480">
        <f t="shared" si="725"/>
        <v>88.223136206735305</v>
      </c>
      <c r="EC377" s="480">
        <f t="shared" si="725"/>
        <v>92.634293017072068</v>
      </c>
      <c r="ED377" s="480">
        <f t="shared" si="725"/>
        <v>89.855264226559896</v>
      </c>
      <c r="EE377" s="480">
        <f t="shared" si="725"/>
        <v>96.145132722419092</v>
      </c>
      <c r="EF377" s="480">
        <f t="shared" si="725"/>
        <v>105.75964599466101</v>
      </c>
      <c r="EG377" s="480">
        <f t="shared" si="725"/>
        <v>111.04762829439407</v>
      </c>
      <c r="EH377" s="480">
        <f t="shared" si="725"/>
        <v>116.60000970911378</v>
      </c>
      <c r="EI377" s="480">
        <f>EH377*(1+EI378)</f>
        <v>122.43001019456948</v>
      </c>
      <c r="EJ377" s="480">
        <f>EI377*(1+EJ378)</f>
        <v>128.55151070429795</v>
      </c>
      <c r="EK377" s="480">
        <f>EJ377*(1+EK378)</f>
        <v>134.97908623951287</v>
      </c>
      <c r="EL377" s="480">
        <f t="shared" ref="EL377" si="726">EK377*(1+EL378)</f>
        <v>141.7280405514885</v>
      </c>
      <c r="EM377" s="480">
        <f>EL377*(1+EM378)</f>
        <v>148.81444257906293</v>
      </c>
      <c r="EN377" s="480">
        <f>EM377*(1+EN378)</f>
        <v>156.25516470801608</v>
      </c>
      <c r="EO377" s="480">
        <f>EN377*(1+EO378)</f>
        <v>164.0679229434169</v>
      </c>
      <c r="EP377" s="480">
        <f t="shared" ref="EP377" si="727">EO377*(1+EP378)</f>
        <v>172.27131909058775</v>
      </c>
      <c r="EQ377" s="480">
        <f>EP377*(1+EQ378)</f>
        <v>180.88488504511716</v>
      </c>
      <c r="ER377" s="480">
        <f>EQ377*(1+ER378)</f>
        <v>189.92912929737304</v>
      </c>
      <c r="ES377" s="480">
        <f>ER377*(1+ES378)</f>
        <v>199.4255857622417</v>
      </c>
      <c r="ET377" s="480">
        <f t="shared" ref="ET377" si="728">ES377*(1+ET378)</f>
        <v>209.3968650503538</v>
      </c>
      <c r="EU377" s="480">
        <f>ET377*(1+EU378)</f>
        <v>219.8667083028715</v>
      </c>
      <c r="EV377" s="480">
        <f>EU377*(1+EV378)</f>
        <v>230.86004371801508</v>
      </c>
      <c r="EW377" s="480">
        <f>EV377*(1+EW378)</f>
        <v>242.40304590391585</v>
      </c>
      <c r="FX377" s="380"/>
      <c r="FY377" s="380"/>
      <c r="FZ377" s="380"/>
      <c r="GA377" s="376">
        <f>DF377+DG377+DH377+DI377</f>
        <v>326.37084000000004</v>
      </c>
      <c r="GB377" s="376">
        <f>DJ377+DK377+DL377+DM377</f>
        <v>359.88522</v>
      </c>
      <c r="GC377" s="376">
        <f>DN377+DO377+DP377+DQ377</f>
        <v>470.79185841687996</v>
      </c>
      <c r="GD377" s="376">
        <f>DR377+DS377+DT377+DU377</f>
        <v>370.60548179695041</v>
      </c>
      <c r="GE377" s="376">
        <f>DV377+DW377+DX377+DY377</f>
        <v>318.37549774561256</v>
      </c>
      <c r="GF377" s="376">
        <f>SUM(DZ377:EC377)</f>
        <v>344.90044892794106</v>
      </c>
      <c r="GG377" s="380">
        <f>SUM(ED377:EG377)</f>
        <v>402.80767123803406</v>
      </c>
      <c r="GH377" s="380">
        <f>SUM(EH377:EK377)</f>
        <v>502.56061684749409</v>
      </c>
      <c r="GI377" s="380">
        <f>SUM(EI377:EL377)</f>
        <v>527.68864768986873</v>
      </c>
      <c r="GJ377" s="380">
        <f>SUM(EJ377:EM377)</f>
        <v>554.07308007436222</v>
      </c>
      <c r="GK377" s="380">
        <f>SUM(EK377:EN377)</f>
        <v>581.77673407808038</v>
      </c>
      <c r="GN377" s="70"/>
    </row>
    <row r="378" spans="1:196" s="418" customFormat="1" hidden="1" outlineLevel="1">
      <c r="A378" s="491" t="s">
        <v>198</v>
      </c>
      <c r="CT378" s="483"/>
      <c r="CU378" s="483"/>
      <c r="CV378" s="483"/>
      <c r="CW378" s="427"/>
      <c r="CX378" s="483"/>
      <c r="CY378" s="490"/>
      <c r="CZ378" s="490">
        <f t="shared" ref="CZ378:DM378" si="729">+CZ377/CY377-1</f>
        <v>0.35463917525773203</v>
      </c>
      <c r="DA378" s="490">
        <f t="shared" si="729"/>
        <v>-3.0441400304414001E-2</v>
      </c>
      <c r="DB378" s="490">
        <f t="shared" si="729"/>
        <v>-0.30612244897959184</v>
      </c>
      <c r="DC378" s="490">
        <f t="shared" si="729"/>
        <v>-4.0723981900452566E-2</v>
      </c>
      <c r="DD378" s="490">
        <f t="shared" si="729"/>
        <v>0.91509433962264164</v>
      </c>
      <c r="DE378" s="490">
        <f t="shared" si="729"/>
        <v>-0.15640394088669951</v>
      </c>
      <c r="DF378" s="490">
        <f t="shared" si="729"/>
        <v>0.10389635036496347</v>
      </c>
      <c r="DG378" s="490">
        <f t="shared" si="729"/>
        <v>0.15319141620457866</v>
      </c>
      <c r="DH378" s="490">
        <f t="shared" si="729"/>
        <v>0.23066473273856802</v>
      </c>
      <c r="DI378" s="490">
        <f t="shared" si="729"/>
        <v>-0.47595086982329571</v>
      </c>
      <c r="DJ378" s="490">
        <f t="shared" si="729"/>
        <v>0.36186295171189409</v>
      </c>
      <c r="DK378" s="490">
        <f t="shared" si="729"/>
        <v>0.14717250544237359</v>
      </c>
      <c r="DL378" s="490">
        <f t="shared" si="729"/>
        <v>-4.1444060249987036E-2</v>
      </c>
      <c r="DM378" s="490">
        <f t="shared" si="729"/>
        <v>0.32055823308909015</v>
      </c>
      <c r="DN378" s="481">
        <v>0.04</v>
      </c>
      <c r="DO378" s="481">
        <v>0</v>
      </c>
      <c r="DP378" s="481">
        <v>0.03</v>
      </c>
      <c r="DQ378" s="481">
        <v>0.01</v>
      </c>
      <c r="DR378" s="481">
        <v>-0.2</v>
      </c>
      <c r="DS378" s="481">
        <v>0</v>
      </c>
      <c r="DT378" s="481">
        <v>0</v>
      </c>
      <c r="DU378" s="481">
        <v>-0.15</v>
      </c>
      <c r="DV378" s="481">
        <v>-0.13</v>
      </c>
      <c r="DW378" s="481">
        <v>0</v>
      </c>
      <c r="DX378" s="481">
        <v>0.15</v>
      </c>
      <c r="DY378" s="481">
        <v>0.15</v>
      </c>
      <c r="DZ378" s="481">
        <v>-0.15</v>
      </c>
      <c r="EA378" s="481">
        <v>0.05</v>
      </c>
      <c r="EB378" s="481">
        <v>0.05</v>
      </c>
      <c r="EC378" s="481">
        <v>0.05</v>
      </c>
      <c r="ED378" s="481">
        <v>-0.03</v>
      </c>
      <c r="EE378" s="481">
        <v>7.0000000000000007E-2</v>
      </c>
      <c r="EF378" s="481">
        <v>0.1</v>
      </c>
      <c r="EG378" s="481">
        <v>0.05</v>
      </c>
      <c r="EH378" s="481">
        <v>0.05</v>
      </c>
      <c r="EI378" s="481">
        <v>0.05</v>
      </c>
      <c r="EJ378" s="481">
        <v>0.05</v>
      </c>
      <c r="EK378" s="481">
        <v>0.05</v>
      </c>
      <c r="EL378" s="481">
        <v>0.05</v>
      </c>
      <c r="EM378" s="481">
        <v>0.05</v>
      </c>
      <c r="EN378" s="481">
        <v>0.05</v>
      </c>
      <c r="EO378" s="481">
        <v>0.05</v>
      </c>
      <c r="EP378" s="481">
        <v>0.05</v>
      </c>
      <c r="EQ378" s="481">
        <v>0.05</v>
      </c>
      <c r="ER378" s="481">
        <v>0.05</v>
      </c>
      <c r="ES378" s="481">
        <v>0.05</v>
      </c>
      <c r="ET378" s="481">
        <v>0.05</v>
      </c>
      <c r="EU378" s="481">
        <v>0.05</v>
      </c>
      <c r="EV378" s="481">
        <v>0.05</v>
      </c>
      <c r="EW378" s="481">
        <v>0.05</v>
      </c>
      <c r="EX378" s="481"/>
      <c r="EZ378" s="449"/>
      <c r="FA378" s="449"/>
      <c r="FB378" s="449"/>
      <c r="FC378" s="449"/>
      <c r="FD378" s="449"/>
      <c r="FE378" s="449"/>
      <c r="FF378" s="449"/>
      <c r="FG378" s="449"/>
      <c r="FH378" s="449"/>
      <c r="FI378" s="449"/>
      <c r="FJ378" s="449"/>
      <c r="FK378" s="449"/>
      <c r="FL378" s="449"/>
      <c r="FM378" s="449"/>
      <c r="FN378" s="449"/>
      <c r="FO378" s="449"/>
      <c r="FP378" s="449"/>
      <c r="FQ378" s="449"/>
      <c r="FR378" s="449"/>
      <c r="FS378" s="449"/>
      <c r="FT378" s="449"/>
      <c r="FU378" s="449"/>
      <c r="FV378" s="449"/>
      <c r="FW378" s="449"/>
      <c r="FX378" s="477"/>
      <c r="FY378" s="477"/>
      <c r="FZ378" s="477"/>
      <c r="GA378" s="477"/>
      <c r="GB378" s="477"/>
      <c r="GC378" s="477"/>
      <c r="GD378" s="477"/>
      <c r="GE378" s="477"/>
      <c r="GF378" s="477"/>
      <c r="GG378" s="477"/>
      <c r="GH378" s="477"/>
      <c r="GI378" s="477"/>
      <c r="GJ378" s="477"/>
      <c r="GK378" s="477"/>
      <c r="GL378" s="449"/>
      <c r="GN378" s="70"/>
    </row>
    <row r="379" spans="1:196" s="418" customFormat="1" hidden="1" outlineLevel="1">
      <c r="A379" s="491" t="s">
        <v>200</v>
      </c>
      <c r="CT379" s="483"/>
      <c r="CU379" s="483"/>
      <c r="CV379" s="483"/>
      <c r="CW379" s="427"/>
      <c r="CX379" s="483"/>
      <c r="CY379" s="490"/>
      <c r="CZ379" s="490"/>
      <c r="DA379" s="490"/>
      <c r="DB379" s="490"/>
      <c r="DC379" s="490">
        <f>+DC377/CY377-1</f>
        <v>-0.12577319587628866</v>
      </c>
      <c r="DD379" s="490">
        <f>+DD377/CZ377-1</f>
        <v>0.23592085235920845</v>
      </c>
      <c r="DE379" s="490">
        <f t="shared" ref="DE379:EW379" si="730">+DE377/DA377-1</f>
        <v>7.5353218210361117E-2</v>
      </c>
      <c r="DF379" s="490">
        <f t="shared" si="730"/>
        <v>0.71078959276018083</v>
      </c>
      <c r="DG379" s="490">
        <f t="shared" si="730"/>
        <v>1.0566216981132075</v>
      </c>
      <c r="DH379" s="490">
        <f t="shared" si="730"/>
        <v>0.32161206896551731</v>
      </c>
      <c r="DI379" s="490">
        <f t="shared" si="730"/>
        <v>-0.17900321167883204</v>
      </c>
      <c r="DJ379" s="490">
        <f t="shared" si="730"/>
        <v>1.2853343630854885E-2</v>
      </c>
      <c r="DK379" s="490">
        <f t="shared" si="730"/>
        <v>7.5669065269614588E-3</v>
      </c>
      <c r="DL379" s="490">
        <f t="shared" si="730"/>
        <v>-0.21521335807050113</v>
      </c>
      <c r="DM379" s="490">
        <f t="shared" si="730"/>
        <v>0.97759408715913754</v>
      </c>
      <c r="DN379" s="481">
        <f t="shared" si="730"/>
        <v>0.51020912057280432</v>
      </c>
      <c r="DO379" s="481">
        <f t="shared" si="730"/>
        <v>0.31646209563786254</v>
      </c>
      <c r="DP379" s="481">
        <f t="shared" si="730"/>
        <v>0.41458197928503338</v>
      </c>
      <c r="DQ379" s="481">
        <f t="shared" si="730"/>
        <v>8.1911999999999985E-2</v>
      </c>
      <c r="DR379" s="481">
        <f t="shared" si="730"/>
        <v>-0.16775999999999991</v>
      </c>
      <c r="DS379" s="481">
        <f t="shared" si="730"/>
        <v>-0.16775999999999991</v>
      </c>
      <c r="DT379" s="481">
        <f t="shared" si="730"/>
        <v>-0.19199999999999984</v>
      </c>
      <c r="DU379" s="481">
        <f t="shared" si="730"/>
        <v>-0.31999999999999995</v>
      </c>
      <c r="DV379" s="481">
        <f t="shared" si="730"/>
        <v>-0.26049999999999995</v>
      </c>
      <c r="DW379" s="481">
        <f t="shared" si="730"/>
        <v>-0.26049999999999995</v>
      </c>
      <c r="DX379" s="481">
        <f>+DX377/DT377-1</f>
        <v>-0.14957500000000012</v>
      </c>
      <c r="DY379" s="481">
        <f>+DY377/DU377-1</f>
        <v>0.1505749999999999</v>
      </c>
      <c r="DZ379" s="481">
        <f>+DZ377/DV377-1</f>
        <v>0.12412499999999982</v>
      </c>
      <c r="EA379" s="481">
        <f>+EA377/DW377-1</f>
        <v>0.18033124999999983</v>
      </c>
      <c r="EB379" s="481">
        <f t="shared" si="730"/>
        <v>7.7693750000000117E-2</v>
      </c>
      <c r="EC379" s="481">
        <f t="shared" si="730"/>
        <v>-1.6018749999999971E-2</v>
      </c>
      <c r="ED379" s="481">
        <f t="shared" si="730"/>
        <v>0.12289624999999993</v>
      </c>
      <c r="EE379" s="481">
        <f t="shared" si="730"/>
        <v>0.14428474999999996</v>
      </c>
      <c r="EF379" s="481">
        <f t="shared" si="730"/>
        <v>0.19877450000000008</v>
      </c>
      <c r="EG379" s="481">
        <f t="shared" si="730"/>
        <v>0.19877450000000008</v>
      </c>
      <c r="EH379" s="481">
        <f t="shared" si="730"/>
        <v>0.29764250000000025</v>
      </c>
      <c r="EI379" s="481">
        <f t="shared" si="730"/>
        <v>0.27338750000000034</v>
      </c>
      <c r="EJ379" s="481">
        <f t="shared" si="730"/>
        <v>0.21550625000000023</v>
      </c>
      <c r="EK379" s="481">
        <f t="shared" si="730"/>
        <v>0.21550625000000023</v>
      </c>
      <c r="EL379" s="481">
        <f t="shared" si="730"/>
        <v>0.21550625000000023</v>
      </c>
      <c r="EM379" s="481">
        <f t="shared" si="730"/>
        <v>0.21550625000000001</v>
      </c>
      <c r="EN379" s="481">
        <f t="shared" si="730"/>
        <v>0.21550625000000023</v>
      </c>
      <c r="EO379" s="481">
        <f t="shared" si="730"/>
        <v>0.21550625000000001</v>
      </c>
      <c r="EP379" s="481">
        <f t="shared" si="730"/>
        <v>0.21550625000000023</v>
      </c>
      <c r="EQ379" s="481">
        <f t="shared" si="730"/>
        <v>0.21550625000000045</v>
      </c>
      <c r="ER379" s="481">
        <f t="shared" si="730"/>
        <v>0.21550625000000045</v>
      </c>
      <c r="ES379" s="481">
        <f t="shared" si="730"/>
        <v>0.21550625000000023</v>
      </c>
      <c r="ET379" s="481">
        <f t="shared" si="730"/>
        <v>0.21550625000000045</v>
      </c>
      <c r="EU379" s="481">
        <f t="shared" si="730"/>
        <v>0.21550625000000045</v>
      </c>
      <c r="EV379" s="481">
        <f t="shared" si="730"/>
        <v>0.21550625000000023</v>
      </c>
      <c r="EW379" s="481">
        <f t="shared" si="730"/>
        <v>0.21550625000000023</v>
      </c>
      <c r="EX379" s="481"/>
      <c r="EZ379" s="449"/>
      <c r="FA379" s="449"/>
      <c r="FB379" s="449"/>
      <c r="FC379" s="449"/>
      <c r="FD379" s="449"/>
      <c r="FE379" s="449"/>
      <c r="FF379" s="449"/>
      <c r="FG379" s="449"/>
      <c r="FH379" s="449"/>
      <c r="FI379" s="449"/>
      <c r="FJ379" s="449"/>
      <c r="FK379" s="449"/>
      <c r="FL379" s="449"/>
      <c r="FM379" s="449"/>
      <c r="FN379" s="449"/>
      <c r="FO379" s="449"/>
      <c r="FP379" s="449"/>
      <c r="FQ379" s="449"/>
      <c r="FR379" s="449"/>
      <c r="FS379" s="449"/>
      <c r="FT379" s="449"/>
      <c r="FU379" s="449"/>
      <c r="FV379" s="449"/>
      <c r="FW379" s="449"/>
      <c r="FX379" s="477"/>
      <c r="FY379" s="477"/>
      <c r="FZ379" s="477"/>
      <c r="GA379" s="477"/>
      <c r="GB379" s="382">
        <f t="shared" ref="GB379:GK379" si="731">GB377/GA377-1</f>
        <v>0.10268803426188433</v>
      </c>
      <c r="GC379" s="382">
        <f t="shared" si="731"/>
        <v>0.30817225118853164</v>
      </c>
      <c r="GD379" s="382">
        <f t="shared" si="731"/>
        <v>-0.21280397022332498</v>
      </c>
      <c r="GE379" s="382">
        <f t="shared" si="731"/>
        <v>-0.14093149350649359</v>
      </c>
      <c r="GF379" s="382">
        <f t="shared" si="731"/>
        <v>8.3313418809390916E-2</v>
      </c>
      <c r="GG379" s="384">
        <f t="shared" si="731"/>
        <v>0.16789546806937139</v>
      </c>
      <c r="GH379" s="384">
        <f t="shared" si="731"/>
        <v>0.24764410593985997</v>
      </c>
      <c r="GI379" s="384">
        <f t="shared" si="731"/>
        <v>4.9999999999999822E-2</v>
      </c>
      <c r="GJ379" s="384">
        <f t="shared" si="731"/>
        <v>5.0000000000000044E-2</v>
      </c>
      <c r="GK379" s="384">
        <f t="shared" si="731"/>
        <v>5.0000000000000044E-2</v>
      </c>
      <c r="GL379" s="449"/>
      <c r="GN379" s="70"/>
    </row>
    <row r="380" spans="1:196" s="418" customFormat="1" hidden="1" outlineLevel="1">
      <c r="A380" s="491" t="s">
        <v>261</v>
      </c>
      <c r="CT380" s="483"/>
      <c r="CU380" s="483"/>
      <c r="CV380" s="483"/>
      <c r="CW380" s="427"/>
      <c r="CX380" s="483"/>
      <c r="CY380" s="490">
        <f>+CY377/CY$383</f>
        <v>7.0864991233196964E-2</v>
      </c>
      <c r="CZ380" s="490">
        <f t="shared" ref="CZ380:EW380" si="732">+CZ377/CZ$383</f>
        <v>8.803430255929251E-2</v>
      </c>
      <c r="DA380" s="490">
        <f t="shared" si="732"/>
        <v>7.9615048118985135E-2</v>
      </c>
      <c r="DB380" s="490">
        <f t="shared" si="732"/>
        <v>5.3355866731047807E-2</v>
      </c>
      <c r="DC380" s="490">
        <f t="shared" si="732"/>
        <v>4.9905838041431262E-2</v>
      </c>
      <c r="DD380" s="490">
        <f t="shared" si="732"/>
        <v>9.7432205423566107E-2</v>
      </c>
      <c r="DE380" s="490">
        <f t="shared" si="732"/>
        <v>9.4678645473393233E-2</v>
      </c>
      <c r="DF380" s="490">
        <f t="shared" si="732"/>
        <v>9.9736206571358108E-2</v>
      </c>
      <c r="DG380" s="490">
        <f t="shared" si="732"/>
        <v>0.12003853368537538</v>
      </c>
      <c r="DH380" s="490">
        <f t="shared" si="732"/>
        <v>0.14000000000000001</v>
      </c>
      <c r="DI380" s="490">
        <f t="shared" si="732"/>
        <v>6.9999999999999993E-2</v>
      </c>
      <c r="DJ380" s="490">
        <f t="shared" si="732"/>
        <v>8.9999999999999983E-2</v>
      </c>
      <c r="DK380" s="490">
        <f t="shared" si="732"/>
        <v>0.10000000000000002</v>
      </c>
      <c r="DL380" s="490">
        <f t="shared" si="732"/>
        <v>0.09</v>
      </c>
      <c r="DM380" s="490">
        <v>0.11</v>
      </c>
      <c r="DN380" s="481">
        <f t="shared" si="732"/>
        <v>0.11159886840308261</v>
      </c>
      <c r="DO380" s="481">
        <f t="shared" si="732"/>
        <v>9.2753999205429025E-2</v>
      </c>
      <c r="DP380" s="481">
        <f t="shared" si="732"/>
        <v>9.1790816774056649E-2</v>
      </c>
      <c r="DQ380" s="481">
        <f>+DQ377/DQ$383</f>
        <v>8.9216269512226359E-2</v>
      </c>
      <c r="DR380" s="481">
        <f t="shared" si="732"/>
        <v>6.5993347487487919E-2</v>
      </c>
      <c r="DS380" s="481">
        <f t="shared" si="732"/>
        <v>7.0993299780247751E-2</v>
      </c>
      <c r="DT380" s="481">
        <f t="shared" si="732"/>
        <v>8.4500351221075465E-2</v>
      </c>
      <c r="DU380" s="481">
        <f t="shared" si="732"/>
        <v>8.4368210985251157E-2</v>
      </c>
      <c r="DV380" s="481">
        <f t="shared" si="732"/>
        <v>8.6024312739378411E-2</v>
      </c>
      <c r="DW380" s="481">
        <f t="shared" si="732"/>
        <v>8.6024312739378411E-2</v>
      </c>
      <c r="DX380" s="481">
        <f t="shared" si="732"/>
        <v>8.616162702867354E-2</v>
      </c>
      <c r="DY380" s="481">
        <f t="shared" si="732"/>
        <v>8.6281387584308381E-2</v>
      </c>
      <c r="DZ380" s="481">
        <f t="shared" si="732"/>
        <v>8.6140527316026366E-2</v>
      </c>
      <c r="EA380" s="481">
        <f t="shared" si="732"/>
        <v>8.7640405597356572E-2</v>
      </c>
      <c r="EB380" s="481">
        <f t="shared" si="732"/>
        <v>8.6393778352676462E-2</v>
      </c>
      <c r="EC380" s="481">
        <f t="shared" si="732"/>
        <v>8.8273929929235342E-2</v>
      </c>
      <c r="ED380" s="481">
        <f t="shared" si="732"/>
        <v>8.8247633925047045E-2</v>
      </c>
      <c r="EE380" s="481">
        <f t="shared" si="732"/>
        <v>9.1326451297230424E-2</v>
      </c>
      <c r="EF380" s="481">
        <f t="shared" si="732"/>
        <v>9.3896756545666718E-2</v>
      </c>
      <c r="EG380" s="481">
        <f t="shared" si="732"/>
        <v>9.5918510915503713E-2</v>
      </c>
      <c r="EH380" s="481">
        <f t="shared" si="732"/>
        <v>9.7976517569897545E-2</v>
      </c>
      <c r="EI380" s="481">
        <f t="shared" si="732"/>
        <v>0.10007118735876555</v>
      </c>
      <c r="EJ380" s="481">
        <f t="shared" si="732"/>
        <v>0.10220292702190271</v>
      </c>
      <c r="EK380" s="481">
        <f t="shared" si="732"/>
        <v>0.10437213878547308</v>
      </c>
      <c r="EL380" s="481">
        <f t="shared" si="732"/>
        <v>0.10657921994839586</v>
      </c>
      <c r="EM380" s="481">
        <f t="shared" si="732"/>
        <v>0.10882456245878799</v>
      </c>
      <c r="EN380" s="481">
        <f t="shared" si="732"/>
        <v>0.11110855248065084</v>
      </c>
      <c r="EO380" s="481">
        <f t="shared" si="732"/>
        <v>0.11343156995101716</v>
      </c>
      <c r="EP380" s="481">
        <f t="shared" si="732"/>
        <v>0.11579398812780223</v>
      </c>
      <c r="EQ380" s="481">
        <f t="shared" si="732"/>
        <v>0.11819617312863329</v>
      </c>
      <c r="ER380" s="481">
        <f t="shared" si="732"/>
        <v>0.12063848346096151</v>
      </c>
      <c r="ES380" s="481">
        <f t="shared" si="732"/>
        <v>0.12312126954379148</v>
      </c>
      <c r="ET380" s="481">
        <f t="shared" si="732"/>
        <v>0.12564487322139667</v>
      </c>
      <c r="EU380" s="481">
        <f t="shared" si="732"/>
        <v>0.1282096272694204</v>
      </c>
      <c r="EV380" s="481">
        <f t="shared" si="732"/>
        <v>0.13081585489379632</v>
      </c>
      <c r="EW380" s="481">
        <f t="shared" si="732"/>
        <v>0.13346386922295675</v>
      </c>
      <c r="EX380" s="481"/>
      <c r="EZ380" s="449"/>
      <c r="FA380" s="449"/>
      <c r="FB380" s="449"/>
      <c r="FC380" s="449"/>
      <c r="FD380" s="449"/>
      <c r="FE380" s="449"/>
      <c r="FF380" s="449"/>
      <c r="FG380" s="449"/>
      <c r="FH380" s="449"/>
      <c r="FI380" s="449"/>
      <c r="FJ380" s="449"/>
      <c r="FK380" s="449"/>
      <c r="FL380" s="449"/>
      <c r="FM380" s="449"/>
      <c r="FN380" s="449"/>
      <c r="FO380" s="449"/>
      <c r="FP380" s="449"/>
      <c r="FQ380" s="449"/>
      <c r="FR380" s="449"/>
      <c r="FS380" s="449"/>
      <c r="FT380" s="449"/>
      <c r="FU380" s="449"/>
      <c r="FV380" s="449"/>
      <c r="FW380" s="449"/>
      <c r="FX380" s="477"/>
      <c r="FY380" s="477"/>
      <c r="FZ380" s="477"/>
      <c r="GA380" s="477"/>
      <c r="GB380" s="382"/>
      <c r="GC380" s="382"/>
      <c r="GD380" s="382"/>
      <c r="GE380" s="382"/>
      <c r="GF380" s="382"/>
      <c r="GG380" s="384"/>
      <c r="GH380" s="384"/>
      <c r="GI380" s="384"/>
      <c r="GJ380" s="384"/>
      <c r="GK380" s="384"/>
      <c r="GL380" s="449"/>
      <c r="GN380" s="70"/>
    </row>
    <row r="381" spans="1:196" s="376" customFormat="1" hidden="1" outlineLevel="1">
      <c r="A381" s="488" t="s">
        <v>303</v>
      </c>
      <c r="CT381" s="380"/>
      <c r="CU381" s="380"/>
      <c r="CV381" s="380"/>
      <c r="CW381" s="380"/>
      <c r="CX381" s="380"/>
      <c r="CY381" s="489">
        <v>8.4</v>
      </c>
      <c r="CZ381" s="489">
        <v>19.100000000000001</v>
      </c>
      <c r="DA381" s="489">
        <v>13.6</v>
      </c>
      <c r="DB381" s="489">
        <v>-0.6</v>
      </c>
      <c r="DC381" s="489">
        <v>-0.4</v>
      </c>
      <c r="DD381" s="489">
        <v>-1.9</v>
      </c>
      <c r="DE381" s="489">
        <v>4.2</v>
      </c>
      <c r="DF381" s="489">
        <v>2</v>
      </c>
      <c r="DG381" s="489">
        <v>-7.5</v>
      </c>
      <c r="DH381" s="489">
        <v>0</v>
      </c>
      <c r="DI381" s="489">
        <v>0</v>
      </c>
      <c r="DJ381" s="489">
        <v>8.5098699999999994</v>
      </c>
      <c r="DK381" s="489">
        <v>35.144240000000003</v>
      </c>
      <c r="DL381" s="489">
        <v>-18.715399999999999</v>
      </c>
      <c r="DM381" s="489">
        <v>10.11059</v>
      </c>
      <c r="DN381" s="480">
        <f t="shared" ref="DN381:EH381" si="733">DM381*(1+DN382)</f>
        <v>10.11059</v>
      </c>
      <c r="DO381" s="480">
        <f t="shared" si="733"/>
        <v>10.11059</v>
      </c>
      <c r="DP381" s="480">
        <f t="shared" si="733"/>
        <v>10.11059</v>
      </c>
      <c r="DQ381" s="480">
        <f t="shared" si="733"/>
        <v>10.11059</v>
      </c>
      <c r="DR381" s="480">
        <f t="shared" si="733"/>
        <v>10.11059</v>
      </c>
      <c r="DS381" s="480">
        <f t="shared" si="733"/>
        <v>10.11059</v>
      </c>
      <c r="DT381" s="480">
        <f t="shared" si="733"/>
        <v>10.11059</v>
      </c>
      <c r="DU381" s="480">
        <f t="shared" si="733"/>
        <v>10.11059</v>
      </c>
      <c r="DV381" s="480">
        <f t="shared" si="733"/>
        <v>10.11059</v>
      </c>
      <c r="DW381" s="480">
        <f t="shared" si="733"/>
        <v>10.11059</v>
      </c>
      <c r="DX381" s="480">
        <f>DW381*(1+DX382)</f>
        <v>10.11059</v>
      </c>
      <c r="DY381" s="480">
        <f t="shared" si="733"/>
        <v>10.11059</v>
      </c>
      <c r="DZ381" s="480">
        <f t="shared" si="733"/>
        <v>10.11059</v>
      </c>
      <c r="EA381" s="480">
        <f t="shared" si="733"/>
        <v>10.11059</v>
      </c>
      <c r="EB381" s="480">
        <f t="shared" si="733"/>
        <v>10.11059</v>
      </c>
      <c r="EC381" s="480">
        <f t="shared" si="733"/>
        <v>10.11059</v>
      </c>
      <c r="ED381" s="480">
        <f t="shared" si="733"/>
        <v>10.11059</v>
      </c>
      <c r="EE381" s="480">
        <f t="shared" si="733"/>
        <v>10.11059</v>
      </c>
      <c r="EF381" s="480">
        <f t="shared" si="733"/>
        <v>10.11059</v>
      </c>
      <c r="EG381" s="480">
        <f t="shared" si="733"/>
        <v>10.11059</v>
      </c>
      <c r="EH381" s="480">
        <f t="shared" si="733"/>
        <v>10.11059</v>
      </c>
      <c r="EI381" s="480">
        <f>EH381*(1+EI382)</f>
        <v>10.11059</v>
      </c>
      <c r="EJ381" s="480">
        <f>EI381*(1+EJ382)</f>
        <v>10.11059</v>
      </c>
      <c r="EK381" s="480">
        <f>EJ381*(1+EK382)</f>
        <v>10.11059</v>
      </c>
      <c r="EL381" s="480">
        <f t="shared" ref="EL381" si="734">EK381*(1+EL382)</f>
        <v>10.11059</v>
      </c>
      <c r="EM381" s="480">
        <f>EL381*(1+EM382)</f>
        <v>10.11059</v>
      </c>
      <c r="EN381" s="480">
        <f>EM381*(1+EN382)</f>
        <v>10.11059</v>
      </c>
      <c r="EO381" s="480">
        <f>EN381*(1+EO382)</f>
        <v>10.11059</v>
      </c>
      <c r="EP381" s="480">
        <f t="shared" ref="EP381" si="735">EO381*(1+EP382)</f>
        <v>10.11059</v>
      </c>
      <c r="EQ381" s="480">
        <f>EP381*(1+EQ382)</f>
        <v>10.11059</v>
      </c>
      <c r="ER381" s="480">
        <f>EQ381*(1+ER382)</f>
        <v>10.11059</v>
      </c>
      <c r="ES381" s="480">
        <f>ER381*(1+ES382)</f>
        <v>10.11059</v>
      </c>
      <c r="ET381" s="480">
        <f t="shared" ref="ET381" si="736">ES381*(1+ET382)</f>
        <v>10.11059</v>
      </c>
      <c r="EU381" s="480">
        <f>ET381*(1+EU382)</f>
        <v>10.11059</v>
      </c>
      <c r="EV381" s="480">
        <f>EU381*(1+EV382)</f>
        <v>10.11059</v>
      </c>
      <c r="EW381" s="480">
        <f>EV381*(1+EW382)</f>
        <v>10.11059</v>
      </c>
      <c r="FX381" s="380"/>
      <c r="FY381" s="380"/>
      <c r="FZ381" s="380"/>
      <c r="GA381" s="376">
        <f>DF381+DG381+DH381+DI381</f>
        <v>-5.5</v>
      </c>
      <c r="GB381" s="376">
        <f>DJ381+DK381+DL381+DM381</f>
        <v>35.049300000000002</v>
      </c>
      <c r="GC381" s="376">
        <f>DN381+DO381+DP381+DQ381</f>
        <v>40.442360000000001</v>
      </c>
      <c r="GD381" s="376">
        <f>DR381+DS381+DT381+DU381</f>
        <v>40.442360000000001</v>
      </c>
      <c r="GE381" s="376">
        <f>DV381+DW381+DX381+DY381</f>
        <v>40.442360000000001</v>
      </c>
      <c r="GF381" s="376">
        <f>SUM(DZ381:EC381)</f>
        <v>40.442360000000001</v>
      </c>
      <c r="GG381" s="380">
        <f>SUM(ED381:EG381)</f>
        <v>40.442360000000001</v>
      </c>
      <c r="GH381" s="380">
        <f>SUM(EH381:EK381)</f>
        <v>40.442360000000001</v>
      </c>
      <c r="GI381" s="380">
        <f>SUM(EI381:EL381)</f>
        <v>40.442360000000001</v>
      </c>
      <c r="GJ381" s="380">
        <f>SUM(EJ381:EM381)</f>
        <v>40.442360000000001</v>
      </c>
      <c r="GK381" s="380">
        <f>SUM(EK381:EN381)</f>
        <v>40.442360000000001</v>
      </c>
      <c r="GN381" s="70"/>
    </row>
    <row r="382" spans="1:196" s="418" customFormat="1" hidden="1" outlineLevel="1">
      <c r="A382" s="491"/>
      <c r="CT382" s="483"/>
      <c r="CU382" s="483"/>
      <c r="CV382" s="483"/>
      <c r="CW382" s="427"/>
      <c r="CX382" s="483"/>
      <c r="CY382" s="484"/>
      <c r="CZ382" s="483"/>
      <c r="DA382" s="476"/>
      <c r="DB382" s="476"/>
      <c r="DC382" s="483"/>
      <c r="DD382" s="483"/>
      <c r="DE382" s="483"/>
      <c r="DF382" s="483"/>
      <c r="DG382" s="483"/>
      <c r="DH382" s="483"/>
      <c r="DI382" s="483"/>
      <c r="DJ382" s="485"/>
      <c r="DK382" s="485"/>
      <c r="DL382" s="485"/>
      <c r="DM382" s="485"/>
      <c r="DN382" s="485"/>
      <c r="DO382" s="485"/>
      <c r="DP382" s="485"/>
      <c r="DQ382" s="485"/>
      <c r="DR382" s="485"/>
      <c r="DS382" s="485"/>
      <c r="DT382" s="492"/>
      <c r="DU382" s="492"/>
      <c r="DV382" s="485"/>
      <c r="DW382" s="485"/>
      <c r="DX382" s="483"/>
      <c r="DY382" s="483"/>
      <c r="DZ382" s="483"/>
      <c r="EA382" s="483"/>
      <c r="EB382" s="483"/>
      <c r="EC382" s="483"/>
      <c r="ED382" s="483"/>
      <c r="EE382" s="483"/>
      <c r="EF382" s="483"/>
      <c r="EG382" s="483"/>
      <c r="EH382" s="483"/>
      <c r="EI382" s="483"/>
      <c r="EJ382" s="483"/>
      <c r="EK382" s="483"/>
      <c r="EL382" s="483"/>
      <c r="EM382" s="483"/>
      <c r="EN382" s="483"/>
      <c r="EO382" s="483"/>
      <c r="EP382" s="483"/>
      <c r="EQ382" s="483"/>
      <c r="ER382" s="483"/>
      <c r="ES382" s="483"/>
      <c r="ET382" s="483"/>
      <c r="EU382" s="483"/>
      <c r="EV382" s="483"/>
      <c r="EW382" s="483"/>
      <c r="EZ382" s="449"/>
      <c r="FA382" s="449"/>
      <c r="FB382" s="449"/>
      <c r="FC382" s="449"/>
      <c r="FD382" s="449"/>
      <c r="FE382" s="449"/>
      <c r="FF382" s="449"/>
      <c r="FG382" s="449"/>
      <c r="FH382" s="449"/>
      <c r="FI382" s="449"/>
      <c r="FJ382" s="449"/>
      <c r="FK382" s="449"/>
      <c r="FL382" s="449"/>
      <c r="FM382" s="449"/>
      <c r="FN382" s="449"/>
      <c r="FO382" s="449"/>
      <c r="FP382" s="449"/>
      <c r="FQ382" s="449"/>
      <c r="FR382" s="449"/>
      <c r="FS382" s="449"/>
      <c r="FT382" s="449"/>
      <c r="FU382" s="449"/>
      <c r="FV382" s="449"/>
      <c r="FW382" s="449"/>
      <c r="FX382" s="477"/>
      <c r="FY382" s="477"/>
      <c r="FZ382" s="493"/>
      <c r="GA382" s="477"/>
      <c r="GB382" s="477"/>
      <c r="GC382" s="477"/>
      <c r="GD382" s="477"/>
      <c r="GE382" s="477"/>
      <c r="GF382" s="477"/>
      <c r="GG382" s="477"/>
      <c r="GH382" s="477"/>
      <c r="GI382" s="477"/>
      <c r="GJ382" s="477"/>
      <c r="GK382" s="477"/>
      <c r="GN382" s="70"/>
    </row>
    <row r="383" spans="1:196" s="418" customFormat="1" hidden="1" outlineLevel="1">
      <c r="A383" s="488" t="s">
        <v>294</v>
      </c>
      <c r="CT383" s="483"/>
      <c r="CU383" s="483"/>
      <c r="CV383" s="483"/>
      <c r="CW383" s="427"/>
      <c r="CX383" s="483"/>
      <c r="CY383" s="489">
        <f>+CY365+CY369+CY373+CY377+CY381</f>
        <v>684.4</v>
      </c>
      <c r="CZ383" s="489">
        <f t="shared" ref="CZ383:DM383" si="737">+CZ365+CZ369+CZ373+CZ377+CZ381</f>
        <v>746.30000000000007</v>
      </c>
      <c r="DA383" s="489">
        <f t="shared" si="737"/>
        <v>800.1</v>
      </c>
      <c r="DB383" s="489">
        <f t="shared" si="737"/>
        <v>828.4</v>
      </c>
      <c r="DC383" s="489">
        <f t="shared" si="737"/>
        <v>849.6</v>
      </c>
      <c r="DD383" s="489">
        <f t="shared" si="737"/>
        <v>833.40000000000009</v>
      </c>
      <c r="DE383" s="489">
        <f>+DE365+DE369+DE373+DE377+DE381</f>
        <v>723.5</v>
      </c>
      <c r="DF383" s="489">
        <f t="shared" si="737"/>
        <v>758.16899999999998</v>
      </c>
      <c r="DG383" s="489">
        <f t="shared" si="737"/>
        <v>726.43973000000005</v>
      </c>
      <c r="DH383" s="489">
        <f t="shared" si="737"/>
        <v>766.53499999999997</v>
      </c>
      <c r="DI383" s="489">
        <f t="shared" si="737"/>
        <v>803.40400000000011</v>
      </c>
      <c r="DJ383" s="489">
        <f t="shared" si="737"/>
        <v>850.98699999999997</v>
      </c>
      <c r="DK383" s="489">
        <f t="shared" si="737"/>
        <v>878.60599999999988</v>
      </c>
      <c r="DL383" s="489">
        <f t="shared" si="737"/>
        <v>935.77</v>
      </c>
      <c r="DM383" s="489">
        <f t="shared" si="737"/>
        <v>1011.0590000000001</v>
      </c>
      <c r="DN383" s="480">
        <f>+DN365+DN369+DN373+DN377+DN381</f>
        <v>1036.4365809000001</v>
      </c>
      <c r="DO383" s="480">
        <f t="shared" ref="DO383:EW383" si="738">+DO365+DO369+DO373+DO377+DO381</f>
        <v>1247.00983883</v>
      </c>
      <c r="DP383" s="480">
        <f t="shared" si="738"/>
        <v>1297.8978537825999</v>
      </c>
      <c r="DQ383" s="480">
        <f>+DQ365+DQ369+DQ373+DQ377+DQ381</f>
        <v>1348.7052954213721</v>
      </c>
      <c r="DR383" s="480">
        <f t="shared" si="738"/>
        <v>1458.6495119277704</v>
      </c>
      <c r="DS383" s="480">
        <f t="shared" si="738"/>
        <v>1355.919000822194</v>
      </c>
      <c r="DT383" s="480">
        <f t="shared" si="738"/>
        <v>1139.1806390397019</v>
      </c>
      <c r="DU383" s="480">
        <f t="shared" si="738"/>
        <v>969.82013168374669</v>
      </c>
      <c r="DV383" s="480">
        <f t="shared" si="738"/>
        <v>827.50014022093751</v>
      </c>
      <c r="DW383" s="480">
        <f t="shared" si="738"/>
        <v>827.50014022093751</v>
      </c>
      <c r="DX383" s="480">
        <f t="shared" si="738"/>
        <v>950.10857275407807</v>
      </c>
      <c r="DY383" s="480">
        <f t="shared" si="738"/>
        <v>1091.1082701671896</v>
      </c>
      <c r="DZ383" s="480">
        <f t="shared" si="738"/>
        <v>928.95861814211105</v>
      </c>
      <c r="EA383" s="480">
        <f t="shared" si="738"/>
        <v>958.71343714022407</v>
      </c>
      <c r="EB383" s="480">
        <f t="shared" si="738"/>
        <v>1021.1746480931885</v>
      </c>
      <c r="EC383" s="480">
        <f t="shared" si="738"/>
        <v>1049.3958192564012</v>
      </c>
      <c r="ED383" s="480">
        <f t="shared" si="738"/>
        <v>1018.2172623787092</v>
      </c>
      <c r="EE383" s="480">
        <f t="shared" si="738"/>
        <v>1052.7632614291101</v>
      </c>
      <c r="EF383" s="480">
        <f t="shared" si="738"/>
        <v>1126.3397148678375</v>
      </c>
      <c r="EG383" s="480">
        <f t="shared" si="738"/>
        <v>1157.7288599926021</v>
      </c>
      <c r="EH383" s="480">
        <f t="shared" si="738"/>
        <v>1190.0811806862805</v>
      </c>
      <c r="EI383" s="480">
        <f t="shared" si="738"/>
        <v>1223.429175029624</v>
      </c>
      <c r="EJ383" s="480">
        <f t="shared" si="738"/>
        <v>1257.8065467415486</v>
      </c>
      <c r="EK383" s="480">
        <f t="shared" si="738"/>
        <v>1293.2482538941683</v>
      </c>
      <c r="EL383" s="480">
        <f t="shared" si="738"/>
        <v>1329.7905597367967</v>
      </c>
      <c r="EM383" s="480">
        <f t="shared" si="738"/>
        <v>1367.4710857249636</v>
      </c>
      <c r="EN383" s="480">
        <f t="shared" si="738"/>
        <v>1406.3288668550279</v>
      </c>
      <c r="EO383" s="480">
        <f t="shared" si="738"/>
        <v>1446.4044094097076</v>
      </c>
      <c r="EP383" s="480">
        <f t="shared" si="738"/>
        <v>1487.7397512248331</v>
      </c>
      <c r="EQ383" s="480">
        <f t="shared" si="738"/>
        <v>1530.3785245928354</v>
      </c>
      <c r="ER383" s="480">
        <f t="shared" si="738"/>
        <v>1574.3660219239569</v>
      </c>
      <c r="ES383" s="480">
        <f t="shared" si="738"/>
        <v>1619.749264291906</v>
      </c>
      <c r="ET383" s="480">
        <f t="shared" si="738"/>
        <v>1666.5770729966766</v>
      </c>
      <c r="EU383" s="480">
        <f t="shared" si="738"/>
        <v>1714.9001442835679</v>
      </c>
      <c r="EV383" s="480">
        <f t="shared" si="738"/>
        <v>1764.7711273640359</v>
      </c>
      <c r="EW383" s="480">
        <f t="shared" si="738"/>
        <v>1816.244705890939</v>
      </c>
      <c r="EZ383" s="449"/>
      <c r="FA383" s="449"/>
      <c r="FB383" s="449"/>
      <c r="FC383" s="449"/>
      <c r="FD383" s="449"/>
      <c r="FE383" s="449"/>
      <c r="FF383" s="449"/>
      <c r="FG383" s="449"/>
      <c r="FH383" s="376"/>
      <c r="FI383" s="376"/>
      <c r="FJ383" s="376"/>
      <c r="FK383" s="376"/>
      <c r="FL383" s="376"/>
      <c r="FM383" s="376"/>
      <c r="FN383" s="376"/>
      <c r="FO383" s="376"/>
      <c r="FP383" s="376"/>
      <c r="FQ383" s="376"/>
      <c r="FR383" s="376"/>
      <c r="FS383" s="376"/>
      <c r="FT383" s="376"/>
      <c r="FU383" s="376"/>
      <c r="FV383" s="376"/>
      <c r="FW383" s="376"/>
      <c r="FX383" s="376"/>
      <c r="FY383" s="376">
        <f>CX383+CY383+CZ383+DA383</f>
        <v>2230.8000000000002</v>
      </c>
      <c r="FZ383" s="376">
        <f>DB383+DC383+DD383+DE383</f>
        <v>3234.9</v>
      </c>
      <c r="GA383" s="376">
        <f>SUM(DF383:DI383)</f>
        <v>3054.5477299999998</v>
      </c>
      <c r="GB383" s="376">
        <f>SUM(DJ383:DM383)</f>
        <v>3676.422</v>
      </c>
      <c r="GC383" s="376">
        <f>SUM(DN383:DQ383)</f>
        <v>4930.0495689339723</v>
      </c>
      <c r="GD383" s="376">
        <f>SUM(DR383:DU383)</f>
        <v>4923.5692834734127</v>
      </c>
      <c r="GE383" s="376">
        <f>SUM(DV383:DY383)</f>
        <v>3696.2171233631425</v>
      </c>
      <c r="GF383" s="376">
        <f>SUM(DZ383:EC383)</f>
        <v>3958.2425226319247</v>
      </c>
      <c r="GG383" s="380">
        <f>SUM(ED383:EG383)</f>
        <v>4355.0490986682589</v>
      </c>
      <c r="GH383" s="380">
        <f>SUM(EH383:EK383)</f>
        <v>4964.5651563516212</v>
      </c>
      <c r="GI383" s="380">
        <f>SUM(EI383:EL383)</f>
        <v>5104.2745354021372</v>
      </c>
      <c r="GJ383" s="380">
        <f>SUM(EJ383:EM383)</f>
        <v>5248.3164460974767</v>
      </c>
      <c r="GK383" s="380">
        <f>SUM(EK383:EN383)</f>
        <v>5396.8387662109562</v>
      </c>
      <c r="GN383" s="70"/>
    </row>
    <row r="384" spans="1:196" s="418" customFormat="1" hidden="1" outlineLevel="1">
      <c r="A384" s="491" t="s">
        <v>198</v>
      </c>
      <c r="CT384" s="483"/>
      <c r="CU384" s="483"/>
      <c r="CV384" s="483"/>
      <c r="CW384" s="427"/>
      <c r="CX384" s="483"/>
      <c r="CY384" s="490"/>
      <c r="CZ384" s="490">
        <f t="shared" ref="CZ384:DM384" si="739">+CZ383/CY383-1</f>
        <v>9.0444184687317408E-2</v>
      </c>
      <c r="DA384" s="490">
        <f t="shared" si="739"/>
        <v>7.2088972263164797E-2</v>
      </c>
      <c r="DB384" s="490">
        <f t="shared" si="739"/>
        <v>3.5370578677665243E-2</v>
      </c>
      <c r="DC384" s="490">
        <f t="shared" si="739"/>
        <v>2.5591501690004792E-2</v>
      </c>
      <c r="DD384" s="490">
        <f t="shared" si="739"/>
        <v>-1.9067796610169441E-2</v>
      </c>
      <c r="DE384" s="490">
        <f t="shared" si="739"/>
        <v>-0.13186945044396459</v>
      </c>
      <c r="DF384" s="490">
        <f t="shared" si="739"/>
        <v>4.7918451969592324E-2</v>
      </c>
      <c r="DG384" s="490">
        <f t="shared" si="739"/>
        <v>-4.1849864608022647E-2</v>
      </c>
      <c r="DH384" s="490">
        <f t="shared" si="739"/>
        <v>5.5194214116014662E-2</v>
      </c>
      <c r="DI384" s="490">
        <f t="shared" si="739"/>
        <v>4.8098260353408806E-2</v>
      </c>
      <c r="DJ384" s="490">
        <f t="shared" si="739"/>
        <v>5.9226740220362117E-2</v>
      </c>
      <c r="DK384" s="490">
        <f t="shared" si="739"/>
        <v>3.2455254898135832E-2</v>
      </c>
      <c r="DL384" s="490">
        <f t="shared" si="739"/>
        <v>6.5062155277792355E-2</v>
      </c>
      <c r="DM384" s="490">
        <f t="shared" si="739"/>
        <v>8.0456736163801112E-2</v>
      </c>
      <c r="DN384" s="481">
        <f>+DN383/DM383-1</f>
        <v>2.50999999999999E-2</v>
      </c>
      <c r="DO384" s="481">
        <f t="shared" ref="DO384:EH384" si="740">+DO383/DN383-1</f>
        <v>0.2031704223978148</v>
      </c>
      <c r="DP384" s="481">
        <f t="shared" si="740"/>
        <v>4.0808030031539433E-2</v>
      </c>
      <c r="DQ384" s="481">
        <f t="shared" si="740"/>
        <v>3.914594780374947E-2</v>
      </c>
      <c r="DR384" s="481">
        <f t="shared" si="740"/>
        <v>8.1518339758611891E-2</v>
      </c>
      <c r="DS384" s="481">
        <f t="shared" si="740"/>
        <v>-7.0428509566911934E-2</v>
      </c>
      <c r="DT384" s="481">
        <f t="shared" si="740"/>
        <v>-0.15984609821904383</v>
      </c>
      <c r="DU384" s="481">
        <f t="shared" si="740"/>
        <v>-0.14866870235674079</v>
      </c>
      <c r="DV384" s="481">
        <f t="shared" si="740"/>
        <v>-0.14674885250703273</v>
      </c>
      <c r="DW384" s="481">
        <f t="shared" si="740"/>
        <v>0</v>
      </c>
      <c r="DX384" s="481">
        <f>+DX383/DW383-1</f>
        <v>0.14816726496312715</v>
      </c>
      <c r="DY384" s="481">
        <f t="shared" si="740"/>
        <v>0.1484037734807464</v>
      </c>
      <c r="DZ384" s="481">
        <f t="shared" si="740"/>
        <v>-0.14861004765387076</v>
      </c>
      <c r="EA384" s="481">
        <f t="shared" si="740"/>
        <v>3.2030295448059576E-2</v>
      </c>
      <c r="EB384" s="481">
        <f t="shared" si="740"/>
        <v>6.5151074902300099E-2</v>
      </c>
      <c r="EC384" s="481">
        <f t="shared" si="740"/>
        <v>2.7635988825133184E-2</v>
      </c>
      <c r="ED384" s="481">
        <f t="shared" si="740"/>
        <v>-2.971095968324422E-2</v>
      </c>
      <c r="EE384" s="481">
        <f t="shared" si="740"/>
        <v>3.3927925136228998E-2</v>
      </c>
      <c r="EF384" s="481">
        <f t="shared" si="740"/>
        <v>6.9888887781711206E-2</v>
      </c>
      <c r="EG384" s="481">
        <f t="shared" si="740"/>
        <v>2.78682751841417E-2</v>
      </c>
      <c r="EH384" s="481">
        <f t="shared" si="740"/>
        <v>2.7944643872732877E-2</v>
      </c>
      <c r="EI384" s="481">
        <f>+EI383/EH383-1</f>
        <v>2.8021613050055016E-2</v>
      </c>
      <c r="EJ384" s="481">
        <f>+EJ383/EI383-1</f>
        <v>2.8099192346865642E-2</v>
      </c>
      <c r="EK384" s="481">
        <f>+EK383/EJ383-1</f>
        <v>2.8177391224774917E-2</v>
      </c>
      <c r="EL384" s="481">
        <f t="shared" ref="EL384" si="741">+EL383/EK383-1</f>
        <v>2.8256218968472524E-2</v>
      </c>
      <c r="EM384" s="481">
        <f>+EM383/EL383-1</f>
        <v>2.8335684677762263E-2</v>
      </c>
      <c r="EN384" s="481">
        <f>+EN383/EM383-1</f>
        <v>2.8415797259408793E-2</v>
      </c>
      <c r="EO384" s="481">
        <f>+EO383/EN383-1</f>
        <v>2.8496565418798969E-2</v>
      </c>
      <c r="EP384" s="481">
        <f t="shared" ref="EP384" si="742">+EP383/EO383-1</f>
        <v>2.8577997651427767E-2</v>
      </c>
      <c r="EQ384" s="481">
        <f>+EQ383/EP383-1</f>
        <v>2.8660102234210338E-2</v>
      </c>
      <c r="ER384" s="481">
        <f>+ER383/EQ383-1</f>
        <v>2.8742887216627988E-2</v>
      </c>
      <c r="ES384" s="481">
        <f>+ES383/ER383-1</f>
        <v>2.8826360411722041E-2</v>
      </c>
      <c r="ET384" s="481">
        <f t="shared" ref="ET384" si="743">+ET383/ES383-1</f>
        <v>2.8910529386930728E-2</v>
      </c>
      <c r="EU384" s="481">
        <f>+EU383/ET383-1</f>
        <v>2.899540145479218E-2</v>
      </c>
      <c r="EV384" s="481">
        <f>+EV383/EU383-1</f>
        <v>2.9080983663513971E-2</v>
      </c>
      <c r="EW384" s="481">
        <f>+EW383/EV383-1</f>
        <v>2.91672827874212E-2</v>
      </c>
      <c r="EZ384" s="449"/>
      <c r="FA384" s="449"/>
      <c r="FB384" s="449"/>
      <c r="FC384" s="449"/>
      <c r="FD384" s="449"/>
      <c r="FE384" s="449"/>
      <c r="FF384" s="449"/>
      <c r="FG384" s="449"/>
      <c r="FH384" s="382"/>
      <c r="FI384" s="382"/>
      <c r="FJ384" s="382"/>
      <c r="FK384" s="382"/>
      <c r="FL384" s="382"/>
      <c r="FM384" s="382"/>
      <c r="FN384" s="382"/>
      <c r="FO384" s="382"/>
      <c r="FP384" s="382"/>
      <c r="FQ384" s="382"/>
      <c r="FR384" s="382"/>
      <c r="FS384" s="382"/>
      <c r="FT384" s="382"/>
      <c r="FU384" s="382"/>
      <c r="FV384" s="382"/>
      <c r="FW384" s="382"/>
      <c r="FX384" s="382"/>
      <c r="FY384" s="382"/>
      <c r="FZ384" s="382"/>
      <c r="GA384" s="382"/>
      <c r="GB384" s="382"/>
      <c r="GC384" s="382"/>
      <c r="GD384" s="382"/>
      <c r="GE384" s="382"/>
      <c r="GF384" s="382"/>
      <c r="GG384" s="494"/>
      <c r="GH384" s="494"/>
      <c r="GI384" s="494"/>
      <c r="GJ384" s="494"/>
      <c r="GK384" s="494"/>
      <c r="GL384" s="449"/>
      <c r="GN384" s="70"/>
    </row>
    <row r="385" spans="1:196" s="418" customFormat="1" hidden="1" outlineLevel="1">
      <c r="A385" s="491" t="s">
        <v>200</v>
      </c>
      <c r="CT385" s="483"/>
      <c r="CU385" s="483"/>
      <c r="CV385" s="483"/>
      <c r="CW385" s="427"/>
      <c r="CX385" s="483"/>
      <c r="CY385" s="490"/>
      <c r="CZ385" s="490"/>
      <c r="DA385" s="490"/>
      <c r="DB385" s="490"/>
      <c r="DC385" s="490">
        <f t="shared" ref="DC385:EW385" si="744">+DC383/CY383-1</f>
        <v>0.24137931034482762</v>
      </c>
      <c r="DD385" s="490">
        <f t="shared" si="744"/>
        <v>0.1167090982178749</v>
      </c>
      <c r="DE385" s="490">
        <f t="shared" si="744"/>
        <v>-9.5738032745906754E-2</v>
      </c>
      <c r="DF385" s="490">
        <f t="shared" si="744"/>
        <v>-8.4779092225977792E-2</v>
      </c>
      <c r="DG385" s="490">
        <f t="shared" si="744"/>
        <v>-0.14496265301318267</v>
      </c>
      <c r="DH385" s="490">
        <f t="shared" si="744"/>
        <v>-8.0231581473482305E-2</v>
      </c>
      <c r="DI385" s="490">
        <f t="shared" si="744"/>
        <v>0.11044091223220476</v>
      </c>
      <c r="DJ385" s="490">
        <f t="shared" si="744"/>
        <v>0.12242389229841888</v>
      </c>
      <c r="DK385" s="490">
        <f t="shared" si="744"/>
        <v>0.20946854049406105</v>
      </c>
      <c r="DL385" s="490">
        <f t="shared" si="744"/>
        <v>0.22077922077922074</v>
      </c>
      <c r="DM385" s="490">
        <f t="shared" si="744"/>
        <v>0.25846896455581492</v>
      </c>
      <c r="DN385" s="481">
        <f t="shared" si="744"/>
        <v>0.21792293055005563</v>
      </c>
      <c r="DO385" s="481">
        <f t="shared" si="744"/>
        <v>0.41930494309167043</v>
      </c>
      <c r="DP385" s="481">
        <f t="shared" si="744"/>
        <v>0.38698382485290184</v>
      </c>
      <c r="DQ385" s="481">
        <f t="shared" si="744"/>
        <v>0.333953108</v>
      </c>
      <c r="DR385" s="481">
        <f t="shared" si="744"/>
        <v>0.40736976946639358</v>
      </c>
      <c r="DS385" s="481">
        <f t="shared" si="744"/>
        <v>8.7336249162538682E-2</v>
      </c>
      <c r="DT385" s="481">
        <f t="shared" si="744"/>
        <v>-0.12228790908339338</v>
      </c>
      <c r="DU385" s="481">
        <f t="shared" si="744"/>
        <v>-0.28092509536655408</v>
      </c>
      <c r="DV385" s="481">
        <f t="shared" si="744"/>
        <v>-0.43269432892943394</v>
      </c>
      <c r="DW385" s="481">
        <f t="shared" si="744"/>
        <v>-0.38971270428457527</v>
      </c>
      <c r="DX385" s="481">
        <f t="shared" si="744"/>
        <v>-0.16597198004085323</v>
      </c>
      <c r="DY385" s="481">
        <f t="shared" si="744"/>
        <v>0.12506250852193523</v>
      </c>
      <c r="DZ385" s="481">
        <f t="shared" si="744"/>
        <v>0.12260841175698745</v>
      </c>
      <c r="EA385" s="481">
        <f t="shared" si="744"/>
        <v>0.15856589085804074</v>
      </c>
      <c r="EB385" s="481">
        <f t="shared" si="744"/>
        <v>7.4797846664104162E-2</v>
      </c>
      <c r="EC385" s="481">
        <f t="shared" si="744"/>
        <v>-3.8229433367228394E-2</v>
      </c>
      <c r="ED385" s="481">
        <f t="shared" si="744"/>
        <v>9.608462906034787E-2</v>
      </c>
      <c r="EE385" s="481">
        <f t="shared" si="744"/>
        <v>9.810003766029407E-2</v>
      </c>
      <c r="EF385" s="481">
        <f t="shared" si="744"/>
        <v>0.10298440817251087</v>
      </c>
      <c r="EG385" s="481">
        <f t="shared" si="744"/>
        <v>0.10323372625304095</v>
      </c>
      <c r="EH385" s="481">
        <f t="shared" si="744"/>
        <v>0.16878904400625783</v>
      </c>
      <c r="EI385" s="481">
        <f t="shared" si="744"/>
        <v>0.16211233793325719</v>
      </c>
      <c r="EJ385" s="481">
        <f t="shared" si="744"/>
        <v>0.11672040871713119</v>
      </c>
      <c r="EK385" s="481">
        <f t="shared" si="744"/>
        <v>0.11705624571061679</v>
      </c>
      <c r="EL385" s="481">
        <f t="shared" si="744"/>
        <v>0.11739483097274972</v>
      </c>
      <c r="EM385" s="481">
        <f t="shared" si="744"/>
        <v>0.11773620707700694</v>
      </c>
      <c r="EN385" s="481">
        <f t="shared" si="744"/>
        <v>0.1180804158622315</v>
      </c>
      <c r="EO385" s="481">
        <f t="shared" si="744"/>
        <v>0.11842749839743649</v>
      </c>
      <c r="EP385" s="481">
        <f t="shared" si="744"/>
        <v>0.11877749494574474</v>
      </c>
      <c r="EQ385" s="481">
        <f t="shared" si="744"/>
        <v>0.11913044492747482</v>
      </c>
      <c r="ER385" s="481">
        <f t="shared" si="744"/>
        <v>0.11948638688240143</v>
      </c>
      <c r="ES385" s="481">
        <f t="shared" si="744"/>
        <v>0.11984535843121646</v>
      </c>
      <c r="ET385" s="481">
        <f t="shared" si="744"/>
        <v>0.1202073962362098</v>
      </c>
      <c r="EU385" s="481">
        <f t="shared" si="744"/>
        <v>0.12057253596120954</v>
      </c>
      <c r="EV385" s="481">
        <f t="shared" si="744"/>
        <v>0.12094081223081421</v>
      </c>
      <c r="EW385" s="481">
        <f t="shared" si="744"/>
        <v>0.12131225858894501</v>
      </c>
      <c r="EZ385" s="449"/>
      <c r="FA385" s="449"/>
      <c r="FB385" s="449"/>
      <c r="FC385" s="449"/>
      <c r="FD385" s="449"/>
      <c r="FE385" s="449"/>
      <c r="FF385" s="449"/>
      <c r="FG385" s="449"/>
      <c r="FH385" s="382"/>
      <c r="FI385" s="382"/>
      <c r="FJ385" s="382"/>
      <c r="FK385" s="382"/>
      <c r="FL385" s="382"/>
      <c r="FM385" s="382"/>
      <c r="FN385" s="382"/>
      <c r="FO385" s="382"/>
      <c r="FP385" s="382"/>
      <c r="FQ385" s="382"/>
      <c r="FR385" s="382"/>
      <c r="FS385" s="382"/>
      <c r="FT385" s="382"/>
      <c r="FU385" s="382"/>
      <c r="FV385" s="382"/>
      <c r="FW385" s="382"/>
      <c r="FX385" s="382"/>
      <c r="FY385" s="382"/>
      <c r="FZ385" s="382"/>
      <c r="GA385" s="382">
        <f t="shared" ref="GA385:GK385" si="745">GA383/FZ383-1</f>
        <v>-5.5752038702896578E-2</v>
      </c>
      <c r="GB385" s="382">
        <f t="shared" si="745"/>
        <v>0.20358963911164696</v>
      </c>
      <c r="GC385" s="382">
        <f t="shared" si="745"/>
        <v>0.34099120528980964</v>
      </c>
      <c r="GD385" s="382">
        <f t="shared" si="745"/>
        <v>-1.3144463093016645E-3</v>
      </c>
      <c r="GE385" s="382">
        <f t="shared" si="745"/>
        <v>-0.24928097675603633</v>
      </c>
      <c r="GF385" s="382">
        <f t="shared" si="745"/>
        <v>7.0890153506558251E-2</v>
      </c>
      <c r="GG385" s="387">
        <f t="shared" si="745"/>
        <v>0.10024817169931488</v>
      </c>
      <c r="GH385" s="387">
        <f t="shared" si="745"/>
        <v>0.13995618507946284</v>
      </c>
      <c r="GI385" s="387">
        <f t="shared" si="745"/>
        <v>2.8141312411173125E-2</v>
      </c>
      <c r="GJ385" s="387">
        <f t="shared" si="745"/>
        <v>2.8219859589506013E-2</v>
      </c>
      <c r="GK385" s="387">
        <f t="shared" si="745"/>
        <v>2.8299040585465729E-2</v>
      </c>
      <c r="GN385" s="70"/>
    </row>
    <row r="386" spans="1:196" s="418" customFormat="1" hidden="1" outlineLevel="1">
      <c r="A386" s="491"/>
      <c r="CT386" s="483"/>
      <c r="CU386" s="483"/>
      <c r="CV386" s="483"/>
      <c r="CW386" s="427"/>
      <c r="CX386" s="483"/>
      <c r="CY386" s="484"/>
      <c r="CZ386" s="483"/>
      <c r="DA386" s="476"/>
      <c r="DB386" s="476"/>
      <c r="DC386" s="483"/>
      <c r="DD386" s="483"/>
      <c r="DE386" s="483"/>
      <c r="DF386" s="483"/>
      <c r="DG386" s="483"/>
      <c r="DH386" s="483"/>
      <c r="DI386" s="483"/>
      <c r="DJ386" s="485"/>
      <c r="DK386" s="485"/>
      <c r="DL386" s="485"/>
      <c r="DM386" s="485"/>
      <c r="DN386" s="485"/>
      <c r="DO386" s="485"/>
      <c r="DP386" s="485"/>
      <c r="DQ386" s="485"/>
      <c r="DR386" s="485"/>
      <c r="DS386" s="485"/>
      <c r="DT386" s="485"/>
      <c r="DU386" s="485"/>
      <c r="DV386" s="485"/>
      <c r="DW386" s="485"/>
      <c r="DX386" s="483"/>
      <c r="DY386" s="483"/>
      <c r="DZ386" s="483"/>
      <c r="EA386" s="483"/>
      <c r="EB386" s="483"/>
      <c r="EC386" s="483"/>
      <c r="ED386" s="483"/>
      <c r="EE386" s="483"/>
      <c r="EF386" s="483"/>
      <c r="EG386" s="483"/>
      <c r="EH386" s="483"/>
      <c r="EI386" s="483"/>
      <c r="EJ386" s="483"/>
      <c r="EK386" s="483"/>
      <c r="EL386" s="483"/>
      <c r="EM386" s="483"/>
      <c r="EN386" s="483"/>
      <c r="EO386" s="483"/>
      <c r="EP386" s="483"/>
      <c r="EQ386" s="483"/>
      <c r="ER386" s="483"/>
      <c r="ES386" s="483"/>
      <c r="ET386" s="483"/>
      <c r="EU386" s="483"/>
      <c r="EV386" s="483"/>
      <c r="EW386" s="483"/>
      <c r="EZ386" s="449"/>
      <c r="FA386" s="449"/>
      <c r="FB386" s="449"/>
      <c r="FC386" s="449"/>
      <c r="FD386" s="449"/>
      <c r="FE386" s="449"/>
      <c r="FF386" s="449"/>
      <c r="FG386" s="449"/>
      <c r="FH386" s="449"/>
      <c r="FI386" s="449"/>
      <c r="FJ386" s="449"/>
      <c r="FK386" s="449"/>
      <c r="FL386" s="449"/>
      <c r="FM386" s="449"/>
      <c r="FN386" s="449"/>
      <c r="FO386" s="449"/>
      <c r="FP386" s="449"/>
      <c r="FQ386" s="449"/>
      <c r="FR386" s="449"/>
      <c r="FS386" s="449"/>
      <c r="FT386" s="449"/>
      <c r="FU386" s="449"/>
      <c r="FV386" s="449"/>
      <c r="FW386" s="449"/>
      <c r="FX386" s="477"/>
      <c r="FY386" s="477"/>
      <c r="FZ386" s="477"/>
      <c r="GA386" s="477"/>
      <c r="GB386" s="477"/>
      <c r="GC386" s="477"/>
      <c r="GD386" s="477"/>
      <c r="GE386" s="477"/>
      <c r="GF386" s="477"/>
      <c r="GG386" s="477"/>
      <c r="GH386" s="477"/>
      <c r="GI386" s="477"/>
      <c r="GJ386" s="477"/>
      <c r="GK386" s="477"/>
      <c r="GN386" s="70"/>
    </row>
    <row r="387" spans="1:196" s="418" customFormat="1" hidden="1" outlineLevel="1">
      <c r="A387" s="488" t="s">
        <v>304</v>
      </c>
      <c r="CT387" s="483"/>
      <c r="CU387" s="483"/>
      <c r="CV387" s="483"/>
      <c r="CW387" s="427"/>
      <c r="CX387" s="483"/>
      <c r="CY387" s="489">
        <v>206.88800000000001</v>
      </c>
      <c r="CZ387" s="489">
        <v>231.62</v>
      </c>
      <c r="DA387" s="489">
        <v>247.90299999999999</v>
      </c>
      <c r="DB387" s="489">
        <v>269.45699999999999</v>
      </c>
      <c r="DC387" s="489">
        <v>283.5</v>
      </c>
      <c r="DD387" s="489">
        <v>285.63100000000003</v>
      </c>
      <c r="DE387" s="489">
        <v>231.21</v>
      </c>
      <c r="DF387" s="489">
        <v>221.03700000000001</v>
      </c>
      <c r="DG387" s="489">
        <v>226.10300000000001</v>
      </c>
      <c r="DH387" s="489">
        <v>218.12</v>
      </c>
      <c r="DI387" s="489">
        <v>249.41499999999999</v>
      </c>
      <c r="DJ387" s="489">
        <v>272.00900000000001</v>
      </c>
      <c r="DK387" s="489">
        <v>282.50799999999998</v>
      </c>
      <c r="DL387" s="489">
        <v>292.07799999999997</v>
      </c>
      <c r="DM387" s="489">
        <v>274.72499999999997</v>
      </c>
      <c r="DN387" s="410">
        <f t="shared" ref="DN387:EW387" si="746">+DN383-DN394</f>
        <v>302.33827427000006</v>
      </c>
      <c r="DO387" s="410">
        <f t="shared" si="746"/>
        <v>366.51025164900011</v>
      </c>
      <c r="DP387" s="410">
        <f t="shared" si="746"/>
        <v>381.77665613478007</v>
      </c>
      <c r="DQ387" s="410">
        <f>+DQ383-DQ394</f>
        <v>397.01888862641169</v>
      </c>
      <c r="DR387" s="410">
        <f t="shared" si="746"/>
        <v>430.00215357833122</v>
      </c>
      <c r="DS387" s="410">
        <f t="shared" si="746"/>
        <v>399.18300024665825</v>
      </c>
      <c r="DT387" s="410">
        <f t="shared" si="746"/>
        <v>334.16149171191057</v>
      </c>
      <c r="DU387" s="410">
        <f t="shared" si="746"/>
        <v>283.35333950512404</v>
      </c>
      <c r="DV387" s="410">
        <f t="shared" si="746"/>
        <v>240.65734206628122</v>
      </c>
      <c r="DW387" s="410">
        <f t="shared" si="746"/>
        <v>240.65734206628122</v>
      </c>
      <c r="DX387" s="380">
        <f t="shared" si="746"/>
        <v>277.43987182622345</v>
      </c>
      <c r="DY387" s="380">
        <f t="shared" si="746"/>
        <v>319.73978105015692</v>
      </c>
      <c r="DZ387" s="380">
        <f t="shared" si="746"/>
        <v>271.09488544263331</v>
      </c>
      <c r="EA387" s="380">
        <f t="shared" si="746"/>
        <v>280.0213311420672</v>
      </c>
      <c r="EB387" s="380">
        <f t="shared" si="746"/>
        <v>298.75969442795656</v>
      </c>
      <c r="EC387" s="380">
        <f t="shared" si="746"/>
        <v>307.22604577692039</v>
      </c>
      <c r="ED387" s="380">
        <f t="shared" si="746"/>
        <v>297.87247871361274</v>
      </c>
      <c r="EE387" s="380">
        <f t="shared" si="746"/>
        <v>308.23627842873304</v>
      </c>
      <c r="EF387" s="380">
        <f t="shared" si="746"/>
        <v>330.30921446035131</v>
      </c>
      <c r="EG387" s="380">
        <f t="shared" si="746"/>
        <v>339.72595799778071</v>
      </c>
      <c r="EH387" s="380">
        <f t="shared" si="746"/>
        <v>349.43165420588423</v>
      </c>
      <c r="EI387" s="380">
        <f t="shared" si="746"/>
        <v>359.43605250888731</v>
      </c>
      <c r="EJ387" s="380">
        <f t="shared" si="746"/>
        <v>369.74926402246467</v>
      </c>
      <c r="EK387" s="380">
        <f t="shared" si="746"/>
        <v>380.38177616825055</v>
      </c>
      <c r="EL387" s="380">
        <f t="shared" si="746"/>
        <v>391.34446792103904</v>
      </c>
      <c r="EM387" s="380">
        <f t="shared" si="746"/>
        <v>402.64862571748915</v>
      </c>
      <c r="EN387" s="380">
        <f t="shared" si="746"/>
        <v>414.30596005650841</v>
      </c>
      <c r="EO387" s="380">
        <f t="shared" si="746"/>
        <v>426.32862282291228</v>
      </c>
      <c r="EP387" s="380">
        <f t="shared" si="746"/>
        <v>438.72922536745</v>
      </c>
      <c r="EQ387" s="380">
        <f t="shared" si="746"/>
        <v>451.52085737785069</v>
      </c>
      <c r="ER387" s="380">
        <f t="shared" si="746"/>
        <v>464.71710657718722</v>
      </c>
      <c r="ES387" s="380">
        <f t="shared" si="746"/>
        <v>478.33207928757201</v>
      </c>
      <c r="ET387" s="380">
        <f t="shared" si="746"/>
        <v>492.3804218990033</v>
      </c>
      <c r="EU387" s="380">
        <f t="shared" si="746"/>
        <v>506.87734328507076</v>
      </c>
      <c r="EV387" s="380">
        <f t="shared" si="746"/>
        <v>521.83863820921124</v>
      </c>
      <c r="EW387" s="380">
        <f t="shared" si="746"/>
        <v>537.28071176728213</v>
      </c>
      <c r="EZ387" s="449"/>
      <c r="FA387" s="449"/>
      <c r="FB387" s="449"/>
      <c r="FC387" s="449"/>
      <c r="FD387" s="449"/>
      <c r="FE387" s="449"/>
      <c r="FF387" s="449"/>
      <c r="FG387" s="449"/>
      <c r="FH387" s="449"/>
      <c r="FI387" s="449"/>
      <c r="FJ387" s="449"/>
      <c r="FK387" s="449"/>
      <c r="FL387" s="449"/>
      <c r="FM387" s="449"/>
      <c r="FN387" s="449"/>
      <c r="FO387" s="449"/>
      <c r="FP387" s="449"/>
      <c r="FQ387" s="449"/>
      <c r="FR387" s="449"/>
      <c r="FS387" s="449"/>
      <c r="FT387" s="449"/>
      <c r="FU387" s="449"/>
      <c r="FV387" s="449"/>
      <c r="FW387" s="449"/>
      <c r="FX387" s="477"/>
      <c r="FY387" s="477"/>
      <c r="FZ387" s="477"/>
      <c r="GA387" s="477"/>
      <c r="GB387" s="376">
        <f>SUM(DJ387:DM387)</f>
        <v>1121.32</v>
      </c>
      <c r="GC387" s="376">
        <f>SUM(DN387:DQ387)</f>
        <v>1447.6440706801918</v>
      </c>
      <c r="GD387" s="376">
        <f>SUM(DR387:DU387)</f>
        <v>1446.6999850420241</v>
      </c>
      <c r="GE387" s="376">
        <f>SUM(DV387:DY387)</f>
        <v>1078.4943370089427</v>
      </c>
      <c r="GF387" s="376">
        <f>SUM(DZ387:EC387)</f>
        <v>1157.1019567895773</v>
      </c>
      <c r="GG387" s="380">
        <f>SUM(ED387:EG387)</f>
        <v>1276.1439296004778</v>
      </c>
      <c r="GH387" s="380">
        <f>SUM(EH387:EK387)</f>
        <v>1458.9987469054868</v>
      </c>
      <c r="GI387" s="380">
        <f>SUM(EI387:EL387)</f>
        <v>1500.9115606206417</v>
      </c>
      <c r="GJ387" s="380">
        <f>SUM(EJ387:EM387)</f>
        <v>1544.1241338292434</v>
      </c>
      <c r="GK387" s="380">
        <f>SUM(EK387:EN387)</f>
        <v>1588.6808298632873</v>
      </c>
      <c r="GN387" s="70"/>
    </row>
    <row r="388" spans="1:196" s="418" customFormat="1" hidden="1" outlineLevel="1">
      <c r="A388" s="491" t="s">
        <v>198</v>
      </c>
      <c r="CT388" s="483"/>
      <c r="CU388" s="483"/>
      <c r="CV388" s="483"/>
      <c r="CW388" s="427"/>
      <c r="CX388" s="483"/>
      <c r="CY388" s="495"/>
      <c r="CZ388" s="495">
        <f t="shared" ref="CZ388:EH388" si="747">CZ387/CY387-1</f>
        <v>0.11954294110823249</v>
      </c>
      <c r="DA388" s="495">
        <f t="shared" si="747"/>
        <v>7.0300492185476182E-2</v>
      </c>
      <c r="DB388" s="495">
        <f t="shared" si="747"/>
        <v>8.6945297152515311E-2</v>
      </c>
      <c r="DC388" s="495">
        <f t="shared" si="747"/>
        <v>5.2115922020953276E-2</v>
      </c>
      <c r="DD388" s="495">
        <f t="shared" si="747"/>
        <v>7.5167548500882919E-3</v>
      </c>
      <c r="DE388" s="495">
        <f t="shared" si="747"/>
        <v>-0.19052903921493125</v>
      </c>
      <c r="DF388" s="495">
        <f t="shared" si="747"/>
        <v>-4.3998961982613216E-2</v>
      </c>
      <c r="DG388" s="495">
        <f t="shared" si="747"/>
        <v>2.2919239765288202E-2</v>
      </c>
      <c r="DH388" s="495">
        <f t="shared" si="747"/>
        <v>-3.530691764372873E-2</v>
      </c>
      <c r="DI388" s="495">
        <f t="shared" si="747"/>
        <v>0.14347606821932879</v>
      </c>
      <c r="DJ388" s="495">
        <f t="shared" si="747"/>
        <v>9.0587975863520631E-2</v>
      </c>
      <c r="DK388" s="495">
        <f t="shared" si="747"/>
        <v>3.8597987566587832E-2</v>
      </c>
      <c r="DL388" s="495">
        <f t="shared" si="747"/>
        <v>3.3875146898494801E-2</v>
      </c>
      <c r="DM388" s="495">
        <f t="shared" si="747"/>
        <v>-5.94122118064353E-2</v>
      </c>
      <c r="DN388" s="141">
        <f t="shared" si="747"/>
        <v>0.10051241885521911</v>
      </c>
      <c r="DO388" s="141">
        <f t="shared" si="747"/>
        <v>0.21225224472139415</v>
      </c>
      <c r="DP388" s="141">
        <f t="shared" si="747"/>
        <v>4.1653417379441615E-2</v>
      </c>
      <c r="DQ388" s="141">
        <f t="shared" si="747"/>
        <v>3.9924474811918742E-2</v>
      </c>
      <c r="DR388" s="141">
        <f t="shared" si="747"/>
        <v>8.3077319232930158E-2</v>
      </c>
      <c r="DS388" s="141">
        <f t="shared" si="747"/>
        <v>-7.1672090651654807E-2</v>
      </c>
      <c r="DT388" s="141">
        <f t="shared" si="747"/>
        <v>-0.16288646684495678</v>
      </c>
      <c r="DU388" s="141">
        <f t="shared" si="747"/>
        <v>-0.15204670037381085</v>
      </c>
      <c r="DV388" s="141">
        <f t="shared" si="747"/>
        <v>-0.15068111607017332</v>
      </c>
      <c r="DW388" s="141">
        <f t="shared" si="747"/>
        <v>0</v>
      </c>
      <c r="DX388" s="141">
        <f>DX387/DW387-1</f>
        <v>0.15284191807375525</v>
      </c>
      <c r="DY388" s="141">
        <f t="shared" si="747"/>
        <v>0.15246514116914067</v>
      </c>
      <c r="DZ388" s="141">
        <f t="shared" si="747"/>
        <v>-0.15213901582015776</v>
      </c>
      <c r="EA388" s="141">
        <f t="shared" si="747"/>
        <v>3.2927385128860509E-2</v>
      </c>
      <c r="EB388" s="141">
        <f t="shared" si="747"/>
        <v>6.691762805878021E-2</v>
      </c>
      <c r="EC388" s="141">
        <f t="shared" si="747"/>
        <v>2.8338331799323102E-2</v>
      </c>
      <c r="ED388" s="141">
        <f t="shared" si="747"/>
        <v>-3.0445228169552307E-2</v>
      </c>
      <c r="EE388" s="141">
        <f t="shared" si="747"/>
        <v>3.4792740033846803E-2</v>
      </c>
      <c r="EF388" s="141">
        <f t="shared" si="747"/>
        <v>7.1610441652544488E-2</v>
      </c>
      <c r="EG388" s="141">
        <f t="shared" si="747"/>
        <v>2.8508873277465652E-2</v>
      </c>
      <c r="EH388" s="141">
        <f t="shared" si="747"/>
        <v>2.8569192255149645E-2</v>
      </c>
      <c r="EI388" s="141">
        <f>EI387/EH387-1</f>
        <v>2.8630486627603924E-2</v>
      </c>
      <c r="EJ388" s="141">
        <f>EJ387/EI387-1</f>
        <v>2.8692757561715077E-2</v>
      </c>
      <c r="EK388" s="141">
        <f>EK387/EJ387-1</f>
        <v>2.8756006246275723E-2</v>
      </c>
      <c r="EL388" s="141">
        <f t="shared" ref="EL388" si="748">EL387/EK387-1</f>
        <v>2.8820233879815138E-2</v>
      </c>
      <c r="EM388" s="141">
        <f>EM387/EL387-1</f>
        <v>2.8885441658347277E-2</v>
      </c>
      <c r="EN388" s="141">
        <f>EN387/EM387-1</f>
        <v>2.8951630763042635E-2</v>
      </c>
      <c r="EO388" s="141">
        <f>EO387/EN387-1</f>
        <v>2.9018802347820616E-2</v>
      </c>
      <c r="EP388" s="141">
        <f t="shared" ref="EP388" si="749">EP387/EO387-1</f>
        <v>2.9086957526866852E-2</v>
      </c>
      <c r="EQ388" s="141">
        <f>EQ387/EP387-1</f>
        <v>2.9156097362073918E-2</v>
      </c>
      <c r="ER388" s="141">
        <f>ER387/EQ387-1</f>
        <v>2.9226222850417205E-2</v>
      </c>
      <c r="ES388" s="141">
        <f>ES387/ER387-1</f>
        <v>2.9297334911262629E-2</v>
      </c>
      <c r="ET388" s="141">
        <f t="shared" ref="ET388" si="750">ET387/ES387-1</f>
        <v>2.9369434373615277E-2</v>
      </c>
      <c r="EU388" s="141">
        <f>EU387/ET387-1</f>
        <v>2.9442521963314539E-2</v>
      </c>
      <c r="EV388" s="141">
        <f>EV387/EU387-1</f>
        <v>2.9516598290182605E-2</v>
      </c>
      <c r="EW388" s="141">
        <f>EW387/EV387-1</f>
        <v>2.9591663835133675E-2</v>
      </c>
      <c r="EZ388" s="449"/>
      <c r="FA388" s="449"/>
      <c r="FB388" s="449"/>
      <c r="FC388" s="449"/>
      <c r="FD388" s="449"/>
      <c r="FE388" s="449"/>
      <c r="FF388" s="449"/>
      <c r="FG388" s="449"/>
      <c r="FH388" s="449"/>
      <c r="FI388" s="449"/>
      <c r="FJ388" s="449"/>
      <c r="FK388" s="449"/>
      <c r="FL388" s="449"/>
      <c r="FM388" s="449"/>
      <c r="FN388" s="449"/>
      <c r="FO388" s="449"/>
      <c r="FP388" s="449"/>
      <c r="FQ388" s="449"/>
      <c r="FR388" s="449"/>
      <c r="FS388" s="449"/>
      <c r="FT388" s="449"/>
      <c r="FU388" s="449"/>
      <c r="FV388" s="449"/>
      <c r="FW388" s="449"/>
      <c r="FX388" s="477"/>
      <c r="FY388" s="477"/>
      <c r="FZ388" s="477"/>
      <c r="GA388" s="477"/>
      <c r="GB388" s="477"/>
      <c r="GC388" s="477"/>
      <c r="GD388" s="477"/>
      <c r="GE388" s="477"/>
      <c r="GF388" s="477"/>
      <c r="GG388" s="477"/>
      <c r="GH388" s="477"/>
      <c r="GI388" s="477"/>
      <c r="GJ388" s="477"/>
      <c r="GK388" s="477"/>
      <c r="GN388" s="70"/>
    </row>
    <row r="389" spans="1:196" s="418" customFormat="1" hidden="1" outlineLevel="1">
      <c r="A389" s="491" t="s">
        <v>200</v>
      </c>
      <c r="CT389" s="483"/>
      <c r="CU389" s="483"/>
      <c r="CV389" s="483"/>
      <c r="CW389" s="427"/>
      <c r="CX389" s="483"/>
      <c r="CY389" s="495"/>
      <c r="CZ389" s="495"/>
      <c r="DA389" s="495"/>
      <c r="DB389" s="495"/>
      <c r="DC389" s="495">
        <f t="shared" ref="DC389:EW389" si="751">DC387/CY387-1</f>
        <v>0.37030663934109276</v>
      </c>
      <c r="DD389" s="495">
        <f t="shared" si="751"/>
        <v>0.23318798031258114</v>
      </c>
      <c r="DE389" s="495">
        <f t="shared" si="751"/>
        <v>-6.7336821256701151E-2</v>
      </c>
      <c r="DF389" s="495">
        <f t="shared" si="751"/>
        <v>-0.17969471938008663</v>
      </c>
      <c r="DG389" s="495">
        <f t="shared" si="751"/>
        <v>-0.20245855379188704</v>
      </c>
      <c r="DH389" s="495">
        <f t="shared" si="751"/>
        <v>-0.23635739818156998</v>
      </c>
      <c r="DI389" s="495">
        <f t="shared" si="751"/>
        <v>7.8737943860559545E-2</v>
      </c>
      <c r="DJ389" s="495">
        <f t="shared" si="751"/>
        <v>0.23060392603953184</v>
      </c>
      <c r="DK389" s="495">
        <f t="shared" si="751"/>
        <v>0.24946595135845162</v>
      </c>
      <c r="DL389" s="495">
        <f t="shared" si="751"/>
        <v>0.33907023656702728</v>
      </c>
      <c r="DM389" s="495">
        <f t="shared" si="751"/>
        <v>0.10147745724996482</v>
      </c>
      <c r="DN389" s="141">
        <f t="shared" si="751"/>
        <v>0.11150099544500391</v>
      </c>
      <c r="DO389" s="141">
        <f t="shared" si="751"/>
        <v>0.29734468280190351</v>
      </c>
      <c r="DP389" s="141">
        <f t="shared" si="751"/>
        <v>0.30710514360814622</v>
      </c>
      <c r="DQ389" s="141">
        <f t="shared" si="751"/>
        <v>0.44515019975033843</v>
      </c>
      <c r="DR389" s="141">
        <f t="shared" si="751"/>
        <v>0.42225510354776397</v>
      </c>
      <c r="DS389" s="141">
        <f t="shared" si="751"/>
        <v>8.9145524444833812E-2</v>
      </c>
      <c r="DT389" s="141">
        <f t="shared" si="751"/>
        <v>-0.12471994727215518</v>
      </c>
      <c r="DU389" s="141">
        <f t="shared" si="751"/>
        <v>-0.28629758527243543</v>
      </c>
      <c r="DV389" s="141">
        <f t="shared" si="751"/>
        <v>-0.4403345656210953</v>
      </c>
      <c r="DW389" s="141">
        <f t="shared" si="751"/>
        <v>-0.39712527357733873</v>
      </c>
      <c r="DX389" s="141">
        <f t="shared" si="751"/>
        <v>-0.16974313705359056</v>
      </c>
      <c r="DY389" s="141">
        <f t="shared" si="751"/>
        <v>0.1284136675734322</v>
      </c>
      <c r="DZ389" s="141">
        <f t="shared" si="751"/>
        <v>0.12647668720603189</v>
      </c>
      <c r="EA389" s="141">
        <f t="shared" si="751"/>
        <v>0.16356861892434793</v>
      </c>
      <c r="EB389" s="141">
        <f t="shared" si="751"/>
        <v>7.6844840150037674E-2</v>
      </c>
      <c r="EC389" s="141">
        <f t="shared" si="751"/>
        <v>-3.9137248521708079E-2</v>
      </c>
      <c r="ED389" s="141">
        <f t="shared" si="751"/>
        <v>9.8775722851642822E-2</v>
      </c>
      <c r="EE389" s="141">
        <f t="shared" si="751"/>
        <v>0.10075999271766611</v>
      </c>
      <c r="EF389" s="141">
        <f t="shared" si="751"/>
        <v>0.10560166120401049</v>
      </c>
      <c r="EG389" s="141">
        <f t="shared" si="751"/>
        <v>0.10578501617163938</v>
      </c>
      <c r="EH389" s="141">
        <f t="shared" si="751"/>
        <v>0.17309143736586252</v>
      </c>
      <c r="EI389" s="141">
        <f t="shared" si="751"/>
        <v>0.16610560684534126</v>
      </c>
      <c r="EJ389" s="141">
        <f t="shared" si="751"/>
        <v>0.11940341908580798</v>
      </c>
      <c r="EK389" s="141">
        <f t="shared" si="751"/>
        <v>0.11967239244854944</v>
      </c>
      <c r="EL389" s="141">
        <f t="shared" si="751"/>
        <v>0.11994566951985375</v>
      </c>
      <c r="EM389" s="141">
        <f t="shared" si="751"/>
        <v>0.12022325781449927</v>
      </c>
      <c r="EN389" s="141">
        <f t="shared" si="751"/>
        <v>0.12050516490368635</v>
      </c>
      <c r="EO389" s="141">
        <f t="shared" si="751"/>
        <v>0.12079139836167774</v>
      </c>
      <c r="EP389" s="141">
        <f t="shared" si="751"/>
        <v>0.12108196571203789</v>
      </c>
      <c r="EQ389" s="141">
        <f t="shared" si="751"/>
        <v>0.12137687437346889</v>
      </c>
      <c r="ER389" s="141">
        <f t="shared" si="751"/>
        <v>0.12167613160525881</v>
      </c>
      <c r="ES389" s="141">
        <f t="shared" si="751"/>
        <v>0.12197974445234672</v>
      </c>
      <c r="ET389" s="141">
        <f t="shared" si="751"/>
        <v>0.12228771969001762</v>
      </c>
      <c r="EU389" s="141">
        <f t="shared" si="751"/>
        <v>0.12260006376825139</v>
      </c>
      <c r="EV389" s="141">
        <f t="shared" si="751"/>
        <v>0.12291678275573958</v>
      </c>
      <c r="EW389" s="141">
        <f t="shared" si="751"/>
        <v>0.12323788228359733</v>
      </c>
      <c r="EZ389" s="449"/>
      <c r="FA389" s="449"/>
      <c r="FB389" s="449"/>
      <c r="FC389" s="449"/>
      <c r="FD389" s="449"/>
      <c r="FE389" s="449"/>
      <c r="FF389" s="449"/>
      <c r="FG389" s="449"/>
      <c r="FH389" s="449"/>
      <c r="FI389" s="449"/>
      <c r="FJ389" s="449"/>
      <c r="FK389" s="449"/>
      <c r="FL389" s="449"/>
      <c r="FM389" s="449"/>
      <c r="FN389" s="449"/>
      <c r="FO389" s="449"/>
      <c r="FP389" s="449"/>
      <c r="FQ389" s="449"/>
      <c r="FR389" s="449"/>
      <c r="FS389" s="449"/>
      <c r="FT389" s="449"/>
      <c r="FU389" s="449"/>
      <c r="FV389" s="449"/>
      <c r="FW389" s="449"/>
      <c r="FX389" s="477"/>
      <c r="FY389" s="477"/>
      <c r="FZ389" s="477"/>
      <c r="GA389" s="477"/>
      <c r="GB389" s="477"/>
      <c r="GC389" s="477"/>
      <c r="GD389" s="477"/>
      <c r="GE389" s="477"/>
      <c r="GF389" s="477"/>
      <c r="GG389" s="477"/>
      <c r="GH389" s="477"/>
      <c r="GI389" s="477"/>
      <c r="GJ389" s="477"/>
      <c r="GK389" s="477"/>
      <c r="GN389" s="70"/>
    </row>
    <row r="390" spans="1:196" s="418" customFormat="1" hidden="1" outlineLevel="1">
      <c r="A390" s="488" t="s">
        <v>203</v>
      </c>
      <c r="CT390" s="483"/>
      <c r="CU390" s="483"/>
      <c r="CV390" s="483"/>
      <c r="CW390" s="427"/>
      <c r="CX390" s="483"/>
      <c r="CY390" s="489">
        <v>22.408000000000001</v>
      </c>
      <c r="CZ390" s="489">
        <v>24.192</v>
      </c>
      <c r="DA390" s="489">
        <v>25.957999999999998</v>
      </c>
      <c r="DB390" s="489">
        <v>31.802</v>
      </c>
      <c r="DC390" s="489">
        <v>32.938000000000002</v>
      </c>
      <c r="DD390" s="489">
        <v>35.402999999999999</v>
      </c>
      <c r="DE390" s="489">
        <v>41.587000000000003</v>
      </c>
      <c r="DF390" s="489">
        <v>44.885000000000005</v>
      </c>
      <c r="DG390" s="489">
        <v>46.808</v>
      </c>
      <c r="DH390" s="489">
        <v>45.564999999999998</v>
      </c>
      <c r="DI390" s="489">
        <v>47.951000000000001</v>
      </c>
      <c r="DJ390" s="489">
        <v>46.19</v>
      </c>
      <c r="DK390" s="489">
        <v>50.138000000000005</v>
      </c>
      <c r="DL390" s="489">
        <v>49.472999999999999</v>
      </c>
      <c r="DM390" s="489">
        <f>30.407+17.821</f>
        <v>48.228000000000002</v>
      </c>
      <c r="DN390" s="410">
        <v>49.472999999999999</v>
      </c>
      <c r="DO390" s="410">
        <v>50</v>
      </c>
      <c r="DP390" s="410">
        <v>50</v>
      </c>
      <c r="DQ390" s="410">
        <v>50</v>
      </c>
      <c r="DR390" s="410">
        <v>50</v>
      </c>
      <c r="DS390" s="410">
        <v>50</v>
      </c>
      <c r="DT390" s="410">
        <v>50</v>
      </c>
      <c r="DU390" s="410">
        <v>50</v>
      </c>
      <c r="DV390" s="410">
        <v>50</v>
      </c>
      <c r="DW390" s="410">
        <v>50</v>
      </c>
      <c r="DX390" s="380">
        <v>50</v>
      </c>
      <c r="DY390" s="380">
        <v>50</v>
      </c>
      <c r="DZ390" s="380">
        <v>50</v>
      </c>
      <c r="EA390" s="380">
        <v>50</v>
      </c>
      <c r="EB390" s="380">
        <v>50</v>
      </c>
      <c r="EC390" s="380">
        <v>50</v>
      </c>
      <c r="ED390" s="380">
        <v>50</v>
      </c>
      <c r="EE390" s="380">
        <v>50</v>
      </c>
      <c r="EF390" s="380">
        <v>50</v>
      </c>
      <c r="EG390" s="380">
        <v>50</v>
      </c>
      <c r="EH390" s="380">
        <v>50</v>
      </c>
      <c r="EI390" s="380">
        <v>50</v>
      </c>
      <c r="EJ390" s="380">
        <v>50</v>
      </c>
      <c r="EK390" s="380">
        <v>50</v>
      </c>
      <c r="EL390" s="380">
        <v>50</v>
      </c>
      <c r="EM390" s="380">
        <v>50</v>
      </c>
      <c r="EN390" s="380">
        <v>50</v>
      </c>
      <c r="EO390" s="380">
        <v>50</v>
      </c>
      <c r="EP390" s="380">
        <v>50</v>
      </c>
      <c r="EQ390" s="380">
        <v>50</v>
      </c>
      <c r="ER390" s="380">
        <v>50</v>
      </c>
      <c r="ES390" s="380">
        <v>50</v>
      </c>
      <c r="ET390" s="380">
        <v>50</v>
      </c>
      <c r="EU390" s="380">
        <v>50</v>
      </c>
      <c r="EV390" s="380">
        <v>50</v>
      </c>
      <c r="EW390" s="380">
        <v>50</v>
      </c>
      <c r="EZ390" s="449"/>
      <c r="FA390" s="449"/>
      <c r="FB390" s="449"/>
      <c r="FC390" s="449"/>
      <c r="FD390" s="449"/>
      <c r="FE390" s="449"/>
      <c r="FF390" s="449"/>
      <c r="FG390" s="449"/>
      <c r="FH390" s="449"/>
      <c r="FI390" s="449"/>
      <c r="FJ390" s="449"/>
      <c r="FK390" s="449"/>
      <c r="FL390" s="449"/>
      <c r="FM390" s="449"/>
      <c r="FN390" s="449"/>
      <c r="FO390" s="449"/>
      <c r="FP390" s="449"/>
      <c r="FQ390" s="449"/>
      <c r="FR390" s="449"/>
      <c r="FS390" s="449"/>
      <c r="FT390" s="449"/>
      <c r="FU390" s="449"/>
      <c r="FV390" s="449"/>
      <c r="FW390" s="449"/>
      <c r="FX390" s="477"/>
      <c r="FY390" s="477"/>
      <c r="FZ390" s="477"/>
      <c r="GA390" s="477"/>
      <c r="GB390" s="376">
        <f>SUM(DJ390:DM390)</f>
        <v>194.029</v>
      </c>
      <c r="GC390" s="376">
        <f>SUM(DN390:DQ390)</f>
        <v>199.47300000000001</v>
      </c>
      <c r="GD390" s="376">
        <f>SUM(DR390:DU390)</f>
        <v>200</v>
      </c>
      <c r="GE390" s="376">
        <f>SUM(DV390:DY390)</f>
        <v>200</v>
      </c>
      <c r="GF390" s="376">
        <f>SUM(DZ390:EC390)</f>
        <v>200</v>
      </c>
      <c r="GG390" s="380">
        <f>SUM(ED390:EG390)</f>
        <v>200</v>
      </c>
      <c r="GH390" s="380">
        <f>SUM(EH390:EK390)</f>
        <v>200</v>
      </c>
      <c r="GI390" s="380">
        <f>SUM(EI390:EL390)</f>
        <v>200</v>
      </c>
      <c r="GJ390" s="380">
        <f>SUM(EJ390:EM390)</f>
        <v>200</v>
      </c>
      <c r="GK390" s="380">
        <f>SUM(EK390:EN390)</f>
        <v>200</v>
      </c>
      <c r="GN390" s="70"/>
    </row>
    <row r="391" spans="1:196" s="418" customFormat="1" hidden="1" outlineLevel="1">
      <c r="A391" s="491" t="s">
        <v>198</v>
      </c>
      <c r="CT391" s="483"/>
      <c r="CU391" s="483"/>
      <c r="CV391" s="483"/>
      <c r="CW391" s="427"/>
      <c r="CX391" s="483"/>
      <c r="CY391" s="495"/>
      <c r="CZ391" s="495">
        <f t="shared" ref="CZ391:EH391" si="752">CZ390/CY390-1</f>
        <v>7.961442342020697E-2</v>
      </c>
      <c r="DA391" s="495">
        <f t="shared" si="752"/>
        <v>7.2999338624338606E-2</v>
      </c>
      <c r="DB391" s="495">
        <f t="shared" si="752"/>
        <v>0.22513290700362121</v>
      </c>
      <c r="DC391" s="495">
        <f t="shared" si="752"/>
        <v>3.5721023834978993E-2</v>
      </c>
      <c r="DD391" s="495">
        <f t="shared" si="752"/>
        <v>7.4837573623170783E-2</v>
      </c>
      <c r="DE391" s="495">
        <f t="shared" si="752"/>
        <v>0.17467446261616271</v>
      </c>
      <c r="DF391" s="495">
        <f t="shared" si="752"/>
        <v>7.9303628537764181E-2</v>
      </c>
      <c r="DG391" s="495">
        <f t="shared" si="752"/>
        <v>4.2842820541383331E-2</v>
      </c>
      <c r="DH391" s="495">
        <f t="shared" si="752"/>
        <v>-2.6555289694069395E-2</v>
      </c>
      <c r="DI391" s="495">
        <f t="shared" si="752"/>
        <v>5.2364753648633799E-2</v>
      </c>
      <c r="DJ391" s="495">
        <f t="shared" si="752"/>
        <v>-3.6724990094054388E-2</v>
      </c>
      <c r="DK391" s="495">
        <f t="shared" si="752"/>
        <v>8.5473046113877738E-2</v>
      </c>
      <c r="DL391" s="495">
        <f t="shared" si="752"/>
        <v>-1.3263393035222948E-2</v>
      </c>
      <c r="DM391" s="495">
        <f t="shared" si="752"/>
        <v>-2.516524164695888E-2</v>
      </c>
      <c r="DN391" s="141">
        <f t="shared" si="752"/>
        <v>2.581487932321469E-2</v>
      </c>
      <c r="DO391" s="141">
        <f t="shared" si="752"/>
        <v>1.0652274978270926E-2</v>
      </c>
      <c r="DP391" s="141">
        <f t="shared" si="752"/>
        <v>0</v>
      </c>
      <c r="DQ391" s="141">
        <f t="shared" si="752"/>
        <v>0</v>
      </c>
      <c r="DR391" s="141">
        <f t="shared" si="752"/>
        <v>0</v>
      </c>
      <c r="DS391" s="141">
        <f t="shared" si="752"/>
        <v>0</v>
      </c>
      <c r="DT391" s="141">
        <f t="shared" si="752"/>
        <v>0</v>
      </c>
      <c r="DU391" s="141">
        <f t="shared" si="752"/>
        <v>0</v>
      </c>
      <c r="DV391" s="141">
        <f t="shared" si="752"/>
        <v>0</v>
      </c>
      <c r="DW391" s="141">
        <f t="shared" si="752"/>
        <v>0</v>
      </c>
      <c r="DX391" s="141">
        <f>DX390/DW390-1</f>
        <v>0</v>
      </c>
      <c r="DY391" s="141">
        <f t="shared" si="752"/>
        <v>0</v>
      </c>
      <c r="DZ391" s="141">
        <f t="shared" si="752"/>
        <v>0</v>
      </c>
      <c r="EA391" s="141">
        <f t="shared" si="752"/>
        <v>0</v>
      </c>
      <c r="EB391" s="141">
        <f t="shared" si="752"/>
        <v>0</v>
      </c>
      <c r="EC391" s="141">
        <f t="shared" si="752"/>
        <v>0</v>
      </c>
      <c r="ED391" s="141">
        <f t="shared" si="752"/>
        <v>0</v>
      </c>
      <c r="EE391" s="141">
        <f t="shared" si="752"/>
        <v>0</v>
      </c>
      <c r="EF391" s="141">
        <f t="shared" si="752"/>
        <v>0</v>
      </c>
      <c r="EG391" s="141">
        <f t="shared" si="752"/>
        <v>0</v>
      </c>
      <c r="EH391" s="141">
        <f t="shared" si="752"/>
        <v>0</v>
      </c>
      <c r="EI391" s="141">
        <f>EI390/EH390-1</f>
        <v>0</v>
      </c>
      <c r="EJ391" s="141">
        <f>EJ390/EI390-1</f>
        <v>0</v>
      </c>
      <c r="EK391" s="141">
        <f>EK390/EJ390-1</f>
        <v>0</v>
      </c>
      <c r="EL391" s="141">
        <f t="shared" ref="EL391" si="753">EL390/EK390-1</f>
        <v>0</v>
      </c>
      <c r="EM391" s="141">
        <f>EM390/EL390-1</f>
        <v>0</v>
      </c>
      <c r="EN391" s="141">
        <f>EN390/EM390-1</f>
        <v>0</v>
      </c>
      <c r="EO391" s="141">
        <f>EO390/EN390-1</f>
        <v>0</v>
      </c>
      <c r="EP391" s="141">
        <f t="shared" ref="EP391" si="754">EP390/EO390-1</f>
        <v>0</v>
      </c>
      <c r="EQ391" s="141">
        <f>EQ390/EP390-1</f>
        <v>0</v>
      </c>
      <c r="ER391" s="141">
        <f>ER390/EQ390-1</f>
        <v>0</v>
      </c>
      <c r="ES391" s="141">
        <f>ES390/ER390-1</f>
        <v>0</v>
      </c>
      <c r="ET391" s="141">
        <f t="shared" ref="ET391" si="755">ET390/ES390-1</f>
        <v>0</v>
      </c>
      <c r="EU391" s="141">
        <f>EU390/ET390-1</f>
        <v>0</v>
      </c>
      <c r="EV391" s="141">
        <f>EV390/EU390-1</f>
        <v>0</v>
      </c>
      <c r="EW391" s="141">
        <f>EW390/EV390-1</f>
        <v>0</v>
      </c>
      <c r="EZ391" s="449"/>
      <c r="FA391" s="449"/>
      <c r="FB391" s="449"/>
      <c r="FC391" s="449"/>
      <c r="FD391" s="449"/>
      <c r="FE391" s="449"/>
      <c r="FF391" s="449"/>
      <c r="FG391" s="449"/>
      <c r="FH391" s="449"/>
      <c r="FI391" s="449"/>
      <c r="FJ391" s="449"/>
      <c r="FK391" s="449"/>
      <c r="FL391" s="449"/>
      <c r="FM391" s="449"/>
      <c r="FN391" s="449"/>
      <c r="FO391" s="449"/>
      <c r="FP391" s="449"/>
      <c r="FQ391" s="449"/>
      <c r="FR391" s="449"/>
      <c r="FS391" s="449"/>
      <c r="FT391" s="449"/>
      <c r="FU391" s="449"/>
      <c r="FV391" s="449"/>
      <c r="FW391" s="449"/>
      <c r="FX391" s="477"/>
      <c r="FY391" s="477"/>
      <c r="FZ391" s="477"/>
      <c r="GA391" s="477"/>
      <c r="GB391" s="477"/>
      <c r="GC391" s="477"/>
      <c r="GD391" s="477"/>
      <c r="GE391" s="477"/>
      <c r="GF391" s="477"/>
      <c r="GG391" s="477"/>
      <c r="GH391" s="477"/>
      <c r="GI391" s="477"/>
      <c r="GJ391" s="477"/>
      <c r="GK391" s="477"/>
      <c r="GN391" s="70"/>
    </row>
    <row r="392" spans="1:196" s="418" customFormat="1" hidden="1" outlineLevel="1">
      <c r="A392" s="491" t="s">
        <v>200</v>
      </c>
      <c r="CT392" s="483"/>
      <c r="CU392" s="483"/>
      <c r="CV392" s="483"/>
      <c r="CW392" s="427"/>
      <c r="CX392" s="483"/>
      <c r="CY392" s="495"/>
      <c r="CZ392" s="495"/>
      <c r="DA392" s="495"/>
      <c r="DB392" s="495"/>
      <c r="DC392" s="495">
        <f t="shared" ref="DC392:EW392" si="756">DC390/CY390-1</f>
        <v>0.46992145662263485</v>
      </c>
      <c r="DD392" s="495">
        <f t="shared" si="756"/>
        <v>0.46341765873015861</v>
      </c>
      <c r="DE392" s="495">
        <f t="shared" si="756"/>
        <v>0.60208798828877441</v>
      </c>
      <c r="DF392" s="495">
        <f t="shared" si="756"/>
        <v>0.41138922080372331</v>
      </c>
      <c r="DG392" s="495">
        <f t="shared" si="756"/>
        <v>0.42109417693849038</v>
      </c>
      <c r="DH392" s="495">
        <f t="shared" si="756"/>
        <v>0.28703782165353209</v>
      </c>
      <c r="DI392" s="495">
        <f t="shared" si="756"/>
        <v>0.15302859066535213</v>
      </c>
      <c r="DJ392" s="495">
        <f t="shared" si="756"/>
        <v>2.9074300991422275E-2</v>
      </c>
      <c r="DK392" s="495">
        <f t="shared" si="756"/>
        <v>7.1141685182020353E-2</v>
      </c>
      <c r="DL392" s="495">
        <f t="shared" si="756"/>
        <v>8.5767584769011362E-2</v>
      </c>
      <c r="DM392" s="495">
        <f t="shared" si="756"/>
        <v>5.7767304122959828E-3</v>
      </c>
      <c r="DN392" s="141">
        <f t="shared" si="756"/>
        <v>7.1075990474128714E-2</v>
      </c>
      <c r="DO392" s="141">
        <f t="shared" si="756"/>
        <v>-2.7524033667080117E-3</v>
      </c>
      <c r="DP392" s="141">
        <f t="shared" si="756"/>
        <v>1.0652274978270926E-2</v>
      </c>
      <c r="DQ392" s="141">
        <f t="shared" si="756"/>
        <v>3.6742141494567448E-2</v>
      </c>
      <c r="DR392" s="141">
        <f t="shared" si="756"/>
        <v>1.0652274978270926E-2</v>
      </c>
      <c r="DS392" s="141">
        <f t="shared" si="756"/>
        <v>0</v>
      </c>
      <c r="DT392" s="141">
        <f t="shared" si="756"/>
        <v>0</v>
      </c>
      <c r="DU392" s="141">
        <f t="shared" si="756"/>
        <v>0</v>
      </c>
      <c r="DV392" s="141">
        <f t="shared" si="756"/>
        <v>0</v>
      </c>
      <c r="DW392" s="141">
        <f t="shared" si="756"/>
        <v>0</v>
      </c>
      <c r="DX392" s="141">
        <f t="shared" si="756"/>
        <v>0</v>
      </c>
      <c r="DY392" s="141">
        <f t="shared" si="756"/>
        <v>0</v>
      </c>
      <c r="DZ392" s="141">
        <f t="shared" si="756"/>
        <v>0</v>
      </c>
      <c r="EA392" s="141">
        <f t="shared" si="756"/>
        <v>0</v>
      </c>
      <c r="EB392" s="141">
        <f t="shared" si="756"/>
        <v>0</v>
      </c>
      <c r="EC392" s="141">
        <f t="shared" si="756"/>
        <v>0</v>
      </c>
      <c r="ED392" s="141">
        <f t="shared" si="756"/>
        <v>0</v>
      </c>
      <c r="EE392" s="141">
        <f t="shared" si="756"/>
        <v>0</v>
      </c>
      <c r="EF392" s="141">
        <f t="shared" si="756"/>
        <v>0</v>
      </c>
      <c r="EG392" s="141">
        <f t="shared" si="756"/>
        <v>0</v>
      </c>
      <c r="EH392" s="141">
        <f t="shared" si="756"/>
        <v>0</v>
      </c>
      <c r="EI392" s="141">
        <f t="shared" si="756"/>
        <v>0</v>
      </c>
      <c r="EJ392" s="141">
        <f t="shared" si="756"/>
        <v>0</v>
      </c>
      <c r="EK392" s="141">
        <f t="shared" si="756"/>
        <v>0</v>
      </c>
      <c r="EL392" s="141">
        <f t="shared" si="756"/>
        <v>0</v>
      </c>
      <c r="EM392" s="141">
        <f t="shared" si="756"/>
        <v>0</v>
      </c>
      <c r="EN392" s="141">
        <f t="shared" si="756"/>
        <v>0</v>
      </c>
      <c r="EO392" s="141">
        <f t="shared" si="756"/>
        <v>0</v>
      </c>
      <c r="EP392" s="141">
        <f t="shared" si="756"/>
        <v>0</v>
      </c>
      <c r="EQ392" s="141">
        <f t="shared" si="756"/>
        <v>0</v>
      </c>
      <c r="ER392" s="141">
        <f t="shared" si="756"/>
        <v>0</v>
      </c>
      <c r="ES392" s="141">
        <f t="shared" si="756"/>
        <v>0</v>
      </c>
      <c r="ET392" s="141">
        <f t="shared" si="756"/>
        <v>0</v>
      </c>
      <c r="EU392" s="141">
        <f t="shared" si="756"/>
        <v>0</v>
      </c>
      <c r="EV392" s="141">
        <f t="shared" si="756"/>
        <v>0</v>
      </c>
      <c r="EW392" s="141">
        <f t="shared" si="756"/>
        <v>0</v>
      </c>
      <c r="EZ392" s="449"/>
      <c r="FA392" s="449"/>
      <c r="FB392" s="449"/>
      <c r="FC392" s="449"/>
      <c r="FD392" s="449"/>
      <c r="FE392" s="449"/>
      <c r="FF392" s="449"/>
      <c r="FG392" s="449"/>
      <c r="FH392" s="449"/>
      <c r="FI392" s="449"/>
      <c r="FJ392" s="449"/>
      <c r="FK392" s="449"/>
      <c r="FL392" s="449"/>
      <c r="FM392" s="449"/>
      <c r="FN392" s="449"/>
      <c r="FO392" s="449"/>
      <c r="FP392" s="449"/>
      <c r="FQ392" s="449"/>
      <c r="FR392" s="449"/>
      <c r="FS392" s="449"/>
      <c r="FT392" s="449"/>
      <c r="FU392" s="449"/>
      <c r="FV392" s="449"/>
      <c r="FW392" s="449"/>
      <c r="FX392" s="477"/>
      <c r="FY392" s="477"/>
      <c r="FZ392" s="477"/>
      <c r="GA392" s="477"/>
      <c r="GB392" s="477"/>
      <c r="GC392" s="477"/>
      <c r="GD392" s="477"/>
      <c r="GE392" s="477"/>
      <c r="GF392" s="477"/>
      <c r="GG392" s="477"/>
      <c r="GH392" s="477"/>
      <c r="GI392" s="477"/>
      <c r="GJ392" s="477"/>
      <c r="GK392" s="477"/>
      <c r="GN392" s="70"/>
    </row>
    <row r="393" spans="1:196" s="418" customFormat="1" hidden="1" outlineLevel="1">
      <c r="A393" s="491"/>
      <c r="CT393" s="483"/>
      <c r="CU393" s="483"/>
      <c r="CV393" s="483"/>
      <c r="CW393" s="427"/>
      <c r="CX393" s="483"/>
      <c r="CY393" s="484"/>
      <c r="CZ393" s="483"/>
      <c r="DA393" s="476"/>
      <c r="DB393" s="476"/>
      <c r="DC393" s="483"/>
      <c r="DD393" s="483"/>
      <c r="DE393" s="483"/>
      <c r="DF393" s="483"/>
      <c r="DG393" s="483"/>
      <c r="DH393" s="483"/>
      <c r="DI393" s="483"/>
      <c r="DJ393" s="485"/>
      <c r="DK393" s="485"/>
      <c r="DL393" s="485"/>
      <c r="DM393" s="485"/>
      <c r="DN393" s="485"/>
      <c r="DO393" s="485"/>
      <c r="DP393" s="485"/>
      <c r="DQ393" s="485"/>
      <c r="DR393" s="485"/>
      <c r="DS393" s="485"/>
      <c r="DT393" s="485"/>
      <c r="DU393" s="485"/>
      <c r="DV393" s="485"/>
      <c r="DW393" s="485"/>
      <c r="DX393" s="483"/>
      <c r="DY393" s="483"/>
      <c r="DZ393" s="483"/>
      <c r="EA393" s="483"/>
      <c r="EB393" s="483"/>
      <c r="EC393" s="483"/>
      <c r="ED393" s="483"/>
      <c r="EE393" s="483"/>
      <c r="EF393" s="483"/>
      <c r="EG393" s="483"/>
      <c r="EH393" s="483"/>
      <c r="EI393" s="483"/>
      <c r="EJ393" s="483"/>
      <c r="EK393" s="483"/>
      <c r="EL393" s="483"/>
      <c r="EM393" s="483"/>
      <c r="EN393" s="483"/>
      <c r="EO393" s="483"/>
      <c r="EP393" s="483"/>
      <c r="EQ393" s="483"/>
      <c r="ER393" s="483"/>
      <c r="ES393" s="483"/>
      <c r="ET393" s="483"/>
      <c r="EU393" s="483"/>
      <c r="EV393" s="483"/>
      <c r="EW393" s="483"/>
      <c r="EZ393" s="449"/>
      <c r="FA393" s="449"/>
      <c r="FB393" s="449"/>
      <c r="FC393" s="449"/>
      <c r="FD393" s="449"/>
      <c r="FE393" s="449"/>
      <c r="FF393" s="449"/>
      <c r="FG393" s="449"/>
      <c r="FH393" s="449"/>
      <c r="FI393" s="449"/>
      <c r="FJ393" s="449"/>
      <c r="FK393" s="449"/>
      <c r="FL393" s="449"/>
      <c r="FM393" s="449"/>
      <c r="FN393" s="449"/>
      <c r="FO393" s="449"/>
      <c r="FP393" s="449"/>
      <c r="FQ393" s="449"/>
      <c r="FR393" s="449"/>
      <c r="FS393" s="449"/>
      <c r="FT393" s="449"/>
      <c r="FU393" s="449"/>
      <c r="FV393" s="449"/>
      <c r="FW393" s="449"/>
      <c r="FX393" s="477"/>
      <c r="FY393" s="477"/>
      <c r="FZ393" s="477"/>
      <c r="GA393" s="477"/>
      <c r="GB393" s="477"/>
      <c r="GC393" s="477"/>
      <c r="GD393" s="477"/>
      <c r="GE393" s="477"/>
      <c r="GF393" s="477"/>
      <c r="GG393" s="477"/>
      <c r="GH393" s="477"/>
      <c r="GI393" s="477"/>
      <c r="GJ393" s="477"/>
      <c r="GK393" s="477"/>
      <c r="GN393" s="70"/>
    </row>
    <row r="394" spans="1:196" s="418" customFormat="1" hidden="1" outlineLevel="1">
      <c r="A394" s="488" t="s">
        <v>305</v>
      </c>
      <c r="CT394" s="483"/>
      <c r="CU394" s="483"/>
      <c r="CV394" s="483"/>
      <c r="CW394" s="427"/>
      <c r="CX394" s="483"/>
      <c r="CY394" s="489">
        <v>477.48199999999997</v>
      </c>
      <c r="CZ394" s="489">
        <v>514.63199999999995</v>
      </c>
      <c r="DA394" s="489">
        <v>552.154</v>
      </c>
      <c r="DB394" s="489">
        <v>558.904</v>
      </c>
      <c r="DC394" s="489">
        <v>566.13199999999995</v>
      </c>
      <c r="DD394" s="489">
        <v>547.7349999999999</v>
      </c>
      <c r="DE394" s="489">
        <v>492.28899999999999</v>
      </c>
      <c r="DF394" s="489">
        <v>535.13199999999995</v>
      </c>
      <c r="DG394" s="489">
        <v>500.57</v>
      </c>
      <c r="DH394" s="489">
        <v>548.41499999999996</v>
      </c>
      <c r="DI394" s="489">
        <v>553.98900000000003</v>
      </c>
      <c r="DJ394" s="489">
        <v>578.97799999999995</v>
      </c>
      <c r="DK394" s="489">
        <v>596.09799999999996</v>
      </c>
      <c r="DL394" s="489">
        <v>643.69200000000001</v>
      </c>
      <c r="DM394" s="489">
        <v>736.33400000000006</v>
      </c>
      <c r="DN394" s="480">
        <f>DM394+(DN383-DM383)*0.7-20</f>
        <v>734.09830663000002</v>
      </c>
      <c r="DO394" s="480">
        <f>DN394+(DO383-DN383)*0.7-1</f>
        <v>880.49958718099992</v>
      </c>
      <c r="DP394" s="480">
        <f t="shared" ref="DP394:EW394" si="757">DO394+(DP383-DO383)*0.7</f>
        <v>916.12119764781983</v>
      </c>
      <c r="DQ394" s="480">
        <f t="shared" si="757"/>
        <v>951.68640679496036</v>
      </c>
      <c r="DR394" s="480">
        <f t="shared" si="757"/>
        <v>1028.6473583494392</v>
      </c>
      <c r="DS394" s="480">
        <f t="shared" si="757"/>
        <v>956.73600057553574</v>
      </c>
      <c r="DT394" s="480">
        <f t="shared" si="757"/>
        <v>805.0191473277913</v>
      </c>
      <c r="DU394" s="480">
        <f t="shared" si="757"/>
        <v>686.46679217862265</v>
      </c>
      <c r="DV394" s="480">
        <f t="shared" si="757"/>
        <v>586.84279815465629</v>
      </c>
      <c r="DW394" s="480">
        <f t="shared" si="757"/>
        <v>586.84279815465629</v>
      </c>
      <c r="DX394" s="480">
        <f>DW394+(DX383-DW383)*0.7</f>
        <v>672.66870092785462</v>
      </c>
      <c r="DY394" s="480">
        <f t="shared" si="757"/>
        <v>771.36848911703271</v>
      </c>
      <c r="DZ394" s="480">
        <f t="shared" si="757"/>
        <v>657.86373269947774</v>
      </c>
      <c r="EA394" s="480">
        <f t="shared" si="757"/>
        <v>678.69210599815688</v>
      </c>
      <c r="EB394" s="480">
        <f t="shared" si="757"/>
        <v>722.41495366523191</v>
      </c>
      <c r="EC394" s="480">
        <f t="shared" si="757"/>
        <v>742.1697734794808</v>
      </c>
      <c r="ED394" s="480">
        <f t="shared" si="757"/>
        <v>720.34478366509643</v>
      </c>
      <c r="EE394" s="480">
        <f t="shared" si="757"/>
        <v>744.52698300037707</v>
      </c>
      <c r="EF394" s="480">
        <f t="shared" si="757"/>
        <v>796.03050040748622</v>
      </c>
      <c r="EG394" s="480">
        <f t="shared" si="757"/>
        <v>818.0029019948214</v>
      </c>
      <c r="EH394" s="480">
        <f t="shared" si="757"/>
        <v>840.64952648039628</v>
      </c>
      <c r="EI394" s="480">
        <f t="shared" si="757"/>
        <v>863.99312252073673</v>
      </c>
      <c r="EJ394" s="480">
        <f t="shared" si="757"/>
        <v>888.0572827190839</v>
      </c>
      <c r="EK394" s="480">
        <f t="shared" si="757"/>
        <v>912.86647772591778</v>
      </c>
      <c r="EL394" s="480">
        <f t="shared" si="757"/>
        <v>938.44609181575765</v>
      </c>
      <c r="EM394" s="480">
        <f t="shared" si="757"/>
        <v>964.82246000747443</v>
      </c>
      <c r="EN394" s="480">
        <f t="shared" si="757"/>
        <v>992.02290679851944</v>
      </c>
      <c r="EO394" s="480">
        <f t="shared" si="757"/>
        <v>1020.0757865867953</v>
      </c>
      <c r="EP394" s="480">
        <f t="shared" si="757"/>
        <v>1049.0105258573831</v>
      </c>
      <c r="EQ394" s="480">
        <f t="shared" si="757"/>
        <v>1078.8576672149848</v>
      </c>
      <c r="ER394" s="480">
        <f t="shared" si="757"/>
        <v>1109.6489153467696</v>
      </c>
      <c r="ES394" s="480">
        <f t="shared" si="757"/>
        <v>1141.417185004334</v>
      </c>
      <c r="ET394" s="480">
        <f t="shared" si="757"/>
        <v>1174.1966510976733</v>
      </c>
      <c r="EU394" s="480">
        <f t="shared" si="757"/>
        <v>1208.0228009984971</v>
      </c>
      <c r="EV394" s="480">
        <f t="shared" si="757"/>
        <v>1242.9324891548247</v>
      </c>
      <c r="EW394" s="480">
        <f t="shared" si="757"/>
        <v>1278.9639941236569</v>
      </c>
      <c r="EZ394" s="449"/>
      <c r="FA394" s="449"/>
      <c r="FB394" s="449"/>
      <c r="FC394" s="449"/>
      <c r="FD394" s="449"/>
      <c r="FE394" s="449"/>
      <c r="FF394" s="449"/>
      <c r="FG394" s="449"/>
      <c r="FH394" s="449"/>
      <c r="FI394" s="449"/>
      <c r="FJ394" s="449"/>
      <c r="FK394" s="449"/>
      <c r="FL394" s="449"/>
      <c r="FM394" s="449"/>
      <c r="FN394" s="449"/>
      <c r="FO394" s="449"/>
      <c r="FP394" s="449"/>
      <c r="FQ394" s="449"/>
      <c r="FR394" s="449"/>
      <c r="FS394" s="449"/>
      <c r="FT394" s="449"/>
      <c r="FU394" s="449"/>
      <c r="FV394" s="449"/>
      <c r="FW394" s="449"/>
      <c r="FX394" s="477"/>
      <c r="FY394" s="477"/>
      <c r="FZ394" s="477"/>
      <c r="GA394" s="477"/>
      <c r="GB394" s="376">
        <f>SUM(DJ394:DM394)</f>
        <v>2555.1019999999999</v>
      </c>
      <c r="GC394" s="376">
        <f>SUM(DN394:DQ394)</f>
        <v>3482.4054982537805</v>
      </c>
      <c r="GD394" s="376">
        <f>SUM(DR394:DU394)</f>
        <v>3476.8692984313889</v>
      </c>
      <c r="GE394" s="376">
        <f>SUM(DV394:DY394)</f>
        <v>2617.7227863541998</v>
      </c>
      <c r="GF394" s="376">
        <f>SUM(DZ394:EC394)</f>
        <v>2801.1405658423473</v>
      </c>
      <c r="GG394" s="380">
        <f>SUM(ED394:EG394)</f>
        <v>3078.9051690677811</v>
      </c>
      <c r="GH394" s="380">
        <f>SUM(EH394:EK394)</f>
        <v>3505.5664094461349</v>
      </c>
      <c r="GI394" s="380">
        <f>SUM(EI394:EL394)</f>
        <v>3603.3629747814957</v>
      </c>
      <c r="GJ394" s="380">
        <f>SUM(EJ394:EM394)</f>
        <v>3704.1923122682338</v>
      </c>
      <c r="GK394" s="380">
        <f>SUM(EK394:EN394)</f>
        <v>3808.1579363476694</v>
      </c>
      <c r="GN394" s="70"/>
    </row>
    <row r="395" spans="1:196" s="418" customFormat="1" hidden="1" outlineLevel="1">
      <c r="A395" s="491" t="s">
        <v>198</v>
      </c>
      <c r="CT395" s="483"/>
      <c r="CU395" s="483"/>
      <c r="CV395" s="483"/>
      <c r="CW395" s="427"/>
      <c r="CX395" s="483"/>
      <c r="CY395" s="495"/>
      <c r="CZ395" s="495">
        <f t="shared" ref="CZ395:DM395" si="758">CZ394/CY394-1</f>
        <v>7.7803980045320964E-2</v>
      </c>
      <c r="DA395" s="495">
        <f t="shared" si="758"/>
        <v>7.2910351474451796E-2</v>
      </c>
      <c r="DB395" s="495">
        <f t="shared" si="758"/>
        <v>1.2224850313499402E-2</v>
      </c>
      <c r="DC395" s="495">
        <f t="shared" si="758"/>
        <v>1.293245351616723E-2</v>
      </c>
      <c r="DD395" s="495">
        <f t="shared" si="758"/>
        <v>-3.2495955006959565E-2</v>
      </c>
      <c r="DE395" s="495">
        <f t="shared" si="758"/>
        <v>-0.1012277835084483</v>
      </c>
      <c r="DF395" s="495">
        <f t="shared" si="758"/>
        <v>8.7028148099998148E-2</v>
      </c>
      <c r="DG395" s="495">
        <f t="shared" si="758"/>
        <v>-6.458593393779466E-2</v>
      </c>
      <c r="DH395" s="495">
        <f t="shared" si="758"/>
        <v>9.5581037617116449E-2</v>
      </c>
      <c r="DI395" s="495">
        <f t="shared" si="758"/>
        <v>1.0163835781297204E-2</v>
      </c>
      <c r="DJ395" s="495">
        <f t="shared" si="758"/>
        <v>4.5107393829119102E-2</v>
      </c>
      <c r="DK395" s="495">
        <f t="shared" si="758"/>
        <v>2.9569344603767256E-2</v>
      </c>
      <c r="DL395" s="495">
        <f t="shared" si="758"/>
        <v>7.9842576220688688E-2</v>
      </c>
      <c r="DM395" s="495">
        <f t="shared" si="758"/>
        <v>0.14392286994401049</v>
      </c>
      <c r="DN395" s="481">
        <v>0.1</v>
      </c>
      <c r="DO395" s="481">
        <v>0.01</v>
      </c>
      <c r="DP395" s="481">
        <v>0.06</v>
      </c>
      <c r="DQ395" s="481">
        <v>0.06</v>
      </c>
      <c r="DR395" s="481">
        <v>0.1</v>
      </c>
      <c r="DS395" s="481">
        <v>0.05</v>
      </c>
      <c r="DT395" s="481">
        <v>0.06</v>
      </c>
      <c r="DU395" s="481">
        <v>0.09</v>
      </c>
      <c r="DV395" s="481">
        <v>0.1</v>
      </c>
      <c r="DW395" s="481">
        <v>0.05</v>
      </c>
      <c r="DX395" s="481">
        <v>0.06</v>
      </c>
      <c r="DY395" s="481">
        <v>0.09</v>
      </c>
      <c r="DZ395" s="481">
        <v>0.09</v>
      </c>
      <c r="EA395" s="481">
        <v>0.09</v>
      </c>
      <c r="EB395" s="481">
        <v>0.09</v>
      </c>
      <c r="EC395" s="481">
        <v>0.09</v>
      </c>
      <c r="ED395" s="481">
        <v>0.09</v>
      </c>
      <c r="EE395" s="481">
        <v>0.09</v>
      </c>
      <c r="EF395" s="481">
        <v>0.09</v>
      </c>
      <c r="EG395" s="481">
        <v>0.09</v>
      </c>
      <c r="EH395" s="481">
        <v>0.09</v>
      </c>
      <c r="EI395" s="481">
        <v>0.09</v>
      </c>
      <c r="EJ395" s="481">
        <v>0.09</v>
      </c>
      <c r="EK395" s="481">
        <v>0.09</v>
      </c>
      <c r="EL395" s="481">
        <v>0.09</v>
      </c>
      <c r="EM395" s="481">
        <v>0.09</v>
      </c>
      <c r="EN395" s="481">
        <v>0.09</v>
      </c>
      <c r="EO395" s="481">
        <v>0.09</v>
      </c>
      <c r="EP395" s="481">
        <v>0.09</v>
      </c>
      <c r="EQ395" s="481">
        <v>0.09</v>
      </c>
      <c r="ER395" s="481">
        <v>0.09</v>
      </c>
      <c r="ES395" s="481">
        <v>0.09</v>
      </c>
      <c r="ET395" s="481">
        <v>0.09</v>
      </c>
      <c r="EU395" s="481">
        <v>0.09</v>
      </c>
      <c r="EV395" s="481">
        <v>0.09</v>
      </c>
      <c r="EW395" s="481">
        <v>0.09</v>
      </c>
      <c r="EZ395" s="449"/>
      <c r="FA395" s="449"/>
      <c r="FB395" s="449"/>
      <c r="FC395" s="449"/>
      <c r="FD395" s="449"/>
      <c r="FE395" s="449"/>
      <c r="FF395" s="449"/>
      <c r="FG395" s="449"/>
      <c r="FH395" s="449"/>
      <c r="FI395" s="449"/>
      <c r="FJ395" s="449"/>
      <c r="FK395" s="449"/>
      <c r="FL395" s="449"/>
      <c r="FM395" s="449"/>
      <c r="FN395" s="449"/>
      <c r="FO395" s="449"/>
      <c r="FP395" s="449"/>
      <c r="FQ395" s="449"/>
      <c r="FR395" s="449"/>
      <c r="FS395" s="449"/>
      <c r="FT395" s="449"/>
      <c r="FU395" s="449"/>
      <c r="FV395" s="449"/>
      <c r="FW395" s="449"/>
      <c r="FX395" s="477"/>
      <c r="FY395" s="477"/>
      <c r="FZ395" s="477"/>
      <c r="GA395" s="477"/>
      <c r="GB395" s="477"/>
      <c r="GC395" s="477"/>
      <c r="GD395" s="477"/>
      <c r="GE395" s="477"/>
      <c r="GF395" s="477"/>
      <c r="GG395" s="477"/>
      <c r="GH395" s="477"/>
      <c r="GI395" s="477"/>
      <c r="GJ395" s="477"/>
      <c r="GK395" s="477"/>
      <c r="GN395" s="70"/>
    </row>
    <row r="396" spans="1:196" s="418" customFormat="1" hidden="1" outlineLevel="1">
      <c r="A396" s="491" t="s">
        <v>200</v>
      </c>
      <c r="CT396" s="483"/>
      <c r="CU396" s="483"/>
      <c r="CV396" s="483"/>
      <c r="CW396" s="427"/>
      <c r="CX396" s="483"/>
      <c r="CY396" s="495"/>
      <c r="CZ396" s="495"/>
      <c r="DA396" s="495"/>
      <c r="DB396" s="495"/>
      <c r="DC396" s="495">
        <f t="shared" ref="DC396:DM396" si="759">DC394/CY394-1</f>
        <v>0.18566144901797332</v>
      </c>
      <c r="DD396" s="495">
        <f t="shared" si="759"/>
        <v>6.4323633198090979E-2</v>
      </c>
      <c r="DE396" s="495">
        <f t="shared" si="759"/>
        <v>-0.10842083911372558</v>
      </c>
      <c r="DF396" s="495">
        <f t="shared" si="759"/>
        <v>-4.2533243633969375E-2</v>
      </c>
      <c r="DG396" s="495">
        <f t="shared" si="759"/>
        <v>-0.1158069142885404</v>
      </c>
      <c r="DH396" s="495">
        <f t="shared" si="759"/>
        <v>1.241476261330865E-3</v>
      </c>
      <c r="DI396" s="495">
        <f t="shared" si="759"/>
        <v>0.12533288373292928</v>
      </c>
      <c r="DJ396" s="495">
        <f t="shared" si="759"/>
        <v>8.1934924467234271E-2</v>
      </c>
      <c r="DK396" s="495">
        <f t="shared" si="759"/>
        <v>0.19083844417364193</v>
      </c>
      <c r="DL396" s="495">
        <f t="shared" si="759"/>
        <v>0.17373157189354793</v>
      </c>
      <c r="DM396" s="495">
        <f t="shared" si="759"/>
        <v>0.32914913473011209</v>
      </c>
      <c r="DN396" s="481">
        <f t="shared" ref="DN396:EW396" si="760">+DN394/DJ394-1</f>
        <v>0.26792089963694665</v>
      </c>
      <c r="DO396" s="481">
        <f t="shared" si="760"/>
        <v>0.47710542088884722</v>
      </c>
      <c r="DP396" s="481">
        <f t="shared" si="760"/>
        <v>0.42322911834824706</v>
      </c>
      <c r="DQ396" s="481">
        <f t="shared" si="760"/>
        <v>0.29246565661094048</v>
      </c>
      <c r="DR396" s="481">
        <f t="shared" si="760"/>
        <v>0.40123924692268442</v>
      </c>
      <c r="DS396" s="481">
        <f t="shared" si="760"/>
        <v>8.658313360329184E-2</v>
      </c>
      <c r="DT396" s="481">
        <f t="shared" si="760"/>
        <v>-0.12127440190805294</v>
      </c>
      <c r="DU396" s="481">
        <f t="shared" si="760"/>
        <v>-0.27868383190375745</v>
      </c>
      <c r="DV396" s="481">
        <f t="shared" si="760"/>
        <v>-0.42950050530796058</v>
      </c>
      <c r="DW396" s="481">
        <f t="shared" si="760"/>
        <v>-0.38661992670743639</v>
      </c>
      <c r="DX396" s="481">
        <f t="shared" si="760"/>
        <v>-0.16440658192946767</v>
      </c>
      <c r="DY396" s="481">
        <f t="shared" si="760"/>
        <v>0.12367924844399192</v>
      </c>
      <c r="DZ396" s="481">
        <f t="shared" si="760"/>
        <v>0.12102207740837723</v>
      </c>
      <c r="EA396" s="481">
        <f t="shared" si="760"/>
        <v>0.15651433080941501</v>
      </c>
      <c r="EB396" s="481">
        <f t="shared" si="760"/>
        <v>7.395357130301905E-2</v>
      </c>
      <c r="EC396" s="481">
        <f t="shared" si="760"/>
        <v>-3.7853135109232938E-2</v>
      </c>
      <c r="ED396" s="481">
        <f t="shared" si="760"/>
        <v>9.4975673319509513E-2</v>
      </c>
      <c r="EE396" s="481">
        <f t="shared" si="760"/>
        <v>9.7002567762883407E-2</v>
      </c>
      <c r="EF396" s="481">
        <f t="shared" si="760"/>
        <v>0.10190202510172264</v>
      </c>
      <c r="EG396" s="481">
        <f t="shared" si="760"/>
        <v>0.10217760305679868</v>
      </c>
      <c r="EH396" s="481">
        <f t="shared" si="760"/>
        <v>0.16700994515875056</v>
      </c>
      <c r="EI396" s="481">
        <f t="shared" si="760"/>
        <v>0.16045911330026197</v>
      </c>
      <c r="EJ396" s="481">
        <f t="shared" si="760"/>
        <v>0.11560710583889611</v>
      </c>
      <c r="EK396" s="481">
        <f t="shared" si="760"/>
        <v>0.11596973005811773</v>
      </c>
      <c r="EL396" s="481">
        <f t="shared" si="760"/>
        <v>0.11633452735626082</v>
      </c>
      <c r="EM396" s="481">
        <f t="shared" si="760"/>
        <v>0.11670155104078117</v>
      </c>
      <c r="EN396" s="481">
        <f t="shared" si="760"/>
        <v>0.11707085353898572</v>
      </c>
      <c r="EO396" s="481">
        <f t="shared" si="760"/>
        <v>0.11744248636224586</v>
      </c>
      <c r="EP396" s="481">
        <f t="shared" si="760"/>
        <v>0.11781650006949174</v>
      </c>
      <c r="EQ396" s="481">
        <f t="shared" si="760"/>
        <v>0.11819294422999538</v>
      </c>
      <c r="ER396" s="481">
        <f t="shared" si="760"/>
        <v>0.11857186738545766</v>
      </c>
      <c r="ES396" s="481">
        <f t="shared" si="760"/>
        <v>0.11895331701142586</v>
      </c>
      <c r="ET396" s="481">
        <f t="shared" si="760"/>
        <v>0.11933733947804992</v>
      </c>
      <c r="EU396" s="481">
        <f t="shared" si="760"/>
        <v>0.11972398001021345</v>
      </c>
      <c r="EV396" s="481">
        <f t="shared" si="760"/>
        <v>0.12011328264706456</v>
      </c>
      <c r="EW396" s="481">
        <f t="shared" si="760"/>
        <v>0.12050529020097112</v>
      </c>
      <c r="EZ396" s="449"/>
      <c r="FA396" s="449"/>
      <c r="FB396" s="449"/>
      <c r="FC396" s="449"/>
      <c r="FD396" s="449"/>
      <c r="FE396" s="449"/>
      <c r="FF396" s="449"/>
      <c r="FG396" s="449"/>
      <c r="FH396" s="449"/>
      <c r="FI396" s="449"/>
      <c r="FJ396" s="449"/>
      <c r="FK396" s="449"/>
      <c r="FL396" s="449"/>
      <c r="FM396" s="449"/>
      <c r="FN396" s="449"/>
      <c r="FO396" s="449"/>
      <c r="FP396" s="449"/>
      <c r="FQ396" s="449"/>
      <c r="FR396" s="449"/>
      <c r="FS396" s="449"/>
      <c r="FT396" s="449"/>
      <c r="FU396" s="449"/>
      <c r="FV396" s="449"/>
      <c r="FW396" s="449"/>
      <c r="FX396" s="477"/>
      <c r="FY396" s="477"/>
      <c r="FZ396" s="477"/>
      <c r="GA396" s="477"/>
      <c r="GB396" s="477"/>
      <c r="GC396" s="477"/>
      <c r="GD396" s="477"/>
      <c r="GE396" s="477"/>
      <c r="GF396" s="477"/>
      <c r="GG396" s="477"/>
      <c r="GH396" s="477"/>
      <c r="GI396" s="477"/>
      <c r="GJ396" s="477"/>
      <c r="GK396" s="477"/>
      <c r="GN396" s="70"/>
    </row>
    <row r="397" spans="1:196" s="418" customFormat="1" hidden="1" outlineLevel="1">
      <c r="A397" s="491" t="s">
        <v>202</v>
      </c>
      <c r="CT397" s="483"/>
      <c r="CU397" s="483"/>
      <c r="CV397" s="483"/>
      <c r="CW397" s="427"/>
      <c r="CX397" s="483"/>
      <c r="CY397" s="495">
        <f>+CY394/CY$383</f>
        <v>0.69766510812390414</v>
      </c>
      <c r="CZ397" s="495">
        <f t="shared" ref="CZ397:EW397" si="761">+CZ394/CZ$383</f>
        <v>0.68957791772745536</v>
      </c>
      <c r="DA397" s="495">
        <f t="shared" si="761"/>
        <v>0.69010623672040994</v>
      </c>
      <c r="DB397" s="495">
        <f t="shared" si="761"/>
        <v>0.67467889908256884</v>
      </c>
      <c r="DC397" s="495">
        <f t="shared" si="761"/>
        <v>0.66635122410546133</v>
      </c>
      <c r="DD397" s="495">
        <f t="shared" si="761"/>
        <v>0.65722942164626807</v>
      </c>
      <c r="DE397" s="495">
        <f t="shared" si="761"/>
        <v>0.68042709053213546</v>
      </c>
      <c r="DF397" s="495">
        <f t="shared" si="761"/>
        <v>0.70582152527998365</v>
      </c>
      <c r="DG397" s="495">
        <f t="shared" si="761"/>
        <v>0.68907299439693359</v>
      </c>
      <c r="DH397" s="495">
        <f t="shared" si="761"/>
        <v>0.71544678325190625</v>
      </c>
      <c r="DI397" s="495">
        <f t="shared" si="761"/>
        <v>0.6895522053661669</v>
      </c>
      <c r="DJ397" s="495">
        <f t="shared" si="761"/>
        <v>0.68036056955041613</v>
      </c>
      <c r="DK397" s="495">
        <f t="shared" si="761"/>
        <v>0.67845883137606622</v>
      </c>
      <c r="DL397" s="495">
        <f t="shared" si="761"/>
        <v>0.68787415711125599</v>
      </c>
      <c r="DM397" s="495">
        <f>+DM394/DM$383</f>
        <v>0.72827995201071349</v>
      </c>
      <c r="DN397" s="141">
        <f t="shared" si="761"/>
        <v>0.70829061821856809</v>
      </c>
      <c r="DO397" s="141">
        <f t="shared" si="761"/>
        <v>0.7060887250152923</v>
      </c>
      <c r="DP397" s="141">
        <f t="shared" si="761"/>
        <v>0.70584999811647098</v>
      </c>
      <c r="DQ397" s="141">
        <f>+DQ394/DQ$383</f>
        <v>0.705629621256605</v>
      </c>
      <c r="DR397" s="141">
        <f t="shared" si="761"/>
        <v>0.70520529430676271</v>
      </c>
      <c r="DS397" s="141">
        <f t="shared" si="761"/>
        <v>0.70559967077339869</v>
      </c>
      <c r="DT397" s="141">
        <f t="shared" si="761"/>
        <v>0.70666505358307385</v>
      </c>
      <c r="DU397" s="141">
        <f t="shared" si="761"/>
        <v>0.70782897751031204</v>
      </c>
      <c r="DV397" s="141">
        <f t="shared" si="761"/>
        <v>0.70917546672315102</v>
      </c>
      <c r="DW397" s="141">
        <f t="shared" si="761"/>
        <v>0.70917546672315102</v>
      </c>
      <c r="DX397" s="141">
        <f t="shared" si="761"/>
        <v>0.70799140247518344</v>
      </c>
      <c r="DY397" s="141">
        <f t="shared" si="761"/>
        <v>0.7069587044728719</v>
      </c>
      <c r="DZ397" s="141">
        <f t="shared" si="761"/>
        <v>0.70817334577850755</v>
      </c>
      <c r="EA397" s="141">
        <f t="shared" si="761"/>
        <v>0.70791967620965923</v>
      </c>
      <c r="EB397" s="141">
        <f t="shared" si="761"/>
        <v>0.70743526096557297</v>
      </c>
      <c r="EC397" s="141">
        <f t="shared" si="761"/>
        <v>0.70723530612631957</v>
      </c>
      <c r="ED397" s="141">
        <f t="shared" si="761"/>
        <v>0.70745685648882273</v>
      </c>
      <c r="EE397" s="141">
        <f t="shared" si="761"/>
        <v>0.70721216277028232</v>
      </c>
      <c r="EF397" s="141">
        <f t="shared" si="761"/>
        <v>0.70674103904867713</v>
      </c>
      <c r="EG397" s="141">
        <f t="shared" si="761"/>
        <v>0.70655827133828941</v>
      </c>
      <c r="EH397" s="141">
        <f t="shared" si="761"/>
        <v>0.70637998493146614</v>
      </c>
      <c r="EI397" s="141">
        <f t="shared" si="761"/>
        <v>0.70620608054390732</v>
      </c>
      <c r="EJ397" s="141">
        <f t="shared" si="761"/>
        <v>0.70603646086885885</v>
      </c>
      <c r="EK397" s="141">
        <f t="shared" si="761"/>
        <v>0.7058710305443191</v>
      </c>
      <c r="EL397" s="141">
        <f t="shared" si="761"/>
        <v>0.70570969612049494</v>
      </c>
      <c r="EM397" s="141">
        <f t="shared" si="761"/>
        <v>0.70555236602752347</v>
      </c>
      <c r="EN397" s="141">
        <f t="shared" si="761"/>
        <v>0.7053989505434668</v>
      </c>
      <c r="EO397" s="141">
        <f t="shared" si="761"/>
        <v>0.70524936176259212</v>
      </c>
      <c r="EP397" s="141">
        <f t="shared" si="761"/>
        <v>0.70510351356394763</v>
      </c>
      <c r="EQ397" s="141">
        <f t="shared" si="761"/>
        <v>0.70496132158024105</v>
      </c>
      <c r="ER397" s="141">
        <f t="shared" si="761"/>
        <v>0.70482270316703177</v>
      </c>
      <c r="ES397" s="141">
        <f t="shared" si="761"/>
        <v>0.70468757737224164</v>
      </c>
      <c r="ET397" s="141">
        <f t="shared" si="761"/>
        <v>0.70455586490599398</v>
      </c>
      <c r="EU397" s="141">
        <f t="shared" si="761"/>
        <v>0.70442748811078537</v>
      </c>
      <c r="EV397" s="141">
        <f t="shared" si="761"/>
        <v>0.70430237093199755</v>
      </c>
      <c r="EW397" s="141">
        <f t="shared" si="761"/>
        <v>0.7041804388887537</v>
      </c>
      <c r="EZ397" s="449"/>
      <c r="FA397" s="449"/>
      <c r="FB397" s="449"/>
      <c r="FC397" s="449"/>
      <c r="FD397" s="449"/>
      <c r="FE397" s="449"/>
      <c r="FF397" s="449"/>
      <c r="FG397" s="449"/>
      <c r="FH397" s="449"/>
      <c r="FI397" s="449"/>
      <c r="FJ397" s="449"/>
      <c r="FK397" s="449"/>
      <c r="FL397" s="449"/>
      <c r="FM397" s="449"/>
      <c r="FN397" s="449"/>
      <c r="FO397" s="449"/>
      <c r="FP397" s="449"/>
      <c r="FQ397" s="449"/>
      <c r="FR397" s="449"/>
      <c r="FS397" s="449"/>
      <c r="FT397" s="449"/>
      <c r="FU397" s="449"/>
      <c r="FV397" s="449"/>
      <c r="FW397" s="449"/>
      <c r="FX397" s="477"/>
      <c r="FY397" s="477"/>
      <c r="FZ397" s="477"/>
      <c r="GA397" s="477"/>
      <c r="GB397" s="477">
        <f t="shared" ref="GB397:GG397" si="762">GB394/GB$383</f>
        <v>0.69499692907941468</v>
      </c>
      <c r="GC397" s="477">
        <f t="shared" si="762"/>
        <v>0.70636318145717614</v>
      </c>
      <c r="GD397" s="477">
        <f t="shared" si="762"/>
        <v>0.70616845183877952</v>
      </c>
      <c r="GE397" s="477">
        <f t="shared" si="762"/>
        <v>0.70821672509659439</v>
      </c>
      <c r="GF397" s="477">
        <f t="shared" si="762"/>
        <v>0.70767279918457493</v>
      </c>
      <c r="GG397" s="477">
        <f t="shared" si="762"/>
        <v>0.70697369864539228</v>
      </c>
      <c r="GH397" s="477">
        <f>GH394/GH$383</f>
        <v>0.70611751463492101</v>
      </c>
      <c r="GI397" s="477">
        <f t="shared" ref="GI397:GK397" si="763">GI394/GI$383</f>
        <v>0.70595007180537694</v>
      </c>
      <c r="GJ397" s="477">
        <f t="shared" si="763"/>
        <v>0.70578676996936474</v>
      </c>
      <c r="GK397" s="477">
        <f t="shared" si="763"/>
        <v>0.70562751664736556</v>
      </c>
      <c r="GN397" s="70"/>
    </row>
    <row r="398" spans="1:196" s="418" customFormat="1" hidden="1" outlineLevel="1">
      <c r="A398" s="491"/>
      <c r="CT398" s="483"/>
      <c r="CU398" s="483"/>
      <c r="CV398" s="483"/>
      <c r="CW398" s="427"/>
      <c r="CX398" s="483"/>
      <c r="CY398" s="484"/>
      <c r="CZ398" s="483"/>
      <c r="DA398" s="476"/>
      <c r="DB398" s="476"/>
      <c r="DC398" s="483"/>
      <c r="DD398" s="483"/>
      <c r="DE398" s="483"/>
      <c r="DF398" s="483"/>
      <c r="DG398" s="483"/>
      <c r="DH398" s="483"/>
      <c r="DI398" s="483"/>
      <c r="DJ398" s="485"/>
      <c r="DK398" s="485"/>
      <c r="DL398" s="485"/>
      <c r="DM398" s="485"/>
      <c r="DN398" s="485"/>
      <c r="DO398" s="485"/>
      <c r="DP398" s="485"/>
      <c r="DQ398" s="485"/>
      <c r="DR398" s="485"/>
      <c r="DS398" s="485"/>
      <c r="DT398" s="485"/>
      <c r="DU398" s="485"/>
      <c r="DV398" s="485"/>
      <c r="DW398" s="485"/>
      <c r="DX398" s="483"/>
      <c r="DY398" s="483"/>
      <c r="DZ398" s="483"/>
      <c r="EA398" s="483"/>
      <c r="EB398" s="483"/>
      <c r="EC398" s="483"/>
      <c r="ED398" s="483"/>
      <c r="EE398" s="483"/>
      <c r="EF398" s="483"/>
      <c r="EG398" s="483"/>
      <c r="EH398" s="483"/>
      <c r="EI398" s="483"/>
      <c r="EJ398" s="483"/>
      <c r="EK398" s="483"/>
      <c r="EL398" s="483"/>
      <c r="EM398" s="483"/>
      <c r="EN398" s="483"/>
      <c r="EO398" s="483"/>
      <c r="EP398" s="483"/>
      <c r="EQ398" s="483"/>
      <c r="ER398" s="483"/>
      <c r="ES398" s="483"/>
      <c r="ET398" s="483"/>
      <c r="EU398" s="483"/>
      <c r="EV398" s="483"/>
      <c r="EW398" s="483"/>
      <c r="EZ398" s="449"/>
      <c r="FA398" s="449"/>
      <c r="FB398" s="449"/>
      <c r="FC398" s="449"/>
      <c r="FD398" s="449"/>
      <c r="FE398" s="449"/>
      <c r="FF398" s="449"/>
      <c r="FG398" s="449"/>
      <c r="FH398" s="449"/>
      <c r="FI398" s="449"/>
      <c r="FJ398" s="449"/>
      <c r="FK398" s="449"/>
      <c r="FL398" s="449"/>
      <c r="FM398" s="449"/>
      <c r="FN398" s="449"/>
      <c r="FO398" s="449"/>
      <c r="FP398" s="449"/>
      <c r="FQ398" s="449"/>
      <c r="FR398" s="449"/>
      <c r="FS398" s="449"/>
      <c r="FT398" s="449"/>
      <c r="FU398" s="449"/>
      <c r="FV398" s="449"/>
      <c r="FW398" s="449"/>
      <c r="FX398" s="477"/>
      <c r="FY398" s="477"/>
      <c r="FZ398" s="477"/>
      <c r="GA398" s="477"/>
      <c r="GB398" s="477"/>
      <c r="GC398" s="477"/>
      <c r="GD398" s="477"/>
      <c r="GE398" s="477"/>
      <c r="GF398" s="477"/>
      <c r="GG398" s="477"/>
      <c r="GH398" s="477"/>
      <c r="GI398" s="477"/>
      <c r="GJ398" s="477"/>
      <c r="GK398" s="477"/>
      <c r="GN398" s="70"/>
    </row>
    <row r="399" spans="1:196" s="418" customFormat="1" hidden="1" outlineLevel="1">
      <c r="A399" s="488" t="s">
        <v>306</v>
      </c>
      <c r="CT399" s="483"/>
      <c r="CU399" s="483"/>
      <c r="CV399" s="483"/>
      <c r="CW399" s="427"/>
      <c r="CX399" s="483"/>
      <c r="CY399" s="489">
        <f>+CY402+CY406</f>
        <v>259.863</v>
      </c>
      <c r="CZ399" s="489">
        <f t="shared" ref="CZ399:EW399" si="764">+CZ402+CZ406</f>
        <v>278.851</v>
      </c>
      <c r="DA399" s="489">
        <f t="shared" si="764"/>
        <v>289.16000000000003</v>
      </c>
      <c r="DB399" s="489">
        <f t="shared" si="764"/>
        <v>300.10000000000002</v>
      </c>
      <c r="DC399" s="489">
        <f t="shared" si="764"/>
        <v>306.154</v>
      </c>
      <c r="DD399" s="489">
        <f t="shared" si="764"/>
        <v>330.596</v>
      </c>
      <c r="DE399" s="489">
        <f t="shared" si="764"/>
        <v>318.11099999999999</v>
      </c>
      <c r="DF399" s="489">
        <f t="shared" si="764"/>
        <v>316.84499999999997</v>
      </c>
      <c r="DG399" s="489">
        <f t="shared" si="764"/>
        <v>313.93299999999999</v>
      </c>
      <c r="DH399" s="489">
        <f t="shared" si="764"/>
        <v>331.93399999999997</v>
      </c>
      <c r="DI399" s="489">
        <f t="shared" si="764"/>
        <v>352.68299999999999</v>
      </c>
      <c r="DJ399" s="489">
        <f t="shared" si="764"/>
        <v>351.35699999999997</v>
      </c>
      <c r="DK399" s="489">
        <f t="shared" si="764"/>
        <v>350.07100000000003</v>
      </c>
      <c r="DL399" s="489">
        <f t="shared" si="764"/>
        <v>355.54399999999998</v>
      </c>
      <c r="DM399" s="489">
        <f>+DM402+DM406</f>
        <v>396.44</v>
      </c>
      <c r="DN399" s="480">
        <f t="shared" si="764"/>
        <v>393.89613999999995</v>
      </c>
      <c r="DO399" s="480">
        <f t="shared" si="764"/>
        <v>401.77406280000002</v>
      </c>
      <c r="DP399" s="480">
        <f t="shared" si="764"/>
        <v>410.86062804599999</v>
      </c>
      <c r="DQ399" s="480">
        <f>+DQ402+DQ406</f>
        <v>420.16045711661997</v>
      </c>
      <c r="DR399" s="480">
        <f t="shared" si="764"/>
        <v>414.58498209166498</v>
      </c>
      <c r="DS399" s="480">
        <f t="shared" si="764"/>
        <v>416.70366260114787</v>
      </c>
      <c r="DT399" s="480">
        <f t="shared" si="764"/>
        <v>419.94524378065671</v>
      </c>
      <c r="DU399" s="480">
        <f t="shared" si="764"/>
        <v>433.40422491698894</v>
      </c>
      <c r="DV399" s="480">
        <f t="shared" si="764"/>
        <v>427.78386341525049</v>
      </c>
      <c r="DW399" s="480">
        <f t="shared" si="764"/>
        <v>429.91960078591109</v>
      </c>
      <c r="DX399" s="480">
        <f t="shared" si="764"/>
        <v>433.18727896302181</v>
      </c>
      <c r="DY399" s="480">
        <f t="shared" si="764"/>
        <v>447.14906159911862</v>
      </c>
      <c r="DZ399" s="480">
        <f t="shared" si="764"/>
        <v>461.63565845543513</v>
      </c>
      <c r="EA399" s="480">
        <f t="shared" si="764"/>
        <v>476.66772552992779</v>
      </c>
      <c r="EB399" s="480">
        <f t="shared" si="764"/>
        <v>492.26674169476297</v>
      </c>
      <c r="EC399" s="480">
        <f t="shared" si="764"/>
        <v>508.45504157762787</v>
      </c>
      <c r="ED399" s="480">
        <f t="shared" si="764"/>
        <v>525.25584975795812</v>
      </c>
      <c r="EE399" s="480">
        <f t="shared" si="764"/>
        <v>542.69331633067384</v>
      </c>
      <c r="EF399" s="480">
        <f t="shared" si="764"/>
        <v>560.7925538921221</v>
      </c>
      <c r="EG399" s="480">
        <f t="shared" si="764"/>
        <v>579.57967600511063</v>
      </c>
      <c r="EH399" s="480">
        <f t="shared" si="764"/>
        <v>599.08183720219165</v>
      </c>
      <c r="EI399" s="480">
        <f t="shared" si="764"/>
        <v>619.32727458872466</v>
      </c>
      <c r="EJ399" s="480">
        <f t="shared" si="764"/>
        <v>640.34535110970353</v>
      </c>
      <c r="EK399" s="480">
        <f t="shared" si="764"/>
        <v>662.16660054689578</v>
      </c>
      <c r="EL399" s="480">
        <f t="shared" si="764"/>
        <v>684.82277431550381</v>
      </c>
      <c r="EM399" s="480">
        <f t="shared" si="764"/>
        <v>708.34689013232355</v>
      </c>
      <c r="EN399" s="480">
        <f t="shared" si="764"/>
        <v>732.773282630258</v>
      </c>
      <c r="EO399" s="480">
        <f t="shared" si="764"/>
        <v>758.13765599703618</v>
      </c>
      <c r="EP399" s="480">
        <f t="shared" si="764"/>
        <v>784.47713871910116</v>
      </c>
      <c r="EQ399" s="480">
        <f t="shared" si="764"/>
        <v>811.83034051487061</v>
      </c>
      <c r="ER399" s="480">
        <f t="shared" si="764"/>
        <v>840.23741154494087</v>
      </c>
      <c r="ES399" s="480">
        <f t="shared" si="764"/>
        <v>869.74010399030874</v>
      </c>
      <c r="ET399" s="480">
        <f t="shared" si="764"/>
        <v>900.38183609332702</v>
      </c>
      <c r="EU399" s="480">
        <f t="shared" si="764"/>
        <v>932.20775875990012</v>
      </c>
      <c r="EV399" s="480">
        <f t="shared" si="764"/>
        <v>965.26482482536449</v>
      </c>
      <c r="EW399" s="480">
        <f t="shared" si="764"/>
        <v>999.60186109059805</v>
      </c>
      <c r="EZ399" s="449"/>
      <c r="FA399" s="449"/>
      <c r="FB399" s="449"/>
      <c r="FC399" s="449"/>
      <c r="FD399" s="449"/>
      <c r="FE399" s="449"/>
      <c r="FF399" s="449"/>
      <c r="FG399" s="449"/>
      <c r="FH399" s="449"/>
      <c r="FI399" s="449"/>
      <c r="FJ399" s="449"/>
      <c r="FK399" s="449"/>
      <c r="FL399" s="449"/>
      <c r="FM399" s="449"/>
      <c r="FN399" s="449"/>
      <c r="FO399" s="449"/>
      <c r="FP399" s="449"/>
      <c r="FQ399" s="449"/>
      <c r="FR399" s="449"/>
      <c r="FS399" s="449"/>
      <c r="FT399" s="449"/>
      <c r="FU399" s="449"/>
      <c r="FV399" s="449"/>
      <c r="FW399" s="449"/>
      <c r="FX399" s="477"/>
      <c r="FY399" s="477"/>
      <c r="FZ399" s="477"/>
      <c r="GA399" s="477"/>
      <c r="GB399" s="376">
        <f>SUM(DJ399:DM399)</f>
        <v>1453.412</v>
      </c>
      <c r="GC399" s="376">
        <f>SUM(DN399:DQ399)</f>
        <v>1626.6912879626198</v>
      </c>
      <c r="GD399" s="376">
        <f>SUM(DR399:DU399)</f>
        <v>1684.6381133904583</v>
      </c>
      <c r="GE399" s="376">
        <f>SUM(DV399:DY399)</f>
        <v>1738.0398047633018</v>
      </c>
      <c r="GF399" s="376">
        <f>SUM(DZ399:EC399)</f>
        <v>1939.0251672577538</v>
      </c>
      <c r="GG399" s="380">
        <f>SUM(ED399:EG399)</f>
        <v>2208.3213959858649</v>
      </c>
      <c r="GH399" s="380">
        <f>SUM(EH399:EK399)</f>
        <v>2520.9210634475157</v>
      </c>
      <c r="GI399" s="380">
        <f>SUM(EI399:EL399)</f>
        <v>2606.6620005608279</v>
      </c>
      <c r="GJ399" s="380">
        <f>SUM(EJ399:EM399)</f>
        <v>2695.6816161044267</v>
      </c>
      <c r="GK399" s="380">
        <f>SUM(EK399:EN399)</f>
        <v>2788.1095476249811</v>
      </c>
      <c r="GN399" s="70"/>
    </row>
    <row r="400" spans="1:196" s="418" customFormat="1" hidden="1" outlineLevel="1">
      <c r="A400" s="491" t="s">
        <v>198</v>
      </c>
      <c r="CT400" s="483"/>
      <c r="CU400" s="483"/>
      <c r="CV400" s="483"/>
      <c r="CW400" s="427"/>
      <c r="CX400" s="483"/>
      <c r="CY400" s="495"/>
      <c r="CZ400" s="495">
        <f t="shared" ref="CZ400:EH400" si="765">CZ399/CY399-1</f>
        <v>7.3069271115934198E-2</v>
      </c>
      <c r="DA400" s="495">
        <f t="shared" si="765"/>
        <v>3.6969564391019061E-2</v>
      </c>
      <c r="DB400" s="495">
        <f t="shared" si="765"/>
        <v>3.7833725273205054E-2</v>
      </c>
      <c r="DC400" s="495">
        <f t="shared" si="765"/>
        <v>2.0173275574808303E-2</v>
      </c>
      <c r="DD400" s="495">
        <f t="shared" si="765"/>
        <v>7.9835638273548559E-2</v>
      </c>
      <c r="DE400" s="495">
        <f t="shared" si="765"/>
        <v>-3.7765127224769879E-2</v>
      </c>
      <c r="DF400" s="495">
        <f t="shared" si="765"/>
        <v>-3.9797429199242007E-3</v>
      </c>
      <c r="DG400" s="495">
        <f t="shared" si="765"/>
        <v>-9.1906137070175697E-3</v>
      </c>
      <c r="DH400" s="495">
        <f t="shared" si="765"/>
        <v>5.7340260501444584E-2</v>
      </c>
      <c r="DI400" s="495">
        <f t="shared" si="765"/>
        <v>6.2509414522164075E-2</v>
      </c>
      <c r="DJ400" s="495">
        <f t="shared" si="765"/>
        <v>-3.7597502573132324E-3</v>
      </c>
      <c r="DK400" s="495">
        <f t="shared" si="765"/>
        <v>-3.6600950030878376E-3</v>
      </c>
      <c r="DL400" s="495">
        <f t="shared" si="765"/>
        <v>1.5633971394374058E-2</v>
      </c>
      <c r="DM400" s="495">
        <f t="shared" si="765"/>
        <v>0.11502373827149381</v>
      </c>
      <c r="DN400" s="141">
        <f t="shared" si="765"/>
        <v>-6.4167591564928683E-3</v>
      </c>
      <c r="DO400" s="141">
        <f t="shared" si="765"/>
        <v>2.000000000000024E-2</v>
      </c>
      <c r="DP400" s="141">
        <f t="shared" si="765"/>
        <v>2.2616107129153296E-2</v>
      </c>
      <c r="DQ400" s="141">
        <f t="shared" si="765"/>
        <v>2.2634996969285615E-2</v>
      </c>
      <c r="DR400" s="141">
        <f t="shared" si="765"/>
        <v>-1.3269870904123349E-2</v>
      </c>
      <c r="DS400" s="141">
        <f t="shared" si="765"/>
        <v>5.1103648250685474E-3</v>
      </c>
      <c r="DT400" s="141">
        <f t="shared" si="765"/>
        <v>7.7791041222778912E-3</v>
      </c>
      <c r="DU400" s="141">
        <f t="shared" si="765"/>
        <v>3.2049371520830983E-2</v>
      </c>
      <c r="DV400" s="141">
        <f t="shared" si="765"/>
        <v>-1.2967943500815982E-2</v>
      </c>
      <c r="DW400" s="141">
        <f t="shared" si="765"/>
        <v>4.9925617895207886E-3</v>
      </c>
      <c r="DX400" s="141">
        <f>DX399/DW399-1</f>
        <v>7.6006727098212323E-3</v>
      </c>
      <c r="DY400" s="141">
        <f t="shared" si="765"/>
        <v>3.2230361587531009E-2</v>
      </c>
      <c r="DZ400" s="141">
        <f t="shared" si="765"/>
        <v>3.2397690391004597E-2</v>
      </c>
      <c r="EA400" s="141">
        <f t="shared" si="765"/>
        <v>3.2562621190892704E-2</v>
      </c>
      <c r="EB400" s="141">
        <f t="shared" si="765"/>
        <v>3.2725136042078828E-2</v>
      </c>
      <c r="EC400" s="141">
        <f t="shared" si="765"/>
        <v>3.2885219560298218E-2</v>
      </c>
      <c r="ED400" s="141">
        <f t="shared" si="765"/>
        <v>3.3042858869489988E-2</v>
      </c>
      <c r="EE400" s="141">
        <f t="shared" si="765"/>
        <v>3.3198043545352274E-2</v>
      </c>
      <c r="EF400" s="141">
        <f t="shared" si="765"/>
        <v>3.3350765555439477E-2</v>
      </c>
      <c r="EG400" s="141">
        <f t="shared" si="765"/>
        <v>3.3501019196133131E-2</v>
      </c>
      <c r="EH400" s="141">
        <f t="shared" si="765"/>
        <v>3.3648801026813446E-2</v>
      </c>
      <c r="EI400" s="141">
        <f>EI399/EH399-1</f>
        <v>3.3794109801563055E-2</v>
      </c>
      <c r="EJ400" s="141">
        <f>EJ399/EI399-1</f>
        <v>3.3936946398713586E-2</v>
      </c>
      <c r="EK400" s="141">
        <f>EK399/EJ399-1</f>
        <v>3.4077313748552385E-2</v>
      </c>
      <c r="EL400" s="141">
        <f t="shared" ref="EL400" si="766">EL399/EK399-1</f>
        <v>3.4215216759492018E-2</v>
      </c>
      <c r="EM400" s="141">
        <f>EM399/EL399-1</f>
        <v>3.435066224299077E-2</v>
      </c>
      <c r="EN400" s="141">
        <f>EN399/EM399-1</f>
        <v>3.4483658837510367E-2</v>
      </c>
      <c r="EO400" s="141">
        <f>EO399/EN399-1</f>
        <v>3.4614216931782682E-2</v>
      </c>
      <c r="EP400" s="141">
        <f t="shared" ref="EP400" si="767">EP399/EO399-1</f>
        <v>3.4742348587639471E-2</v>
      </c>
      <c r="EQ400" s="141">
        <f>EQ399/EP399-1</f>
        <v>3.4868067462656693E-2</v>
      </c>
      <c r="ER400" s="141">
        <f>ER399/EQ399-1</f>
        <v>3.4991388732840578E-2</v>
      </c>
      <c r="ES400" s="141">
        <f>ES399/ER399-1</f>
        <v>3.5112329015583033E-2</v>
      </c>
      <c r="ET400" s="141">
        <f t="shared" ref="ET400" si="768">ET399/ES399-1</f>
        <v>3.5230906293082453E-2</v>
      </c>
      <c r="EU400" s="141">
        <f>EU399/ET399-1</f>
        <v>3.5347139836430674E-2</v>
      </c>
      <c r="EV400" s="141">
        <f>EV399/EU399-1</f>
        <v>3.5461050130541238E-2</v>
      </c>
      <c r="EW400" s="141">
        <f>EW399/EV399-1</f>
        <v>3.557265880008198E-2</v>
      </c>
      <c r="EZ400" s="449"/>
      <c r="FA400" s="449"/>
      <c r="FB400" s="449"/>
      <c r="FC400" s="449"/>
      <c r="FD400" s="449"/>
      <c r="FE400" s="449"/>
      <c r="FF400" s="449"/>
      <c r="FG400" s="449"/>
      <c r="FH400" s="449"/>
      <c r="FI400" s="449"/>
      <c r="FJ400" s="449"/>
      <c r="FK400" s="449"/>
      <c r="FL400" s="449"/>
      <c r="FM400" s="449"/>
      <c r="FN400" s="449"/>
      <c r="FO400" s="449"/>
      <c r="FP400" s="449"/>
      <c r="FQ400" s="449"/>
      <c r="FR400" s="449"/>
      <c r="FS400" s="449"/>
      <c r="FT400" s="449"/>
      <c r="FU400" s="449"/>
      <c r="FV400" s="449"/>
      <c r="FW400" s="449"/>
      <c r="FX400" s="477"/>
      <c r="FY400" s="477"/>
      <c r="FZ400" s="477"/>
      <c r="GA400" s="477"/>
      <c r="GB400" s="477"/>
      <c r="GC400" s="477"/>
      <c r="GD400" s="477"/>
      <c r="GE400" s="477"/>
      <c r="GF400" s="477"/>
      <c r="GG400" s="477"/>
      <c r="GH400" s="477"/>
      <c r="GI400" s="477"/>
      <c r="GJ400" s="477"/>
      <c r="GK400" s="477"/>
      <c r="GN400" s="70"/>
    </row>
    <row r="401" spans="1:196" s="418" customFormat="1" hidden="1" outlineLevel="1">
      <c r="A401" s="491" t="s">
        <v>200</v>
      </c>
      <c r="CT401" s="483"/>
      <c r="CU401" s="483"/>
      <c r="CV401" s="483"/>
      <c r="CW401" s="427"/>
      <c r="CX401" s="483"/>
      <c r="CY401" s="495"/>
      <c r="CZ401" s="495"/>
      <c r="DA401" s="495"/>
      <c r="DB401" s="495"/>
      <c r="DC401" s="495">
        <f t="shared" ref="DC401:EW401" si="769">DC399/CY399-1</f>
        <v>0.17813617175203866</v>
      </c>
      <c r="DD401" s="495">
        <f t="shared" si="769"/>
        <v>0.18556505086946085</v>
      </c>
      <c r="DE401" s="495">
        <f t="shared" si="769"/>
        <v>0.10012104025453028</v>
      </c>
      <c r="DF401" s="495">
        <f t="shared" si="769"/>
        <v>5.5798067310896204E-2</v>
      </c>
      <c r="DG401" s="495">
        <f t="shared" si="769"/>
        <v>2.5408781201617492E-2</v>
      </c>
      <c r="DH401" s="495">
        <f t="shared" si="769"/>
        <v>4.0472359012206915E-3</v>
      </c>
      <c r="DI401" s="495">
        <f t="shared" si="769"/>
        <v>0.10867904599337974</v>
      </c>
      <c r="DJ401" s="495">
        <f t="shared" si="769"/>
        <v>0.10892392179141219</v>
      </c>
      <c r="DK401" s="495">
        <f t="shared" si="769"/>
        <v>0.11511373445926365</v>
      </c>
      <c r="DL401" s="495">
        <f t="shared" si="769"/>
        <v>7.1128597853790332E-2</v>
      </c>
      <c r="DM401" s="495">
        <f t="shared" si="769"/>
        <v>0.12406892308390249</v>
      </c>
      <c r="DN401" s="141">
        <f t="shared" si="769"/>
        <v>0.1210709904740761</v>
      </c>
      <c r="DO401" s="141">
        <f t="shared" si="769"/>
        <v>0.14769307597601622</v>
      </c>
      <c r="DP401" s="141">
        <f t="shared" si="769"/>
        <v>0.155583072829242</v>
      </c>
      <c r="DQ401" s="141">
        <f t="shared" si="769"/>
        <v>5.983366238679233E-2</v>
      </c>
      <c r="DR401" s="141">
        <f t="shared" si="769"/>
        <v>5.2523596935133865E-2</v>
      </c>
      <c r="DS401" s="141">
        <f t="shared" si="769"/>
        <v>3.715919264947587E-2</v>
      </c>
      <c r="DT401" s="141">
        <f t="shared" si="769"/>
        <v>2.2111185921761312E-2</v>
      </c>
      <c r="DU401" s="141">
        <f t="shared" si="769"/>
        <v>3.1520738270458093E-2</v>
      </c>
      <c r="DV401" s="141">
        <f t="shared" si="769"/>
        <v>3.1836371054722035E-2</v>
      </c>
      <c r="DW401" s="141">
        <f t="shared" si="769"/>
        <v>3.1715435622203803E-2</v>
      </c>
      <c r="DX401" s="141">
        <f t="shared" si="769"/>
        <v>3.1532766184349414E-2</v>
      </c>
      <c r="DY401" s="141">
        <f t="shared" si="769"/>
        <v>3.171366565418765E-2</v>
      </c>
      <c r="DZ401" s="141">
        <f t="shared" si="769"/>
        <v>7.9132940569393684E-2</v>
      </c>
      <c r="EA401" s="141">
        <f t="shared" si="769"/>
        <v>0.10873690024497407</v>
      </c>
      <c r="EB401" s="141">
        <f t="shared" si="769"/>
        <v>0.1363831894444536</v>
      </c>
      <c r="EC401" s="141">
        <f t="shared" si="769"/>
        <v>0.13710412308428754</v>
      </c>
      <c r="ED401" s="141">
        <f t="shared" si="769"/>
        <v>0.13781472496164349</v>
      </c>
      <c r="EE401" s="141">
        <f t="shared" si="769"/>
        <v>0.1385149177602556</v>
      </c>
      <c r="EF401" s="141">
        <f t="shared" si="769"/>
        <v>0.13920463519725157</v>
      </c>
      <c r="EG401" s="141">
        <f t="shared" si="769"/>
        <v>0.13988382179631476</v>
      </c>
      <c r="EH401" s="141">
        <f t="shared" si="769"/>
        <v>0.14055243264449713</v>
      </c>
      <c r="EI401" s="141">
        <f t="shared" si="769"/>
        <v>0.14121043313412796</v>
      </c>
      <c r="EJ401" s="141">
        <f t="shared" si="769"/>
        <v>0.14185779869125148</v>
      </c>
      <c r="EK401" s="141">
        <f t="shared" si="769"/>
        <v>0.14249451449201089</v>
      </c>
      <c r="EL401" s="141">
        <f t="shared" si="769"/>
        <v>0.14312057516838794</v>
      </c>
      <c r="EM401" s="141">
        <f t="shared" si="769"/>
        <v>0.14373598450466107</v>
      </c>
      <c r="EN401" s="141">
        <f t="shared" si="769"/>
        <v>0.1443407551259317</v>
      </c>
      <c r="EO401" s="141">
        <f t="shared" si="769"/>
        <v>0.14493490818002019</v>
      </c>
      <c r="EP401" s="141">
        <f t="shared" si="769"/>
        <v>0.14551847301399135</v>
      </c>
      <c r="EQ401" s="141">
        <f t="shared" si="769"/>
        <v>0.14609148684653039</v>
      </c>
      <c r="ER401" s="141">
        <f t="shared" si="769"/>
        <v>0.14665399443733129</v>
      </c>
      <c r="ES401" s="141">
        <f t="shared" si="769"/>
        <v>0.14720604775461621</v>
      </c>
      <c r="ET401" s="141">
        <f t="shared" si="769"/>
        <v>0.14774770564184414</v>
      </c>
      <c r="EU401" s="141">
        <f t="shared" si="769"/>
        <v>0.14827903348461335</v>
      </c>
      <c r="EV401" s="141">
        <f t="shared" si="769"/>
        <v>0.14880010287870449</v>
      </c>
      <c r="EW401" s="141">
        <f t="shared" si="769"/>
        <v>0.14931099130015091</v>
      </c>
      <c r="EZ401" s="449"/>
      <c r="FA401" s="449"/>
      <c r="FB401" s="449"/>
      <c r="FC401" s="449"/>
      <c r="FD401" s="449"/>
      <c r="FE401" s="449"/>
      <c r="FF401" s="449"/>
      <c r="FG401" s="449"/>
      <c r="FH401" s="449"/>
      <c r="FI401" s="449"/>
      <c r="FJ401" s="449"/>
      <c r="FK401" s="449"/>
      <c r="FL401" s="449"/>
      <c r="FM401" s="449"/>
      <c r="FN401" s="449"/>
      <c r="FO401" s="449"/>
      <c r="FP401" s="449"/>
      <c r="FQ401" s="449"/>
      <c r="FR401" s="449"/>
      <c r="FS401" s="449"/>
      <c r="FT401" s="449"/>
      <c r="FU401" s="449"/>
      <c r="FV401" s="449"/>
      <c r="FW401" s="449"/>
      <c r="FX401" s="477"/>
      <c r="FY401" s="477"/>
      <c r="FZ401" s="477"/>
      <c r="GA401" s="477"/>
      <c r="GB401" s="477"/>
      <c r="GC401" s="477"/>
      <c r="GD401" s="477"/>
      <c r="GE401" s="477"/>
      <c r="GF401" s="477"/>
      <c r="GG401" s="477"/>
      <c r="GH401" s="477"/>
      <c r="GI401" s="477"/>
      <c r="GJ401" s="477"/>
      <c r="GK401" s="477"/>
      <c r="GN401" s="70"/>
    </row>
    <row r="402" spans="1:196" s="418" customFormat="1" hidden="1" outlineLevel="1">
      <c r="A402" s="496" t="s">
        <v>214</v>
      </c>
      <c r="CT402" s="483"/>
      <c r="CU402" s="483"/>
      <c r="CV402" s="483"/>
      <c r="CW402" s="427"/>
      <c r="CX402" s="483"/>
      <c r="CY402" s="489">
        <v>170.82599999999999</v>
      </c>
      <c r="CZ402" s="489">
        <v>183.37200000000001</v>
      </c>
      <c r="DA402" s="489">
        <v>189.32900000000001</v>
      </c>
      <c r="DB402" s="489">
        <v>199.5</v>
      </c>
      <c r="DC402" s="489">
        <v>204.1</v>
      </c>
      <c r="DD402" s="489">
        <v>222.97900000000001</v>
      </c>
      <c r="DE402" s="489">
        <v>211.541</v>
      </c>
      <c r="DF402" s="489">
        <v>214.96799999999999</v>
      </c>
      <c r="DG402" s="489">
        <v>210.113</v>
      </c>
      <c r="DH402" s="489">
        <v>219.64699999999999</v>
      </c>
      <c r="DI402" s="489">
        <v>235.018</v>
      </c>
      <c r="DJ402" s="489">
        <v>239.863</v>
      </c>
      <c r="DK402" s="489">
        <v>247.97499999999999</v>
      </c>
      <c r="DL402" s="489">
        <v>253.881</v>
      </c>
      <c r="DM402" s="489">
        <v>287.96899999999999</v>
      </c>
      <c r="DN402" s="480">
        <f t="shared" ref="DN402:EW402" si="770">DM402*(1+DN403)</f>
        <v>290.84868999999998</v>
      </c>
      <c r="DO402" s="480">
        <f t="shared" si="770"/>
        <v>296.6656638</v>
      </c>
      <c r="DP402" s="480">
        <f t="shared" si="770"/>
        <v>302.59897707599998</v>
      </c>
      <c r="DQ402" s="480">
        <f t="shared" si="770"/>
        <v>308.65095661751997</v>
      </c>
      <c r="DR402" s="480">
        <f t="shared" si="770"/>
        <v>308.65095661751997</v>
      </c>
      <c r="DS402" s="480">
        <f t="shared" si="770"/>
        <v>308.65095661751997</v>
      </c>
      <c r="DT402" s="480">
        <f t="shared" si="770"/>
        <v>308.65095661751997</v>
      </c>
      <c r="DU402" s="480">
        <f t="shared" si="770"/>
        <v>320.9969948822208</v>
      </c>
      <c r="DV402" s="480">
        <f t="shared" si="770"/>
        <v>320.9969948822208</v>
      </c>
      <c r="DW402" s="480">
        <f t="shared" si="770"/>
        <v>320.9969948822208</v>
      </c>
      <c r="DX402" s="480">
        <f>DW402*(1+DX403)</f>
        <v>320.9969948822208</v>
      </c>
      <c r="DY402" s="480">
        <f>DX402*(1+DY403)</f>
        <v>333.83687467750963</v>
      </c>
      <c r="DZ402" s="480">
        <f t="shared" si="770"/>
        <v>347.19034966461004</v>
      </c>
      <c r="EA402" s="480">
        <f t="shared" si="770"/>
        <v>361.07796365119447</v>
      </c>
      <c r="EB402" s="480">
        <f t="shared" si="770"/>
        <v>375.52108219724227</v>
      </c>
      <c r="EC402" s="480">
        <f t="shared" si="770"/>
        <v>390.54192548513197</v>
      </c>
      <c r="ED402" s="480">
        <f t="shared" si="770"/>
        <v>406.16360250453727</v>
      </c>
      <c r="EE402" s="480">
        <f t="shared" si="770"/>
        <v>422.41014660471876</v>
      </c>
      <c r="EF402" s="480">
        <f t="shared" si="770"/>
        <v>439.30655246890751</v>
      </c>
      <c r="EG402" s="480">
        <f t="shared" si="770"/>
        <v>456.87881456766382</v>
      </c>
      <c r="EH402" s="480">
        <f t="shared" si="770"/>
        <v>475.15396715037042</v>
      </c>
      <c r="EI402" s="480">
        <f t="shared" si="770"/>
        <v>494.16012583638525</v>
      </c>
      <c r="EJ402" s="480">
        <f t="shared" si="770"/>
        <v>513.92653086984069</v>
      </c>
      <c r="EK402" s="480">
        <f t="shared" si="770"/>
        <v>534.48359210463434</v>
      </c>
      <c r="EL402" s="480">
        <f t="shared" si="770"/>
        <v>555.86293578881975</v>
      </c>
      <c r="EM402" s="480">
        <f t="shared" si="770"/>
        <v>578.09745322037259</v>
      </c>
      <c r="EN402" s="480">
        <f t="shared" si="770"/>
        <v>601.22135134918756</v>
      </c>
      <c r="EO402" s="480">
        <f t="shared" si="770"/>
        <v>625.27020540315505</v>
      </c>
      <c r="EP402" s="480">
        <f t="shared" si="770"/>
        <v>650.28101361928123</v>
      </c>
      <c r="EQ402" s="480">
        <f t="shared" si="770"/>
        <v>676.29225416405245</v>
      </c>
      <c r="ER402" s="480">
        <f t="shared" si="770"/>
        <v>703.34394433061459</v>
      </c>
      <c r="ES402" s="480">
        <f t="shared" si="770"/>
        <v>731.47770210383919</v>
      </c>
      <c r="ET402" s="480">
        <f t="shared" si="770"/>
        <v>760.73681018799277</v>
      </c>
      <c r="EU402" s="480">
        <f t="shared" si="770"/>
        <v>791.16628259551248</v>
      </c>
      <c r="EV402" s="480">
        <f t="shared" si="770"/>
        <v>822.81293389933296</v>
      </c>
      <c r="EW402" s="480">
        <f t="shared" si="770"/>
        <v>855.72545125530633</v>
      </c>
      <c r="EX402" s="480"/>
      <c r="EZ402" s="449"/>
      <c r="FA402" s="449"/>
      <c r="FB402" s="449"/>
      <c r="FC402" s="449"/>
      <c r="FD402" s="449"/>
      <c r="FE402" s="449"/>
      <c r="FF402" s="449"/>
      <c r="FG402" s="449"/>
      <c r="FH402" s="449"/>
      <c r="FI402" s="449"/>
      <c r="FJ402" s="449"/>
      <c r="FK402" s="449"/>
      <c r="FL402" s="449"/>
      <c r="FM402" s="449"/>
      <c r="FN402" s="449"/>
      <c r="FO402" s="449"/>
      <c r="FP402" s="449"/>
      <c r="FQ402" s="449"/>
      <c r="FR402" s="449"/>
      <c r="FS402" s="449"/>
      <c r="FT402" s="449"/>
      <c r="FU402" s="449"/>
      <c r="FV402" s="449"/>
      <c r="FW402" s="449"/>
      <c r="FX402" s="477"/>
      <c r="FY402" s="477"/>
      <c r="FZ402" s="477"/>
      <c r="GA402" s="477"/>
      <c r="GB402" s="376">
        <f>SUM(DJ402:DM402)</f>
        <v>1029.6879999999999</v>
      </c>
      <c r="GC402" s="376">
        <f>SUM(DN402:DQ402)</f>
        <v>1198.76428749352</v>
      </c>
      <c r="GD402" s="376">
        <f>SUM(DR402:DU402)</f>
        <v>1246.9498647347807</v>
      </c>
      <c r="GE402" s="376">
        <f>SUM(DV402:DY402)</f>
        <v>1296.8278593241721</v>
      </c>
      <c r="GF402" s="376">
        <f>SUM(DZ402:EC402)</f>
        <v>1474.3313209981789</v>
      </c>
      <c r="GG402" s="380">
        <f>SUM(ED402:EG402)</f>
        <v>1724.7591161458274</v>
      </c>
      <c r="GH402" s="380">
        <f>SUM(EH402:EK402)</f>
        <v>2017.7242159612306</v>
      </c>
      <c r="GI402" s="380">
        <f>SUM(EI402:EL402)</f>
        <v>2098.4331845996803</v>
      </c>
      <c r="GJ402" s="380">
        <f>SUM(EJ402:EM402)</f>
        <v>2182.3705119836677</v>
      </c>
      <c r="GK402" s="380">
        <f>SUM(EK402:EN402)</f>
        <v>2269.6653324630142</v>
      </c>
      <c r="GN402" s="70"/>
    </row>
    <row r="403" spans="1:196" s="418" customFormat="1" hidden="1" outlineLevel="1">
      <c r="A403" s="497" t="s">
        <v>198</v>
      </c>
      <c r="CT403" s="483"/>
      <c r="CU403" s="483"/>
      <c r="CV403" s="483"/>
      <c r="CW403" s="427"/>
      <c r="CX403" s="483"/>
      <c r="CY403" s="495"/>
      <c r="CZ403" s="495">
        <f t="shared" ref="CZ403:DM403" si="771">CZ402/CY402-1</f>
        <v>7.3443152681676116E-2</v>
      </c>
      <c r="DA403" s="495">
        <f t="shared" si="771"/>
        <v>3.2485875706214751E-2</v>
      </c>
      <c r="DB403" s="495">
        <f t="shared" si="771"/>
        <v>5.3721299959329949E-2</v>
      </c>
      <c r="DC403" s="495">
        <f t="shared" si="771"/>
        <v>2.3057644110275666E-2</v>
      </c>
      <c r="DD403" s="495">
        <f t="shared" si="771"/>
        <v>9.2498775110240183E-2</v>
      </c>
      <c r="DE403" s="495">
        <f t="shared" si="771"/>
        <v>-5.129631041488214E-2</v>
      </c>
      <c r="DF403" s="495">
        <f t="shared" si="771"/>
        <v>1.6200169234332762E-2</v>
      </c>
      <c r="DG403" s="495">
        <f t="shared" si="771"/>
        <v>-2.258475680101224E-2</v>
      </c>
      <c r="DH403" s="495">
        <f t="shared" si="771"/>
        <v>4.537558361453109E-2</v>
      </c>
      <c r="DI403" s="495">
        <f t="shared" si="771"/>
        <v>6.9980468661078987E-2</v>
      </c>
      <c r="DJ403" s="495">
        <f t="shared" si="771"/>
        <v>2.0615442221446845E-2</v>
      </c>
      <c r="DK403" s="495">
        <f t="shared" si="771"/>
        <v>3.3819305186710835E-2</v>
      </c>
      <c r="DL403" s="495">
        <f t="shared" si="771"/>
        <v>2.3816917027926321E-2</v>
      </c>
      <c r="DM403" s="495">
        <f t="shared" si="771"/>
        <v>0.134267629322399</v>
      </c>
      <c r="DN403" s="141">
        <v>0.01</v>
      </c>
      <c r="DO403" s="141">
        <v>0.02</v>
      </c>
      <c r="DP403" s="141">
        <v>0.02</v>
      </c>
      <c r="DQ403" s="141">
        <v>0.02</v>
      </c>
      <c r="DR403" s="141">
        <v>0</v>
      </c>
      <c r="DS403" s="141">
        <v>0</v>
      </c>
      <c r="DT403" s="141">
        <v>0</v>
      </c>
      <c r="DU403" s="141">
        <v>0.04</v>
      </c>
      <c r="DV403" s="141">
        <v>0</v>
      </c>
      <c r="DW403" s="141">
        <v>0</v>
      </c>
      <c r="DX403" s="141">
        <v>0</v>
      </c>
      <c r="DY403" s="141">
        <v>0.04</v>
      </c>
      <c r="DZ403" s="141">
        <v>0.04</v>
      </c>
      <c r="EA403" s="141">
        <v>0.04</v>
      </c>
      <c r="EB403" s="141">
        <v>0.04</v>
      </c>
      <c r="EC403" s="141">
        <v>0.04</v>
      </c>
      <c r="ED403" s="141">
        <v>0.04</v>
      </c>
      <c r="EE403" s="141">
        <v>0.04</v>
      </c>
      <c r="EF403" s="141">
        <v>0.04</v>
      </c>
      <c r="EG403" s="141">
        <v>0.04</v>
      </c>
      <c r="EH403" s="141">
        <v>0.04</v>
      </c>
      <c r="EI403" s="141">
        <v>0.04</v>
      </c>
      <c r="EJ403" s="141">
        <v>0.04</v>
      </c>
      <c r="EK403" s="141">
        <v>0.04</v>
      </c>
      <c r="EL403" s="141">
        <v>0.04</v>
      </c>
      <c r="EM403" s="141">
        <v>0.04</v>
      </c>
      <c r="EN403" s="141">
        <v>0.04</v>
      </c>
      <c r="EO403" s="141">
        <v>0.04</v>
      </c>
      <c r="EP403" s="141">
        <v>0.04</v>
      </c>
      <c r="EQ403" s="141">
        <v>0.04</v>
      </c>
      <c r="ER403" s="141">
        <v>0.04</v>
      </c>
      <c r="ES403" s="141">
        <v>0.04</v>
      </c>
      <c r="ET403" s="141">
        <v>0.04</v>
      </c>
      <c r="EU403" s="141">
        <v>0.04</v>
      </c>
      <c r="EV403" s="141">
        <v>0.04</v>
      </c>
      <c r="EW403" s="141">
        <v>0.04</v>
      </c>
      <c r="EX403" s="141"/>
      <c r="EZ403" s="449"/>
      <c r="FA403" s="449"/>
      <c r="FB403" s="449"/>
      <c r="FC403" s="449"/>
      <c r="FD403" s="449"/>
      <c r="FE403" s="449"/>
      <c r="FF403" s="449"/>
      <c r="FG403" s="449"/>
      <c r="FH403" s="449"/>
      <c r="FI403" s="449"/>
      <c r="FJ403" s="449"/>
      <c r="FK403" s="449"/>
      <c r="FL403" s="449"/>
      <c r="FM403" s="449"/>
      <c r="FN403" s="449"/>
      <c r="FO403" s="449"/>
      <c r="FP403" s="449"/>
      <c r="FQ403" s="449"/>
      <c r="FR403" s="449"/>
      <c r="FS403" s="449"/>
      <c r="FT403" s="449"/>
      <c r="FU403" s="449"/>
      <c r="FV403" s="449"/>
      <c r="FW403" s="449"/>
      <c r="FX403" s="477"/>
      <c r="FY403" s="477"/>
      <c r="FZ403" s="477"/>
      <c r="GA403" s="477"/>
      <c r="GB403" s="477"/>
      <c r="GC403" s="477"/>
      <c r="GD403" s="477"/>
      <c r="GE403" s="477"/>
      <c r="GF403" s="477"/>
      <c r="GG403" s="477"/>
      <c r="GH403" s="477"/>
      <c r="GI403" s="477"/>
      <c r="GJ403" s="477"/>
      <c r="GK403" s="477"/>
      <c r="GN403" s="70"/>
    </row>
    <row r="404" spans="1:196" s="418" customFormat="1" hidden="1" outlineLevel="1">
      <c r="A404" s="497" t="s">
        <v>200</v>
      </c>
      <c r="CT404" s="483"/>
      <c r="CU404" s="483"/>
      <c r="CV404" s="483"/>
      <c r="CW404" s="427"/>
      <c r="CX404" s="483"/>
      <c r="CY404" s="495"/>
      <c r="CZ404" s="495"/>
      <c r="DA404" s="495"/>
      <c r="DB404" s="495"/>
      <c r="DC404" s="495">
        <f t="shared" ref="DC404:EW404" si="772">DC402/CY402-1</f>
        <v>0.19478299556273626</v>
      </c>
      <c r="DD404" s="495">
        <f t="shared" si="772"/>
        <v>0.21599262700957622</v>
      </c>
      <c r="DE404" s="495">
        <f t="shared" si="772"/>
        <v>0.11731958653983265</v>
      </c>
      <c r="DF404" s="495">
        <f t="shared" si="772"/>
        <v>7.7533834586466011E-2</v>
      </c>
      <c r="DG404" s="495">
        <f t="shared" si="772"/>
        <v>2.9461048505634579E-2</v>
      </c>
      <c r="DH404" s="495">
        <f t="shared" si="772"/>
        <v>-1.4943111234690387E-2</v>
      </c>
      <c r="DI404" s="495">
        <f t="shared" si="772"/>
        <v>0.11098085004798119</v>
      </c>
      <c r="DJ404" s="495">
        <f t="shared" si="772"/>
        <v>0.11580793420416069</v>
      </c>
      <c r="DK404" s="495">
        <f t="shared" si="772"/>
        <v>0.18019827426194479</v>
      </c>
      <c r="DL404" s="495">
        <f t="shared" si="772"/>
        <v>0.15585917403834348</v>
      </c>
      <c r="DM404" s="495">
        <f t="shared" si="772"/>
        <v>0.22530614676322669</v>
      </c>
      <c r="DN404" s="141">
        <f t="shared" si="772"/>
        <v>0.21256171231077725</v>
      </c>
      <c r="DO404" s="141">
        <f t="shared" si="772"/>
        <v>0.19635311543502376</v>
      </c>
      <c r="DP404" s="141">
        <f t="shared" si="772"/>
        <v>0.19189296196249428</v>
      </c>
      <c r="DQ404" s="141">
        <f t="shared" si="772"/>
        <v>7.1820079999999953E-2</v>
      </c>
      <c r="DR404" s="141">
        <f t="shared" si="772"/>
        <v>6.1207999999999929E-2</v>
      </c>
      <c r="DS404" s="141">
        <f t="shared" si="772"/>
        <v>4.0399999999999769E-2</v>
      </c>
      <c r="DT404" s="141">
        <f t="shared" si="772"/>
        <v>2.0000000000000018E-2</v>
      </c>
      <c r="DU404" s="141">
        <f t="shared" si="772"/>
        <v>4.0000000000000036E-2</v>
      </c>
      <c r="DV404" s="141">
        <f t="shared" si="772"/>
        <v>4.0000000000000036E-2</v>
      </c>
      <c r="DW404" s="141">
        <f t="shared" si="772"/>
        <v>4.0000000000000036E-2</v>
      </c>
      <c r="DX404" s="141">
        <f t="shared" si="772"/>
        <v>4.0000000000000036E-2</v>
      </c>
      <c r="DY404" s="141">
        <f>DY402/DU402-1</f>
        <v>4.0000000000000036E-2</v>
      </c>
      <c r="DZ404" s="141">
        <f t="shared" si="772"/>
        <v>8.1600000000000117E-2</v>
      </c>
      <c r="EA404" s="141">
        <f t="shared" si="772"/>
        <v>0.12486400000000009</v>
      </c>
      <c r="EB404" s="141">
        <f t="shared" si="772"/>
        <v>0.16985856000000021</v>
      </c>
      <c r="EC404" s="141">
        <f t="shared" si="772"/>
        <v>0.16985856000000021</v>
      </c>
      <c r="ED404" s="141">
        <f t="shared" si="772"/>
        <v>0.16985856000000021</v>
      </c>
      <c r="EE404" s="141">
        <f t="shared" si="772"/>
        <v>0.16985856000000021</v>
      </c>
      <c r="EF404" s="141">
        <f t="shared" si="772"/>
        <v>0.16985856000000021</v>
      </c>
      <c r="EG404" s="141">
        <f t="shared" si="772"/>
        <v>0.16985855999999999</v>
      </c>
      <c r="EH404" s="141">
        <f t="shared" si="772"/>
        <v>0.16985856000000021</v>
      </c>
      <c r="EI404" s="141">
        <f t="shared" si="772"/>
        <v>0.16985856000000021</v>
      </c>
      <c r="EJ404" s="141">
        <f t="shared" si="772"/>
        <v>0.16985856000000021</v>
      </c>
      <c r="EK404" s="141">
        <f t="shared" si="772"/>
        <v>0.16985856000000021</v>
      </c>
      <c r="EL404" s="141">
        <f t="shared" si="772"/>
        <v>0.16985856000000021</v>
      </c>
      <c r="EM404" s="141">
        <f t="shared" si="772"/>
        <v>0.16985856000000021</v>
      </c>
      <c r="EN404" s="141">
        <f t="shared" si="772"/>
        <v>0.16985856000000044</v>
      </c>
      <c r="EO404" s="141">
        <f t="shared" si="772"/>
        <v>0.16985856000000021</v>
      </c>
      <c r="EP404" s="141">
        <f t="shared" si="772"/>
        <v>0.16985856000000021</v>
      </c>
      <c r="EQ404" s="141">
        <f t="shared" si="772"/>
        <v>0.16985855999999999</v>
      </c>
      <c r="ER404" s="141">
        <f t="shared" si="772"/>
        <v>0.16985855999999999</v>
      </c>
      <c r="ES404" s="141">
        <f t="shared" si="772"/>
        <v>0.16985855999999999</v>
      </c>
      <c r="ET404" s="141">
        <f t="shared" si="772"/>
        <v>0.16985855999999999</v>
      </c>
      <c r="EU404" s="141">
        <f t="shared" si="772"/>
        <v>0.16985856000000021</v>
      </c>
      <c r="EV404" s="141">
        <f t="shared" si="772"/>
        <v>0.16985855999999999</v>
      </c>
      <c r="EW404" s="141">
        <f t="shared" si="772"/>
        <v>0.16985855999999999</v>
      </c>
      <c r="EZ404" s="449"/>
      <c r="FA404" s="449"/>
      <c r="FB404" s="449"/>
      <c r="FC404" s="449"/>
      <c r="FD404" s="449"/>
      <c r="FE404" s="449"/>
      <c r="FF404" s="449"/>
      <c r="FG404" s="449"/>
      <c r="FH404" s="449"/>
      <c r="FI404" s="449"/>
      <c r="FJ404" s="449"/>
      <c r="FK404" s="449"/>
      <c r="FL404" s="449"/>
      <c r="FM404" s="449"/>
      <c r="FN404" s="449"/>
      <c r="FO404" s="449"/>
      <c r="FP404" s="449"/>
      <c r="FQ404" s="449"/>
      <c r="FR404" s="449"/>
      <c r="FS404" s="449"/>
      <c r="FT404" s="449"/>
      <c r="FU404" s="449"/>
      <c r="FV404" s="449"/>
      <c r="FW404" s="449"/>
      <c r="FX404" s="477"/>
      <c r="FY404" s="477"/>
      <c r="FZ404" s="477"/>
      <c r="GA404" s="477"/>
      <c r="GB404" s="477"/>
      <c r="GC404" s="477"/>
      <c r="GD404" s="477"/>
      <c r="GE404" s="477"/>
      <c r="GF404" s="477"/>
      <c r="GG404" s="477"/>
      <c r="GH404" s="477"/>
      <c r="GI404" s="477"/>
      <c r="GJ404" s="477"/>
      <c r="GK404" s="477"/>
      <c r="GN404" s="70"/>
    </row>
    <row r="405" spans="1:196" s="418" customFormat="1" hidden="1" outlineLevel="1">
      <c r="A405" s="497" t="s">
        <v>202</v>
      </c>
      <c r="CT405" s="483"/>
      <c r="CU405" s="483"/>
      <c r="CV405" s="483"/>
      <c r="CW405" s="427"/>
      <c r="CX405" s="483"/>
      <c r="CY405" s="495">
        <f>+CY402/CY$383</f>
        <v>0.24959964932787843</v>
      </c>
      <c r="CZ405" s="495">
        <f t="shared" ref="CZ405:EW405" si="773">+CZ402/CZ$383</f>
        <v>0.24570816025726919</v>
      </c>
      <c r="DA405" s="495">
        <f t="shared" si="773"/>
        <v>0.23663167104111987</v>
      </c>
      <c r="DB405" s="495">
        <f t="shared" si="773"/>
        <v>0.24082568807339449</v>
      </c>
      <c r="DC405" s="495">
        <f t="shared" si="773"/>
        <v>0.2402306967984934</v>
      </c>
      <c r="DD405" s="495">
        <f t="shared" si="773"/>
        <v>0.26755339572834169</v>
      </c>
      <c r="DE405" s="495">
        <f t="shared" si="773"/>
        <v>0.29238562543192814</v>
      </c>
      <c r="DF405" s="495">
        <f t="shared" si="773"/>
        <v>0.28353572884145883</v>
      </c>
      <c r="DG405" s="495">
        <f t="shared" si="773"/>
        <v>0.2892366583529235</v>
      </c>
      <c r="DH405" s="495">
        <f t="shared" si="773"/>
        <v>0.28654529799682987</v>
      </c>
      <c r="DI405" s="495">
        <f t="shared" si="773"/>
        <v>0.29252779423552777</v>
      </c>
      <c r="DJ405" s="495">
        <f t="shared" si="773"/>
        <v>0.28186447031505768</v>
      </c>
      <c r="DK405" s="495">
        <f t="shared" si="773"/>
        <v>0.28223686157390232</v>
      </c>
      <c r="DL405" s="495">
        <f t="shared" si="773"/>
        <v>0.27130705194652532</v>
      </c>
      <c r="DM405" s="495">
        <f>+DM402/DM$383</f>
        <v>0.28481918463709832</v>
      </c>
      <c r="DN405" s="141">
        <f t="shared" si="773"/>
        <v>0.28062372108425448</v>
      </c>
      <c r="DO405" s="141">
        <f t="shared" si="773"/>
        <v>0.23790162239485207</v>
      </c>
      <c r="DP405" s="141">
        <f t="shared" si="773"/>
        <v>0.23314544838340245</v>
      </c>
      <c r="DQ405" s="141">
        <f>+DQ402/DQ$383</f>
        <v>0.22884981445934713</v>
      </c>
      <c r="DR405" s="141">
        <f t="shared" si="773"/>
        <v>0.211600493534326</v>
      </c>
      <c r="DS405" s="141">
        <f t="shared" si="773"/>
        <v>0.22763229693688344</v>
      </c>
      <c r="DT405" s="141">
        <f t="shared" si="773"/>
        <v>0.27094118881594081</v>
      </c>
      <c r="DU405" s="141">
        <f t="shared" si="773"/>
        <v>0.33098611216177171</v>
      </c>
      <c r="DV405" s="141">
        <f t="shared" si="773"/>
        <v>0.38791171056057655</v>
      </c>
      <c r="DW405" s="141">
        <f t="shared" si="773"/>
        <v>0.38791171056057655</v>
      </c>
      <c r="DX405" s="141">
        <f t="shared" si="773"/>
        <v>0.33785296132182807</v>
      </c>
      <c r="DY405" s="141">
        <f>+DY402/DY$383</f>
        <v>0.30596127241007537</v>
      </c>
      <c r="DZ405" s="141">
        <f t="shared" si="773"/>
        <v>0.37374145939781489</v>
      </c>
      <c r="EA405" s="141">
        <f t="shared" si="773"/>
        <v>0.37662762371232122</v>
      </c>
      <c r="EB405" s="141">
        <f t="shared" si="773"/>
        <v>0.36773443494552333</v>
      </c>
      <c r="EC405" s="141">
        <f t="shared" si="773"/>
        <v>0.37215883493977403</v>
      </c>
      <c r="ED405" s="141">
        <f t="shared" si="773"/>
        <v>0.39889679492928437</v>
      </c>
      <c r="EE405" s="141">
        <f t="shared" si="773"/>
        <v>0.40123944487890223</v>
      </c>
      <c r="EF405" s="141">
        <f t="shared" si="773"/>
        <v>0.39003024280330456</v>
      </c>
      <c r="EG405" s="141">
        <f t="shared" si="773"/>
        <v>0.39463369218469968</v>
      </c>
      <c r="EH405" s="141">
        <f t="shared" si="773"/>
        <v>0.39926181075846007</v>
      </c>
      <c r="EI405" s="141">
        <f t="shared" si="773"/>
        <v>0.40391396242812311</v>
      </c>
      <c r="EJ405" s="141">
        <f t="shared" si="773"/>
        <v>0.40858948635719039</v>
      </c>
      <c r="EK405" s="141">
        <f t="shared" si="773"/>
        <v>0.41328769669336302</v>
      </c>
      <c r="EL405" s="141">
        <f t="shared" si="773"/>
        <v>0.41800788230805369</v>
      </c>
      <c r="EM405" s="141">
        <f t="shared" si="773"/>
        <v>0.42274930655217091</v>
      </c>
      <c r="EN405" s="141">
        <f t="shared" si="773"/>
        <v>0.4275112070291911</v>
      </c>
      <c r="EO405" s="141">
        <f t="shared" si="773"/>
        <v>0.43229279538655047</v>
      </c>
      <c r="EP405" s="141">
        <f t="shared" si="773"/>
        <v>0.43709325712639924</v>
      </c>
      <c r="EQ405" s="141">
        <f t="shared" si="773"/>
        <v>0.44191175143677819</v>
      </c>
      <c r="ER405" s="141">
        <f t="shared" si="773"/>
        <v>0.446747411044283</v>
      </c>
      <c r="ES405" s="141">
        <f t="shared" si="773"/>
        <v>0.45159934208929181</v>
      </c>
      <c r="ET405" s="141">
        <f t="shared" si="773"/>
        <v>0.45646662402484028</v>
      </c>
      <c r="EU405" s="141">
        <f t="shared" si="773"/>
        <v>0.46134830954022527</v>
      </c>
      <c r="EV405" s="141">
        <f t="shared" si="773"/>
        <v>0.46624342451042583</v>
      </c>
      <c r="EW405" s="141">
        <f t="shared" si="773"/>
        <v>0.47115096797242395</v>
      </c>
      <c r="EZ405" s="449"/>
      <c r="FA405" s="449"/>
      <c r="FB405" s="449"/>
      <c r="FC405" s="449"/>
      <c r="FD405" s="449"/>
      <c r="FE405" s="449"/>
      <c r="FF405" s="449"/>
      <c r="FG405" s="449"/>
      <c r="FH405" s="449"/>
      <c r="FI405" s="449"/>
      <c r="FJ405" s="449"/>
      <c r="FK405" s="449"/>
      <c r="FL405" s="449"/>
      <c r="FM405" s="449"/>
      <c r="FN405" s="449"/>
      <c r="FO405" s="449"/>
      <c r="FP405" s="449"/>
      <c r="FQ405" s="449"/>
      <c r="FR405" s="449"/>
      <c r="FS405" s="449"/>
      <c r="FT405" s="449"/>
      <c r="FU405" s="449"/>
      <c r="FV405" s="449"/>
      <c r="FW405" s="449"/>
      <c r="FX405" s="477"/>
      <c r="FY405" s="477"/>
      <c r="FZ405" s="477"/>
      <c r="GA405" s="477"/>
      <c r="GB405" s="477"/>
      <c r="GC405" s="477"/>
      <c r="GD405" s="477"/>
      <c r="GE405" s="477"/>
      <c r="GF405" s="477"/>
      <c r="GG405" s="477"/>
      <c r="GH405" s="477"/>
      <c r="GI405" s="477"/>
      <c r="GJ405" s="477"/>
      <c r="GK405" s="477"/>
      <c r="GN405" s="70"/>
    </row>
    <row r="406" spans="1:196" s="418" customFormat="1" hidden="1" outlineLevel="1">
      <c r="A406" s="496" t="s">
        <v>215</v>
      </c>
      <c r="CT406" s="483"/>
      <c r="CU406" s="483"/>
      <c r="CV406" s="483"/>
      <c r="CW406" s="427"/>
      <c r="CX406" s="483"/>
      <c r="CY406" s="489">
        <v>89.036999999999992</v>
      </c>
      <c r="CZ406" s="489">
        <v>95.478999999999999</v>
      </c>
      <c r="DA406" s="489">
        <v>99.831000000000003</v>
      </c>
      <c r="DB406" s="489">
        <v>100.6</v>
      </c>
      <c r="DC406" s="489">
        <v>102.054</v>
      </c>
      <c r="DD406" s="489">
        <v>107.617</v>
      </c>
      <c r="DE406" s="489">
        <v>106.57</v>
      </c>
      <c r="DF406" s="489">
        <v>101.87699999999998</v>
      </c>
      <c r="DG406" s="489">
        <v>103.82</v>
      </c>
      <c r="DH406" s="489">
        <v>112.28700000000001</v>
      </c>
      <c r="DI406" s="489">
        <v>117.66499999999999</v>
      </c>
      <c r="DJ406" s="489">
        <v>111.49399999999999</v>
      </c>
      <c r="DK406" s="489">
        <v>102.096</v>
      </c>
      <c r="DL406" s="489">
        <v>101.663</v>
      </c>
      <c r="DM406" s="489">
        <v>108.471</v>
      </c>
      <c r="DN406" s="480">
        <f t="shared" ref="DN406:EW406" si="774">DM406*(DN407+1)</f>
        <v>103.04745</v>
      </c>
      <c r="DO406" s="480">
        <f t="shared" si="774"/>
        <v>105.10839900000001</v>
      </c>
      <c r="DP406" s="480">
        <f t="shared" si="774"/>
        <v>108.26165097000001</v>
      </c>
      <c r="DQ406" s="480">
        <f t="shared" si="774"/>
        <v>111.50950049910001</v>
      </c>
      <c r="DR406" s="480">
        <f t="shared" si="774"/>
        <v>105.934025474145</v>
      </c>
      <c r="DS406" s="480">
        <f t="shared" si="774"/>
        <v>108.0527059836279</v>
      </c>
      <c r="DT406" s="480">
        <f t="shared" si="774"/>
        <v>111.29428716313674</v>
      </c>
      <c r="DU406" s="480">
        <f t="shared" si="774"/>
        <v>112.40723003476812</v>
      </c>
      <c r="DV406" s="480">
        <f t="shared" si="774"/>
        <v>106.7868685330297</v>
      </c>
      <c r="DW406" s="480">
        <f t="shared" si="774"/>
        <v>108.9226059036903</v>
      </c>
      <c r="DX406" s="480">
        <f>DW406*(DX407+1)</f>
        <v>112.19028408080101</v>
      </c>
      <c r="DY406" s="480">
        <f>DX406*(DY407+1)</f>
        <v>113.31218692160901</v>
      </c>
      <c r="DZ406" s="480">
        <f t="shared" si="774"/>
        <v>114.44530879082511</v>
      </c>
      <c r="EA406" s="480">
        <f t="shared" si="774"/>
        <v>115.58976187873336</v>
      </c>
      <c r="EB406" s="480">
        <f t="shared" si="774"/>
        <v>116.74565949752069</v>
      </c>
      <c r="EC406" s="480">
        <f t="shared" si="774"/>
        <v>117.9131160924959</v>
      </c>
      <c r="ED406" s="480">
        <f t="shared" si="774"/>
        <v>119.09224725342085</v>
      </c>
      <c r="EE406" s="480">
        <f t="shared" si="774"/>
        <v>120.28316972595506</v>
      </c>
      <c r="EF406" s="480">
        <f t="shared" si="774"/>
        <v>121.48600142321462</v>
      </c>
      <c r="EG406" s="480">
        <f t="shared" si="774"/>
        <v>122.70086143744676</v>
      </c>
      <c r="EH406" s="480">
        <f t="shared" si="774"/>
        <v>123.92787005182123</v>
      </c>
      <c r="EI406" s="480">
        <f t="shared" si="774"/>
        <v>125.16714875233944</v>
      </c>
      <c r="EJ406" s="480">
        <f t="shared" si="774"/>
        <v>126.41882023986284</v>
      </c>
      <c r="EK406" s="480">
        <f t="shared" si="774"/>
        <v>127.68300844226147</v>
      </c>
      <c r="EL406" s="480">
        <f t="shared" si="774"/>
        <v>128.95983852668408</v>
      </c>
      <c r="EM406" s="480">
        <f t="shared" si="774"/>
        <v>130.24943691195091</v>
      </c>
      <c r="EN406" s="480">
        <f t="shared" si="774"/>
        <v>131.55193128107041</v>
      </c>
      <c r="EO406" s="480">
        <f t="shared" si="774"/>
        <v>132.8674505938811</v>
      </c>
      <c r="EP406" s="480">
        <f t="shared" si="774"/>
        <v>134.19612509981991</v>
      </c>
      <c r="EQ406" s="480">
        <f t="shared" si="774"/>
        <v>135.53808635081811</v>
      </c>
      <c r="ER406" s="480">
        <f t="shared" si="774"/>
        <v>136.89346721432628</v>
      </c>
      <c r="ES406" s="480">
        <f t="shared" si="774"/>
        <v>138.26240188646955</v>
      </c>
      <c r="ET406" s="480">
        <f t="shared" si="774"/>
        <v>139.64502590533425</v>
      </c>
      <c r="EU406" s="480">
        <f t="shared" si="774"/>
        <v>141.0414761643876</v>
      </c>
      <c r="EV406" s="480">
        <f t="shared" si="774"/>
        <v>142.45189092603147</v>
      </c>
      <c r="EW406" s="480">
        <f t="shared" si="774"/>
        <v>143.87640983529178</v>
      </c>
      <c r="EX406" s="480"/>
      <c r="EZ406" s="449"/>
      <c r="FA406" s="449"/>
      <c r="FB406" s="449"/>
      <c r="FC406" s="449"/>
      <c r="FD406" s="449"/>
      <c r="FE406" s="449"/>
      <c r="FF406" s="449"/>
      <c r="FG406" s="449"/>
      <c r="FH406" s="449"/>
      <c r="FI406" s="449"/>
      <c r="FJ406" s="449"/>
      <c r="FK406" s="449"/>
      <c r="FL406" s="449"/>
      <c r="FM406" s="449"/>
      <c r="FN406" s="449"/>
      <c r="FO406" s="449"/>
      <c r="FP406" s="449"/>
      <c r="FQ406" s="449"/>
      <c r="FR406" s="449"/>
      <c r="FS406" s="449"/>
      <c r="FT406" s="449"/>
      <c r="FU406" s="449"/>
      <c r="FV406" s="449"/>
      <c r="FW406" s="449"/>
      <c r="FX406" s="477"/>
      <c r="FY406" s="477"/>
      <c r="FZ406" s="477"/>
      <c r="GA406" s="477"/>
      <c r="GB406" s="376">
        <f>SUM(DJ406:DM406)</f>
        <v>423.72399999999999</v>
      </c>
      <c r="GC406" s="376">
        <f>SUM(DN406:DQ406)</f>
        <v>427.92700046909999</v>
      </c>
      <c r="GD406" s="376">
        <f>SUM(DR406:DU406)</f>
        <v>437.6882486556778</v>
      </c>
      <c r="GE406" s="376">
        <f>SUM(DV406:DY406)</f>
        <v>441.21194543913003</v>
      </c>
      <c r="GF406" s="376">
        <f>SUM(DZ406:EC406)</f>
        <v>464.69384625957508</v>
      </c>
      <c r="GG406" s="380">
        <f>SUM(ED406:EG406)</f>
        <v>483.56227984003726</v>
      </c>
      <c r="GH406" s="380">
        <f>SUM(EH406:EK406)</f>
        <v>503.19684748628492</v>
      </c>
      <c r="GI406" s="380">
        <f>SUM(EI406:EL406)</f>
        <v>508.2288159611478</v>
      </c>
      <c r="GJ406" s="380">
        <f>SUM(EJ406:EM406)</f>
        <v>513.3111041207593</v>
      </c>
      <c r="GK406" s="380">
        <f>SUM(EK406:EN406)</f>
        <v>518.44421516196689</v>
      </c>
      <c r="GN406" s="70"/>
    </row>
    <row r="407" spans="1:196" s="418" customFormat="1" hidden="1" outlineLevel="1">
      <c r="A407" s="497" t="s">
        <v>198</v>
      </c>
      <c r="CT407" s="483"/>
      <c r="CU407" s="483"/>
      <c r="CV407" s="483"/>
      <c r="CW407" s="427"/>
      <c r="CX407" s="483"/>
      <c r="CY407" s="495"/>
      <c r="CZ407" s="495">
        <f t="shared" ref="CZ407:DM407" si="775">CZ406/CY406-1</f>
        <v>7.2351943574019861E-2</v>
      </c>
      <c r="DA407" s="495">
        <f t="shared" si="775"/>
        <v>4.5580703610218043E-2</v>
      </c>
      <c r="DB407" s="495">
        <f t="shared" si="775"/>
        <v>7.7030181005899312E-3</v>
      </c>
      <c r="DC407" s="495">
        <f t="shared" si="775"/>
        <v>1.4453280318091455E-2</v>
      </c>
      <c r="DD407" s="495">
        <f t="shared" si="775"/>
        <v>5.4510357261841724E-2</v>
      </c>
      <c r="DE407" s="495">
        <f t="shared" si="775"/>
        <v>-9.7289461702148028E-3</v>
      </c>
      <c r="DF407" s="495">
        <f t="shared" si="775"/>
        <v>-4.4036783334897356E-2</v>
      </c>
      <c r="DG407" s="495">
        <f t="shared" si="775"/>
        <v>1.9072018218047271E-2</v>
      </c>
      <c r="DH407" s="495">
        <f t="shared" si="775"/>
        <v>8.1554613754575289E-2</v>
      </c>
      <c r="DI407" s="495">
        <f t="shared" si="775"/>
        <v>4.7895125882782441E-2</v>
      </c>
      <c r="DJ407" s="495">
        <f t="shared" si="775"/>
        <v>-5.2445502060935789E-2</v>
      </c>
      <c r="DK407" s="495">
        <f t="shared" si="775"/>
        <v>-8.4291531382854501E-2</v>
      </c>
      <c r="DL407" s="495">
        <f t="shared" si="775"/>
        <v>-4.2411064096536943E-3</v>
      </c>
      <c r="DM407" s="495">
        <f t="shared" si="775"/>
        <v>6.6966349606051523E-2</v>
      </c>
      <c r="DN407" s="141">
        <v>-0.05</v>
      </c>
      <c r="DO407" s="141">
        <v>0.02</v>
      </c>
      <c r="DP407" s="141">
        <v>0.03</v>
      </c>
      <c r="DQ407" s="141">
        <v>0.03</v>
      </c>
      <c r="DR407" s="141">
        <v>-0.05</v>
      </c>
      <c r="DS407" s="141">
        <v>0.02</v>
      </c>
      <c r="DT407" s="141">
        <v>0.03</v>
      </c>
      <c r="DU407" s="141">
        <v>0.01</v>
      </c>
      <c r="DV407" s="141">
        <v>-0.05</v>
      </c>
      <c r="DW407" s="141">
        <v>0.02</v>
      </c>
      <c r="DX407" s="141">
        <v>0.03</v>
      </c>
      <c r="DY407" s="141">
        <v>0.01</v>
      </c>
      <c r="DZ407" s="141">
        <v>0.01</v>
      </c>
      <c r="EA407" s="141">
        <v>0.01</v>
      </c>
      <c r="EB407" s="141">
        <v>0.01</v>
      </c>
      <c r="EC407" s="141">
        <v>0.01</v>
      </c>
      <c r="ED407" s="141">
        <v>0.01</v>
      </c>
      <c r="EE407" s="141">
        <v>0.01</v>
      </c>
      <c r="EF407" s="141">
        <v>0.01</v>
      </c>
      <c r="EG407" s="141">
        <v>0.01</v>
      </c>
      <c r="EH407" s="141">
        <v>0.01</v>
      </c>
      <c r="EI407" s="141">
        <v>0.01</v>
      </c>
      <c r="EJ407" s="141">
        <v>0.01</v>
      </c>
      <c r="EK407" s="141">
        <v>0.01</v>
      </c>
      <c r="EL407" s="141">
        <v>0.01</v>
      </c>
      <c r="EM407" s="141">
        <v>0.01</v>
      </c>
      <c r="EN407" s="141">
        <v>0.01</v>
      </c>
      <c r="EO407" s="141">
        <v>0.01</v>
      </c>
      <c r="EP407" s="141">
        <v>0.01</v>
      </c>
      <c r="EQ407" s="141">
        <v>0.01</v>
      </c>
      <c r="ER407" s="141">
        <v>0.01</v>
      </c>
      <c r="ES407" s="141">
        <v>0.01</v>
      </c>
      <c r="ET407" s="141">
        <v>0.01</v>
      </c>
      <c r="EU407" s="141">
        <v>0.01</v>
      </c>
      <c r="EV407" s="141">
        <v>0.01</v>
      </c>
      <c r="EW407" s="141">
        <v>0.01</v>
      </c>
      <c r="EX407" s="141"/>
      <c r="EZ407" s="449"/>
      <c r="FA407" s="449"/>
      <c r="FB407" s="449"/>
      <c r="FC407" s="449"/>
      <c r="FD407" s="449"/>
      <c r="FE407" s="449"/>
      <c r="FF407" s="449"/>
      <c r="FG407" s="449"/>
      <c r="FH407" s="449"/>
      <c r="FI407" s="449"/>
      <c r="FJ407" s="449"/>
      <c r="FK407" s="449"/>
      <c r="FL407" s="449"/>
      <c r="FM407" s="449"/>
      <c r="FN407" s="449"/>
      <c r="FO407" s="449"/>
      <c r="FP407" s="449"/>
      <c r="FQ407" s="449"/>
      <c r="FR407" s="449"/>
      <c r="FS407" s="449"/>
      <c r="FT407" s="449"/>
      <c r="FU407" s="449"/>
      <c r="FV407" s="449"/>
      <c r="FW407" s="449"/>
      <c r="FX407" s="477"/>
      <c r="FY407" s="477"/>
      <c r="FZ407" s="477"/>
      <c r="GA407" s="477"/>
      <c r="GB407" s="477"/>
      <c r="GC407" s="477"/>
      <c r="GD407" s="477"/>
      <c r="GE407" s="477"/>
      <c r="GF407" s="477"/>
      <c r="GG407" s="477"/>
      <c r="GH407" s="477"/>
      <c r="GI407" s="477"/>
      <c r="GJ407" s="477"/>
      <c r="GK407" s="477"/>
      <c r="GN407" s="70"/>
    </row>
    <row r="408" spans="1:196" s="418" customFormat="1" hidden="1" outlineLevel="1">
      <c r="A408" s="497" t="s">
        <v>200</v>
      </c>
      <c r="CT408" s="483"/>
      <c r="CU408" s="483"/>
      <c r="CV408" s="483"/>
      <c r="CW408" s="427"/>
      <c r="CX408" s="483"/>
      <c r="CY408" s="495"/>
      <c r="CZ408" s="495"/>
      <c r="DA408" s="495"/>
      <c r="DB408" s="495"/>
      <c r="DC408" s="495">
        <f t="shared" ref="DC408:EW408" si="776">DC406/CY406-1</f>
        <v>0.14619764816873904</v>
      </c>
      <c r="DD408" s="495">
        <f t="shared" si="776"/>
        <v>0.12712743116287362</v>
      </c>
      <c r="DE408" s="495">
        <f t="shared" si="776"/>
        <v>6.7504081898408286E-2</v>
      </c>
      <c r="DF408" s="495">
        <f t="shared" si="776"/>
        <v>1.269383697813109E-2</v>
      </c>
      <c r="DG408" s="495">
        <f t="shared" si="776"/>
        <v>1.7304564250298693E-2</v>
      </c>
      <c r="DH408" s="495">
        <f t="shared" si="776"/>
        <v>4.3394630959792568E-2</v>
      </c>
      <c r="DI408" s="495">
        <f t="shared" si="776"/>
        <v>0.10410997466453975</v>
      </c>
      <c r="DJ408" s="495">
        <f t="shared" si="776"/>
        <v>9.439814678484848E-2</v>
      </c>
      <c r="DK408" s="495">
        <f t="shared" si="776"/>
        <v>-1.6605663648622482E-2</v>
      </c>
      <c r="DL408" s="495">
        <f t="shared" si="776"/>
        <v>-9.4614692707081005E-2</v>
      </c>
      <c r="DM408" s="495">
        <f t="shared" si="776"/>
        <v>-7.8137084094675457E-2</v>
      </c>
      <c r="DN408" s="141">
        <f t="shared" si="776"/>
        <v>-7.5757888316860034E-2</v>
      </c>
      <c r="DO408" s="141">
        <f t="shared" si="776"/>
        <v>2.9505553596614886E-2</v>
      </c>
      <c r="DP408" s="141">
        <f t="shared" si="776"/>
        <v>6.4907104551311878E-2</v>
      </c>
      <c r="DQ408" s="141">
        <f t="shared" si="776"/>
        <v>2.8012099999999984E-2</v>
      </c>
      <c r="DR408" s="141">
        <f t="shared" si="776"/>
        <v>2.8012099999999984E-2</v>
      </c>
      <c r="DS408" s="141">
        <f t="shared" si="776"/>
        <v>2.8012099999999984E-2</v>
      </c>
      <c r="DT408" s="141">
        <f t="shared" si="776"/>
        <v>2.8012099999999984E-2</v>
      </c>
      <c r="DU408" s="141">
        <f t="shared" si="776"/>
        <v>8.0507000000000772E-3</v>
      </c>
      <c r="DV408" s="141">
        <f t="shared" si="776"/>
        <v>8.0507000000000772E-3</v>
      </c>
      <c r="DW408" s="141">
        <f t="shared" si="776"/>
        <v>8.0507000000000772E-3</v>
      </c>
      <c r="DX408" s="141">
        <f t="shared" si="776"/>
        <v>8.0507000000000772E-3</v>
      </c>
      <c r="DY408" s="141">
        <f>DY406/DU406-1</f>
        <v>8.0506999999998552E-3</v>
      </c>
      <c r="DZ408" s="141">
        <f t="shared" si="776"/>
        <v>7.171706000000011E-2</v>
      </c>
      <c r="EA408" s="141">
        <f t="shared" si="776"/>
        <v>6.1210030000000026E-2</v>
      </c>
      <c r="EB408" s="141">
        <f t="shared" si="776"/>
        <v>4.0604010000000024E-2</v>
      </c>
      <c r="EC408" s="141">
        <f t="shared" si="776"/>
        <v>4.0604010000000024E-2</v>
      </c>
      <c r="ED408" s="141">
        <f t="shared" si="776"/>
        <v>4.0604010000000024E-2</v>
      </c>
      <c r="EE408" s="141">
        <f t="shared" si="776"/>
        <v>4.0604010000000024E-2</v>
      </c>
      <c r="EF408" s="141">
        <f t="shared" si="776"/>
        <v>4.0604010000000024E-2</v>
      </c>
      <c r="EG408" s="141">
        <f t="shared" si="776"/>
        <v>4.0604010000000024E-2</v>
      </c>
      <c r="EH408" s="141">
        <f t="shared" si="776"/>
        <v>4.0604010000000024E-2</v>
      </c>
      <c r="EI408" s="141">
        <f t="shared" si="776"/>
        <v>4.0604010000000024E-2</v>
      </c>
      <c r="EJ408" s="141">
        <f t="shared" si="776"/>
        <v>4.0604010000000024E-2</v>
      </c>
      <c r="EK408" s="141">
        <f t="shared" si="776"/>
        <v>4.0604010000000024E-2</v>
      </c>
      <c r="EL408" s="141">
        <f t="shared" si="776"/>
        <v>4.0604010000000024E-2</v>
      </c>
      <c r="EM408" s="141">
        <f t="shared" si="776"/>
        <v>4.0604009999999802E-2</v>
      </c>
      <c r="EN408" s="141">
        <f t="shared" si="776"/>
        <v>4.0604009999999802E-2</v>
      </c>
      <c r="EO408" s="141">
        <f t="shared" si="776"/>
        <v>4.0604009999999802E-2</v>
      </c>
      <c r="EP408" s="141">
        <f t="shared" si="776"/>
        <v>4.0604009999999802E-2</v>
      </c>
      <c r="EQ408" s="141">
        <f t="shared" si="776"/>
        <v>4.0604009999999802E-2</v>
      </c>
      <c r="ER408" s="141">
        <f t="shared" si="776"/>
        <v>4.0604009999999802E-2</v>
      </c>
      <c r="ES408" s="141">
        <f t="shared" si="776"/>
        <v>4.0604010000000024E-2</v>
      </c>
      <c r="ET408" s="141">
        <f t="shared" si="776"/>
        <v>4.0604010000000024E-2</v>
      </c>
      <c r="EU408" s="141">
        <f t="shared" si="776"/>
        <v>4.0604010000000024E-2</v>
      </c>
      <c r="EV408" s="141">
        <f t="shared" si="776"/>
        <v>4.0604010000000024E-2</v>
      </c>
      <c r="EW408" s="141">
        <f t="shared" si="776"/>
        <v>4.0604010000000024E-2</v>
      </c>
      <c r="EZ408" s="449"/>
      <c r="FA408" s="449"/>
      <c r="FB408" s="449"/>
      <c r="FC408" s="449"/>
      <c r="FD408" s="449"/>
      <c r="FE408" s="449"/>
      <c r="FF408" s="449"/>
      <c r="FG408" s="449"/>
      <c r="FH408" s="449"/>
      <c r="FI408" s="449"/>
      <c r="FJ408" s="449"/>
      <c r="FK408" s="449"/>
      <c r="FL408" s="449"/>
      <c r="FM408" s="449"/>
      <c r="FN408" s="449"/>
      <c r="FO408" s="449"/>
      <c r="FP408" s="449"/>
      <c r="FQ408" s="449"/>
      <c r="FR408" s="449"/>
      <c r="FS408" s="449"/>
      <c r="FT408" s="449"/>
      <c r="FU408" s="449"/>
      <c r="FV408" s="449"/>
      <c r="FW408" s="449"/>
      <c r="FX408" s="477"/>
      <c r="FY408" s="477"/>
      <c r="FZ408" s="477"/>
      <c r="GA408" s="477"/>
      <c r="GB408" s="477"/>
      <c r="GC408" s="477"/>
      <c r="GD408" s="477"/>
      <c r="GE408" s="477"/>
      <c r="GF408" s="477"/>
      <c r="GG408" s="477"/>
      <c r="GH408" s="477"/>
      <c r="GI408" s="477"/>
      <c r="GJ408" s="477"/>
      <c r="GK408" s="477"/>
      <c r="GN408" s="70"/>
    </row>
    <row r="409" spans="1:196" s="418" customFormat="1" hidden="1" outlineLevel="1">
      <c r="A409" s="497" t="s">
        <v>202</v>
      </c>
      <c r="CT409" s="483"/>
      <c r="CU409" s="483"/>
      <c r="CV409" s="483"/>
      <c r="CW409" s="427"/>
      <c r="CX409" s="483"/>
      <c r="CY409" s="495">
        <f>+CY406/CY$383</f>
        <v>0.13009497369959089</v>
      </c>
      <c r="CZ409" s="495">
        <f t="shared" ref="CZ409:EW409" si="777">+CZ406/CZ$383</f>
        <v>0.12793648666755994</v>
      </c>
      <c r="DA409" s="495">
        <f t="shared" si="777"/>
        <v>0.12477315335583052</v>
      </c>
      <c r="DB409" s="495">
        <f t="shared" si="777"/>
        <v>0.12143891839690971</v>
      </c>
      <c r="DC409" s="495">
        <f t="shared" si="777"/>
        <v>0.12012005649717514</v>
      </c>
      <c r="DD409" s="495">
        <f t="shared" si="777"/>
        <v>0.12913006959443243</v>
      </c>
      <c r="DE409" s="495">
        <f t="shared" si="777"/>
        <v>0.14729785763648928</v>
      </c>
      <c r="DF409" s="495">
        <f t="shared" si="777"/>
        <v>0.13437241564875374</v>
      </c>
      <c r="DG409" s="495">
        <f t="shared" si="777"/>
        <v>0.14291619209758805</v>
      </c>
      <c r="DH409" s="495">
        <f t="shared" si="777"/>
        <v>0.14648646180539704</v>
      </c>
      <c r="DI409" s="495">
        <f t="shared" si="777"/>
        <v>0.14645807090828522</v>
      </c>
      <c r="DJ409" s="495">
        <f t="shared" si="777"/>
        <v>0.13101727758473394</v>
      </c>
      <c r="DK409" s="495">
        <f t="shared" si="777"/>
        <v>0.11620225675672602</v>
      </c>
      <c r="DL409" s="495">
        <f t="shared" si="777"/>
        <v>0.10864101221453989</v>
      </c>
      <c r="DM409" s="495">
        <f>+DM406/DM$383</f>
        <v>0.10728454026916331</v>
      </c>
      <c r="DN409" s="141">
        <f t="shared" si="777"/>
        <v>9.9424751980982481E-2</v>
      </c>
      <c r="DO409" s="141">
        <f t="shared" si="777"/>
        <v>8.4288347795729801E-2</v>
      </c>
      <c r="DP409" s="141">
        <f t="shared" si="777"/>
        <v>8.341307496154779E-2</v>
      </c>
      <c r="DQ409" s="141">
        <f>+DQ406/DQ$383</f>
        <v>8.2678922428536486E-2</v>
      </c>
      <c r="DR409" s="141">
        <f t="shared" si="777"/>
        <v>7.2624728975599628E-2</v>
      </c>
      <c r="DS409" s="141">
        <f t="shared" si="777"/>
        <v>7.9689646592538022E-2</v>
      </c>
      <c r="DT409" s="141">
        <f t="shared" si="777"/>
        <v>9.7696786048747097E-2</v>
      </c>
      <c r="DU409" s="141">
        <f t="shared" si="777"/>
        <v>0.11590523475689565</v>
      </c>
      <c r="DV409" s="141">
        <f t="shared" si="777"/>
        <v>0.12904755339922752</v>
      </c>
      <c r="DW409" s="141">
        <f t="shared" si="777"/>
        <v>0.13162850446721208</v>
      </c>
      <c r="DX409" s="141">
        <f t="shared" si="777"/>
        <v>0.11808154067655155</v>
      </c>
      <c r="DY409" s="141">
        <f t="shared" si="777"/>
        <v>0.10385054354344347</v>
      </c>
      <c r="DZ409" s="141">
        <f t="shared" si="777"/>
        <v>0.12319742403564998</v>
      </c>
      <c r="EA409" s="141">
        <f t="shared" si="777"/>
        <v>0.12056758297195627</v>
      </c>
      <c r="EB409" s="141">
        <f t="shared" si="777"/>
        <v>0.11432487059438527</v>
      </c>
      <c r="EC409" s="141">
        <f t="shared" si="777"/>
        <v>0.1123628605420296</v>
      </c>
      <c r="ED409" s="141">
        <f t="shared" si="777"/>
        <v>0.11696152840230128</v>
      </c>
      <c r="EE409" s="141">
        <f t="shared" si="777"/>
        <v>0.11425471816206094</v>
      </c>
      <c r="EF409" s="141">
        <f t="shared" si="777"/>
        <v>0.1078591119709115</v>
      </c>
      <c r="EG409" s="141">
        <f t="shared" si="777"/>
        <v>0.10598410878193951</v>
      </c>
      <c r="EH409" s="141">
        <f t="shared" si="777"/>
        <v>0.1041339633489172</v>
      </c>
      <c r="EI409" s="141">
        <f t="shared" si="777"/>
        <v>0.1023084550434304</v>
      </c>
      <c r="EJ409" s="141">
        <f t="shared" si="777"/>
        <v>0.10050736384491017</v>
      </c>
      <c r="EK409" s="141">
        <f t="shared" si="777"/>
        <v>9.8730470393281713E-2</v>
      </c>
      <c r="EL409" s="141">
        <f t="shared" si="777"/>
        <v>9.697755603875613E-2</v>
      </c>
      <c r="EM409" s="141">
        <f t="shared" si="777"/>
        <v>9.5248402888825454E-2</v>
      </c>
      <c r="EN409" s="141">
        <f t="shared" si="777"/>
        <v>9.3542793852521774E-2</v>
      </c>
      <c r="EO409" s="141">
        <f t="shared" si="777"/>
        <v>9.1860512681999962E-2</v>
      </c>
      <c r="EP409" s="141">
        <f t="shared" si="777"/>
        <v>9.0201344011503565E-2</v>
      </c>
      <c r="EQ409" s="141">
        <f t="shared" si="777"/>
        <v>8.8565073393772731E-2</v>
      </c>
      <c r="ER409" s="141">
        <f t="shared" si="777"/>
        <v>8.6951487333952596E-2</v>
      </c>
      <c r="ES409" s="141">
        <f t="shared" si="777"/>
        <v>8.5360373321060112E-2</v>
      </c>
      <c r="ET409" s="141">
        <f t="shared" si="777"/>
        <v>8.379151985706737E-2</v>
      </c>
      <c r="EU409" s="141">
        <f t="shared" si="777"/>
        <v>8.2244716483658789E-2</v>
      </c>
      <c r="EV409" s="141">
        <f t="shared" si="777"/>
        <v>8.0719753806719308E-2</v>
      </c>
      <c r="EW409" s="141">
        <f t="shared" si="777"/>
        <v>7.9216423518611037E-2</v>
      </c>
      <c r="EZ409" s="449"/>
      <c r="FA409" s="449"/>
      <c r="FB409" s="449"/>
      <c r="FC409" s="449"/>
      <c r="FD409" s="449"/>
      <c r="FE409" s="449"/>
      <c r="FF409" s="449"/>
      <c r="FG409" s="449"/>
      <c r="FH409" s="449"/>
      <c r="FI409" s="449"/>
      <c r="FJ409" s="449"/>
      <c r="FK409" s="449"/>
      <c r="FL409" s="449"/>
      <c r="FM409" s="449"/>
      <c r="FN409" s="449"/>
      <c r="FO409" s="449"/>
      <c r="FP409" s="449"/>
      <c r="FQ409" s="449"/>
      <c r="FR409" s="449"/>
      <c r="FS409" s="449"/>
      <c r="FT409" s="449"/>
      <c r="FU409" s="449"/>
      <c r="FV409" s="449"/>
      <c r="FW409" s="449"/>
      <c r="FX409" s="477"/>
      <c r="FY409" s="477"/>
      <c r="FZ409" s="477"/>
      <c r="GA409" s="477"/>
      <c r="GB409" s="477"/>
      <c r="GC409" s="477"/>
      <c r="GD409" s="477"/>
      <c r="GE409" s="477"/>
      <c r="GF409" s="477"/>
      <c r="GG409" s="477"/>
      <c r="GH409" s="477"/>
      <c r="GI409" s="477"/>
      <c r="GJ409" s="477"/>
      <c r="GK409" s="477"/>
      <c r="GN409" s="70"/>
    </row>
    <row r="410" spans="1:196" s="418" customFormat="1" collapsed="1">
      <c r="A410" s="491"/>
      <c r="CT410" s="483"/>
      <c r="CU410" s="483"/>
      <c r="CV410" s="483"/>
      <c r="CW410" s="427"/>
      <c r="CX410" s="483"/>
      <c r="CY410" s="484"/>
      <c r="CZ410" s="483"/>
      <c r="DA410" s="476"/>
      <c r="DB410" s="476"/>
      <c r="DC410" s="483"/>
      <c r="DD410" s="483"/>
      <c r="DE410" s="483"/>
      <c r="DF410" s="483"/>
      <c r="DG410" s="483"/>
      <c r="DH410" s="483"/>
      <c r="DI410" s="483"/>
      <c r="DJ410" s="485"/>
      <c r="DK410" s="485"/>
      <c r="DL410" s="485"/>
      <c r="DM410" s="485"/>
      <c r="DN410" s="486"/>
      <c r="DO410" s="486"/>
      <c r="DP410" s="486"/>
      <c r="DQ410" s="486"/>
      <c r="DR410" s="486"/>
      <c r="DS410" s="486"/>
      <c r="DT410" s="486"/>
      <c r="DU410" s="486"/>
      <c r="DV410" s="486"/>
      <c r="DW410" s="486"/>
      <c r="DX410" s="427"/>
      <c r="DY410" s="427"/>
      <c r="DZ410" s="427"/>
      <c r="EA410" s="427"/>
      <c r="EB410" s="427"/>
      <c r="EC410" s="427"/>
      <c r="ED410" s="427"/>
      <c r="EE410" s="427"/>
      <c r="EF410" s="427"/>
      <c r="EG410" s="427"/>
      <c r="EH410" s="427"/>
      <c r="EI410" s="427"/>
      <c r="EJ410" s="427"/>
      <c r="EK410" s="427"/>
      <c r="EL410" s="427"/>
      <c r="EM410" s="427"/>
      <c r="EN410" s="427"/>
      <c r="EO410" s="427"/>
      <c r="EP410" s="427"/>
      <c r="EQ410" s="427"/>
      <c r="ER410" s="427"/>
      <c r="ES410" s="427"/>
      <c r="ET410" s="427"/>
      <c r="EU410" s="427"/>
      <c r="EV410" s="427"/>
      <c r="EW410" s="427"/>
      <c r="EZ410" s="449"/>
      <c r="FA410" s="449"/>
      <c r="FB410" s="449"/>
      <c r="FC410" s="449"/>
      <c r="FD410" s="449"/>
      <c r="FE410" s="449"/>
      <c r="FF410" s="449"/>
      <c r="FG410" s="449"/>
      <c r="FH410" s="449"/>
      <c r="FI410" s="449"/>
      <c r="FJ410" s="449"/>
      <c r="FK410" s="449"/>
      <c r="FL410" s="449"/>
      <c r="FM410" s="449"/>
      <c r="FN410" s="449"/>
      <c r="FO410" s="449"/>
      <c r="FP410" s="449"/>
      <c r="FQ410" s="449"/>
      <c r="FR410" s="449"/>
      <c r="FS410" s="449"/>
      <c r="FT410" s="449"/>
      <c r="FU410" s="449"/>
      <c r="FV410" s="449"/>
      <c r="FW410" s="449"/>
      <c r="FX410" s="477"/>
      <c r="FY410" s="477"/>
      <c r="FZ410" s="477"/>
      <c r="GA410" s="477"/>
      <c r="GB410" s="477"/>
      <c r="GC410" s="477"/>
      <c r="GD410" s="477"/>
      <c r="GE410" s="477"/>
      <c r="GF410" s="477"/>
      <c r="GG410" s="477"/>
      <c r="GH410" s="477"/>
      <c r="GI410" s="477"/>
      <c r="GJ410" s="477"/>
      <c r="GK410" s="477"/>
      <c r="GN410" s="70"/>
    </row>
    <row r="411" spans="1:196" s="145" customFormat="1" hidden="1" outlineLevel="1">
      <c r="A411" s="41" t="s">
        <v>307</v>
      </c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  <c r="BT411" s="142"/>
      <c r="BU411" s="142"/>
      <c r="BV411" s="142"/>
      <c r="BW411" s="142"/>
      <c r="BX411" s="142"/>
      <c r="BY411" s="142"/>
      <c r="BZ411" s="142"/>
      <c r="CA411" s="142"/>
      <c r="CB411" s="142"/>
      <c r="CC411" s="142"/>
      <c r="CD411" s="142"/>
      <c r="CE411" s="142"/>
      <c r="CF411" s="142"/>
      <c r="CG411" s="142"/>
      <c r="CH411" s="142"/>
      <c r="CI411" s="142"/>
      <c r="CJ411" s="142"/>
      <c r="CK411" s="142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3"/>
      <c r="DK411" s="143"/>
      <c r="DL411" s="143"/>
      <c r="DM411" s="144"/>
      <c r="DN411" s="143"/>
      <c r="DO411" s="143"/>
      <c r="DP411" s="144"/>
      <c r="DQ411" s="144"/>
      <c r="DR411" s="143"/>
      <c r="DS411" s="143"/>
      <c r="DT411" s="143"/>
      <c r="DU411" s="143"/>
      <c r="DV411" s="143"/>
      <c r="DW411" s="143"/>
      <c r="DX411" s="142"/>
      <c r="DY411" s="142"/>
      <c r="DZ411" s="142"/>
      <c r="EA411" s="142"/>
      <c r="EB411" s="142"/>
      <c r="EC411" s="142"/>
      <c r="ED411" s="142"/>
      <c r="EE411" s="142"/>
      <c r="EF411" s="142"/>
      <c r="EG411" s="142"/>
      <c r="EH411" s="142"/>
      <c r="EI411" s="142"/>
      <c r="EJ411" s="142"/>
      <c r="EK411" s="142"/>
      <c r="EL411" s="142"/>
      <c r="EM411" s="142"/>
      <c r="EN411" s="142"/>
      <c r="EO411" s="142"/>
      <c r="EP411" s="142"/>
      <c r="EQ411" s="142"/>
      <c r="ER411" s="142"/>
      <c r="ES411" s="142"/>
      <c r="ET411" s="142"/>
      <c r="EU411" s="142"/>
      <c r="EV411" s="142"/>
      <c r="EW411" s="142"/>
      <c r="EZ411" s="142"/>
      <c r="FA411" s="142"/>
      <c r="FB411" s="142"/>
      <c r="FC411" s="142"/>
      <c r="FD411" s="142"/>
      <c r="FE411" s="142"/>
      <c r="FF411" s="142"/>
      <c r="FG411" s="142"/>
      <c r="FH411" s="142"/>
      <c r="FI411" s="142"/>
      <c r="FJ411" s="142"/>
      <c r="FK411" s="142"/>
      <c r="FL411" s="142"/>
      <c r="FM411" s="142"/>
      <c r="FN411" s="142"/>
      <c r="FO411" s="142"/>
      <c r="FP411" s="142"/>
      <c r="FQ411" s="142"/>
      <c r="FR411" s="142"/>
      <c r="FS411" s="142"/>
      <c r="FT411" s="142"/>
      <c r="FU411" s="142"/>
      <c r="FV411" s="142"/>
      <c r="FW411" s="142"/>
      <c r="FX411" s="142"/>
      <c r="FY411" s="142"/>
      <c r="FZ411" s="146"/>
      <c r="GA411" s="142"/>
      <c r="GB411" s="142"/>
      <c r="GC411" s="147"/>
      <c r="GD411" s="147"/>
      <c r="GE411" s="147"/>
      <c r="GF411" s="147"/>
      <c r="GG411" s="142"/>
      <c r="GH411" s="142"/>
      <c r="GI411" s="142"/>
      <c r="GJ411" s="142"/>
      <c r="GK411" s="142"/>
      <c r="GN411" s="48"/>
    </row>
    <row r="412" spans="1:196" s="376" customFormat="1" hidden="1" outlineLevel="1">
      <c r="A412" s="376" t="s">
        <v>308</v>
      </c>
      <c r="CP412" s="376">
        <f t="shared" ref="CP412:CW412" si="778">CP416+CP420</f>
        <v>164.67025000000001</v>
      </c>
      <c r="CQ412" s="376">
        <f t="shared" si="778"/>
        <v>154.47269</v>
      </c>
      <c r="CR412" s="376">
        <f t="shared" si="778"/>
        <v>174.01308</v>
      </c>
      <c r="CS412" s="376">
        <f t="shared" si="778"/>
        <v>212.61359999999996</v>
      </c>
      <c r="CT412" s="376">
        <f t="shared" si="778"/>
        <v>219.39478</v>
      </c>
      <c r="CU412" s="376">
        <f t="shared" si="778"/>
        <v>251.18464</v>
      </c>
      <c r="CV412" s="376">
        <f t="shared" si="778"/>
        <v>300.87004999999999</v>
      </c>
      <c r="CW412" s="376">
        <f t="shared" si="778"/>
        <v>361.51176000000004</v>
      </c>
      <c r="CX412" s="376">
        <f t="shared" ref="CX412:DM412" si="779">CX416+CX420+CX424+CX428</f>
        <v>440.42197635538218</v>
      </c>
      <c r="CY412" s="376">
        <f t="shared" si="779"/>
        <v>444.077668125</v>
      </c>
      <c r="CZ412" s="376">
        <f t="shared" si="779"/>
        <v>363.68642442499998</v>
      </c>
      <c r="DA412" s="376">
        <f t="shared" si="779"/>
        <v>425.86388152499995</v>
      </c>
      <c r="DB412" s="376">
        <f t="shared" si="779"/>
        <v>342.09243304999995</v>
      </c>
      <c r="DC412" s="376">
        <f t="shared" si="779"/>
        <v>401.04472015300001</v>
      </c>
      <c r="DD412" s="376">
        <f t="shared" si="779"/>
        <v>549.24557292500003</v>
      </c>
      <c r="DE412" s="376">
        <f t="shared" si="779"/>
        <v>700.05871585882346</v>
      </c>
      <c r="DF412" s="376">
        <f t="shared" si="779"/>
        <v>616.37075404999996</v>
      </c>
      <c r="DG412" s="376">
        <f t="shared" si="779"/>
        <v>570.59785833333342</v>
      </c>
      <c r="DH412" s="376">
        <f t="shared" si="779"/>
        <v>781.59549766666669</v>
      </c>
      <c r="DI412" s="376">
        <f>DI416+DI420+DI424+DI428</f>
        <v>946.8122234650001</v>
      </c>
      <c r="DJ412" s="397">
        <f t="shared" si="779"/>
        <v>1015.0697962267782</v>
      </c>
      <c r="DK412" s="397">
        <f t="shared" si="779"/>
        <v>1095.8815566101468</v>
      </c>
      <c r="DL412" s="397">
        <f t="shared" si="779"/>
        <v>1183.6974589083334</v>
      </c>
      <c r="DM412" s="397">
        <f t="shared" si="779"/>
        <v>1321.8609383333335</v>
      </c>
      <c r="DN412" s="397">
        <f>DN416+DN420+DN424+DN428</f>
        <v>1414.2003150416667</v>
      </c>
      <c r="DO412" s="397">
        <f t="shared" ref="DO412:EW412" si="780">DO416+DO420+DO424+DO428</f>
        <v>1272.8318594200002</v>
      </c>
      <c r="DP412" s="397">
        <f t="shared" si="780"/>
        <v>342.42408032000003</v>
      </c>
      <c r="DQ412" s="397">
        <f>DQ416+DQ420+DQ424+DQ428</f>
        <v>384.87225710000001</v>
      </c>
      <c r="DR412" s="397">
        <f t="shared" si="780"/>
        <v>344.11204306059597</v>
      </c>
      <c r="DS412" s="397">
        <f t="shared" si="780"/>
        <v>438.5362927405572</v>
      </c>
      <c r="DT412" s="397">
        <f t="shared" si="780"/>
        <v>711.43590326194317</v>
      </c>
      <c r="DU412" s="397">
        <f t="shared" si="780"/>
        <v>861.06211042903169</v>
      </c>
      <c r="DV412" s="376">
        <f t="shared" si="780"/>
        <v>977.60766000000012</v>
      </c>
      <c r="DW412" s="376">
        <f t="shared" si="780"/>
        <v>1191.62076</v>
      </c>
      <c r="DX412" s="376">
        <f t="shared" si="780"/>
        <v>1622.3340000000001</v>
      </c>
      <c r="DY412" s="376">
        <f t="shared" si="780"/>
        <v>1926.8231000000003</v>
      </c>
      <c r="DZ412" s="376">
        <f t="shared" si="780"/>
        <v>1790.27</v>
      </c>
      <c r="EA412" s="376">
        <f t="shared" si="780"/>
        <v>930.16724999999974</v>
      </c>
      <c r="EB412" s="376">
        <f t="shared" si="780"/>
        <v>2410.4485</v>
      </c>
      <c r="EC412" s="376">
        <f t="shared" si="780"/>
        <v>2950.7157500000003</v>
      </c>
      <c r="ED412" s="376">
        <f t="shared" si="780"/>
        <v>2608.5509223999998</v>
      </c>
      <c r="EE412" s="380">
        <f t="shared" si="780"/>
        <v>2669.4501149209059</v>
      </c>
      <c r="EF412" s="380">
        <f t="shared" si="780"/>
        <v>2903.3806812420107</v>
      </c>
      <c r="EG412" s="380">
        <f t="shared" si="780"/>
        <v>4721.9786065724093</v>
      </c>
      <c r="EH412" s="380">
        <f t="shared" si="780"/>
        <v>5227.8459792353115</v>
      </c>
      <c r="EI412" s="380">
        <f t="shared" si="780"/>
        <v>5819.2173986235757</v>
      </c>
      <c r="EJ412" s="380">
        <f t="shared" si="780"/>
        <v>6886.9753248373654</v>
      </c>
      <c r="EK412" s="380">
        <f t="shared" si="780"/>
        <v>7749.7084133427088</v>
      </c>
      <c r="EL412" s="380">
        <f t="shared" si="780"/>
        <v>7501.1290640614898</v>
      </c>
      <c r="EM412" s="380">
        <f t="shared" si="780"/>
        <v>7774.4533857560191</v>
      </c>
      <c r="EN412" s="380">
        <f t="shared" si="780"/>
        <v>8416.8933893873473</v>
      </c>
      <c r="EO412" s="380">
        <f t="shared" si="780"/>
        <v>9060.1037033245339</v>
      </c>
      <c r="EP412" s="380">
        <f t="shared" si="780"/>
        <v>9283.7338513227387</v>
      </c>
      <c r="EQ412" s="380">
        <f t="shared" si="780"/>
        <v>9721.9416341911729</v>
      </c>
      <c r="ER412" s="380">
        <f t="shared" si="780"/>
        <v>10637.655362334146</v>
      </c>
      <c r="ES412" s="380">
        <f t="shared" si="780"/>
        <v>11083.423911350052</v>
      </c>
      <c r="ET412" s="380">
        <f t="shared" si="780"/>
        <v>10915.229720463303</v>
      </c>
      <c r="EU412" s="380">
        <f t="shared" si="780"/>
        <v>11427.364267779029</v>
      </c>
      <c r="EV412" s="380">
        <f t="shared" si="780"/>
        <v>12824.812613286311</v>
      </c>
      <c r="EW412" s="380">
        <f t="shared" si="780"/>
        <v>13367.713624325981</v>
      </c>
      <c r="FW412" s="376">
        <f>CP412+CQ412+CR412+CS412</f>
        <v>705.76962000000003</v>
      </c>
      <c r="FX412" s="376">
        <f>CT412+CU412+CV412+CW412</f>
        <v>1132.9612300000001</v>
      </c>
      <c r="FY412" s="376">
        <f>CX412+CY412+CZ412+DA412</f>
        <v>1674.0499504303821</v>
      </c>
      <c r="FZ412" s="376">
        <f>DB412+DC412+DD412+DE412</f>
        <v>1992.4414419868235</v>
      </c>
      <c r="GA412" s="376">
        <f>SUM(DF412:DI412)</f>
        <v>2915.3763335150002</v>
      </c>
      <c r="GB412" s="376">
        <f>SUM(DJ412:DM412)</f>
        <v>4616.5097500785923</v>
      </c>
      <c r="GC412" s="376">
        <f>SUM(DN412:DQ412)</f>
        <v>3414.3285118816666</v>
      </c>
      <c r="GD412" s="376">
        <f>SUM(DR412:DU412)</f>
        <v>2355.1463494921281</v>
      </c>
      <c r="GE412" s="376">
        <f>SUM(DV412:DY412)</f>
        <v>5718.3855200000007</v>
      </c>
      <c r="GF412" s="376">
        <f>SUM(DZ412:EC412)</f>
        <v>8081.6014999999998</v>
      </c>
      <c r="GG412" s="380">
        <f>SUM(ED412:EG412)</f>
        <v>12903.360325135327</v>
      </c>
      <c r="GH412" s="380">
        <f>SUM(EH412:EK412)</f>
        <v>25683.747116038961</v>
      </c>
      <c r="GI412" s="380">
        <f>SUM(EL412:EO412)</f>
        <v>32752.579542529391</v>
      </c>
      <c r="GJ412" s="380">
        <f>SUM(EP412:ES412)</f>
        <v>40726.754759198113</v>
      </c>
      <c r="GK412" s="380">
        <f>SUM(ET412:EW412)</f>
        <v>48535.120225854625</v>
      </c>
      <c r="GN412" s="70"/>
    </row>
    <row r="413" spans="1:196" s="418" customFormat="1" hidden="1" outlineLevel="1">
      <c r="A413" s="381" t="s">
        <v>198</v>
      </c>
      <c r="CQ413" s="382">
        <f>CQ412/CP412-1</f>
        <v>-6.1927154419210595E-2</v>
      </c>
      <c r="CR413" s="382">
        <f t="shared" ref="CR413:EH413" si="781">CR412/CQ412-1</f>
        <v>0.12649737633234714</v>
      </c>
      <c r="CS413" s="382">
        <f t="shared" si="781"/>
        <v>0.22182539381522326</v>
      </c>
      <c r="CT413" s="382">
        <f t="shared" si="781"/>
        <v>3.1894384931161701E-2</v>
      </c>
      <c r="CU413" s="382">
        <f t="shared" si="781"/>
        <v>0.14489797797376958</v>
      </c>
      <c r="CV413" s="382">
        <f t="shared" si="781"/>
        <v>0.19780433230312178</v>
      </c>
      <c r="CW413" s="382">
        <f t="shared" si="781"/>
        <v>0.20155449171494477</v>
      </c>
      <c r="CX413" s="382">
        <f t="shared" si="781"/>
        <v>0.21827842157992916</v>
      </c>
      <c r="CY413" s="382">
        <f t="shared" si="781"/>
        <v>8.3004299646209923E-3</v>
      </c>
      <c r="CZ413" s="382">
        <f t="shared" si="781"/>
        <v>-0.18102969248471934</v>
      </c>
      <c r="DA413" s="382">
        <f t="shared" si="781"/>
        <v>0.17096447083034394</v>
      </c>
      <c r="DB413" s="382">
        <f t="shared" si="781"/>
        <v>-0.19670944663120549</v>
      </c>
      <c r="DC413" s="382">
        <f t="shared" si="781"/>
        <v>0.1723285328979598</v>
      </c>
      <c r="DD413" s="382">
        <f t="shared" si="781"/>
        <v>0.36953697511704142</v>
      </c>
      <c r="DE413" s="382">
        <f t="shared" si="781"/>
        <v>0.27458235508512163</v>
      </c>
      <c r="DF413" s="382">
        <f t="shared" si="781"/>
        <v>-0.11954420381175623</v>
      </c>
      <c r="DG413" s="382">
        <f t="shared" si="781"/>
        <v>-7.4261952592503233E-2</v>
      </c>
      <c r="DH413" s="382">
        <f t="shared" si="781"/>
        <v>0.36978344073992675</v>
      </c>
      <c r="DI413" s="382">
        <f t="shared" si="781"/>
        <v>0.21138392722522403</v>
      </c>
      <c r="DJ413" s="383">
        <f t="shared" si="781"/>
        <v>7.2091985158344585E-2</v>
      </c>
      <c r="DK413" s="383">
        <f t="shared" si="781"/>
        <v>7.9612023413328403E-2</v>
      </c>
      <c r="DL413" s="383">
        <f t="shared" si="781"/>
        <v>8.0132658286379499E-2</v>
      </c>
      <c r="DM413" s="383">
        <f t="shared" si="781"/>
        <v>0.11672195321972012</v>
      </c>
      <c r="DN413" s="383">
        <f t="shared" si="781"/>
        <v>6.9855590728597594E-2</v>
      </c>
      <c r="DO413" s="383">
        <f t="shared" si="781"/>
        <v>-9.9963530002113887E-2</v>
      </c>
      <c r="DP413" s="383">
        <f t="shared" si="781"/>
        <v>-0.73097461555052945</v>
      </c>
      <c r="DQ413" s="383">
        <f t="shared" si="781"/>
        <v>0.1239637607855486</v>
      </c>
      <c r="DR413" s="383">
        <f t="shared" si="781"/>
        <v>-0.10590582534197435</v>
      </c>
      <c r="DS413" s="383">
        <f t="shared" si="781"/>
        <v>0.27439972411350255</v>
      </c>
      <c r="DT413" s="383">
        <f t="shared" si="781"/>
        <v>0.62229652377445599</v>
      </c>
      <c r="DU413" s="383">
        <f t="shared" si="781"/>
        <v>0.21031579441106407</v>
      </c>
      <c r="DV413" s="382">
        <f t="shared" si="781"/>
        <v>0.13535092086783207</v>
      </c>
      <c r="DW413" s="382">
        <f t="shared" si="781"/>
        <v>0.21891512183936834</v>
      </c>
      <c r="DX413" s="382">
        <f>DX412/DW412-1</f>
        <v>0.36145160814418853</v>
      </c>
      <c r="DY413" s="382">
        <f t="shared" si="781"/>
        <v>0.18768582794911537</v>
      </c>
      <c r="DZ413" s="382">
        <f t="shared" si="781"/>
        <v>-7.0869557252038473E-2</v>
      </c>
      <c r="EA413" s="382">
        <f t="shared" si="781"/>
        <v>-0.48043186223307111</v>
      </c>
      <c r="EB413" s="382">
        <f t="shared" si="781"/>
        <v>1.5914140709641202</v>
      </c>
      <c r="EC413" s="382">
        <f t="shared" si="781"/>
        <v>0.22413557062098621</v>
      </c>
      <c r="ED413" s="382">
        <f t="shared" si="781"/>
        <v>-0.11595994212590643</v>
      </c>
      <c r="EE413" s="384">
        <f t="shared" si="781"/>
        <v>2.334598569571944E-2</v>
      </c>
      <c r="EF413" s="384">
        <f t="shared" si="781"/>
        <v>8.7632492180149235E-2</v>
      </c>
      <c r="EG413" s="384">
        <f t="shared" si="781"/>
        <v>0.62637253773846746</v>
      </c>
      <c r="EH413" s="384">
        <f t="shared" si="781"/>
        <v>0.10713038215776693</v>
      </c>
      <c r="EI413" s="384">
        <f>EI412/EH412-1</f>
        <v>0.11311951839001289</v>
      </c>
      <c r="EJ413" s="384">
        <f>EJ412/EI412-1</f>
        <v>0.18348823442587792</v>
      </c>
      <c r="EK413" s="384">
        <f>EK412/EJ412-1</f>
        <v>0.12527024532728626</v>
      </c>
      <c r="EL413" s="384">
        <f t="shared" ref="EL413" si="782">EL412/EK412-1</f>
        <v>-3.2075961574662415E-2</v>
      </c>
      <c r="EM413" s="384">
        <f>EM412/EL412-1</f>
        <v>3.6437757484276245E-2</v>
      </c>
      <c r="EN413" s="384">
        <f>EN412/EM412-1</f>
        <v>8.2634748934037772E-2</v>
      </c>
      <c r="EO413" s="384">
        <f>EO412/EN412-1</f>
        <v>7.6418968873740889E-2</v>
      </c>
      <c r="EP413" s="384">
        <f t="shared" ref="EP413" si="783">EP412/EO412-1</f>
        <v>2.4682956765290198E-2</v>
      </c>
      <c r="EQ413" s="384">
        <f>EQ412/EP412-1</f>
        <v>4.7201674443305919E-2</v>
      </c>
      <c r="ER413" s="384">
        <f>ER412/EQ412-1</f>
        <v>9.419041613277046E-2</v>
      </c>
      <c r="ES413" s="384">
        <f>ES412/ER412-1</f>
        <v>4.1904774485765461E-2</v>
      </c>
      <c r="ET413" s="384">
        <f t="shared" ref="ET413" si="784">ET412/ES412-1</f>
        <v>-1.5175291699752513E-2</v>
      </c>
      <c r="EU413" s="384">
        <f>EU412/ET412-1</f>
        <v>4.6919264223601376E-2</v>
      </c>
      <c r="EV413" s="384">
        <f>EV412/EU412-1</f>
        <v>0.12228964726779323</v>
      </c>
      <c r="EW413" s="384">
        <f>EW412/EV412-1</f>
        <v>4.2332081365246133E-2</v>
      </c>
      <c r="EZ413" s="449"/>
      <c r="FA413" s="449"/>
      <c r="FB413" s="449"/>
      <c r="FC413" s="449"/>
      <c r="FD413" s="449"/>
      <c r="FE413" s="449"/>
      <c r="FF413" s="449"/>
      <c r="FG413" s="449"/>
      <c r="FH413" s="449"/>
      <c r="FI413" s="449"/>
      <c r="FJ413" s="449"/>
      <c r="FK413" s="449"/>
      <c r="FL413" s="449"/>
      <c r="FM413" s="449"/>
      <c r="FN413" s="449"/>
      <c r="FO413" s="449"/>
      <c r="FP413" s="449"/>
      <c r="FQ413" s="449"/>
      <c r="FR413" s="449"/>
      <c r="FS413" s="449"/>
      <c r="FT413" s="449"/>
      <c r="FU413" s="449"/>
      <c r="FV413" s="449"/>
      <c r="FW413" s="449"/>
      <c r="FX413" s="449"/>
      <c r="FY413" s="449"/>
      <c r="FZ413" s="386" t="s">
        <v>199</v>
      </c>
      <c r="GA413" s="386" t="s">
        <v>199</v>
      </c>
      <c r="GB413" s="386" t="s">
        <v>199</v>
      </c>
      <c r="GC413" s="386" t="s">
        <v>199</v>
      </c>
      <c r="GD413" s="386" t="s">
        <v>199</v>
      </c>
      <c r="GE413" s="386" t="s">
        <v>199</v>
      </c>
      <c r="GF413" s="386" t="s">
        <v>199</v>
      </c>
      <c r="GG413" s="467" t="s">
        <v>199</v>
      </c>
      <c r="GH413" s="467" t="s">
        <v>199</v>
      </c>
      <c r="GI413" s="467" t="s">
        <v>199</v>
      </c>
      <c r="GJ413" s="467" t="s">
        <v>199</v>
      </c>
      <c r="GK413" s="467" t="s">
        <v>199</v>
      </c>
      <c r="GN413" s="70"/>
    </row>
    <row r="414" spans="1:196" s="418" customFormat="1" hidden="1" outlineLevel="1">
      <c r="A414" s="381" t="s">
        <v>200</v>
      </c>
      <c r="CT414" s="382">
        <f>CT412/CP412-1</f>
        <v>0.33232797059578156</v>
      </c>
      <c r="CU414" s="382">
        <f t="shared" ref="CU414:EW414" si="785">CU412/CQ412-1</f>
        <v>0.62607798181024754</v>
      </c>
      <c r="CV414" s="382">
        <f t="shared" si="785"/>
        <v>0.72900824466758474</v>
      </c>
      <c r="CW414" s="382">
        <f t="shared" si="785"/>
        <v>0.70032283917867955</v>
      </c>
      <c r="CX414" s="382">
        <f t="shared" si="785"/>
        <v>1.0074405432772018</v>
      </c>
      <c r="CY414" s="382">
        <f t="shared" si="785"/>
        <v>0.76793321488527333</v>
      </c>
      <c r="CZ414" s="382">
        <f t="shared" si="785"/>
        <v>0.20878241096114425</v>
      </c>
      <c r="DA414" s="382">
        <f t="shared" si="785"/>
        <v>0.17800837661546587</v>
      </c>
      <c r="DB414" s="382">
        <f t="shared" si="785"/>
        <v>-0.22326211811473928</v>
      </c>
      <c r="DC414" s="382">
        <f t="shared" si="785"/>
        <v>-9.6904102729811203E-2</v>
      </c>
      <c r="DD414" s="382">
        <f t="shared" si="785"/>
        <v>0.51021741818759136</v>
      </c>
      <c r="DE414" s="382">
        <f t="shared" si="785"/>
        <v>0.64385557505356816</v>
      </c>
      <c r="DF414" s="382">
        <f t="shared" si="785"/>
        <v>0.80176669958645852</v>
      </c>
      <c r="DG414" s="382">
        <f t="shared" si="785"/>
        <v>0.42277863205791189</v>
      </c>
      <c r="DH414" s="382">
        <f t="shared" si="785"/>
        <v>0.42303467919511895</v>
      </c>
      <c r="DI414" s="382">
        <f t="shared" si="785"/>
        <v>0.35247544529670272</v>
      </c>
      <c r="DJ414" s="383">
        <f t="shared" si="785"/>
        <v>0.64684938335740005</v>
      </c>
      <c r="DK414" s="383">
        <f t="shared" si="785"/>
        <v>0.92058477017618201</v>
      </c>
      <c r="DL414" s="383">
        <f t="shared" si="785"/>
        <v>0.51446299581059551</v>
      </c>
      <c r="DM414" s="383">
        <f t="shared" si="785"/>
        <v>0.39611731404965056</v>
      </c>
      <c r="DN414" s="383">
        <f t="shared" si="785"/>
        <v>0.39320499959563193</v>
      </c>
      <c r="DO414" s="383">
        <f t="shared" si="785"/>
        <v>0.16146845591343628</v>
      </c>
      <c r="DP414" s="383">
        <f t="shared" si="785"/>
        <v>-0.71071655367427999</v>
      </c>
      <c r="DQ414" s="383">
        <f t="shared" si="785"/>
        <v>-0.70884058531507432</v>
      </c>
      <c r="DR414" s="383">
        <f t="shared" si="785"/>
        <v>-0.75667376155940302</v>
      </c>
      <c r="DS414" s="383">
        <f t="shared" si="785"/>
        <v>-0.65546408231768494</v>
      </c>
      <c r="DT414" s="383">
        <f t="shared" si="785"/>
        <v>1.0776456568039738</v>
      </c>
      <c r="DU414" s="383">
        <f t="shared" si="785"/>
        <v>1.2372672868580001</v>
      </c>
      <c r="DV414" s="382">
        <f t="shared" si="785"/>
        <v>1.8409574140590297</v>
      </c>
      <c r="DW414" s="382">
        <f t="shared" si="785"/>
        <v>1.71726828480528</v>
      </c>
      <c r="DX414" s="382">
        <f t="shared" si="785"/>
        <v>1.2803656556572096</v>
      </c>
      <c r="DY414" s="382">
        <f t="shared" si="785"/>
        <v>1.2377283550892093</v>
      </c>
      <c r="DZ414" s="382">
        <f t="shared" si="785"/>
        <v>0.83127656753425994</v>
      </c>
      <c r="EA414" s="382">
        <f t="shared" si="785"/>
        <v>-0.21940999920142401</v>
      </c>
      <c r="EB414" s="382">
        <f t="shared" si="785"/>
        <v>0.48579053388513094</v>
      </c>
      <c r="EC414" s="382">
        <f t="shared" si="785"/>
        <v>0.53138902580107117</v>
      </c>
      <c r="ED414" s="382">
        <f t="shared" si="785"/>
        <v>0.4570712364056817</v>
      </c>
      <c r="EE414" s="384">
        <f t="shared" si="785"/>
        <v>1.8698603556735702</v>
      </c>
      <c r="EF414" s="384">
        <f t="shared" si="785"/>
        <v>0.20449811777435234</v>
      </c>
      <c r="EG414" s="384">
        <f t="shared" si="785"/>
        <v>0.60028244217438043</v>
      </c>
      <c r="EH414" s="384">
        <f t="shared" si="785"/>
        <v>1.0041188133775925</v>
      </c>
      <c r="EI414" s="384">
        <f t="shared" si="785"/>
        <v>1.1799311274247191</v>
      </c>
      <c r="EJ414" s="384">
        <f t="shared" si="785"/>
        <v>1.3720538506480828</v>
      </c>
      <c r="EK414" s="384">
        <f t="shared" si="785"/>
        <v>0.64119939098327872</v>
      </c>
      <c r="EL414" s="384">
        <f t="shared" si="785"/>
        <v>0.43484125084318115</v>
      </c>
      <c r="EM414" s="384">
        <f t="shared" si="785"/>
        <v>0.33599638116199548</v>
      </c>
      <c r="EN414" s="384">
        <f t="shared" si="785"/>
        <v>0.22214658720098002</v>
      </c>
      <c r="EO414" s="384">
        <f t="shared" si="785"/>
        <v>0.16908962506585556</v>
      </c>
      <c r="EP414" s="384">
        <f t="shared" si="785"/>
        <v>0.2376448627983021</v>
      </c>
      <c r="EQ414" s="384">
        <f t="shared" si="785"/>
        <v>0.25049841471855094</v>
      </c>
      <c r="ER414" s="384">
        <f t="shared" si="785"/>
        <v>0.26384580036939798</v>
      </c>
      <c r="ES414" s="384">
        <f t="shared" si="785"/>
        <v>0.22332197006564902</v>
      </c>
      <c r="ET414" s="384">
        <f t="shared" si="785"/>
        <v>0.17573703590265133</v>
      </c>
      <c r="EU414" s="384">
        <f t="shared" si="785"/>
        <v>0.17541996215962063</v>
      </c>
      <c r="EV414" s="384">
        <f t="shared" si="785"/>
        <v>0.20560519930890608</v>
      </c>
      <c r="EW414" s="384">
        <f t="shared" si="785"/>
        <v>0.20609964314697815</v>
      </c>
      <c r="EZ414" s="449"/>
      <c r="FA414" s="449"/>
      <c r="FB414" s="449"/>
      <c r="FC414" s="449"/>
      <c r="FD414" s="449"/>
      <c r="FE414" s="449"/>
      <c r="FF414" s="449"/>
      <c r="FG414" s="449"/>
      <c r="FH414" s="449"/>
      <c r="FI414" s="449"/>
      <c r="FJ414" s="449"/>
      <c r="FK414" s="449"/>
      <c r="FL414" s="449"/>
      <c r="FM414" s="449"/>
      <c r="FN414" s="449"/>
      <c r="FO414" s="449"/>
      <c r="FP414" s="449"/>
      <c r="FQ414" s="449"/>
      <c r="FR414" s="449"/>
      <c r="FS414" s="449"/>
      <c r="FT414" s="449"/>
      <c r="FU414" s="449"/>
      <c r="FV414" s="449"/>
      <c r="FW414" s="449"/>
      <c r="FX414" s="382">
        <f t="shared" ref="FX414:GK414" si="786">FX412/FW412-1</f>
        <v>0.60528478117264384</v>
      </c>
      <c r="FY414" s="382">
        <f t="shared" si="786"/>
        <v>0.47758802870101902</v>
      </c>
      <c r="FZ414" s="382">
        <f t="shared" si="786"/>
        <v>0.19019234848672584</v>
      </c>
      <c r="GA414" s="382">
        <f t="shared" si="786"/>
        <v>0.46321807611462051</v>
      </c>
      <c r="GB414" s="382">
        <f t="shared" si="786"/>
        <v>0.58350388490414073</v>
      </c>
      <c r="GC414" s="382">
        <f t="shared" si="786"/>
        <v>-0.26040911928680743</v>
      </c>
      <c r="GD414" s="382">
        <f t="shared" si="786"/>
        <v>-0.31021682849311238</v>
      </c>
      <c r="GE414" s="382">
        <f t="shared" si="786"/>
        <v>1.4280382920717996</v>
      </c>
      <c r="GF414" s="382">
        <f t="shared" si="786"/>
        <v>0.41326629198655329</v>
      </c>
      <c r="GG414" s="384">
        <f t="shared" si="786"/>
        <v>0.59663407372107224</v>
      </c>
      <c r="GH414" s="384">
        <f t="shared" si="786"/>
        <v>0.99046965045282476</v>
      </c>
      <c r="GI414" s="384">
        <f t="shared" si="786"/>
        <v>0.27522590043242134</v>
      </c>
      <c r="GJ414" s="384">
        <f t="shared" si="786"/>
        <v>0.24346708955592988</v>
      </c>
      <c r="GK414" s="384">
        <f t="shared" si="786"/>
        <v>0.19172569758686686</v>
      </c>
      <c r="GN414" s="70"/>
    </row>
    <row r="415" spans="1:196" s="382" customFormat="1" hidden="1" outlineLevel="1">
      <c r="A415" s="381" t="s">
        <v>309</v>
      </c>
      <c r="CP415" s="66">
        <f>CP412/CP188</f>
        <v>0.35797880434782609</v>
      </c>
      <c r="CQ415" s="66">
        <f>CQ412/CQ188</f>
        <v>0.35510963218390806</v>
      </c>
      <c r="CR415" s="66">
        <f>CR412/CR188</f>
        <v>0.36867177966101694</v>
      </c>
      <c r="CS415" s="66">
        <f>CS412/CS188</f>
        <v>0.35435599999999995</v>
      </c>
      <c r="CT415" s="66">
        <f>CT412/CT188</f>
        <v>0.36997433389544687</v>
      </c>
      <c r="CU415" s="66">
        <f>CU412/CU188</f>
        <v>0.38116030349013658</v>
      </c>
      <c r="CV415" s="66">
        <f>CV412/CV188</f>
        <v>0.36736269841269842</v>
      </c>
      <c r="CW415" s="66">
        <f>CW412/CW188</f>
        <v>0.37736091858037585</v>
      </c>
      <c r="CX415" s="66">
        <f>CX412/CX188</f>
        <v>0.39499728821110508</v>
      </c>
      <c r="CY415" s="66">
        <f>CY412/CY188</f>
        <v>0.4089112966160221</v>
      </c>
      <c r="CZ415" s="66">
        <f>CZ412/CZ188</f>
        <v>0.38772539917377397</v>
      </c>
      <c r="DA415" s="66">
        <f>DA412/DA188</f>
        <v>0.43191063034989852</v>
      </c>
      <c r="DB415" s="66">
        <f>DB412/DB188</f>
        <v>0.41166357767749695</v>
      </c>
      <c r="DC415" s="66">
        <f>DC412/DC188</f>
        <v>0.42664331931170213</v>
      </c>
      <c r="DD415" s="66">
        <f>DD412/DD188</f>
        <v>0.43044323896943576</v>
      </c>
      <c r="DE415" s="66">
        <f>DE412/DE188</f>
        <v>0.4212146304806399</v>
      </c>
      <c r="DF415" s="66">
        <f>DF412/DF188</f>
        <v>0.42863056609874822</v>
      </c>
      <c r="DG415" s="66">
        <f>DG412/DG188</f>
        <v>0.41740882101926363</v>
      </c>
      <c r="DH415" s="66">
        <f>DH412/DH188</f>
        <v>0.46886352589482105</v>
      </c>
      <c r="DI415" s="66">
        <f>DI412/DI188</f>
        <v>0.48306746095153069</v>
      </c>
      <c r="DJ415" s="33">
        <f>DJ412/DJ188</f>
        <v>0.48336656963179914</v>
      </c>
      <c r="DK415" s="33">
        <f>DK412/DK188</f>
        <v>0.48705846960450971</v>
      </c>
      <c r="DL415" s="33">
        <f>DL412/DL188</f>
        <v>0.49361862339797052</v>
      </c>
      <c r="DM415" s="33">
        <f>DM412/DM188</f>
        <v>0.51155609068627461</v>
      </c>
      <c r="DN415" s="33">
        <f>DN412/DN188</f>
        <v>0.50471103320544852</v>
      </c>
      <c r="DO415" s="33">
        <f>DO412/DO188</f>
        <v>0.48899052197736292</v>
      </c>
      <c r="DP415" s="33">
        <f>DP412/DP188</f>
        <v>0.28811654113794005</v>
      </c>
      <c r="DQ415" s="33">
        <f>DQ412/DQ188</f>
        <v>0.30701507838275455</v>
      </c>
      <c r="DR415" s="33">
        <f>DR412/DR188</f>
        <v>0.32339379378993993</v>
      </c>
      <c r="DS415" s="33">
        <f>DS412/DS188</f>
        <v>0.35710543358788227</v>
      </c>
      <c r="DT415" s="33">
        <f>DT412/DT188</f>
        <v>0.41898160820803454</v>
      </c>
      <c r="DU415" s="33">
        <f>DU412/DU188</f>
        <v>0.4059523223390879</v>
      </c>
      <c r="DV415" s="66">
        <f>DV412/DV188</f>
        <v>0.46110016330483133</v>
      </c>
      <c r="DW415" s="66">
        <f>DW412/DW188</f>
        <v>0.44107503959786704</v>
      </c>
      <c r="DX415" s="66">
        <f>DX412/DX188</f>
        <v>0.44827422131471384</v>
      </c>
      <c r="DY415" s="66">
        <f>DY412/DY188</f>
        <v>0.45565195881851012</v>
      </c>
      <c r="DZ415" s="66">
        <f>DZ412/DZ188</f>
        <v>0.44128436824269329</v>
      </c>
      <c r="EA415" s="66">
        <f>EA412/EA188</f>
        <v>0.2579259409755279</v>
      </c>
      <c r="EB415" s="66">
        <f>EB412/EB188</f>
        <v>0.49211654454947923</v>
      </c>
      <c r="EC415" s="66">
        <f>EC412/EC188</f>
        <v>0.51511257345976957</v>
      </c>
      <c r="ED415" s="66">
        <f>ED412/ED188</f>
        <v>0.47984009608228245</v>
      </c>
      <c r="EE415" s="149">
        <f>EE412/EE188</f>
        <v>0.46598396276170234</v>
      </c>
      <c r="EF415" s="149">
        <f>EF412/EF188</f>
        <v>0.46596503599682587</v>
      </c>
      <c r="EG415" s="149">
        <f>EG412/EG188</f>
        <v>0.46589924159940521</v>
      </c>
      <c r="EH415" s="149">
        <f>EH412/EH188</f>
        <v>0.46755327382598438</v>
      </c>
      <c r="EI415" s="149">
        <f>EI412/EI188</f>
        <v>0.46690082937930949</v>
      </c>
      <c r="EJ415" s="149">
        <f>EJ412/EJ188</f>
        <v>0.46843865576255944</v>
      </c>
      <c r="EK415" s="149">
        <f>EK412/EK188</f>
        <v>0.46773813510756906</v>
      </c>
      <c r="EL415" s="149">
        <f>EL412/EL188</f>
        <v>0.47170344437122358</v>
      </c>
      <c r="EM415" s="149">
        <f>EM412/EM188</f>
        <v>0.47153600672002655</v>
      </c>
      <c r="EN415" s="149">
        <f>EN412/EN188</f>
        <v>0.47557016274614028</v>
      </c>
      <c r="EO415" s="149">
        <f>EO412/EO188</f>
        <v>0.47531979684419556</v>
      </c>
      <c r="EP415" s="149">
        <f>EP412/EP188</f>
        <v>0.47930191722920623</v>
      </c>
      <c r="EQ415" s="149">
        <f>EQ412/EQ188</f>
        <v>0.47911471087867863</v>
      </c>
      <c r="ER415" s="149">
        <f>ER412/ER188</f>
        <v>0.48330223588801885</v>
      </c>
      <c r="ES415" s="149">
        <f>ES412/ES188</f>
        <v>0.48321338375879908</v>
      </c>
      <c r="ET415" s="149">
        <f>ET412/ET188</f>
        <v>0.48761053221125611</v>
      </c>
      <c r="EU415" s="149">
        <f>EU412/EU188</f>
        <v>0.48745999350646307</v>
      </c>
      <c r="EV415" s="149">
        <f>EV412/EV188</f>
        <v>0.49172875042529313</v>
      </c>
      <c r="EW415" s="149">
        <f>EW412/EW188</f>
        <v>0.49162602760659518</v>
      </c>
      <c r="FW415" s="66">
        <f>FW412/FW188</f>
        <v>0.35880509405185562</v>
      </c>
      <c r="FX415" s="66">
        <f>FX412/FX188</f>
        <v>0.37403804225817106</v>
      </c>
      <c r="FY415" s="66">
        <f>FY412/FY188</f>
        <v>0.40583029101342594</v>
      </c>
      <c r="FZ415" s="66">
        <f>FZ412/FZ188</f>
        <v>0.42311349373260215</v>
      </c>
      <c r="GA415" s="66">
        <f>GA412/GA188</f>
        <v>0.45326124588230726</v>
      </c>
      <c r="GB415" s="66">
        <f>GB412/GB188</f>
        <v>0.49469671561065071</v>
      </c>
      <c r="GC415" s="66">
        <f>GC412/GC188</f>
        <v>0.43510903525386191</v>
      </c>
      <c r="GD415" s="66">
        <f>GD412/GD188</f>
        <v>0.38538201977192671</v>
      </c>
      <c r="GE415" s="66">
        <f>GE412/(GE105+GE125+GE129+GE137+GE149+GE153)</f>
        <v>0.43613523167348012</v>
      </c>
      <c r="GF415" s="66">
        <f>GF412/(GF105+GF125+GF129+GF137+GF149+GF153)</f>
        <v>0.43348498725415124</v>
      </c>
      <c r="GG415" s="498">
        <f>GG412/(GG105+GG125+GG129+GG137+GG149+GG153)</f>
        <v>0.45365946081258418</v>
      </c>
      <c r="GH415" s="498">
        <f>GH412/(GH105+GH125+GH129+GH137+GH149+GH153)</f>
        <v>0.46070482169261368</v>
      </c>
      <c r="GI415" s="498">
        <f>GI412/(GI105+GI125+GI129+GI137+GI149+GI153)</f>
        <v>0.46762367920377573</v>
      </c>
      <c r="GJ415" s="498">
        <f>GJ412/(GJ105+GJ125+GJ129+GJ137+GJ149+GJ153)</f>
        <v>0.47601084722539266</v>
      </c>
      <c r="GK415" s="498">
        <f>GK412/(GK105+GK125+GK129+GK137+GK149+GK153)</f>
        <v>0.48482180642170364</v>
      </c>
      <c r="GN415" s="70"/>
    </row>
    <row r="416" spans="1:196" s="376" customFormat="1" hidden="1" outlineLevel="1">
      <c r="A416" s="395" t="s">
        <v>279</v>
      </c>
      <c r="CP416" s="114">
        <f>CP419*CP195</f>
        <v>116.21961</v>
      </c>
      <c r="CQ416" s="114">
        <f>CQ419*CQ195</f>
        <v>102.99160000000001</v>
      </c>
      <c r="CR416" s="114">
        <f>CR419*CR195</f>
        <v>113.44578000000001</v>
      </c>
      <c r="CS416" s="114">
        <f>CS419*CS195</f>
        <v>131.92979999999997</v>
      </c>
      <c r="CT416" s="114">
        <f>CT419*CT195</f>
        <v>153.21852000000001</v>
      </c>
      <c r="CU416" s="114">
        <f>CU419*CU195</f>
        <v>158.72032000000002</v>
      </c>
      <c r="CV416" s="114">
        <f>CV419*CV195</f>
        <v>159.0094</v>
      </c>
      <c r="CW416" s="114">
        <f>CW419*CW195</f>
        <v>170.14410000000001</v>
      </c>
      <c r="CX416" s="114">
        <f>CX419*CX195</f>
        <v>172.4572077133013</v>
      </c>
      <c r="CY416" s="114">
        <f>CY419*CY195</f>
        <v>193.05975232499998</v>
      </c>
      <c r="CZ416" s="114">
        <f>CZ419*CZ195</f>
        <v>248.8495691</v>
      </c>
      <c r="DA416" s="114">
        <f>DA419*DA195</f>
        <v>286.23690777499996</v>
      </c>
      <c r="DB416" s="114">
        <f>DB419*DB195</f>
        <v>253.7448661</v>
      </c>
      <c r="DC416" s="114">
        <f>DC419*DC195</f>
        <v>284.352794211</v>
      </c>
      <c r="DD416" s="114">
        <f>DD419*DD195</f>
        <v>423.25845239999995</v>
      </c>
      <c r="DE416" s="114">
        <f>DE419*DE195</f>
        <v>496.69456511999999</v>
      </c>
      <c r="DF416" s="114">
        <f>DF419*DF195</f>
        <v>477.76418314999995</v>
      </c>
      <c r="DG416" s="114">
        <f>DG419*DG195</f>
        <v>455.73975000000002</v>
      </c>
      <c r="DH416" s="114">
        <f>DH419*DH195</f>
        <v>642.30159900000001</v>
      </c>
      <c r="DI416" s="114">
        <f>DI419*DI195</f>
        <v>795.79766422000012</v>
      </c>
      <c r="DJ416" s="148">
        <f>DJ419*DJ195</f>
        <v>826.09584728190964</v>
      </c>
      <c r="DK416" s="148">
        <f>DK419*DK195</f>
        <v>856.01994170305454</v>
      </c>
      <c r="DL416" s="148">
        <f>DL419*DL195</f>
        <v>850.00804087500001</v>
      </c>
      <c r="DM416" s="148">
        <f>DM419*DM195</f>
        <v>971.70720500000016</v>
      </c>
      <c r="DN416" s="148">
        <f>DN419*DN195</f>
        <v>1095.6944583750001</v>
      </c>
      <c r="DO416" s="148">
        <f>DO419*DO195</f>
        <v>1094.3781097600001</v>
      </c>
      <c r="DP416" s="148">
        <f>DP419*DP195</f>
        <v>257.94610055999999</v>
      </c>
      <c r="DQ416" s="148">
        <f>DQ419*DQ195</f>
        <v>246.55617442490382</v>
      </c>
      <c r="DR416" s="148">
        <f>DR419*DR195</f>
        <v>213.66809087847446</v>
      </c>
      <c r="DS416" s="148">
        <f>DS419*DS195</f>
        <v>328.10039856178048</v>
      </c>
      <c r="DT416" s="148">
        <f>DT419*DT195</f>
        <v>590.68692774741885</v>
      </c>
      <c r="DU416" s="148">
        <f>DU419*DU195</f>
        <v>597.41015226499997</v>
      </c>
      <c r="DV416" s="114">
        <f>DV419*(DV195+DV117)</f>
        <v>588.24</v>
      </c>
      <c r="DW416" s="114">
        <f>DW419*(DW195+DW117)</f>
        <v>626.64</v>
      </c>
      <c r="DX416" s="114">
        <f>DX419*(DX195+DX117)</f>
        <v>808.83</v>
      </c>
      <c r="DY416" s="114">
        <f>DY419*(DY195+DY117)</f>
        <v>1040.8500000000001</v>
      </c>
      <c r="DZ416" s="114">
        <f>DZ419*(DZ195+DZ117)</f>
        <v>1043.77</v>
      </c>
      <c r="EA416" s="114">
        <f>EA419*(EA195+EA117)</f>
        <v>1149.54</v>
      </c>
      <c r="EB416" s="114">
        <f>EB419*(EB195+EB117)</f>
        <v>1320</v>
      </c>
      <c r="EC416" s="114">
        <f>EC419*(EC195+EC117)</f>
        <v>1486.56</v>
      </c>
      <c r="ED416" s="114">
        <f>ED419*(ED195+ED117)</f>
        <v>1355.9499999999998</v>
      </c>
      <c r="EE416" s="153">
        <f>EE419*(EE195+EE117)</f>
        <v>1349.8103325788375</v>
      </c>
      <c r="EF416" s="153">
        <f>EF419*(EF195+EF117)</f>
        <v>1312.5320852256953</v>
      </c>
      <c r="EG416" s="153">
        <f>EG419*(EG195+EG117)</f>
        <v>1303.8512295546332</v>
      </c>
      <c r="EH416" s="153">
        <f>EH419*(EH195+EH117)</f>
        <v>1265.8244728428883</v>
      </c>
      <c r="EI416" s="153">
        <f>EI419*(EI195+EI117)</f>
        <v>1346.9192690926966</v>
      </c>
      <c r="EJ416" s="153">
        <f>EJ419*(EJ195+EJ117)</f>
        <v>1498.2326612257518</v>
      </c>
      <c r="EK416" s="153">
        <f>EK419*(EK195+EK117)</f>
        <v>1595.8542254323243</v>
      </c>
      <c r="EL416" s="153">
        <f>EL419*(EL195+EL117)</f>
        <v>1422.1348776335701</v>
      </c>
      <c r="EM416" s="153">
        <f>EM419*(EM195+EM117)</f>
        <v>1451.5600936876585</v>
      </c>
      <c r="EN416" s="153">
        <f>EN419*(EN195+EN117)</f>
        <v>1510.5535477953858</v>
      </c>
      <c r="EO416" s="153">
        <f>EO419*(EO195+EO117)</f>
        <v>1595.5641551716992</v>
      </c>
      <c r="EP416" s="153">
        <f>EP419*(EP195+EP117)</f>
        <v>1451.3893742473485</v>
      </c>
      <c r="EQ416" s="153">
        <f>EQ419*(EQ195+EQ117)</f>
        <v>1495.6822448744363</v>
      </c>
      <c r="ER416" s="153">
        <f>ER419*(ER195+ER117)</f>
        <v>1563.5996886264013</v>
      </c>
      <c r="ES416" s="153">
        <f>ES419*(ES195+ES117)</f>
        <v>1642.8970924046077</v>
      </c>
      <c r="ET416" s="153">
        <f>ET419*(ET195+ET117)</f>
        <v>1492.9293309707739</v>
      </c>
      <c r="EU416" s="153">
        <f>EU419*(EU195+EU117)</f>
        <v>1530.9754191205807</v>
      </c>
      <c r="EV416" s="153">
        <f>EV419*(EV195+EV117)</f>
        <v>1600.8036115296502</v>
      </c>
      <c r="EW416" s="153">
        <f>EW419*(EW195+EW117)</f>
        <v>1690.5286814670983</v>
      </c>
      <c r="FW416" s="376">
        <f>CP416+CQ416+CR416+CS416</f>
        <v>464.58678999999995</v>
      </c>
      <c r="FX416" s="376">
        <f>CT416+CU416+CV416+CW416</f>
        <v>641.09234000000004</v>
      </c>
      <c r="FY416" s="376">
        <f>CX416+CY416+CZ416+DA416</f>
        <v>900.60343691330127</v>
      </c>
      <c r="FZ416" s="376">
        <f>DB416+DC416+DD416+DE416</f>
        <v>1458.050677831</v>
      </c>
      <c r="GA416" s="376">
        <f>SUM(DF416:DI416)</f>
        <v>2371.6031963700002</v>
      </c>
      <c r="GB416" s="376">
        <f>SUM(DJ416:DM416)</f>
        <v>3503.8310348599643</v>
      </c>
      <c r="GC416" s="376">
        <f>SUM(DN416:DQ416)</f>
        <v>2694.5748431199045</v>
      </c>
      <c r="GD416" s="376">
        <f>SUM(DR416:DU416)</f>
        <v>1729.8655694526738</v>
      </c>
      <c r="GE416" s="376">
        <f>SUM(DV416:DY416)</f>
        <v>3064.5600000000004</v>
      </c>
      <c r="GF416" s="376">
        <f>SUM(DZ416:EC416)</f>
        <v>4999.87</v>
      </c>
      <c r="GG416" s="380">
        <f>SUM(ED416:EG416)</f>
        <v>5322.1436473591657</v>
      </c>
      <c r="GH416" s="380">
        <f>SUM(EH416:EK416)</f>
        <v>5706.8306285936615</v>
      </c>
      <c r="GI416" s="380">
        <f>SUM(EL416:EO416)</f>
        <v>5979.8126742883132</v>
      </c>
      <c r="GJ416" s="380">
        <f>SUM(EP416:ES416)</f>
        <v>6153.5684001527943</v>
      </c>
      <c r="GK416" s="380">
        <f>SUM(ET416:EW416)</f>
        <v>6315.2370430881028</v>
      </c>
      <c r="GN416" s="70"/>
    </row>
    <row r="417" spans="1:196" s="382" customFormat="1" hidden="1" outlineLevel="1">
      <c r="A417" s="396" t="s">
        <v>198</v>
      </c>
      <c r="CP417" s="66"/>
      <c r="CQ417" s="382">
        <f t="shared" ref="CQ417:EH417" si="787">CQ416/CP416-1</f>
        <v>-0.11381908784584627</v>
      </c>
      <c r="CR417" s="382">
        <f t="shared" si="787"/>
        <v>0.10150517129552328</v>
      </c>
      <c r="CS417" s="382">
        <f t="shared" si="787"/>
        <v>0.16293263618972831</v>
      </c>
      <c r="CT417" s="382">
        <f t="shared" si="787"/>
        <v>0.16136399812627666</v>
      </c>
      <c r="CU417" s="382">
        <f t="shared" si="787"/>
        <v>3.5908191777338727E-2</v>
      </c>
      <c r="CV417" s="382">
        <f t="shared" si="787"/>
        <v>1.8213168925060863E-3</v>
      </c>
      <c r="CW417" s="382">
        <f t="shared" si="787"/>
        <v>7.0025419880837214E-2</v>
      </c>
      <c r="CX417" s="382">
        <f t="shared" si="787"/>
        <v>1.3594992205438139E-2</v>
      </c>
      <c r="CY417" s="382">
        <f t="shared" si="787"/>
        <v>0.11946467697626795</v>
      </c>
      <c r="CZ417" s="382">
        <f t="shared" si="787"/>
        <v>0.28897694161071197</v>
      </c>
      <c r="DA417" s="382">
        <f t="shared" si="787"/>
        <v>0.15024072097137475</v>
      </c>
      <c r="DB417" s="382">
        <f t="shared" si="787"/>
        <v>-0.11351450771170546</v>
      </c>
      <c r="DC417" s="382">
        <f t="shared" si="787"/>
        <v>0.12062481728768271</v>
      </c>
      <c r="DD417" s="382">
        <f t="shared" si="787"/>
        <v>0.48849760233383521</v>
      </c>
      <c r="DE417" s="382">
        <f t="shared" si="787"/>
        <v>0.17350182212214715</v>
      </c>
      <c r="DF417" s="382">
        <f t="shared" si="787"/>
        <v>-3.811272218254802E-2</v>
      </c>
      <c r="DG417" s="382">
        <f t="shared" si="787"/>
        <v>-4.6098962473051452E-2</v>
      </c>
      <c r="DH417" s="382">
        <f t="shared" si="787"/>
        <v>0.40936049357116633</v>
      </c>
      <c r="DI417" s="382">
        <f t="shared" si="787"/>
        <v>0.23897817701057922</v>
      </c>
      <c r="DJ417" s="383">
        <f t="shared" si="787"/>
        <v>3.8072721778602103E-2</v>
      </c>
      <c r="DK417" s="383">
        <f t="shared" si="787"/>
        <v>3.6223513917426953E-2</v>
      </c>
      <c r="DL417" s="383">
        <f t="shared" si="787"/>
        <v>-7.0230850184329618E-3</v>
      </c>
      <c r="DM417" s="383">
        <f t="shared" si="787"/>
        <v>0.1431741327996412</v>
      </c>
      <c r="DN417" s="383">
        <f t="shared" si="787"/>
        <v>0.12759733872200729</v>
      </c>
      <c r="DO417" s="383">
        <f t="shared" si="787"/>
        <v>-1.2013829265433706E-3</v>
      </c>
      <c r="DP417" s="383">
        <f t="shared" si="787"/>
        <v>-0.76429892168021507</v>
      </c>
      <c r="DQ417" s="383">
        <f t="shared" si="787"/>
        <v>-4.4156225313616626E-2</v>
      </c>
      <c r="DR417" s="383">
        <f t="shared" si="787"/>
        <v>-0.13338981926995475</v>
      </c>
      <c r="DS417" s="383">
        <f t="shared" si="787"/>
        <v>0.53556105271886567</v>
      </c>
      <c r="DT417" s="383">
        <f t="shared" si="787"/>
        <v>0.80032371291433835</v>
      </c>
      <c r="DU417" s="383">
        <f t="shared" si="787"/>
        <v>1.1382043857344426E-2</v>
      </c>
      <c r="DV417" s="382">
        <f t="shared" si="787"/>
        <v>-1.5349843370141225E-2</v>
      </c>
      <c r="DW417" s="382">
        <f t="shared" si="787"/>
        <v>6.5279477764177862E-2</v>
      </c>
      <c r="DX417" s="382">
        <f>DX416/DW416-1</f>
        <v>0.29074109536576032</v>
      </c>
      <c r="DY417" s="382">
        <f t="shared" si="787"/>
        <v>0.28685879603872277</v>
      </c>
      <c r="DZ417" s="382">
        <f t="shared" si="787"/>
        <v>2.8053994331553866E-3</v>
      </c>
      <c r="EA417" s="382">
        <f t="shared" si="787"/>
        <v>0.10133458520555294</v>
      </c>
      <c r="EB417" s="382">
        <f t="shared" si="787"/>
        <v>0.14828540111696853</v>
      </c>
      <c r="EC417" s="382">
        <f t="shared" si="787"/>
        <v>0.12618181818181817</v>
      </c>
      <c r="ED417" s="382">
        <f t="shared" si="787"/>
        <v>-8.7860563986653872E-2</v>
      </c>
      <c r="EE417" s="384">
        <f t="shared" si="787"/>
        <v>-4.5279452938252751E-3</v>
      </c>
      <c r="EF417" s="384">
        <f t="shared" si="787"/>
        <v>-2.7617396647069192E-2</v>
      </c>
      <c r="EG417" s="384">
        <f t="shared" si="787"/>
        <v>-6.6138235924110278E-3</v>
      </c>
      <c r="EH417" s="384">
        <f t="shared" si="787"/>
        <v>-2.9164950609230078E-2</v>
      </c>
      <c r="EI417" s="384">
        <f>EI416/EH416-1</f>
        <v>6.406480360399347E-2</v>
      </c>
      <c r="EJ417" s="384">
        <f>EJ416/EI416-1</f>
        <v>0.11234035744026594</v>
      </c>
      <c r="EK417" s="384">
        <f>EK416/EJ416-1</f>
        <v>6.5157813424455036E-2</v>
      </c>
      <c r="EL417" s="384">
        <f t="shared" ref="EL417" si="788">EL416/EK416-1</f>
        <v>-0.10885665183591109</v>
      </c>
      <c r="EM417" s="384">
        <f>EM416/EL416-1</f>
        <v>2.0690875750865478E-2</v>
      </c>
      <c r="EN417" s="384">
        <f>EN416/EM416-1</f>
        <v>4.064141358271689E-2</v>
      </c>
      <c r="EO417" s="384">
        <f>EO416/EN416-1</f>
        <v>5.6277784723609559E-2</v>
      </c>
      <c r="EP417" s="384">
        <f t="shared" ref="EP417" si="789">EP416/EO416-1</f>
        <v>-9.0359751726082127E-2</v>
      </c>
      <c r="EQ417" s="384">
        <f>EQ416/EP416-1</f>
        <v>3.0517565729084151E-2</v>
      </c>
      <c r="ER417" s="384">
        <f>ER416/EQ416-1</f>
        <v>4.5409005813040748E-2</v>
      </c>
      <c r="ES417" s="384">
        <f>ES416/ER416-1</f>
        <v>5.0714645414049686E-2</v>
      </c>
      <c r="ET417" s="384">
        <f t="shared" ref="ET417" si="790">ET416/ES416-1</f>
        <v>-9.1282504623789507E-2</v>
      </c>
      <c r="EU417" s="384">
        <f>EU416/ET416-1</f>
        <v>2.548418559441612E-2</v>
      </c>
      <c r="EV417" s="384">
        <f>EV416/EU416-1</f>
        <v>4.5610263585538213E-2</v>
      </c>
      <c r="EW417" s="384">
        <f>EW416/EV416-1</f>
        <v>5.6050017185875323E-2</v>
      </c>
      <c r="FX417" s="449"/>
      <c r="FY417" s="449"/>
      <c r="FZ417" s="386" t="s">
        <v>199</v>
      </c>
      <c r="GA417" s="386" t="s">
        <v>199</v>
      </c>
      <c r="GB417" s="386" t="s">
        <v>199</v>
      </c>
      <c r="GC417" s="386" t="s">
        <v>199</v>
      </c>
      <c r="GD417" s="386" t="s">
        <v>199</v>
      </c>
      <c r="GE417" s="386" t="s">
        <v>199</v>
      </c>
      <c r="GF417" s="386" t="s">
        <v>199</v>
      </c>
      <c r="GG417" s="467" t="s">
        <v>199</v>
      </c>
      <c r="GH417" s="467" t="s">
        <v>199</v>
      </c>
      <c r="GI417" s="467" t="s">
        <v>199</v>
      </c>
      <c r="GJ417" s="467" t="s">
        <v>199</v>
      </c>
      <c r="GK417" s="467" t="s">
        <v>199</v>
      </c>
      <c r="GN417" s="70"/>
    </row>
    <row r="418" spans="1:196" s="382" customFormat="1" hidden="1" outlineLevel="1">
      <c r="A418" s="396" t="s">
        <v>200</v>
      </c>
      <c r="CP418" s="66"/>
      <c r="CQ418" s="66"/>
      <c r="CR418" s="66"/>
      <c r="CS418" s="66"/>
      <c r="CT418" s="382">
        <f t="shared" ref="CT418:EW418" si="791">CT416/CP416-1</f>
        <v>0.31835341729334665</v>
      </c>
      <c r="CU418" s="382">
        <f t="shared" si="791"/>
        <v>0.54109966249674746</v>
      </c>
      <c r="CV418" s="382">
        <f t="shared" si="791"/>
        <v>0.40163344991766103</v>
      </c>
      <c r="CW418" s="382">
        <f t="shared" si="791"/>
        <v>0.28965631722325091</v>
      </c>
      <c r="CX418" s="382">
        <f t="shared" si="791"/>
        <v>0.12556372240967528</v>
      </c>
      <c r="CY418" s="382">
        <f t="shared" si="791"/>
        <v>0.21635183399957847</v>
      </c>
      <c r="CZ418" s="382">
        <f t="shared" si="791"/>
        <v>0.56499910759992811</v>
      </c>
      <c r="DA418" s="382">
        <f t="shared" si="791"/>
        <v>0.68232050229775787</v>
      </c>
      <c r="DB418" s="382">
        <f t="shared" si="791"/>
        <v>0.47134973054784735</v>
      </c>
      <c r="DC418" s="382">
        <f t="shared" si="791"/>
        <v>0.47287454162023268</v>
      </c>
      <c r="DD418" s="382">
        <f t="shared" si="791"/>
        <v>0.70086070042546011</v>
      </c>
      <c r="DE418" s="382">
        <f t="shared" si="791"/>
        <v>0.73525688556708713</v>
      </c>
      <c r="DF418" s="382">
        <f t="shared" si="791"/>
        <v>0.8828526089734352</v>
      </c>
      <c r="DG418" s="382">
        <f t="shared" si="791"/>
        <v>0.60272646964680332</v>
      </c>
      <c r="DH418" s="382">
        <f t="shared" si="791"/>
        <v>0.51751629614945904</v>
      </c>
      <c r="DI418" s="382">
        <f t="shared" si="791"/>
        <v>0.60218717921291853</v>
      </c>
      <c r="DJ418" s="383">
        <f t="shared" si="791"/>
        <v>0.7290870191132488</v>
      </c>
      <c r="DK418" s="383">
        <f t="shared" si="791"/>
        <v>0.87830870952787099</v>
      </c>
      <c r="DL418" s="383">
        <f t="shared" si="791"/>
        <v>0.32337836648449625</v>
      </c>
      <c r="DM418" s="383">
        <f t="shared" si="791"/>
        <v>0.22104807376183677</v>
      </c>
      <c r="DN418" s="383">
        <f t="shared" si="791"/>
        <v>0.32635270105780889</v>
      </c>
      <c r="DO418" s="383">
        <f t="shared" si="791"/>
        <v>0.27844931694316744</v>
      </c>
      <c r="DP418" s="383">
        <f t="shared" si="791"/>
        <v>-0.69653687005775877</v>
      </c>
      <c r="DQ418" s="383">
        <f t="shared" si="791"/>
        <v>-0.74626495187415665</v>
      </c>
      <c r="DR418" s="383">
        <f t="shared" si="791"/>
        <v>-0.80499299850857986</v>
      </c>
      <c r="DS418" s="383">
        <f t="shared" si="791"/>
        <v>-0.70019466248851259</v>
      </c>
      <c r="DT418" s="383">
        <f t="shared" si="791"/>
        <v>1.2899626180238424</v>
      </c>
      <c r="DU418" s="383">
        <f t="shared" si="791"/>
        <v>1.4230184202787401</v>
      </c>
      <c r="DV418" s="382">
        <f t="shared" si="791"/>
        <v>1.7530549722305824</v>
      </c>
      <c r="DW418" s="382">
        <f t="shared" si="791"/>
        <v>0.90990319654246088</v>
      </c>
      <c r="DX418" s="382">
        <f t="shared" si="791"/>
        <v>0.3693040458580461</v>
      </c>
      <c r="DY418" s="382">
        <f t="shared" si="791"/>
        <v>0.74227035823505472</v>
      </c>
      <c r="DZ418" s="382">
        <f t="shared" si="791"/>
        <v>0.7743948048415612</v>
      </c>
      <c r="EA418" s="382">
        <f t="shared" si="791"/>
        <v>0.83445040214477206</v>
      </c>
      <c r="EB418" s="382">
        <f t="shared" si="791"/>
        <v>0.631986944104447</v>
      </c>
      <c r="EC418" s="382">
        <f t="shared" si="791"/>
        <v>0.42821732238074617</v>
      </c>
      <c r="ED418" s="382">
        <f t="shared" si="791"/>
        <v>0.29908887973404097</v>
      </c>
      <c r="EE418" s="384">
        <f t="shared" si="791"/>
        <v>0.17421780240690832</v>
      </c>
      <c r="EF418" s="384">
        <f t="shared" si="791"/>
        <v>-5.657511192655118E-3</v>
      </c>
      <c r="EG418" s="384">
        <f t="shared" si="791"/>
        <v>-0.1229070945305718</v>
      </c>
      <c r="EH418" s="384">
        <f t="shared" si="791"/>
        <v>-6.6466703902881008E-2</v>
      </c>
      <c r="EI418" s="384">
        <f t="shared" si="791"/>
        <v>-2.1418294232623536E-3</v>
      </c>
      <c r="EJ418" s="384">
        <f t="shared" si="791"/>
        <v>0.14148269447304562</v>
      </c>
      <c r="EK418" s="384">
        <f t="shared" si="791"/>
        <v>0.22395422825764633</v>
      </c>
      <c r="EL418" s="384">
        <f t="shared" si="791"/>
        <v>0.12348505511165198</v>
      </c>
      <c r="EM418" s="384">
        <f t="shared" si="791"/>
        <v>7.7689010021698923E-2</v>
      </c>
      <c r="EN418" s="384">
        <f t="shared" si="791"/>
        <v>8.2236136539393101E-3</v>
      </c>
      <c r="EO418" s="384">
        <f t="shared" si="791"/>
        <v>-1.8176488554055847E-4</v>
      </c>
      <c r="EP418" s="384">
        <f t="shared" si="791"/>
        <v>2.0570831271966128E-2</v>
      </c>
      <c r="EQ418" s="384">
        <f t="shared" si="791"/>
        <v>3.0396365523308377E-2</v>
      </c>
      <c r="ER418" s="384">
        <f t="shared" si="791"/>
        <v>3.511702111350834E-2</v>
      </c>
      <c r="ES418" s="384">
        <f t="shared" si="791"/>
        <v>2.9665330021038772E-2</v>
      </c>
      <c r="ET418" s="384">
        <f t="shared" si="791"/>
        <v>2.8620821855587009E-2</v>
      </c>
      <c r="EU418" s="384">
        <f t="shared" si="791"/>
        <v>2.3596706029700432E-2</v>
      </c>
      <c r="EV418" s="384">
        <f t="shared" si="791"/>
        <v>2.3793764589408406E-2</v>
      </c>
      <c r="EW418" s="384">
        <f t="shared" si="791"/>
        <v>2.8992436156043855E-2</v>
      </c>
      <c r="FX418" s="382">
        <f t="shared" ref="FX418:GK418" si="792">FX416/FW416-1</f>
        <v>0.3799194333528082</v>
      </c>
      <c r="FY418" s="382">
        <f t="shared" si="792"/>
        <v>0.40479519208309567</v>
      </c>
      <c r="FZ418" s="382">
        <f t="shared" si="792"/>
        <v>0.61897081231254814</v>
      </c>
      <c r="GA418" s="382">
        <f t="shared" si="792"/>
        <v>0.6265574526517852</v>
      </c>
      <c r="GB418" s="382">
        <f t="shared" si="792"/>
        <v>0.47741031898715747</v>
      </c>
      <c r="GC418" s="382">
        <f t="shared" si="792"/>
        <v>-0.23096324671158208</v>
      </c>
      <c r="GD418" s="382">
        <f t="shared" si="792"/>
        <v>-0.35801910499180845</v>
      </c>
      <c r="GE418" s="382">
        <f t="shared" si="792"/>
        <v>0.77155962527748412</v>
      </c>
      <c r="GF418" s="382">
        <f t="shared" si="792"/>
        <v>0.63151316991672513</v>
      </c>
      <c r="GG418" s="384">
        <f t="shared" si="792"/>
        <v>6.4456405338372047E-2</v>
      </c>
      <c r="GH418" s="384">
        <f t="shared" si="792"/>
        <v>7.2280458161886774E-2</v>
      </c>
      <c r="GI418" s="384">
        <f t="shared" si="792"/>
        <v>4.783426449120376E-2</v>
      </c>
      <c r="GJ418" s="384">
        <f t="shared" si="792"/>
        <v>2.905705167180006E-2</v>
      </c>
      <c r="GK418" s="384">
        <f t="shared" si="792"/>
        <v>2.6272340278413742E-2</v>
      </c>
      <c r="GN418" s="70"/>
    </row>
    <row r="419" spans="1:196" s="382" customFormat="1" hidden="1" outlineLevel="1">
      <c r="A419" s="396" t="s">
        <v>309</v>
      </c>
      <c r="CP419" s="149">
        <v>0.40500000000000003</v>
      </c>
      <c r="CQ419" s="149">
        <v>0.4</v>
      </c>
      <c r="CR419" s="149">
        <v>0.42</v>
      </c>
      <c r="CS419" s="149">
        <v>0.41</v>
      </c>
      <c r="CT419" s="149">
        <v>0.42</v>
      </c>
      <c r="CU419" s="149">
        <v>0.44</v>
      </c>
      <c r="CV419" s="149">
        <v>0.44</v>
      </c>
      <c r="CW419" s="149">
        <v>0.45</v>
      </c>
      <c r="CX419" s="149">
        <v>0.47</v>
      </c>
      <c r="CY419" s="149">
        <v>0.48499999999999999</v>
      </c>
      <c r="CZ419" s="149">
        <v>0.44</v>
      </c>
      <c r="DA419" s="149">
        <v>0.45500000000000002</v>
      </c>
      <c r="DB419" s="149">
        <v>0.44</v>
      </c>
      <c r="DC419" s="149">
        <v>0.46500000000000002</v>
      </c>
      <c r="DD419" s="149">
        <v>0.48</v>
      </c>
      <c r="DE419" s="149">
        <v>0.48</v>
      </c>
      <c r="DF419" s="149">
        <v>0.48499999999999999</v>
      </c>
      <c r="DG419" s="149">
        <v>0.45</v>
      </c>
      <c r="DH419" s="150">
        <v>0.51</v>
      </c>
      <c r="DI419" s="150">
        <v>0.52</v>
      </c>
      <c r="DJ419" s="151">
        <v>0.52</v>
      </c>
      <c r="DK419" s="151">
        <f>DJ419</f>
        <v>0.52</v>
      </c>
      <c r="DL419" s="151">
        <v>0.52500000000000002</v>
      </c>
      <c r="DM419" s="151">
        <v>0.54500000000000004</v>
      </c>
      <c r="DN419" s="151">
        <v>0.53500000000000003</v>
      </c>
      <c r="DO419" s="151">
        <v>0.52</v>
      </c>
      <c r="DP419" s="151">
        <v>0.27</v>
      </c>
      <c r="DQ419" s="151">
        <v>0.28999999999999998</v>
      </c>
      <c r="DR419" s="151">
        <v>0.31</v>
      </c>
      <c r="DS419" s="151">
        <v>0.35</v>
      </c>
      <c r="DT419" s="151">
        <v>0.43</v>
      </c>
      <c r="DU419" s="151">
        <v>0.43</v>
      </c>
      <c r="DV419" s="150">
        <v>0.43</v>
      </c>
      <c r="DW419" s="150">
        <v>0.42</v>
      </c>
      <c r="DX419" s="150">
        <v>0.43</v>
      </c>
      <c r="DY419" s="150">
        <v>0.45</v>
      </c>
      <c r="DZ419" s="150">
        <v>0.45500000000000002</v>
      </c>
      <c r="EA419" s="150">
        <v>0.46</v>
      </c>
      <c r="EB419" s="150">
        <v>0.48</v>
      </c>
      <c r="EC419" s="150">
        <f t="shared" ref="EC419:EW419" si="793">EB419</f>
        <v>0.48</v>
      </c>
      <c r="ED419" s="150">
        <v>0.47</v>
      </c>
      <c r="EE419" s="150">
        <v>0.46</v>
      </c>
      <c r="EF419" s="150">
        <f t="shared" si="793"/>
        <v>0.46</v>
      </c>
      <c r="EG419" s="150">
        <f t="shared" si="793"/>
        <v>0.46</v>
      </c>
      <c r="EH419" s="150">
        <v>0.47</v>
      </c>
      <c r="EI419" s="150">
        <f t="shared" si="793"/>
        <v>0.47</v>
      </c>
      <c r="EJ419" s="150">
        <v>0.48</v>
      </c>
      <c r="EK419" s="150">
        <f t="shared" si="793"/>
        <v>0.48</v>
      </c>
      <c r="EL419" s="150">
        <f t="shared" si="793"/>
        <v>0.48</v>
      </c>
      <c r="EM419" s="150">
        <f t="shared" si="793"/>
        <v>0.48</v>
      </c>
      <c r="EN419" s="150">
        <f t="shared" si="793"/>
        <v>0.48</v>
      </c>
      <c r="EO419" s="150">
        <f t="shared" si="793"/>
        <v>0.48</v>
      </c>
      <c r="EP419" s="150">
        <f t="shared" si="793"/>
        <v>0.48</v>
      </c>
      <c r="EQ419" s="150">
        <f t="shared" si="793"/>
        <v>0.48</v>
      </c>
      <c r="ER419" s="150">
        <f t="shared" si="793"/>
        <v>0.48</v>
      </c>
      <c r="ES419" s="150">
        <f t="shared" si="793"/>
        <v>0.48</v>
      </c>
      <c r="ET419" s="150">
        <f t="shared" si="793"/>
        <v>0.48</v>
      </c>
      <c r="EU419" s="150">
        <f t="shared" si="793"/>
        <v>0.48</v>
      </c>
      <c r="EV419" s="150">
        <f t="shared" si="793"/>
        <v>0.48</v>
      </c>
      <c r="EW419" s="150">
        <f t="shared" si="793"/>
        <v>0.48</v>
      </c>
      <c r="FW419" s="382">
        <f>FW416/FW195</f>
        <v>0.40884847711492256</v>
      </c>
      <c r="FX419" s="382">
        <f>FX416/FX195</f>
        <v>0.43760061487341101</v>
      </c>
      <c r="FY419" s="382">
        <f>FY416/FY195</f>
        <v>0.45957340939345676</v>
      </c>
      <c r="FZ419" s="382">
        <f>FZ416/FZ195</f>
        <v>0.4696158639075953</v>
      </c>
      <c r="GA419" s="382">
        <f>GA416/GA195</f>
        <v>0.4953605005805029</v>
      </c>
      <c r="GB419" s="382">
        <f>GB416/GB195</f>
        <v>0.52793584904713575</v>
      </c>
      <c r="GC419" s="382">
        <f>GC416/GC195</f>
        <v>0.45225025680463826</v>
      </c>
      <c r="GD419" s="382">
        <f>GD416/GD195</f>
        <v>0.39407392886308734</v>
      </c>
      <c r="GE419" s="382">
        <f>GE416/(GE195+GE117)</f>
        <v>0.43444286929401765</v>
      </c>
      <c r="GF419" s="382">
        <f>GF416/(GF195+GF117)</f>
        <v>0.46991259398496238</v>
      </c>
      <c r="GG419" s="498">
        <f>GG416/(GG195+GG117)</f>
        <v>0.46250713466588439</v>
      </c>
      <c r="GH419" s="498">
        <f>GH416/(GH195+GH117)</f>
        <v>0.47536942186121045</v>
      </c>
      <c r="GI419" s="498">
        <f>GI416/(GI195+GI117)</f>
        <v>0.48</v>
      </c>
      <c r="GJ419" s="498">
        <f>GJ416/(GJ195+GJ117)</f>
        <v>0.48000000000000009</v>
      </c>
      <c r="GK419" s="498">
        <f>GK416/(GK195+GK117)</f>
        <v>0.48</v>
      </c>
      <c r="GN419" s="70"/>
    </row>
    <row r="420" spans="1:196" s="376" customFormat="1" hidden="1" outlineLevel="1">
      <c r="A420" s="395" t="s">
        <v>289</v>
      </c>
      <c r="CP420" s="114">
        <f>CP423*CP246</f>
        <v>48.450640000000007</v>
      </c>
      <c r="CQ420" s="114">
        <f>CQ423*CQ246</f>
        <v>51.481090000000002</v>
      </c>
      <c r="CR420" s="114">
        <f>CR423*CR246</f>
        <v>60.567299999999989</v>
      </c>
      <c r="CS420" s="114">
        <f>CS423*CS246</f>
        <v>80.683800000000005</v>
      </c>
      <c r="CT420" s="114">
        <f>CT423*CT246</f>
        <v>66.176259999999985</v>
      </c>
      <c r="CU420" s="114">
        <f>CU423*CU246</f>
        <v>92.464320000000001</v>
      </c>
      <c r="CV420" s="114">
        <f>CV423*CV246</f>
        <v>141.86064999999999</v>
      </c>
      <c r="CW420" s="114">
        <f>CW423*CW246</f>
        <v>191.36766000000003</v>
      </c>
      <c r="CX420" s="114">
        <f>CX423*CX246</f>
        <v>265.56476864208094</v>
      </c>
      <c r="CY420" s="114">
        <f>CY423*CY246</f>
        <v>247.65791580000001</v>
      </c>
      <c r="CZ420" s="114">
        <f>CZ423*CZ246</f>
        <v>100.556855325</v>
      </c>
      <c r="DA420" s="114">
        <f>DA423*DA246</f>
        <v>89.226973750000013</v>
      </c>
      <c r="DB420" s="114">
        <f>DB423*DB246</f>
        <v>55.947566949999995</v>
      </c>
      <c r="DC420" s="114">
        <f>DC423*DC246</f>
        <v>88.691925942000012</v>
      </c>
      <c r="DD420" s="114">
        <f>DD423*(DD250+DD262)</f>
        <v>83.487120525000009</v>
      </c>
      <c r="DE420" s="114">
        <f>DE423*(DE250+DE262)</f>
        <v>141.23915073882353</v>
      </c>
      <c r="DF420" s="114">
        <f>DF423*(DF250+DF262)</f>
        <v>121.7765709</v>
      </c>
      <c r="DG420" s="114">
        <f>DG423*(DG250+DG262)</f>
        <v>90.293108333333322</v>
      </c>
      <c r="DH420" s="114">
        <f>DH423*(DH250+DH262)</f>
        <v>118.09100011594205</v>
      </c>
      <c r="DI420" s="114">
        <f>DI423*(DI250+DI262)</f>
        <v>127.91455924499998</v>
      </c>
      <c r="DJ420" s="148">
        <f>DJ423*(DJ250+DJ262)</f>
        <v>161.12394894486854</v>
      </c>
      <c r="DK420" s="148">
        <f>DK423*(DK250+DK262)</f>
        <v>191.25252399800141</v>
      </c>
      <c r="DL420" s="148">
        <f>DL423*(DL250+DL262)</f>
        <v>223.92275136666672</v>
      </c>
      <c r="DM420" s="148">
        <f>DM423*(DM250+DM262)</f>
        <v>260.15373333333332</v>
      </c>
      <c r="DN420" s="148">
        <f>DN423*(DN250+DN262)</f>
        <v>251.15585666666675</v>
      </c>
      <c r="DO420" s="148">
        <f>DO423*(DO250+DO262)</f>
        <v>146.65374966000005</v>
      </c>
      <c r="DP420" s="152">
        <f>DP423*(DP250+DP262)</f>
        <v>48.477979760000061</v>
      </c>
      <c r="DQ420" s="152">
        <f>DQ423*(DQ250+DQ262)</f>
        <v>95.816082675096183</v>
      </c>
      <c r="DR420" s="152">
        <f>DR423*(DR250+DR262)</f>
        <v>94.443952182121507</v>
      </c>
      <c r="DS420" s="152">
        <f>DS423*(DS250+DS262)</f>
        <v>75.769227512110049</v>
      </c>
      <c r="DT420" s="152">
        <f>DT423*(DT250+DT262)</f>
        <v>82.615642181191021</v>
      </c>
      <c r="DU420" s="152">
        <f>DU423*(DU250+DU262)</f>
        <v>87.163069275142789</v>
      </c>
      <c r="DV420" s="153">
        <f>DV423*(DV250+DV262+DV137)</f>
        <v>48.008910000000014</v>
      </c>
      <c r="DW420" s="153">
        <f>DW423*(DW250+DW262+DW137)</f>
        <v>48.000509999999998</v>
      </c>
      <c r="DX420" s="153">
        <f>DX423*(DX250+DX262+DX137)</f>
        <v>26.994</v>
      </c>
      <c r="DY420" s="153">
        <f>DY423*(DY250+DY262+DY137)</f>
        <v>57.129000000000019</v>
      </c>
      <c r="DZ420" s="153">
        <f>DZ423*(DZ250+DZ262+DZ137)</f>
        <v>34.511999999999993</v>
      </c>
      <c r="EA420" s="153">
        <f>EA423*(EA250+EA262+EA137)</f>
        <v>48.311999999999991</v>
      </c>
      <c r="EB420" s="153">
        <f>EB423*(EB250+EB262+EB137)</f>
        <v>111.01199999999999</v>
      </c>
      <c r="EC420" s="153">
        <f>EC423*(EC250+EC262+EC137)</f>
        <v>88.494000000000042</v>
      </c>
      <c r="ED420" s="153">
        <f>ED423*(ED250+ED262+ED137)</f>
        <v>84.475199999999987</v>
      </c>
      <c r="EE420" s="153">
        <f>EE423*(EE250+EE262+EE137)</f>
        <v>81.762267573504062</v>
      </c>
      <c r="EF420" s="153">
        <f>EF423*(EF250+EF262+EF137)</f>
        <v>74.981739093596531</v>
      </c>
      <c r="EG420" s="153">
        <f>EG423*(EG250+EG262+EG137)</f>
        <v>70.209713836159636</v>
      </c>
      <c r="EH420" s="153">
        <f>EH423*(EH250+EH262+EH137)</f>
        <v>62.699995823704029</v>
      </c>
      <c r="EI420" s="153">
        <f>EI423*(EI250+EI262+EI137)</f>
        <v>65.610276775541621</v>
      </c>
      <c r="EJ420" s="153">
        <f>EJ423*(EJ250+EJ262+EJ137)</f>
        <v>69.748581409543405</v>
      </c>
      <c r="EK420" s="153">
        <f>EK423*(EK250+EK262+EK137)</f>
        <v>74.224157871216335</v>
      </c>
      <c r="EL420" s="153">
        <f>EL423*(EL250+EL262+EL137)</f>
        <v>64.614250030318871</v>
      </c>
      <c r="EM420" s="153">
        <f>EM423*(EM250+EM262+EM137)</f>
        <v>67.633004233935679</v>
      </c>
      <c r="EN420" s="153">
        <f>EN423*(EN250+EN262+EN137)</f>
        <v>71.925553550128654</v>
      </c>
      <c r="EO420" s="153">
        <f>EO423*(EO250+EO262+EO137)</f>
        <v>76.567945635591343</v>
      </c>
      <c r="EP420" s="153">
        <f>EP423*(EP250+EP262+EP137)</f>
        <v>66.597605060758482</v>
      </c>
      <c r="EQ420" s="153">
        <f>EQ423*(EQ250+EQ262+EQ137)</f>
        <v>69.728875578163425</v>
      </c>
      <c r="ER420" s="153">
        <f>ER423*(ER250+ER262+ER137)</f>
        <v>74.181418651129647</v>
      </c>
      <c r="ES420" s="153">
        <f>ES423*(ES250+ES262+ES137)</f>
        <v>78.996843984542622</v>
      </c>
      <c r="ET420" s="153">
        <f>ET423*(ET250+ET262+ET137)</f>
        <v>68.652591509092289</v>
      </c>
      <c r="EU420" s="153">
        <f>EU423*(EU250+EU262+EU137)</f>
        <v>71.900572097052049</v>
      </c>
      <c r="EV420" s="153">
        <f>EV423*(EV250+EV262+EV137)</f>
        <v>76.519072283370789</v>
      </c>
      <c r="EW420" s="153">
        <f>EW423*(EW250+EW262+EW137)</f>
        <v>81.513980234874481</v>
      </c>
      <c r="EX420" s="114"/>
      <c r="FW420" s="376">
        <f>CP420+CQ420+CR420+CS420</f>
        <v>241.18283000000002</v>
      </c>
      <c r="FX420" s="376">
        <f>CT420+CU420+CV420+CW420</f>
        <v>491.86888999999996</v>
      </c>
      <c r="FY420" s="376">
        <f>CX420+CY420+CZ420+DA420</f>
        <v>703.00651351708098</v>
      </c>
      <c r="FZ420" s="376">
        <f>DB420+DC420+DD420+DE420</f>
        <v>369.36576415582357</v>
      </c>
      <c r="GA420" s="376">
        <f>SUM(DF420:DI420)</f>
        <v>458.07523859427533</v>
      </c>
      <c r="GB420" s="376">
        <f>SUM(DJ420:DM420)</f>
        <v>836.45295764286993</v>
      </c>
      <c r="GC420" s="376">
        <f>SUM(DN420:DQ420)</f>
        <v>542.10366876176295</v>
      </c>
      <c r="GD420" s="376">
        <f>SUM(DR420:DU420)</f>
        <v>339.99189115056538</v>
      </c>
      <c r="GE420" s="376">
        <f>SUM(DV420:DY420)</f>
        <v>180.13242000000002</v>
      </c>
      <c r="GF420" s="376">
        <f>SUM(DZ420:EC420)</f>
        <v>282.33</v>
      </c>
      <c r="GG420" s="380">
        <f>SUM(ED420:EG420)</f>
        <v>311.4289205032602</v>
      </c>
      <c r="GH420" s="380">
        <f>SUM(EH420:EK420)</f>
        <v>272.2830118800054</v>
      </c>
      <c r="GI420" s="380">
        <f>SUM(EL420:EO420)</f>
        <v>280.74075344997453</v>
      </c>
      <c r="GJ420" s="380">
        <f>SUM(EP420:ES420)</f>
        <v>289.5047432745942</v>
      </c>
      <c r="GK420" s="380">
        <f>SUM(ET420:EW420)</f>
        <v>298.58621612438958</v>
      </c>
      <c r="GN420" s="70"/>
    </row>
    <row r="421" spans="1:196" s="382" customFormat="1" hidden="1" outlineLevel="1">
      <c r="A421" s="396" t="s">
        <v>198</v>
      </c>
      <c r="CP421" s="66"/>
      <c r="CQ421" s="382">
        <f t="shared" ref="CQ421:EH421" si="794">CQ420/CP420-1</f>
        <v>6.2547161399725493E-2</v>
      </c>
      <c r="CR421" s="382">
        <f t="shared" si="794"/>
        <v>0.17649606875068091</v>
      </c>
      <c r="CS421" s="382">
        <f t="shared" si="794"/>
        <v>0.33213466672610492</v>
      </c>
      <c r="CT421" s="382">
        <f t="shared" si="794"/>
        <v>-0.17980734670404741</v>
      </c>
      <c r="CU421" s="382">
        <f t="shared" si="794"/>
        <v>0.39724305967124796</v>
      </c>
      <c r="CV421" s="382">
        <f t="shared" si="794"/>
        <v>0.53422044308550576</v>
      </c>
      <c r="CW421" s="382">
        <f t="shared" si="794"/>
        <v>0.348983386160997</v>
      </c>
      <c r="CX421" s="382">
        <f t="shared" si="794"/>
        <v>0.38772020644491811</v>
      </c>
      <c r="CY421" s="382">
        <f t="shared" si="794"/>
        <v>-6.7429324053956741E-2</v>
      </c>
      <c r="CZ421" s="382">
        <f t="shared" si="794"/>
        <v>-0.59396874111544151</v>
      </c>
      <c r="DA421" s="382">
        <f t="shared" si="794"/>
        <v>-0.11267139906455692</v>
      </c>
      <c r="DB421" s="382">
        <f t="shared" si="794"/>
        <v>-0.37297473399965009</v>
      </c>
      <c r="DC421" s="382">
        <f t="shared" si="794"/>
        <v>0.58526868596919424</v>
      </c>
      <c r="DD421" s="382">
        <f t="shared" si="794"/>
        <v>-5.8684095104707512E-2</v>
      </c>
      <c r="DE421" s="382">
        <f t="shared" si="794"/>
        <v>0.69174777918624963</v>
      </c>
      <c r="DF421" s="382">
        <f t="shared" si="794"/>
        <v>-0.13779876002520952</v>
      </c>
      <c r="DG421" s="382">
        <f t="shared" si="794"/>
        <v>-0.25853464532615344</v>
      </c>
      <c r="DH421" s="382">
        <f t="shared" si="794"/>
        <v>0.30786282913185126</v>
      </c>
      <c r="DI421" s="382">
        <f t="shared" si="794"/>
        <v>8.3186348827710255E-2</v>
      </c>
      <c r="DJ421" s="383">
        <f t="shared" si="794"/>
        <v>0.25962165601697662</v>
      </c>
      <c r="DK421" s="383">
        <f t="shared" si="794"/>
        <v>0.18699004865776914</v>
      </c>
      <c r="DL421" s="383">
        <f t="shared" si="794"/>
        <v>0.17082246385938782</v>
      </c>
      <c r="DM421" s="383">
        <f t="shared" si="794"/>
        <v>0.16180125398396639</v>
      </c>
      <c r="DN421" s="383">
        <f t="shared" si="794"/>
        <v>-3.458676741393385E-2</v>
      </c>
      <c r="DO421" s="383">
        <f t="shared" si="794"/>
        <v>-0.41608469097084033</v>
      </c>
      <c r="DP421" s="383">
        <f t="shared" si="794"/>
        <v>-0.66943920716387606</v>
      </c>
      <c r="DQ421" s="383">
        <f t="shared" si="794"/>
        <v>0.97648670900587997</v>
      </c>
      <c r="DR421" s="383">
        <f t="shared" si="794"/>
        <v>-1.4320461186327682E-2</v>
      </c>
      <c r="DS421" s="383">
        <f t="shared" si="794"/>
        <v>-0.1977334094829063</v>
      </c>
      <c r="DT421" s="383">
        <f t="shared" si="794"/>
        <v>9.0358776166574062E-2</v>
      </c>
      <c r="DU421" s="383">
        <f t="shared" si="794"/>
        <v>5.5043173107320653E-2</v>
      </c>
      <c r="DV421" s="382">
        <f t="shared" si="794"/>
        <v>-0.44920583454383678</v>
      </c>
      <c r="DW421" s="382">
        <f t="shared" si="794"/>
        <v>-1.7496752165413465E-4</v>
      </c>
      <c r="DX421" s="382">
        <f>DX420/DW420-1</f>
        <v>-0.43763097517088878</v>
      </c>
      <c r="DY421" s="382">
        <f t="shared" si="794"/>
        <v>1.1163591909313189</v>
      </c>
      <c r="DZ421" s="382">
        <f t="shared" si="794"/>
        <v>-0.39589350417476266</v>
      </c>
      <c r="EA421" s="382">
        <f t="shared" si="794"/>
        <v>0.39986091794158551</v>
      </c>
      <c r="EB421" s="382">
        <f t="shared" si="794"/>
        <v>1.2978142076502732</v>
      </c>
      <c r="EC421" s="382">
        <f t="shared" si="794"/>
        <v>-0.2028429358988213</v>
      </c>
      <c r="ED421" s="382">
        <f t="shared" si="794"/>
        <v>-4.541324835582139E-2</v>
      </c>
      <c r="EE421" s="384">
        <f t="shared" si="794"/>
        <v>-3.2115134696288683E-2</v>
      </c>
      <c r="EF421" s="384">
        <f t="shared" si="794"/>
        <v>-8.2929799785846914E-2</v>
      </c>
      <c r="EG421" s="384">
        <f t="shared" si="794"/>
        <v>-6.3642499028732535E-2</v>
      </c>
      <c r="EH421" s="384">
        <f t="shared" si="794"/>
        <v>-0.10696123943732594</v>
      </c>
      <c r="EI421" s="384">
        <f>EI420/EH420-1</f>
        <v>4.6415967235795996E-2</v>
      </c>
      <c r="EJ421" s="384">
        <f>EJ420/EI420-1</f>
        <v>6.3074031041802758E-2</v>
      </c>
      <c r="EK421" s="384">
        <f>EK420/EJ420-1</f>
        <v>6.4167275824488001E-2</v>
      </c>
      <c r="EL421" s="384">
        <f t="shared" ref="EL421" si="795">EL420/EK420-1</f>
        <v>-0.12947142974085701</v>
      </c>
      <c r="EM421" s="384">
        <f>EM420/EL420-1</f>
        <v>4.6719635408603022E-2</v>
      </c>
      <c r="EN421" s="384">
        <f>EN420/EM420-1</f>
        <v>6.346826323647381E-2</v>
      </c>
      <c r="EO421" s="384">
        <f>EO420/EN420-1</f>
        <v>6.45444053791977E-2</v>
      </c>
      <c r="EP421" s="384">
        <f t="shared" ref="EP421" si="796">EP420/EO420-1</f>
        <v>-0.13021559468611776</v>
      </c>
      <c r="EQ421" s="384">
        <f>EQ420/EP420-1</f>
        <v>4.7017764596012368E-2</v>
      </c>
      <c r="ER421" s="384">
        <f>ER420/EQ420-1</f>
        <v>6.3855082073926317E-2</v>
      </c>
      <c r="ES421" s="384">
        <f>ES420/ER420-1</f>
        <v>6.4914171513214214E-2</v>
      </c>
      <c r="ET421" s="384">
        <f t="shared" ref="ET421" si="797">ET420/ES420-1</f>
        <v>-0.13094513595346169</v>
      </c>
      <c r="EU421" s="384">
        <f>EU420/ET420-1</f>
        <v>4.73103857635091E-2</v>
      </c>
      <c r="EV421" s="384">
        <f>EV420/EU420-1</f>
        <v>6.4234540165892584E-2</v>
      </c>
      <c r="EW421" s="384">
        <f>EW420/EV420-1</f>
        <v>6.5276640221227478E-2</v>
      </c>
      <c r="FX421" s="449"/>
      <c r="FY421" s="449"/>
      <c r="FZ421" s="386" t="s">
        <v>199</v>
      </c>
      <c r="GA421" s="386" t="s">
        <v>199</v>
      </c>
      <c r="GB421" s="386" t="s">
        <v>199</v>
      </c>
      <c r="GC421" s="386" t="s">
        <v>199</v>
      </c>
      <c r="GD421" s="386" t="s">
        <v>199</v>
      </c>
      <c r="GE421" s="386" t="s">
        <v>199</v>
      </c>
      <c r="GF421" s="386" t="s">
        <v>199</v>
      </c>
      <c r="GG421" s="467" t="s">
        <v>199</v>
      </c>
      <c r="GH421" s="467" t="s">
        <v>199</v>
      </c>
      <c r="GI421" s="467" t="s">
        <v>199</v>
      </c>
      <c r="GJ421" s="467" t="s">
        <v>199</v>
      </c>
      <c r="GK421" s="467" t="s">
        <v>199</v>
      </c>
      <c r="GN421" s="70"/>
    </row>
    <row r="422" spans="1:196" s="382" customFormat="1" hidden="1" outlineLevel="1">
      <c r="A422" s="396" t="s">
        <v>200</v>
      </c>
      <c r="CP422" s="66"/>
      <c r="CQ422" s="66"/>
      <c r="CR422" s="66"/>
      <c r="CS422" s="66"/>
      <c r="CT422" s="382">
        <f t="shared" ref="CT422:EW422" si="798">CT420/CP420-1</f>
        <v>0.36584903728825813</v>
      </c>
      <c r="CU422" s="382">
        <f t="shared" si="798"/>
        <v>0.7960831831649251</v>
      </c>
      <c r="CV422" s="382">
        <f t="shared" si="798"/>
        <v>1.3421986781646207</v>
      </c>
      <c r="CW422" s="382">
        <f t="shared" si="798"/>
        <v>1.3718225963576334</v>
      </c>
      <c r="CX422" s="382">
        <f t="shared" si="798"/>
        <v>3.0129914963777189</v>
      </c>
      <c r="CY422" s="382">
        <f t="shared" si="798"/>
        <v>1.6784160182003176</v>
      </c>
      <c r="CZ422" s="382">
        <f t="shared" si="798"/>
        <v>-0.29115751742995677</v>
      </c>
      <c r="DA422" s="382">
        <f t="shared" si="798"/>
        <v>-0.53374058213388831</v>
      </c>
      <c r="DB422" s="382">
        <f t="shared" si="798"/>
        <v>-0.78932609458672509</v>
      </c>
      <c r="DC422" s="382">
        <f t="shared" si="798"/>
        <v>-0.64187728199398819</v>
      </c>
      <c r="DD422" s="382">
        <f t="shared" si="798"/>
        <v>-0.16975207453366126</v>
      </c>
      <c r="DE422" s="382">
        <f t="shared" si="798"/>
        <v>0.58291988176751874</v>
      </c>
      <c r="DF422" s="382">
        <f t="shared" si="798"/>
        <v>1.1766196018645636</v>
      </c>
      <c r="DG422" s="382">
        <f t="shared" si="798"/>
        <v>1.8053305014262611E-2</v>
      </c>
      <c r="DH422" s="382">
        <f t="shared" si="798"/>
        <v>0.41448165146119753</v>
      </c>
      <c r="DI422" s="382">
        <f t="shared" si="798"/>
        <v>-9.4340637309998421E-2</v>
      </c>
      <c r="DJ422" s="383">
        <f t="shared" si="798"/>
        <v>0.32311123358186578</v>
      </c>
      <c r="DK422" s="383">
        <f t="shared" si="798"/>
        <v>1.118129805565649</v>
      </c>
      <c r="DL422" s="383">
        <f t="shared" si="798"/>
        <v>0.89618811888136074</v>
      </c>
      <c r="DM422" s="383">
        <f t="shared" si="798"/>
        <v>1.0338086209174224</v>
      </c>
      <c r="DN422" s="383">
        <f t="shared" si="798"/>
        <v>0.55877421271870786</v>
      </c>
      <c r="DO422" s="383">
        <f t="shared" si="798"/>
        <v>-0.23319312815169657</v>
      </c>
      <c r="DP422" s="383">
        <f t="shared" si="798"/>
        <v>-0.78350578731225551</v>
      </c>
      <c r="DQ422" s="383">
        <f t="shared" si="798"/>
        <v>-0.63169437759969549</v>
      </c>
      <c r="DR422" s="383">
        <f t="shared" si="798"/>
        <v>-0.6239627718199412</v>
      </c>
      <c r="DS422" s="383">
        <f t="shared" si="798"/>
        <v>-0.48334612863447168</v>
      </c>
      <c r="DT422" s="383">
        <f t="shared" si="798"/>
        <v>0.70418904810382554</v>
      </c>
      <c r="DU422" s="383">
        <f t="shared" si="798"/>
        <v>-9.0308569901516367E-2</v>
      </c>
      <c r="DV422" s="382">
        <f t="shared" si="798"/>
        <v>-0.49166771518178554</v>
      </c>
      <c r="DW422" s="382">
        <f t="shared" si="798"/>
        <v>-0.36649070373156212</v>
      </c>
      <c r="DX422" s="382">
        <f t="shared" si="798"/>
        <v>-0.67325800190722618</v>
      </c>
      <c r="DY422" s="382">
        <f t="shared" si="798"/>
        <v>-0.34457333277624613</v>
      </c>
      <c r="DZ422" s="382">
        <f t="shared" si="798"/>
        <v>-0.28113343960527359</v>
      </c>
      <c r="EA422" s="382">
        <f t="shared" si="798"/>
        <v>6.4893060511230782E-3</v>
      </c>
      <c r="EB422" s="382">
        <f t="shared" si="798"/>
        <v>3.1124694376528117</v>
      </c>
      <c r="EC422" s="382">
        <f t="shared" si="798"/>
        <v>0.54902063750459518</v>
      </c>
      <c r="ED422" s="382">
        <f t="shared" si="798"/>
        <v>1.4477051460361614</v>
      </c>
      <c r="EE422" s="384">
        <f t="shared" si="798"/>
        <v>0.69238010377347403</v>
      </c>
      <c r="EF422" s="384">
        <f t="shared" si="798"/>
        <v>-0.32456185733437337</v>
      </c>
      <c r="EG422" s="384">
        <f t="shared" si="798"/>
        <v>-0.2066161114181797</v>
      </c>
      <c r="EH422" s="384">
        <f t="shared" si="798"/>
        <v>-0.25777037729766794</v>
      </c>
      <c r="EI422" s="384">
        <f t="shared" si="798"/>
        <v>-0.1975482245944542</v>
      </c>
      <c r="EJ422" s="384">
        <f t="shared" si="798"/>
        <v>-6.9792428760832026E-2</v>
      </c>
      <c r="EK422" s="384">
        <f t="shared" si="798"/>
        <v>5.7177900545567706E-2</v>
      </c>
      <c r="EL422" s="384">
        <f t="shared" si="798"/>
        <v>3.0530372155003427E-2</v>
      </c>
      <c r="EM422" s="384">
        <f t="shared" si="798"/>
        <v>3.0829430354546217E-2</v>
      </c>
      <c r="EN422" s="384">
        <f t="shared" si="798"/>
        <v>3.1211704906264792E-2</v>
      </c>
      <c r="EO422" s="384">
        <f t="shared" si="798"/>
        <v>3.1577155357446207E-2</v>
      </c>
      <c r="EP422" s="384">
        <f t="shared" si="798"/>
        <v>3.069531921377977E-2</v>
      </c>
      <c r="EQ422" s="384">
        <f t="shared" si="798"/>
        <v>3.0988884317164844E-2</v>
      </c>
      <c r="ER422" s="384">
        <f t="shared" si="798"/>
        <v>3.1363889322433502E-2</v>
      </c>
      <c r="ES422" s="384">
        <f t="shared" si="798"/>
        <v>3.1722130309086438E-2</v>
      </c>
      <c r="ET422" s="384">
        <f t="shared" si="798"/>
        <v>3.0856761988047321E-2</v>
      </c>
      <c r="EU422" s="384">
        <f t="shared" si="798"/>
        <v>3.1144866468615806E-2</v>
      </c>
      <c r="EV422" s="384">
        <f t="shared" si="798"/>
        <v>3.151265741135223E-2</v>
      </c>
      <c r="EW422" s="384">
        <f t="shared" si="798"/>
        <v>3.1863757124580783E-2</v>
      </c>
      <c r="FX422" s="382">
        <f t="shared" ref="FX422:GK422" si="799">FX420/FW420-1</f>
        <v>1.0394025976061392</v>
      </c>
      <c r="FY422" s="382">
        <f t="shared" si="799"/>
        <v>0.42925590093140675</v>
      </c>
      <c r="FZ422" s="382">
        <f t="shared" si="799"/>
        <v>-0.47459126330434909</v>
      </c>
      <c r="GA422" s="382">
        <f t="shared" si="799"/>
        <v>0.24016701883888758</v>
      </c>
      <c r="GB422" s="382">
        <f t="shared" si="799"/>
        <v>0.82601652996950103</v>
      </c>
      <c r="GC422" s="382">
        <f t="shared" si="799"/>
        <v>-0.3519017850215812</v>
      </c>
      <c r="GD422" s="382">
        <f t="shared" si="799"/>
        <v>-0.37282864746672495</v>
      </c>
      <c r="GE422" s="382">
        <f t="shared" si="799"/>
        <v>-0.47018612887967848</v>
      </c>
      <c r="GF422" s="382">
        <f t="shared" si="799"/>
        <v>0.56734695509003852</v>
      </c>
      <c r="GG422" s="384">
        <f t="shared" si="799"/>
        <v>0.10306705098027202</v>
      </c>
      <c r="GH422" s="384">
        <f t="shared" si="799"/>
        <v>-0.12569773083372004</v>
      </c>
      <c r="GI422" s="384">
        <f t="shared" si="799"/>
        <v>3.1062318253246124E-2</v>
      </c>
      <c r="GJ422" s="384">
        <f t="shared" si="799"/>
        <v>3.1217376590040979E-2</v>
      </c>
      <c r="GK422" s="384">
        <f t="shared" si="799"/>
        <v>3.1368995019130486E-2</v>
      </c>
      <c r="GN422" s="70"/>
    </row>
    <row r="423" spans="1:196" s="382" customFormat="1" hidden="1" outlineLevel="1">
      <c r="A423" s="396" t="s">
        <v>309</v>
      </c>
      <c r="CP423" s="149">
        <v>0.28000000000000003</v>
      </c>
      <c r="CQ423" s="149">
        <v>0.28999999999999998</v>
      </c>
      <c r="CR423" s="149">
        <v>0.3</v>
      </c>
      <c r="CS423" s="149">
        <v>0.28999999999999998</v>
      </c>
      <c r="CT423" s="149">
        <v>0.28999999999999998</v>
      </c>
      <c r="CU423" s="149">
        <v>0.31</v>
      </c>
      <c r="CV423" s="149">
        <v>0.31</v>
      </c>
      <c r="CW423" s="149">
        <v>0.33</v>
      </c>
      <c r="CX423" s="149">
        <v>0.35499999999999998</v>
      </c>
      <c r="CY423" s="149">
        <v>0.36</v>
      </c>
      <c r="CZ423" s="149">
        <v>0.27</v>
      </c>
      <c r="DA423" s="149">
        <v>0.25</v>
      </c>
      <c r="DB423" s="149">
        <v>0.22</v>
      </c>
      <c r="DC423" s="149">
        <v>0.27</v>
      </c>
      <c r="DD423" s="149">
        <v>0.27</v>
      </c>
      <c r="DE423" s="149">
        <v>0.28000000000000003</v>
      </c>
      <c r="DF423" s="149">
        <v>0.28999999999999998</v>
      </c>
      <c r="DG423" s="149">
        <v>0.29499999999999998</v>
      </c>
      <c r="DH423" s="149">
        <v>0.32</v>
      </c>
      <c r="DI423" s="149">
        <v>0.33</v>
      </c>
      <c r="DJ423" s="154">
        <v>0.35</v>
      </c>
      <c r="DK423" s="154">
        <v>0.37</v>
      </c>
      <c r="DL423" s="154">
        <v>0.38</v>
      </c>
      <c r="DM423" s="154">
        <v>0.4</v>
      </c>
      <c r="DN423" s="154">
        <v>0.4</v>
      </c>
      <c r="DO423" s="154">
        <f>DN423-0.07</f>
        <v>0.33</v>
      </c>
      <c r="DP423" s="154">
        <v>0.28000000000000003</v>
      </c>
      <c r="DQ423" s="154">
        <v>0.28999999999999998</v>
      </c>
      <c r="DR423" s="154">
        <v>0.3</v>
      </c>
      <c r="DS423" s="154">
        <v>0.3</v>
      </c>
      <c r="DT423" s="154">
        <v>0.28999999999999998</v>
      </c>
      <c r="DU423" s="154">
        <v>0.3</v>
      </c>
      <c r="DV423" s="149">
        <v>0.3</v>
      </c>
      <c r="DW423" s="149">
        <f>DV423</f>
        <v>0.3</v>
      </c>
      <c r="DX423" s="149">
        <f>DW423</f>
        <v>0.3</v>
      </c>
      <c r="DY423" s="149">
        <v>0.3</v>
      </c>
      <c r="DZ423" s="149">
        <f t="shared" ref="DZ423:EW423" si="800">DY423</f>
        <v>0.3</v>
      </c>
      <c r="EA423" s="149">
        <f t="shared" si="800"/>
        <v>0.3</v>
      </c>
      <c r="EB423" s="149">
        <f t="shared" si="800"/>
        <v>0.3</v>
      </c>
      <c r="EC423" s="149">
        <f t="shared" si="800"/>
        <v>0.3</v>
      </c>
      <c r="ED423" s="149">
        <f t="shared" si="800"/>
        <v>0.3</v>
      </c>
      <c r="EE423" s="149">
        <f t="shared" si="800"/>
        <v>0.3</v>
      </c>
      <c r="EF423" s="149">
        <f t="shared" si="800"/>
        <v>0.3</v>
      </c>
      <c r="EG423" s="149">
        <f t="shared" si="800"/>
        <v>0.3</v>
      </c>
      <c r="EH423" s="149">
        <f t="shared" si="800"/>
        <v>0.3</v>
      </c>
      <c r="EI423" s="149">
        <f t="shared" si="800"/>
        <v>0.3</v>
      </c>
      <c r="EJ423" s="149">
        <f t="shared" si="800"/>
        <v>0.3</v>
      </c>
      <c r="EK423" s="149">
        <f t="shared" si="800"/>
        <v>0.3</v>
      </c>
      <c r="EL423" s="149">
        <f t="shared" si="800"/>
        <v>0.3</v>
      </c>
      <c r="EM423" s="149">
        <f t="shared" si="800"/>
        <v>0.3</v>
      </c>
      <c r="EN423" s="149">
        <f t="shared" si="800"/>
        <v>0.3</v>
      </c>
      <c r="EO423" s="149">
        <f t="shared" si="800"/>
        <v>0.3</v>
      </c>
      <c r="EP423" s="149">
        <f t="shared" si="800"/>
        <v>0.3</v>
      </c>
      <c r="EQ423" s="149">
        <f t="shared" si="800"/>
        <v>0.3</v>
      </c>
      <c r="ER423" s="149">
        <f t="shared" si="800"/>
        <v>0.3</v>
      </c>
      <c r="ES423" s="149">
        <f t="shared" si="800"/>
        <v>0.3</v>
      </c>
      <c r="ET423" s="149">
        <f t="shared" si="800"/>
        <v>0.3</v>
      </c>
      <c r="EU423" s="149">
        <f t="shared" si="800"/>
        <v>0.3</v>
      </c>
      <c r="EV423" s="149">
        <f t="shared" si="800"/>
        <v>0.3</v>
      </c>
      <c r="EW423" s="149">
        <f t="shared" si="800"/>
        <v>0.3</v>
      </c>
      <c r="FW423" s="382">
        <f>FW420/(FW250+FW262)</f>
        <v>0.29034734611819379</v>
      </c>
      <c r="FX423" s="382">
        <f>FX420/(FX250+FX262)</f>
        <v>0.31449759364392066</v>
      </c>
      <c r="FY423" s="382">
        <f>FY420/(FY250+FY262)</f>
        <v>0.34826454997226147</v>
      </c>
      <c r="FZ423" s="382">
        <f>FZ420/(FZ250+FZ262)</f>
        <v>0.29070195940294663</v>
      </c>
      <c r="GA423" s="382">
        <f>GA420/(GA250+GA262)</f>
        <v>0.30895672205612329</v>
      </c>
      <c r="GB423" s="382">
        <f>GB420/(GB250+GB262)</f>
        <v>0.37730619142446459</v>
      </c>
      <c r="GC423" s="382">
        <f>GC420/(GC250+GC262)</f>
        <v>0.3440113268644443</v>
      </c>
      <c r="GD423" s="382">
        <f>GD420/(GD250+GD262)</f>
        <v>0.29750716715273728</v>
      </c>
      <c r="GE423" s="382">
        <f>GE420/(GE250+GE262+GE137)</f>
        <v>0.30000000000000004</v>
      </c>
      <c r="GF423" s="382">
        <f>GF420/(GF250+GF262+GF137)</f>
        <v>0.3</v>
      </c>
      <c r="GG423" s="498">
        <f>GG420/(GG250+GG262+GG137)</f>
        <v>0.3</v>
      </c>
      <c r="GH423" s="498">
        <f>GH420/(GH250+GH262+GH137)</f>
        <v>0.30000000000000004</v>
      </c>
      <c r="GI423" s="498">
        <f>GI420/(GI250+GI262+GI137)</f>
        <v>0.3</v>
      </c>
      <c r="GJ423" s="498">
        <f>GJ420/(GJ250+GJ262+GJ137)</f>
        <v>0.3</v>
      </c>
      <c r="GK423" s="498">
        <f>GK420/(GK250+GK262+GK137)</f>
        <v>0.29999999999999993</v>
      </c>
      <c r="GN423" s="70"/>
    </row>
    <row r="424" spans="1:196" s="382" customFormat="1" hidden="1" outlineLevel="1">
      <c r="A424" s="395" t="s">
        <v>291</v>
      </c>
      <c r="B424" s="376"/>
      <c r="C424" s="376"/>
      <c r="D424" s="376"/>
      <c r="E424" s="376"/>
      <c r="F424" s="376"/>
      <c r="G424" s="376"/>
      <c r="H424" s="376"/>
      <c r="I424" s="376"/>
      <c r="J424" s="376"/>
      <c r="K424" s="376"/>
      <c r="L424" s="376"/>
      <c r="M424" s="376"/>
      <c r="N424" s="376"/>
      <c r="O424" s="376"/>
      <c r="P424" s="376"/>
      <c r="Q424" s="376"/>
      <c r="R424" s="376"/>
      <c r="S424" s="376"/>
      <c r="T424" s="376"/>
      <c r="U424" s="376"/>
      <c r="V424" s="376"/>
      <c r="W424" s="376"/>
      <c r="X424" s="376"/>
      <c r="Y424" s="376"/>
      <c r="Z424" s="376"/>
      <c r="AA424" s="376"/>
      <c r="AB424" s="376"/>
      <c r="AC424" s="376"/>
      <c r="AD424" s="376"/>
      <c r="AE424" s="376"/>
      <c r="AF424" s="376"/>
      <c r="AG424" s="376"/>
      <c r="AH424" s="376"/>
      <c r="AI424" s="376"/>
      <c r="AJ424" s="376"/>
      <c r="AK424" s="376"/>
      <c r="AL424" s="376"/>
      <c r="AM424" s="376"/>
      <c r="AN424" s="376"/>
      <c r="AO424" s="376"/>
      <c r="AP424" s="376"/>
      <c r="AQ424" s="376"/>
      <c r="AR424" s="376"/>
      <c r="AS424" s="376"/>
      <c r="AT424" s="376"/>
      <c r="AU424" s="376"/>
      <c r="AV424" s="376"/>
      <c r="AW424" s="376"/>
      <c r="AX424" s="376"/>
      <c r="AY424" s="376"/>
      <c r="AZ424" s="376"/>
      <c r="BA424" s="376"/>
      <c r="BB424" s="376"/>
      <c r="BC424" s="376"/>
      <c r="BD424" s="376"/>
      <c r="BE424" s="376"/>
      <c r="BF424" s="376"/>
      <c r="BG424" s="376"/>
      <c r="BH424" s="376"/>
      <c r="BI424" s="376"/>
      <c r="BJ424" s="376"/>
      <c r="BK424" s="376"/>
      <c r="BL424" s="376"/>
      <c r="BM424" s="376"/>
      <c r="BN424" s="376"/>
      <c r="BO424" s="376"/>
      <c r="BP424" s="376"/>
      <c r="BQ424" s="376"/>
      <c r="BR424" s="376"/>
      <c r="BS424" s="376"/>
      <c r="BT424" s="376"/>
      <c r="BU424" s="376"/>
      <c r="BV424" s="376"/>
      <c r="BW424" s="376"/>
      <c r="BX424" s="376"/>
      <c r="BY424" s="376"/>
      <c r="BZ424" s="376"/>
      <c r="CA424" s="376"/>
      <c r="CB424" s="376"/>
      <c r="CC424" s="376"/>
      <c r="CD424" s="376"/>
      <c r="CE424" s="376"/>
      <c r="CF424" s="376"/>
      <c r="CG424" s="376"/>
      <c r="CH424" s="376"/>
      <c r="CI424" s="376"/>
      <c r="CJ424" s="376"/>
      <c r="CK424" s="376"/>
      <c r="CL424" s="376"/>
      <c r="CM424" s="376"/>
      <c r="CN424" s="376"/>
      <c r="CO424" s="376"/>
      <c r="CP424" s="114"/>
      <c r="CQ424" s="114"/>
      <c r="CR424" s="114"/>
      <c r="CS424" s="114"/>
      <c r="CT424" s="114"/>
      <c r="CU424" s="114"/>
      <c r="CV424" s="114"/>
      <c r="CW424" s="114"/>
      <c r="CX424" s="114">
        <f>+CX427*CX266</f>
        <v>2.4</v>
      </c>
      <c r="CY424" s="114">
        <f>+CY427*CY266</f>
        <v>3.36</v>
      </c>
      <c r="CZ424" s="114">
        <f>+CZ427*CZ266</f>
        <v>14.28</v>
      </c>
      <c r="DA424" s="114">
        <f>+DA427*DA266</f>
        <v>50.4</v>
      </c>
      <c r="DB424" s="114">
        <f>+DB427*DB266</f>
        <v>32.4</v>
      </c>
      <c r="DC424" s="114">
        <f>+DC427*DC266</f>
        <v>28</v>
      </c>
      <c r="DD424" s="114">
        <f>+DD427*DD266</f>
        <v>17.5</v>
      </c>
      <c r="DE424" s="114">
        <f>+DE427*DE266</f>
        <v>37.125</v>
      </c>
      <c r="DF424" s="114">
        <f>+DF427*DF266</f>
        <v>16.830000000000002</v>
      </c>
      <c r="DG424" s="114">
        <f>+DG427*DG266</f>
        <v>24.565000000000001</v>
      </c>
      <c r="DH424" s="114">
        <f>+DH427*DH266</f>
        <v>21.202898550724637</v>
      </c>
      <c r="DI424" s="114">
        <f>+DI427*DI266</f>
        <v>23.1</v>
      </c>
      <c r="DJ424" s="148">
        <f>+DJ427*DJ266</f>
        <v>25.85</v>
      </c>
      <c r="DK424" s="148">
        <f>+DK427*DK266</f>
        <v>48.109090909090909</v>
      </c>
      <c r="DL424" s="148">
        <f>+DL427*DL266</f>
        <v>108.26666666666665</v>
      </c>
      <c r="DM424" s="148">
        <f>+DM427*DM266</f>
        <v>87.999999999999986</v>
      </c>
      <c r="DN424" s="148">
        <f>+DN427*DN266</f>
        <v>25.849999999999998</v>
      </c>
      <c r="DO424" s="148">
        <f>+DO427*DO266</f>
        <v>28.799999999999997</v>
      </c>
      <c r="DP424" s="148">
        <f>+DP427*DP266</f>
        <v>36</v>
      </c>
      <c r="DQ424" s="148">
        <f>+DQ427*DQ266</f>
        <v>36</v>
      </c>
      <c r="DR424" s="148">
        <f>+DR427*DR266</f>
        <v>36</v>
      </c>
      <c r="DS424" s="148">
        <f>+DS427*DS266</f>
        <v>34.666666666666671</v>
      </c>
      <c r="DT424" s="148">
        <f>+DT427*DT266</f>
        <v>38.13333333333334</v>
      </c>
      <c r="DU424" s="148">
        <f>+DU427*DU266</f>
        <v>176.48888888888891</v>
      </c>
      <c r="DV424" s="114">
        <f>+DV427*(DV266+DV153)</f>
        <v>341.35875000000004</v>
      </c>
      <c r="DW424" s="114">
        <f>+DW427*(DW266+DW153)</f>
        <v>516.98025000000007</v>
      </c>
      <c r="DX424" s="114">
        <f>+DX427*(DX266+DX153)</f>
        <v>786.51</v>
      </c>
      <c r="DY424" s="114">
        <f>+DY427*(DY266+DY153)</f>
        <v>828.84410000000003</v>
      </c>
      <c r="DZ424" s="114">
        <f>+DZ427*(DZ266+DZ153)</f>
        <v>711.98800000000017</v>
      </c>
      <c r="EA424" s="114">
        <f>+EA427*(EA266+EA153)</f>
        <v>-267.68475000000007</v>
      </c>
      <c r="EB424" s="114">
        <f>+EB427*(EB266+EB153)</f>
        <v>979.43649999999991</v>
      </c>
      <c r="EC424" s="114">
        <f>+EC427*(EC266+EC153)</f>
        <v>1375.6617500000002</v>
      </c>
      <c r="ED424" s="114">
        <f>+ED427*(ED266+ED153)</f>
        <v>1168.1257223999999</v>
      </c>
      <c r="EE424" s="153">
        <f>+EE427*(EE266+EE153)</f>
        <v>1237.8775147685644</v>
      </c>
      <c r="EF424" s="153">
        <f>+EF427*(EF266+EF153)</f>
        <v>1515.8668569227189</v>
      </c>
      <c r="EG424" s="153">
        <f>+EG427*(EG266+EG153)</f>
        <v>3347.9176631816167</v>
      </c>
      <c r="EH424" s="153">
        <f>+EH427*(EH266+EH153)</f>
        <v>3899.3215105687195</v>
      </c>
      <c r="EI424" s="153">
        <f>+EI427*(EI266+EI153)</f>
        <v>4406.6878527553372</v>
      </c>
      <c r="EJ424" s="153">
        <f>+EJ427*(EJ266+EJ153)</f>
        <v>5318.9940822020699</v>
      </c>
      <c r="EK424" s="153">
        <f>+EK427*(EK266+EK153)</f>
        <v>6079.6300300391686</v>
      </c>
      <c r="EL424" s="153">
        <f>+EL427*(EL266+EL153)</f>
        <v>6014.3799363976013</v>
      </c>
      <c r="EM424" s="153">
        <f>+EM427*(EM266+EM153)</f>
        <v>6255.2602878344251</v>
      </c>
      <c r="EN424" s="153">
        <f>+EN427*(EN266+EN153)</f>
        <v>6834.4142880418331</v>
      </c>
      <c r="EO424" s="153">
        <f>+EO427*(EO266+EO153)</f>
        <v>7387.9716025172429</v>
      </c>
      <c r="EP424" s="153">
        <f>+EP427*(EP266+EP153)</f>
        <v>7765.7468720146317</v>
      </c>
      <c r="EQ424" s="153">
        <f>+EQ427*(EQ266+EQ153)</f>
        <v>8156.5305137385731</v>
      </c>
      <c r="ER424" s="153">
        <f>+ER427*(ER266+ER153)</f>
        <v>8999.8742550566149</v>
      </c>
      <c r="ES424" s="153">
        <f>+ES427*(ES266+ES153)</f>
        <v>9361.5299749609021</v>
      </c>
      <c r="ET424" s="153">
        <f>+ET427*(ET266+ET153)</f>
        <v>9353.6477979834381</v>
      </c>
      <c r="EU424" s="153">
        <f>+EU427*(EU266+EU153)</f>
        <v>9824.4882765613966</v>
      </c>
      <c r="EV424" s="153">
        <f>+EV427*(EV266+EV153)</f>
        <v>11147.48992947329</v>
      </c>
      <c r="EW424" s="153">
        <f>+EW427*(EW266+EW153)</f>
        <v>11595.670962624008</v>
      </c>
      <c r="EX424" s="114"/>
      <c r="EY424" s="376"/>
      <c r="EZ424" s="376"/>
      <c r="FA424" s="376"/>
      <c r="FB424" s="376"/>
      <c r="FC424" s="376"/>
      <c r="FD424" s="376"/>
      <c r="FE424" s="376"/>
      <c r="FF424" s="376"/>
      <c r="FG424" s="376"/>
      <c r="FH424" s="376"/>
      <c r="FI424" s="376"/>
      <c r="FJ424" s="376"/>
      <c r="FK424" s="376"/>
      <c r="FL424" s="376"/>
      <c r="FM424" s="376"/>
      <c r="FN424" s="376"/>
      <c r="FO424" s="376"/>
      <c r="FP424" s="376"/>
      <c r="FQ424" s="376"/>
      <c r="FR424" s="376"/>
      <c r="FS424" s="376"/>
      <c r="FT424" s="376"/>
      <c r="FU424" s="376"/>
      <c r="FV424" s="376"/>
      <c r="FW424" s="376"/>
      <c r="FX424" s="376"/>
      <c r="FY424" s="376">
        <f>CX424+CY424+CZ424+DA424</f>
        <v>70.44</v>
      </c>
      <c r="FZ424" s="376">
        <f>DB424+DC424+DD424+DE424</f>
        <v>115.02500000000001</v>
      </c>
      <c r="GA424" s="376">
        <f>SUM(DF424:DI424)</f>
        <v>85.697898550724631</v>
      </c>
      <c r="GB424" s="376">
        <f>SUM(DJ424:DM424)</f>
        <v>270.22575757575754</v>
      </c>
      <c r="GC424" s="376">
        <f>SUM(DN424:DQ424)</f>
        <v>126.64999999999999</v>
      </c>
      <c r="GD424" s="376">
        <f>SUM(DR424:DU424)</f>
        <v>285.28888888888889</v>
      </c>
      <c r="GE424" s="376">
        <f>SUM(DV424:DY424)</f>
        <v>2473.6931000000004</v>
      </c>
      <c r="GF424" s="376">
        <f>SUM(DZ424:EC424)</f>
        <v>2799.4014999999999</v>
      </c>
      <c r="GG424" s="380">
        <f>SUM(ED424:EG424)</f>
        <v>7269.7877572728994</v>
      </c>
      <c r="GH424" s="380">
        <f>SUM(EH424:EK424)</f>
        <v>19704.633475565293</v>
      </c>
      <c r="GI424" s="380">
        <f>SUM(EL424:EO424)</f>
        <v>26492.026114791101</v>
      </c>
      <c r="GJ424" s="380">
        <f>SUM(EP424:ES424)</f>
        <v>34283.681615770722</v>
      </c>
      <c r="GK424" s="380">
        <f>SUM(ET424:EW424)</f>
        <v>41921.296966642127</v>
      </c>
      <c r="GL424" s="376"/>
      <c r="GM424" s="376"/>
      <c r="GN424" s="70"/>
    </row>
    <row r="425" spans="1:196" s="382" customFormat="1" hidden="1" outlineLevel="1">
      <c r="A425" s="396" t="s">
        <v>198</v>
      </c>
      <c r="CP425" s="66"/>
      <c r="CY425" s="382">
        <f t="shared" ref="CY425:EH425" si="801">CY424/CX424-1</f>
        <v>0.39999999999999991</v>
      </c>
      <c r="CZ425" s="382">
        <f t="shared" si="801"/>
        <v>3.25</v>
      </c>
      <c r="DA425" s="382">
        <f t="shared" si="801"/>
        <v>2.5294117647058822</v>
      </c>
      <c r="DB425" s="382">
        <f t="shared" si="801"/>
        <v>-0.35714285714285721</v>
      </c>
      <c r="DC425" s="382">
        <f t="shared" si="801"/>
        <v>-0.13580246913580241</v>
      </c>
      <c r="DD425" s="382">
        <f t="shared" si="801"/>
        <v>-0.375</v>
      </c>
      <c r="DE425" s="382">
        <f t="shared" si="801"/>
        <v>1.1214285714285714</v>
      </c>
      <c r="DF425" s="382">
        <f t="shared" si="801"/>
        <v>-0.54666666666666663</v>
      </c>
      <c r="DG425" s="382">
        <f t="shared" si="801"/>
        <v>0.45959595959595956</v>
      </c>
      <c r="DH425" s="382">
        <f t="shared" si="801"/>
        <v>-0.13686551798393509</v>
      </c>
      <c r="DI425" s="382">
        <f t="shared" si="801"/>
        <v>8.9473684210526372E-2</v>
      </c>
      <c r="DJ425" s="383">
        <f t="shared" si="801"/>
        <v>0.11904761904761907</v>
      </c>
      <c r="DK425" s="383">
        <f t="shared" si="801"/>
        <v>0.86108668893968687</v>
      </c>
      <c r="DL425" s="383">
        <f t="shared" si="801"/>
        <v>1.2504409171075834</v>
      </c>
      <c r="DM425" s="383">
        <f t="shared" si="801"/>
        <v>-0.18719211822660098</v>
      </c>
      <c r="DN425" s="383">
        <f t="shared" si="801"/>
        <v>-0.70625000000000004</v>
      </c>
      <c r="DO425" s="383">
        <f t="shared" si="801"/>
        <v>0.11411992263056092</v>
      </c>
      <c r="DP425" s="383">
        <f t="shared" si="801"/>
        <v>0.25000000000000022</v>
      </c>
      <c r="DQ425" s="383">
        <f t="shared" si="801"/>
        <v>0</v>
      </c>
      <c r="DR425" s="383">
        <f t="shared" si="801"/>
        <v>0</v>
      </c>
      <c r="DS425" s="383">
        <f t="shared" si="801"/>
        <v>-3.7037037037036868E-2</v>
      </c>
      <c r="DT425" s="383">
        <f t="shared" si="801"/>
        <v>0.10000000000000009</v>
      </c>
      <c r="DU425" s="383">
        <f t="shared" si="801"/>
        <v>3.6282051282051277</v>
      </c>
      <c r="DV425" s="382">
        <f t="shared" si="801"/>
        <v>0.93416566985645932</v>
      </c>
      <c r="DW425" s="382">
        <f t="shared" si="801"/>
        <v>0.51447780377681829</v>
      </c>
      <c r="DX425" s="382">
        <f>DX424/DW424-1</f>
        <v>0.52135405559496695</v>
      </c>
      <c r="DY425" s="382">
        <f t="shared" si="801"/>
        <v>5.382525333435062E-2</v>
      </c>
      <c r="DZ425" s="382">
        <f t="shared" si="801"/>
        <v>-0.14098682731770651</v>
      </c>
      <c r="EA425" s="382">
        <f t="shared" si="801"/>
        <v>-1.3759680640684955</v>
      </c>
      <c r="EB425" s="382">
        <f t="shared" si="801"/>
        <v>-4.6589178128376743</v>
      </c>
      <c r="EC425" s="382">
        <f t="shared" si="801"/>
        <v>0.40454409244499301</v>
      </c>
      <c r="ED425" s="382">
        <f t="shared" si="801"/>
        <v>-0.15086268670332681</v>
      </c>
      <c r="EE425" s="384">
        <f t="shared" si="801"/>
        <v>5.9712572911462258E-2</v>
      </c>
      <c r="EF425" s="384">
        <f t="shared" si="801"/>
        <v>0.22456934457374622</v>
      </c>
      <c r="EG425" s="384">
        <f t="shared" si="801"/>
        <v>1.2085829292277341</v>
      </c>
      <c r="EH425" s="384">
        <f t="shared" si="801"/>
        <v>0.16470054011516178</v>
      </c>
      <c r="EI425" s="384">
        <f>EI424/EH424-1</f>
        <v>0.13011657048834069</v>
      </c>
      <c r="EJ425" s="384">
        <f>EJ424/EI424-1</f>
        <v>0.20702764977471722</v>
      </c>
      <c r="EK425" s="384">
        <f>EK424/EJ424-1</f>
        <v>0.14300372139579332</v>
      </c>
      <c r="EL425" s="384">
        <f t="shared" ref="EL425" si="802">EL424/EK424-1</f>
        <v>-1.0732576377044278E-2</v>
      </c>
      <c r="EM425" s="384">
        <f>EM424/EL424-1</f>
        <v>4.0050737396730263E-2</v>
      </c>
      <c r="EN425" s="384">
        <f>EN424/EM424-1</f>
        <v>9.2586714790074964E-2</v>
      </c>
      <c r="EO425" s="384">
        <f>EO424/EN424-1</f>
        <v>8.0995574916195689E-2</v>
      </c>
      <c r="EP425" s="384">
        <f t="shared" ref="EP425" si="803">EP424/EO424-1</f>
        <v>5.1133828041335816E-2</v>
      </c>
      <c r="EQ425" s="384">
        <f>EQ424/EP424-1</f>
        <v>5.0321449844342281E-2</v>
      </c>
      <c r="ER425" s="384">
        <f>ER424/EQ424-1</f>
        <v>0.10339491036017612</v>
      </c>
      <c r="ES425" s="384">
        <f>ES424/ER424-1</f>
        <v>4.0184530322864287E-2</v>
      </c>
      <c r="ET425" s="384">
        <f t="shared" ref="ET425" si="804">ET424/ES424-1</f>
        <v>-8.419752966177807E-4</v>
      </c>
      <c r="EU425" s="384">
        <f>EU424/ET424-1</f>
        <v>5.0337631771795843E-2</v>
      </c>
      <c r="EV425" s="384">
        <f>EV424/EU424-1</f>
        <v>0.13466367058203144</v>
      </c>
      <c r="EW425" s="384">
        <f>EW424/EV424-1</f>
        <v>4.020465916419047E-2</v>
      </c>
      <c r="FX425" s="449"/>
      <c r="FY425" s="449"/>
      <c r="FZ425" s="386" t="s">
        <v>199</v>
      </c>
      <c r="GA425" s="386" t="s">
        <v>199</v>
      </c>
      <c r="GB425" s="386" t="s">
        <v>199</v>
      </c>
      <c r="GC425" s="386" t="s">
        <v>199</v>
      </c>
      <c r="GD425" s="386" t="s">
        <v>199</v>
      </c>
      <c r="GE425" s="386" t="s">
        <v>199</v>
      </c>
      <c r="GF425" s="386" t="s">
        <v>199</v>
      </c>
      <c r="GG425" s="467" t="s">
        <v>199</v>
      </c>
      <c r="GH425" s="467" t="s">
        <v>199</v>
      </c>
      <c r="GI425" s="467" t="s">
        <v>199</v>
      </c>
      <c r="GJ425" s="467" t="s">
        <v>199</v>
      </c>
      <c r="GK425" s="467" t="s">
        <v>199</v>
      </c>
      <c r="GN425" s="70"/>
    </row>
    <row r="426" spans="1:196" s="382" customFormat="1" hidden="1" outlineLevel="1">
      <c r="A426" s="396" t="s">
        <v>200</v>
      </c>
      <c r="CP426" s="66"/>
      <c r="CQ426" s="66"/>
      <c r="CR426" s="66"/>
      <c r="CS426" s="66"/>
      <c r="DB426" s="382">
        <f t="shared" ref="DB426:EW426" si="805">DB424/CX424-1</f>
        <v>12.5</v>
      </c>
      <c r="DC426" s="382">
        <f t="shared" si="805"/>
        <v>7.3333333333333339</v>
      </c>
      <c r="DD426" s="382">
        <f t="shared" si="805"/>
        <v>0.22549019607843146</v>
      </c>
      <c r="DE426" s="382">
        <f t="shared" si="805"/>
        <v>-0.2633928571428571</v>
      </c>
      <c r="DF426" s="382">
        <f t="shared" si="805"/>
        <v>-0.48055555555555551</v>
      </c>
      <c r="DG426" s="382">
        <f t="shared" si="805"/>
        <v>-0.12267857142857141</v>
      </c>
      <c r="DH426" s="382">
        <f t="shared" si="805"/>
        <v>0.21159420289855069</v>
      </c>
      <c r="DI426" s="382">
        <f t="shared" si="805"/>
        <v>-0.37777777777777777</v>
      </c>
      <c r="DJ426" s="383">
        <f t="shared" si="805"/>
        <v>0.53594771241830053</v>
      </c>
      <c r="DK426" s="383">
        <f t="shared" si="805"/>
        <v>0.95844050108247125</v>
      </c>
      <c r="DL426" s="383">
        <f t="shared" si="805"/>
        <v>4.1062200956937795</v>
      </c>
      <c r="DM426" s="383">
        <f t="shared" si="805"/>
        <v>2.8095238095238089</v>
      </c>
      <c r="DN426" s="383">
        <f t="shared" si="805"/>
        <v>0</v>
      </c>
      <c r="DO426" s="383">
        <f t="shared" si="805"/>
        <v>-0.40136054421768719</v>
      </c>
      <c r="DP426" s="383">
        <f t="shared" si="805"/>
        <v>-0.66748768472906406</v>
      </c>
      <c r="DQ426" s="383">
        <f t="shared" si="805"/>
        <v>-0.59090909090909083</v>
      </c>
      <c r="DR426" s="383">
        <f t="shared" si="805"/>
        <v>0.39264990328820137</v>
      </c>
      <c r="DS426" s="383">
        <f t="shared" si="805"/>
        <v>0.20370370370370394</v>
      </c>
      <c r="DT426" s="383">
        <f t="shared" si="805"/>
        <v>5.9259259259259345E-2</v>
      </c>
      <c r="DU426" s="383">
        <f t="shared" si="805"/>
        <v>3.9024691358024697</v>
      </c>
      <c r="DV426" s="382">
        <f t="shared" si="805"/>
        <v>8.482187500000002</v>
      </c>
      <c r="DW426" s="382">
        <f t="shared" si="805"/>
        <v>13.912891826923078</v>
      </c>
      <c r="DX426" s="382">
        <f t="shared" si="805"/>
        <v>19.625262237762232</v>
      </c>
      <c r="DY426" s="382">
        <f t="shared" si="805"/>
        <v>3.6962962100226635</v>
      </c>
      <c r="DZ426" s="382">
        <f t="shared" si="805"/>
        <v>1.0857470329968106</v>
      </c>
      <c r="EA426" s="382">
        <f t="shared" si="805"/>
        <v>-1.5177852538854242</v>
      </c>
      <c r="EB426" s="382">
        <f t="shared" si="805"/>
        <v>0.24529440185121598</v>
      </c>
      <c r="EC426" s="382">
        <f t="shared" si="805"/>
        <v>0.65973522644367044</v>
      </c>
      <c r="ED426" s="382">
        <f t="shared" si="805"/>
        <v>0.6406536660730231</v>
      </c>
      <c r="EE426" s="384">
        <f t="shared" si="805"/>
        <v>-5.6243856430691856</v>
      </c>
      <c r="EF426" s="384">
        <f t="shared" si="805"/>
        <v>0.54769283860946483</v>
      </c>
      <c r="EG426" s="384">
        <f t="shared" si="805"/>
        <v>1.4336779467638876</v>
      </c>
      <c r="EH426" s="384">
        <f t="shared" si="805"/>
        <v>2.3381008874261222</v>
      </c>
      <c r="EI426" s="384">
        <f t="shared" si="805"/>
        <v>2.5598738971999331</v>
      </c>
      <c r="EJ426" s="384">
        <f t="shared" si="805"/>
        <v>2.5088794625405813</v>
      </c>
      <c r="EK426" s="384">
        <f t="shared" si="805"/>
        <v>0.81594371238554642</v>
      </c>
      <c r="EL426" s="384">
        <f t="shared" si="805"/>
        <v>0.54241703847611134</v>
      </c>
      <c r="EM426" s="384">
        <f t="shared" si="805"/>
        <v>0.41949248434359721</v>
      </c>
      <c r="EN426" s="384">
        <f t="shared" si="805"/>
        <v>0.28490729307455398</v>
      </c>
      <c r="EO426" s="384">
        <f t="shared" si="805"/>
        <v>0.21520085367261155</v>
      </c>
      <c r="EP426" s="384">
        <f t="shared" si="805"/>
        <v>0.29119659119274677</v>
      </c>
      <c r="EQ426" s="384">
        <f t="shared" si="805"/>
        <v>0.30394741999814823</v>
      </c>
      <c r="ER426" s="384">
        <f t="shared" si="805"/>
        <v>0.31684645907458142</v>
      </c>
      <c r="ES426" s="384">
        <f t="shared" si="805"/>
        <v>0.26713128834594113</v>
      </c>
      <c r="ET426" s="384">
        <f t="shared" si="805"/>
        <v>0.20447497866446218</v>
      </c>
      <c r="EU426" s="384">
        <f t="shared" si="805"/>
        <v>0.20449353558027816</v>
      </c>
      <c r="EV426" s="384">
        <f t="shared" si="805"/>
        <v>0.23862729784363701</v>
      </c>
      <c r="EW426" s="384">
        <f t="shared" si="805"/>
        <v>0.23865126679492765</v>
      </c>
      <c r="FZ426" s="382">
        <f t="shared" ref="FZ426:GK426" si="806">FZ424/FY424-1</f>
        <v>0.63295002839295877</v>
      </c>
      <c r="GA426" s="382">
        <f t="shared" si="806"/>
        <v>-0.254962846766141</v>
      </c>
      <c r="GB426" s="382">
        <f t="shared" si="806"/>
        <v>2.153236685445802</v>
      </c>
      <c r="GC426" s="382">
        <f t="shared" si="806"/>
        <v>-0.53131780946346763</v>
      </c>
      <c r="GD426" s="382">
        <f t="shared" si="806"/>
        <v>1.2525770934772122</v>
      </c>
      <c r="GE426" s="382">
        <f t="shared" si="806"/>
        <v>7.6708357610219675</v>
      </c>
      <c r="GF426" s="382">
        <f t="shared" si="806"/>
        <v>0.13166888002396071</v>
      </c>
      <c r="GG426" s="384">
        <f t="shared" si="806"/>
        <v>1.5969078595095771</v>
      </c>
      <c r="GH426" s="384">
        <f t="shared" si="806"/>
        <v>1.7104826349094204</v>
      </c>
      <c r="GI426" s="384">
        <f t="shared" si="806"/>
        <v>0.34445668058949197</v>
      </c>
      <c r="GJ426" s="384">
        <f t="shared" si="806"/>
        <v>0.29411323494918951</v>
      </c>
      <c r="GK426" s="384">
        <f t="shared" si="806"/>
        <v>0.22277698866967799</v>
      </c>
      <c r="GN426" s="70"/>
    </row>
    <row r="427" spans="1:196" s="382" customFormat="1" hidden="1" outlineLevel="1">
      <c r="A427" s="396" t="s">
        <v>309</v>
      </c>
      <c r="CP427" s="149"/>
      <c r="CQ427" s="149"/>
      <c r="CR427" s="149"/>
      <c r="CS427" s="149"/>
      <c r="CT427" s="149"/>
      <c r="CU427" s="149"/>
      <c r="CV427" s="149"/>
      <c r="CW427" s="149"/>
      <c r="CX427" s="149">
        <v>0.48</v>
      </c>
      <c r="CY427" s="149">
        <v>0.48</v>
      </c>
      <c r="CZ427" s="149">
        <v>0.48</v>
      </c>
      <c r="DA427" s="149">
        <v>0.48</v>
      </c>
      <c r="DB427" s="149">
        <v>0.48</v>
      </c>
      <c r="DC427" s="149">
        <v>0.48</v>
      </c>
      <c r="DD427" s="149">
        <v>0.5</v>
      </c>
      <c r="DE427" s="149">
        <f>+DD427+0.01</f>
        <v>0.51</v>
      </c>
      <c r="DF427" s="149">
        <v>0.51</v>
      </c>
      <c r="DG427" s="149">
        <v>0.51</v>
      </c>
      <c r="DH427" s="149">
        <v>0.55000000000000004</v>
      </c>
      <c r="DI427" s="149">
        <v>0.55000000000000004</v>
      </c>
      <c r="DJ427" s="154">
        <f>DI427</f>
        <v>0.55000000000000004</v>
      </c>
      <c r="DK427" s="154">
        <v>0.56000000000000005</v>
      </c>
      <c r="DL427" s="154">
        <v>0.57999999999999996</v>
      </c>
      <c r="DM427" s="154">
        <v>0.6</v>
      </c>
      <c r="DN427" s="154">
        <v>0.6</v>
      </c>
      <c r="DO427" s="154">
        <v>0.6</v>
      </c>
      <c r="DP427" s="154">
        <v>0.6</v>
      </c>
      <c r="DQ427" s="154">
        <v>0.6</v>
      </c>
      <c r="DR427" s="154">
        <v>0.6</v>
      </c>
      <c r="DS427" s="154">
        <v>0.65</v>
      </c>
      <c r="DT427" s="154">
        <v>0.65</v>
      </c>
      <c r="DU427" s="154">
        <v>0.4</v>
      </c>
      <c r="DV427" s="149">
        <v>0.45</v>
      </c>
      <c r="DW427" s="149">
        <v>0.45</v>
      </c>
      <c r="DX427" s="149">
        <f>DW427</f>
        <v>0.45</v>
      </c>
      <c r="DY427" s="149">
        <v>0.46</v>
      </c>
      <c r="DZ427" s="149">
        <f>DY427</f>
        <v>0.46</v>
      </c>
      <c r="EA427" s="149">
        <v>-0.27</v>
      </c>
      <c r="EB427" s="149">
        <v>0.49</v>
      </c>
      <c r="EC427" s="149">
        <v>0.54500000000000004</v>
      </c>
      <c r="ED427" s="149">
        <v>0.45500000000000002</v>
      </c>
      <c r="EE427" s="154">
        <v>0.45500000000000002</v>
      </c>
      <c r="EF427" s="154">
        <f t="shared" ref="EF427:EK427" si="807">EE427</f>
        <v>0.45500000000000002</v>
      </c>
      <c r="EG427" s="154">
        <f>EF427+0.005</f>
        <v>0.46</v>
      </c>
      <c r="EH427" s="154">
        <f t="shared" si="807"/>
        <v>0.46</v>
      </c>
      <c r="EI427" s="154">
        <f t="shared" si="807"/>
        <v>0.46</v>
      </c>
      <c r="EJ427" s="154">
        <f t="shared" si="807"/>
        <v>0.46</v>
      </c>
      <c r="EK427" s="154">
        <f t="shared" si="807"/>
        <v>0.46</v>
      </c>
      <c r="EL427" s="154">
        <f>EK427+0.5%</f>
        <v>0.46500000000000002</v>
      </c>
      <c r="EM427" s="154">
        <f t="shared" ref="EM427" si="808">EL427</f>
        <v>0.46500000000000002</v>
      </c>
      <c r="EN427" s="154">
        <f>EM427+0.5%</f>
        <v>0.47000000000000003</v>
      </c>
      <c r="EO427" s="154">
        <f t="shared" ref="EO427" si="809">EN427</f>
        <v>0.47000000000000003</v>
      </c>
      <c r="EP427" s="154">
        <f>EO427+0.5%</f>
        <v>0.47500000000000003</v>
      </c>
      <c r="EQ427" s="154">
        <f t="shared" ref="EQ427" si="810">EP427</f>
        <v>0.47500000000000003</v>
      </c>
      <c r="ER427" s="154">
        <f>EQ427+0.5%</f>
        <v>0.48000000000000004</v>
      </c>
      <c r="ES427" s="154">
        <f t="shared" ref="ES427" si="811">ER427</f>
        <v>0.48000000000000004</v>
      </c>
      <c r="ET427" s="154">
        <f>ES427+0.5%</f>
        <v>0.48500000000000004</v>
      </c>
      <c r="EU427" s="154">
        <f t="shared" ref="EU427" si="812">ET427</f>
        <v>0.48500000000000004</v>
      </c>
      <c r="EV427" s="154">
        <f>EU427+0.5%</f>
        <v>0.49000000000000005</v>
      </c>
      <c r="EW427" s="154">
        <f t="shared" ref="EW427" si="813">EV427</f>
        <v>0.49000000000000005</v>
      </c>
      <c r="FY427" s="382">
        <f>FY424/FY266</f>
        <v>0.48</v>
      </c>
      <c r="FZ427" s="382">
        <f>FZ424/FZ266</f>
        <v>0.49234368443138904</v>
      </c>
      <c r="GA427" s="382">
        <f>GA424/GA266</f>
        <v>0.52992382488685752</v>
      </c>
      <c r="GB427" s="382">
        <f>GB424/GB266</f>
        <v>0.57958208761211483</v>
      </c>
      <c r="GC427" s="382">
        <f>GC424/GC266</f>
        <v>0.6</v>
      </c>
      <c r="GD427" s="382">
        <f>GD424/GD266</f>
        <v>0.4652292081898895</v>
      </c>
      <c r="GE427" s="382">
        <f>GE424/(GE266+GE153)</f>
        <v>0.45330184504279331</v>
      </c>
      <c r="GF427" s="382">
        <f>GF424/(GF266+GF153)</f>
        <v>0.39639086831699638</v>
      </c>
      <c r="GG427" s="498">
        <f>GG424/(GG266+GG153)</f>
        <v>0.45728905388058416</v>
      </c>
      <c r="GH427" s="498">
        <f>GH424/(GH266+GH153)</f>
        <v>0.45999999999999996</v>
      </c>
      <c r="GI427" s="498">
        <f>GI424/(GI266+GI153)</f>
        <v>0.46767097514853645</v>
      </c>
      <c r="GJ427" s="498">
        <f>GJ424/(GJ266+GJ153)</f>
        <v>0.47766483593827003</v>
      </c>
      <c r="GK427" s="498">
        <f>GK424/(GK266+GK153)</f>
        <v>0.48769986890110462</v>
      </c>
      <c r="GN427" s="70"/>
    </row>
    <row r="428" spans="1:196" s="382" customFormat="1" hidden="1" outlineLevel="1">
      <c r="A428" s="395" t="s">
        <v>310</v>
      </c>
      <c r="B428" s="376"/>
      <c r="C428" s="376"/>
      <c r="D428" s="376"/>
      <c r="E428" s="376"/>
      <c r="F428" s="376"/>
      <c r="G428" s="376"/>
      <c r="H428" s="376"/>
      <c r="I428" s="376"/>
      <c r="J428" s="376"/>
      <c r="K428" s="376"/>
      <c r="L428" s="376"/>
      <c r="M428" s="376"/>
      <c r="N428" s="376"/>
      <c r="O428" s="376"/>
      <c r="P428" s="376"/>
      <c r="Q428" s="376"/>
      <c r="R428" s="376"/>
      <c r="S428" s="376"/>
      <c r="T428" s="376"/>
      <c r="U428" s="376"/>
      <c r="V428" s="376"/>
      <c r="W428" s="376"/>
      <c r="X428" s="376"/>
      <c r="Y428" s="376"/>
      <c r="Z428" s="376"/>
      <c r="AA428" s="376"/>
      <c r="AB428" s="376"/>
      <c r="AC428" s="376"/>
      <c r="AD428" s="376"/>
      <c r="AE428" s="376"/>
      <c r="AF428" s="376"/>
      <c r="AG428" s="376"/>
      <c r="AH428" s="376"/>
      <c r="AI428" s="376"/>
      <c r="AJ428" s="376"/>
      <c r="AK428" s="376"/>
      <c r="AL428" s="376"/>
      <c r="AM428" s="376"/>
      <c r="AN428" s="376"/>
      <c r="AO428" s="376"/>
      <c r="AP428" s="376"/>
      <c r="AQ428" s="376"/>
      <c r="AR428" s="376"/>
      <c r="AS428" s="376"/>
      <c r="AT428" s="376"/>
      <c r="AU428" s="376"/>
      <c r="AV428" s="376"/>
      <c r="AW428" s="376"/>
      <c r="AX428" s="376"/>
      <c r="AY428" s="376"/>
      <c r="AZ428" s="376"/>
      <c r="BA428" s="376"/>
      <c r="BB428" s="376"/>
      <c r="BC428" s="376"/>
      <c r="BD428" s="376"/>
      <c r="BE428" s="376"/>
      <c r="BF428" s="376"/>
      <c r="BG428" s="376"/>
      <c r="BH428" s="376"/>
      <c r="BI428" s="376"/>
      <c r="BJ428" s="376"/>
      <c r="BK428" s="376"/>
      <c r="BL428" s="376"/>
      <c r="BM428" s="376"/>
      <c r="BN428" s="376"/>
      <c r="BO428" s="376"/>
      <c r="BP428" s="376"/>
      <c r="BQ428" s="376"/>
      <c r="BR428" s="376"/>
      <c r="BS428" s="376"/>
      <c r="BT428" s="376"/>
      <c r="BU428" s="376"/>
      <c r="BV428" s="376"/>
      <c r="BW428" s="376"/>
      <c r="BX428" s="376"/>
      <c r="BY428" s="376"/>
      <c r="BZ428" s="376"/>
      <c r="CA428" s="376"/>
      <c r="CB428" s="376"/>
      <c r="CC428" s="376"/>
      <c r="CD428" s="376"/>
      <c r="CE428" s="376"/>
      <c r="CF428" s="376"/>
      <c r="CG428" s="376"/>
      <c r="CH428" s="376"/>
      <c r="CI428" s="376"/>
      <c r="CJ428" s="376"/>
      <c r="CK428" s="376"/>
      <c r="CL428" s="376"/>
      <c r="CM428" s="376"/>
      <c r="CN428" s="376"/>
      <c r="CO428" s="376"/>
      <c r="CP428" s="114"/>
      <c r="CQ428" s="114"/>
      <c r="CR428" s="114"/>
      <c r="CS428" s="114"/>
      <c r="CT428" s="114"/>
      <c r="CU428" s="114"/>
      <c r="CV428" s="114"/>
      <c r="CW428" s="114"/>
      <c r="CX428" s="114"/>
      <c r="CY428" s="114"/>
      <c r="CZ428" s="114"/>
      <c r="DA428" s="114"/>
      <c r="DB428" s="114"/>
      <c r="DC428" s="114"/>
      <c r="DD428" s="114">
        <f>+DD431*DD315</f>
        <v>25</v>
      </c>
      <c r="DE428" s="114">
        <f>+DE431*DE315</f>
        <v>25</v>
      </c>
      <c r="DF428" s="114">
        <f>+DF431*DF315</f>
        <v>0</v>
      </c>
      <c r="DG428" s="114">
        <f>+DG431*DG315</f>
        <v>0</v>
      </c>
      <c r="DH428" s="114">
        <f>+DH431*DH315</f>
        <v>0</v>
      </c>
      <c r="DI428" s="114">
        <f>+DI431*DI315</f>
        <v>0</v>
      </c>
      <c r="DJ428" s="148">
        <f>+DJ431*DJ315</f>
        <v>2</v>
      </c>
      <c r="DK428" s="148">
        <f>+DK431*DK315</f>
        <v>0.5</v>
      </c>
      <c r="DL428" s="148">
        <f>+DL431*DL315</f>
        <v>1.5</v>
      </c>
      <c r="DM428" s="148">
        <f>+DM431*DM315</f>
        <v>2</v>
      </c>
      <c r="DN428" s="148">
        <f>+DN431*DN315</f>
        <v>41.5</v>
      </c>
      <c r="DO428" s="148">
        <f>+DO431*DO315</f>
        <v>3</v>
      </c>
      <c r="DP428" s="148">
        <f>+DP431*DP315</f>
        <v>0</v>
      </c>
      <c r="DQ428" s="148">
        <f>+DQ431*DQ315</f>
        <v>6.5</v>
      </c>
      <c r="DR428" s="148">
        <f>+DR431*DR315</f>
        <v>0</v>
      </c>
      <c r="DS428" s="148">
        <f>+DS431*DS315</f>
        <v>0</v>
      </c>
      <c r="DT428" s="148">
        <f>+DT431*DT315</f>
        <v>0</v>
      </c>
      <c r="DU428" s="148">
        <f>+DU431*DU315</f>
        <v>0</v>
      </c>
      <c r="DV428" s="114">
        <f>+DV431*DV315</f>
        <v>0</v>
      </c>
      <c r="DW428" s="114">
        <f>+DW431*DW315</f>
        <v>0</v>
      </c>
      <c r="DX428" s="114">
        <f>+DX431*DX315</f>
        <v>0</v>
      </c>
      <c r="DY428" s="114">
        <f>+DY431*DY315</f>
        <v>0</v>
      </c>
      <c r="DZ428" s="114">
        <f>+DZ431*DZ315</f>
        <v>0</v>
      </c>
      <c r="EA428" s="114">
        <f>+EA431*EA315</f>
        <v>0</v>
      </c>
      <c r="EB428" s="114">
        <f>+EB431*EB315</f>
        <v>0</v>
      </c>
      <c r="EC428" s="114">
        <f>+EC431*EC315</f>
        <v>0</v>
      </c>
      <c r="ED428" s="114">
        <f>+ED431*ED315</f>
        <v>0</v>
      </c>
      <c r="EE428" s="153">
        <f>+EE431*EE315</f>
        <v>0</v>
      </c>
      <c r="EF428" s="153">
        <f>+EF431*EF315</f>
        <v>0</v>
      </c>
      <c r="EG428" s="153">
        <f>+EG431*EG315</f>
        <v>0</v>
      </c>
      <c r="EH428" s="153">
        <f>+EH431*EH315</f>
        <v>0</v>
      </c>
      <c r="EI428" s="153">
        <f>+EI431*EI315</f>
        <v>0</v>
      </c>
      <c r="EJ428" s="153">
        <f>+EJ431*EJ315</f>
        <v>0</v>
      </c>
      <c r="EK428" s="153">
        <f>+EK431*EK315</f>
        <v>0</v>
      </c>
      <c r="EL428" s="153">
        <f>+EL431*EL315</f>
        <v>0</v>
      </c>
      <c r="EM428" s="153">
        <f>+EM431*EM315</f>
        <v>0</v>
      </c>
      <c r="EN428" s="153">
        <f>+EN431*EN315</f>
        <v>0</v>
      </c>
      <c r="EO428" s="153">
        <f>+EO431*EO315</f>
        <v>0</v>
      </c>
      <c r="EP428" s="153">
        <f>+EP431*EP315</f>
        <v>0</v>
      </c>
      <c r="EQ428" s="153">
        <f>+EQ431*EQ315</f>
        <v>0</v>
      </c>
      <c r="ER428" s="153">
        <f>+ER431*ER315</f>
        <v>0</v>
      </c>
      <c r="ES428" s="153">
        <f>+ES431*ES315</f>
        <v>0</v>
      </c>
      <c r="ET428" s="153">
        <f>+ET431*ET315</f>
        <v>0</v>
      </c>
      <c r="EU428" s="153">
        <f>+EU431*EU315</f>
        <v>0</v>
      </c>
      <c r="EV428" s="153">
        <f>+EV431*EV315</f>
        <v>0</v>
      </c>
      <c r="EW428" s="153">
        <f>+EW431*EW315</f>
        <v>0</v>
      </c>
      <c r="EX428" s="114"/>
      <c r="EY428" s="376"/>
      <c r="EZ428" s="376"/>
      <c r="FA428" s="376"/>
      <c r="FB428" s="376"/>
      <c r="FC428" s="376"/>
      <c r="FD428" s="376"/>
      <c r="FE428" s="376"/>
      <c r="FF428" s="376"/>
      <c r="FG428" s="376"/>
      <c r="FH428" s="376"/>
      <c r="FI428" s="376"/>
      <c r="FJ428" s="376"/>
      <c r="FK428" s="376"/>
      <c r="FL428" s="376"/>
      <c r="FM428" s="376"/>
      <c r="FN428" s="376"/>
      <c r="FO428" s="376"/>
      <c r="FP428" s="376"/>
      <c r="FQ428" s="376"/>
      <c r="FR428" s="376"/>
      <c r="FS428" s="376"/>
      <c r="FT428" s="376"/>
      <c r="FU428" s="376"/>
      <c r="FV428" s="376"/>
      <c r="FW428" s="376"/>
      <c r="FX428" s="376"/>
      <c r="FY428" s="376"/>
      <c r="FZ428" s="376">
        <f>DB428+DC428+DD428+DE428</f>
        <v>50</v>
      </c>
      <c r="GA428" s="376">
        <f>SUM(DF428:DI428)</f>
        <v>0</v>
      </c>
      <c r="GB428" s="376">
        <f>SUM(DJ428:DM428)</f>
        <v>6</v>
      </c>
      <c r="GC428" s="376">
        <f>SUM(DN428:DQ428)</f>
        <v>51</v>
      </c>
      <c r="GD428" s="376">
        <f>SUM(DR428:DU428)</f>
        <v>0</v>
      </c>
      <c r="GE428" s="376">
        <f>SUM(DV428:DY428)</f>
        <v>0</v>
      </c>
      <c r="GF428" s="376">
        <f>SUM(DZ428:EC428)</f>
        <v>0</v>
      </c>
      <c r="GG428" s="380">
        <f>SUM(ED428:EG428)</f>
        <v>0</v>
      </c>
      <c r="GH428" s="380">
        <f>SUM(EH428:EK428)</f>
        <v>0</v>
      </c>
      <c r="GI428" s="380">
        <f>SUM(EL428:EO428)</f>
        <v>0</v>
      </c>
      <c r="GJ428" s="380">
        <f>SUM(EP428:ES428)</f>
        <v>0</v>
      </c>
      <c r="GK428" s="380">
        <f>SUM(ET428:EW428)</f>
        <v>0</v>
      </c>
      <c r="GL428" s="376"/>
      <c r="GM428" s="376"/>
      <c r="GN428" s="70"/>
    </row>
    <row r="429" spans="1:196" s="382" customFormat="1" hidden="1" outlineLevel="1">
      <c r="A429" s="396" t="s">
        <v>198</v>
      </c>
      <c r="CP429" s="66"/>
      <c r="DE429" s="382">
        <f>DE428/DD428-1</f>
        <v>0</v>
      </c>
      <c r="DF429" s="382">
        <f>DF428/DE428-1</f>
        <v>-1</v>
      </c>
      <c r="DG429" s="382" t="e">
        <f>DG428/DF428-1</f>
        <v>#DIV/0!</v>
      </c>
      <c r="DH429" s="382" t="e">
        <f>DH428/DG428-1</f>
        <v>#DIV/0!</v>
      </c>
      <c r="DI429" s="382" t="e">
        <f>DI428/DH428-1</f>
        <v>#DIV/0!</v>
      </c>
      <c r="DJ429" s="383" t="e">
        <f t="shared" ref="DJ429:EH429" si="814">DJ428/DI428-1</f>
        <v>#DIV/0!</v>
      </c>
      <c r="DK429" s="383">
        <f t="shared" si="814"/>
        <v>-0.75</v>
      </c>
      <c r="DL429" s="383">
        <f t="shared" si="814"/>
        <v>2</v>
      </c>
      <c r="DM429" s="383">
        <f t="shared" si="814"/>
        <v>0.33333333333333326</v>
      </c>
      <c r="DN429" s="383">
        <f t="shared" si="814"/>
        <v>19.75</v>
      </c>
      <c r="DO429" s="383">
        <f t="shared" si="814"/>
        <v>-0.92771084337349397</v>
      </c>
      <c r="DP429" s="383">
        <f t="shared" si="814"/>
        <v>-1</v>
      </c>
      <c r="DQ429" s="383" t="e">
        <f t="shared" si="814"/>
        <v>#DIV/0!</v>
      </c>
      <c r="DR429" s="383">
        <f t="shared" si="814"/>
        <v>-1</v>
      </c>
      <c r="DS429" s="383" t="e">
        <f t="shared" si="814"/>
        <v>#DIV/0!</v>
      </c>
      <c r="DT429" s="383" t="e">
        <f t="shared" si="814"/>
        <v>#DIV/0!</v>
      </c>
      <c r="DU429" s="383" t="e">
        <f t="shared" si="814"/>
        <v>#DIV/0!</v>
      </c>
      <c r="DV429" s="382" t="e">
        <f t="shared" si="814"/>
        <v>#DIV/0!</v>
      </c>
      <c r="DW429" s="382" t="e">
        <f t="shared" si="814"/>
        <v>#DIV/0!</v>
      </c>
      <c r="DX429" s="382" t="e">
        <f>DX428/DW428-1</f>
        <v>#DIV/0!</v>
      </c>
      <c r="DY429" s="382" t="e">
        <f t="shared" si="814"/>
        <v>#DIV/0!</v>
      </c>
      <c r="DZ429" s="382" t="e">
        <f t="shared" si="814"/>
        <v>#DIV/0!</v>
      </c>
      <c r="EA429" s="382" t="e">
        <f t="shared" si="814"/>
        <v>#DIV/0!</v>
      </c>
      <c r="EB429" s="382" t="e">
        <f t="shared" si="814"/>
        <v>#DIV/0!</v>
      </c>
      <c r="EC429" s="382" t="e">
        <f t="shared" si="814"/>
        <v>#DIV/0!</v>
      </c>
      <c r="ED429" s="382" t="e">
        <f t="shared" si="814"/>
        <v>#DIV/0!</v>
      </c>
      <c r="EE429" s="384" t="e">
        <f t="shared" si="814"/>
        <v>#DIV/0!</v>
      </c>
      <c r="EF429" s="384" t="e">
        <f t="shared" si="814"/>
        <v>#DIV/0!</v>
      </c>
      <c r="EG429" s="384" t="e">
        <f t="shared" si="814"/>
        <v>#DIV/0!</v>
      </c>
      <c r="EH429" s="384" t="e">
        <f t="shared" si="814"/>
        <v>#DIV/0!</v>
      </c>
      <c r="EI429" s="384" t="e">
        <f>EI428/EH428-1</f>
        <v>#DIV/0!</v>
      </c>
      <c r="EJ429" s="384" t="e">
        <f>EJ428/EI428-1</f>
        <v>#DIV/0!</v>
      </c>
      <c r="EK429" s="384" t="e">
        <f>EK428/EJ428-1</f>
        <v>#DIV/0!</v>
      </c>
      <c r="EL429" s="384" t="e">
        <f t="shared" ref="EL429" si="815">EL428/EK428-1</f>
        <v>#DIV/0!</v>
      </c>
      <c r="EM429" s="384" t="e">
        <f>EM428/EL428-1</f>
        <v>#DIV/0!</v>
      </c>
      <c r="EN429" s="384" t="e">
        <f>EN428/EM428-1</f>
        <v>#DIV/0!</v>
      </c>
      <c r="EO429" s="384" t="e">
        <f>EO428/EN428-1</f>
        <v>#DIV/0!</v>
      </c>
      <c r="EP429" s="384" t="e">
        <f t="shared" ref="EP429" si="816">EP428/EO428-1</f>
        <v>#DIV/0!</v>
      </c>
      <c r="EQ429" s="384" t="e">
        <f>EQ428/EP428-1</f>
        <v>#DIV/0!</v>
      </c>
      <c r="ER429" s="384" t="e">
        <f>ER428/EQ428-1</f>
        <v>#DIV/0!</v>
      </c>
      <c r="ES429" s="384" t="e">
        <f>ES428/ER428-1</f>
        <v>#DIV/0!</v>
      </c>
      <c r="ET429" s="384" t="e">
        <f t="shared" ref="ET429" si="817">ET428/ES428-1</f>
        <v>#DIV/0!</v>
      </c>
      <c r="EU429" s="384" t="e">
        <f>EU428/ET428-1</f>
        <v>#DIV/0!</v>
      </c>
      <c r="EV429" s="384" t="e">
        <f>EV428/EU428-1</f>
        <v>#DIV/0!</v>
      </c>
      <c r="EW429" s="384" t="e">
        <f>EW428/EV428-1</f>
        <v>#DIV/0!</v>
      </c>
      <c r="FX429" s="449"/>
      <c r="FY429" s="449"/>
      <c r="FZ429" s="386" t="s">
        <v>199</v>
      </c>
      <c r="GA429" s="386" t="s">
        <v>199</v>
      </c>
      <c r="GB429" s="386" t="s">
        <v>199</v>
      </c>
      <c r="GC429" s="386" t="s">
        <v>199</v>
      </c>
      <c r="GD429" s="386" t="s">
        <v>199</v>
      </c>
      <c r="GE429" s="386" t="s">
        <v>199</v>
      </c>
      <c r="GF429" s="386" t="s">
        <v>199</v>
      </c>
      <c r="GG429" s="467" t="s">
        <v>199</v>
      </c>
      <c r="GH429" s="467" t="s">
        <v>199</v>
      </c>
      <c r="GI429" s="467" t="s">
        <v>199</v>
      </c>
      <c r="GJ429" s="467" t="s">
        <v>199</v>
      </c>
      <c r="GK429" s="467" t="s">
        <v>199</v>
      </c>
      <c r="GN429" s="70"/>
    </row>
    <row r="430" spans="1:196" s="382" customFormat="1" hidden="1" outlineLevel="1">
      <c r="A430" s="396" t="s">
        <v>200</v>
      </c>
      <c r="CP430" s="66"/>
      <c r="CQ430" s="66"/>
      <c r="CR430" s="66"/>
      <c r="CS430" s="66"/>
      <c r="DH430" s="382">
        <f>DH428/DD428-1</f>
        <v>-1</v>
      </c>
      <c r="DI430" s="382">
        <f>DI428/DE428-1</f>
        <v>-1</v>
      </c>
      <c r="DJ430" s="383" t="e">
        <f t="shared" ref="DJ430:EW430" si="818">DJ428/DF428-1</f>
        <v>#DIV/0!</v>
      </c>
      <c r="DK430" s="383" t="e">
        <f t="shared" si="818"/>
        <v>#DIV/0!</v>
      </c>
      <c r="DL430" s="383" t="e">
        <f t="shared" si="818"/>
        <v>#DIV/0!</v>
      </c>
      <c r="DM430" s="383" t="e">
        <f t="shared" si="818"/>
        <v>#DIV/0!</v>
      </c>
      <c r="DN430" s="383">
        <f t="shared" si="818"/>
        <v>19.75</v>
      </c>
      <c r="DO430" s="383">
        <f t="shared" si="818"/>
        <v>5</v>
      </c>
      <c r="DP430" s="383">
        <f t="shared" si="818"/>
        <v>-1</v>
      </c>
      <c r="DQ430" s="383">
        <f t="shared" si="818"/>
        <v>2.25</v>
      </c>
      <c r="DR430" s="383">
        <f t="shared" si="818"/>
        <v>-1</v>
      </c>
      <c r="DS430" s="383">
        <f t="shared" si="818"/>
        <v>-1</v>
      </c>
      <c r="DT430" s="383" t="e">
        <f t="shared" si="818"/>
        <v>#DIV/0!</v>
      </c>
      <c r="DU430" s="383">
        <f t="shared" si="818"/>
        <v>-1</v>
      </c>
      <c r="DV430" s="382" t="e">
        <f t="shared" si="818"/>
        <v>#DIV/0!</v>
      </c>
      <c r="DW430" s="382" t="e">
        <f t="shared" si="818"/>
        <v>#DIV/0!</v>
      </c>
      <c r="DX430" s="382" t="e">
        <f t="shared" si="818"/>
        <v>#DIV/0!</v>
      </c>
      <c r="DY430" s="382" t="e">
        <f t="shared" si="818"/>
        <v>#DIV/0!</v>
      </c>
      <c r="DZ430" s="382" t="e">
        <f t="shared" si="818"/>
        <v>#DIV/0!</v>
      </c>
      <c r="EA430" s="382" t="e">
        <f t="shared" si="818"/>
        <v>#DIV/0!</v>
      </c>
      <c r="EB430" s="382" t="e">
        <f t="shared" si="818"/>
        <v>#DIV/0!</v>
      </c>
      <c r="EC430" s="382" t="e">
        <f t="shared" si="818"/>
        <v>#DIV/0!</v>
      </c>
      <c r="ED430" s="382" t="e">
        <f t="shared" si="818"/>
        <v>#DIV/0!</v>
      </c>
      <c r="EE430" s="384" t="e">
        <f t="shared" si="818"/>
        <v>#DIV/0!</v>
      </c>
      <c r="EF430" s="384" t="e">
        <f t="shared" si="818"/>
        <v>#DIV/0!</v>
      </c>
      <c r="EG430" s="384" t="e">
        <f t="shared" si="818"/>
        <v>#DIV/0!</v>
      </c>
      <c r="EH430" s="384" t="e">
        <f t="shared" si="818"/>
        <v>#DIV/0!</v>
      </c>
      <c r="EI430" s="384" t="e">
        <f t="shared" si="818"/>
        <v>#DIV/0!</v>
      </c>
      <c r="EJ430" s="384" t="e">
        <f t="shared" si="818"/>
        <v>#DIV/0!</v>
      </c>
      <c r="EK430" s="384" t="e">
        <f t="shared" si="818"/>
        <v>#DIV/0!</v>
      </c>
      <c r="EL430" s="384" t="e">
        <f t="shared" si="818"/>
        <v>#DIV/0!</v>
      </c>
      <c r="EM430" s="384" t="e">
        <f t="shared" si="818"/>
        <v>#DIV/0!</v>
      </c>
      <c r="EN430" s="384" t="e">
        <f t="shared" si="818"/>
        <v>#DIV/0!</v>
      </c>
      <c r="EO430" s="384" t="e">
        <f t="shared" si="818"/>
        <v>#DIV/0!</v>
      </c>
      <c r="EP430" s="384" t="e">
        <f t="shared" si="818"/>
        <v>#DIV/0!</v>
      </c>
      <c r="EQ430" s="384" t="e">
        <f t="shared" si="818"/>
        <v>#DIV/0!</v>
      </c>
      <c r="ER430" s="384" t="e">
        <f t="shared" si="818"/>
        <v>#DIV/0!</v>
      </c>
      <c r="ES430" s="384" t="e">
        <f t="shared" si="818"/>
        <v>#DIV/0!</v>
      </c>
      <c r="ET430" s="384" t="e">
        <f t="shared" si="818"/>
        <v>#DIV/0!</v>
      </c>
      <c r="EU430" s="384" t="e">
        <f t="shared" si="818"/>
        <v>#DIV/0!</v>
      </c>
      <c r="EV430" s="384" t="e">
        <f t="shared" si="818"/>
        <v>#DIV/0!</v>
      </c>
      <c r="EW430" s="384" t="e">
        <f t="shared" si="818"/>
        <v>#DIV/0!</v>
      </c>
      <c r="FZ430" s="386" t="s">
        <v>199</v>
      </c>
      <c r="GA430" s="382">
        <f t="shared" ref="GA430:GK430" si="819">GA428/FZ428-1</f>
        <v>-1</v>
      </c>
      <c r="GB430" s="382" t="e">
        <f t="shared" si="819"/>
        <v>#DIV/0!</v>
      </c>
      <c r="GC430" s="382">
        <f t="shared" si="819"/>
        <v>7.5</v>
      </c>
      <c r="GD430" s="382">
        <f t="shared" si="819"/>
        <v>-1</v>
      </c>
      <c r="GE430" s="382" t="e">
        <f t="shared" si="819"/>
        <v>#DIV/0!</v>
      </c>
      <c r="GF430" s="382" t="e">
        <f t="shared" si="819"/>
        <v>#DIV/0!</v>
      </c>
      <c r="GG430" s="384" t="e">
        <f t="shared" si="819"/>
        <v>#DIV/0!</v>
      </c>
      <c r="GH430" s="384" t="e">
        <f t="shared" si="819"/>
        <v>#DIV/0!</v>
      </c>
      <c r="GI430" s="384" t="e">
        <f t="shared" si="819"/>
        <v>#DIV/0!</v>
      </c>
      <c r="GJ430" s="384" t="e">
        <f t="shared" si="819"/>
        <v>#DIV/0!</v>
      </c>
      <c r="GK430" s="384" t="e">
        <f t="shared" si="819"/>
        <v>#DIV/0!</v>
      </c>
      <c r="GN430" s="70"/>
    </row>
    <row r="431" spans="1:196" s="382" customFormat="1" hidden="1" outlineLevel="1">
      <c r="A431" s="396" t="s">
        <v>309</v>
      </c>
      <c r="CP431" s="149"/>
      <c r="CQ431" s="149"/>
      <c r="CR431" s="149"/>
      <c r="CS431" s="149"/>
      <c r="CT431" s="149"/>
      <c r="CU431" s="149"/>
      <c r="CV431" s="149"/>
      <c r="CW431" s="149"/>
      <c r="CX431" s="149"/>
      <c r="CY431" s="149"/>
      <c r="CZ431" s="149"/>
      <c r="DA431" s="149"/>
      <c r="DB431" s="149"/>
      <c r="DC431" s="149"/>
      <c r="DD431" s="149">
        <v>0.5</v>
      </c>
      <c r="DE431" s="149">
        <v>0.5</v>
      </c>
      <c r="DF431" s="149">
        <v>0.5</v>
      </c>
      <c r="DG431" s="149">
        <f>+DF431</f>
        <v>0.5</v>
      </c>
      <c r="DH431" s="149">
        <v>0.5</v>
      </c>
      <c r="DI431" s="149">
        <v>0.5</v>
      </c>
      <c r="DJ431" s="154">
        <v>0.5</v>
      </c>
      <c r="DK431" s="154">
        <f t="shared" ref="DK431:DW431" si="820">DJ431</f>
        <v>0.5</v>
      </c>
      <c r="DL431" s="154">
        <f t="shared" si="820"/>
        <v>0.5</v>
      </c>
      <c r="DM431" s="154">
        <f t="shared" si="820"/>
        <v>0.5</v>
      </c>
      <c r="DN431" s="154">
        <f t="shared" si="820"/>
        <v>0.5</v>
      </c>
      <c r="DO431" s="154">
        <f t="shared" si="820"/>
        <v>0.5</v>
      </c>
      <c r="DP431" s="154">
        <f t="shared" si="820"/>
        <v>0.5</v>
      </c>
      <c r="DQ431" s="154">
        <f t="shared" si="820"/>
        <v>0.5</v>
      </c>
      <c r="DR431" s="154">
        <f t="shared" si="820"/>
        <v>0.5</v>
      </c>
      <c r="DS431" s="154">
        <f t="shared" si="820"/>
        <v>0.5</v>
      </c>
      <c r="DT431" s="154">
        <f t="shared" si="820"/>
        <v>0.5</v>
      </c>
      <c r="DU431" s="154">
        <f t="shared" si="820"/>
        <v>0.5</v>
      </c>
      <c r="DV431" s="149">
        <f t="shared" si="820"/>
        <v>0.5</v>
      </c>
      <c r="DW431" s="149">
        <f t="shared" si="820"/>
        <v>0.5</v>
      </c>
      <c r="DX431" s="149">
        <f>DW431</f>
        <v>0.5</v>
      </c>
      <c r="DY431" s="149">
        <v>0.5</v>
      </c>
      <c r="DZ431" s="149">
        <f t="shared" ref="DZ431:EH431" si="821">DY431</f>
        <v>0.5</v>
      </c>
      <c r="EA431" s="149">
        <f t="shared" si="821"/>
        <v>0.5</v>
      </c>
      <c r="EB431" s="149">
        <f t="shared" si="821"/>
        <v>0.5</v>
      </c>
      <c r="EC431" s="149">
        <f t="shared" si="821"/>
        <v>0.5</v>
      </c>
      <c r="ED431" s="149">
        <f t="shared" si="821"/>
        <v>0.5</v>
      </c>
      <c r="EE431" s="149">
        <f t="shared" si="821"/>
        <v>0.5</v>
      </c>
      <c r="EF431" s="149">
        <f t="shared" si="821"/>
        <v>0.5</v>
      </c>
      <c r="EG431" s="149">
        <f t="shared" si="821"/>
        <v>0.5</v>
      </c>
      <c r="EH431" s="149">
        <f t="shared" si="821"/>
        <v>0.5</v>
      </c>
      <c r="EI431" s="149">
        <f>EH431</f>
        <v>0.5</v>
      </c>
      <c r="EJ431" s="149">
        <f>EI431</f>
        <v>0.5</v>
      </c>
      <c r="EK431" s="149">
        <f>EJ431</f>
        <v>0.5</v>
      </c>
      <c r="EL431" s="149">
        <f t="shared" ref="EL431" si="822">EK431</f>
        <v>0.5</v>
      </c>
      <c r="EM431" s="149">
        <f>EL431</f>
        <v>0.5</v>
      </c>
      <c r="EN431" s="149">
        <f>EM431</f>
        <v>0.5</v>
      </c>
      <c r="EO431" s="149">
        <f>EN431</f>
        <v>0.5</v>
      </c>
      <c r="EP431" s="149">
        <f t="shared" ref="EP431" si="823">EO431</f>
        <v>0.5</v>
      </c>
      <c r="EQ431" s="149">
        <f>EP431</f>
        <v>0.5</v>
      </c>
      <c r="ER431" s="149">
        <f>EQ431</f>
        <v>0.5</v>
      </c>
      <c r="ES431" s="149">
        <f>ER431</f>
        <v>0.5</v>
      </c>
      <c r="ET431" s="149">
        <f t="shared" ref="ET431" si="824">ES431</f>
        <v>0.5</v>
      </c>
      <c r="EU431" s="149">
        <f>ET431</f>
        <v>0.5</v>
      </c>
      <c r="EV431" s="149">
        <f>EU431</f>
        <v>0.5</v>
      </c>
      <c r="EW431" s="149">
        <f>EV431</f>
        <v>0.5</v>
      </c>
      <c r="FZ431" s="382">
        <f>FZ428/FZ315</f>
        <v>0.5</v>
      </c>
      <c r="GA431" s="382" t="e">
        <f>GA428/GA315</f>
        <v>#DIV/0!</v>
      </c>
      <c r="GB431" s="382">
        <f>GB428/GB315</f>
        <v>0.5</v>
      </c>
      <c r="GC431" s="382">
        <f>GC428/GC315</f>
        <v>0.5</v>
      </c>
      <c r="GD431" s="382" t="e">
        <f>GD428/GD315</f>
        <v>#DIV/0!</v>
      </c>
      <c r="GE431" s="382" t="e">
        <f>GE428/GE315</f>
        <v>#DIV/0!</v>
      </c>
      <c r="GF431" s="382" t="e">
        <f>GF428/GF315</f>
        <v>#DIV/0!</v>
      </c>
      <c r="GG431" s="384" t="e">
        <f>GG428/GG315</f>
        <v>#DIV/0!</v>
      </c>
      <c r="GH431" s="384" t="e">
        <f>GH428/GH315</f>
        <v>#DIV/0!</v>
      </c>
      <c r="GI431" s="384" t="e">
        <f>GI428/GI315</f>
        <v>#DIV/0!</v>
      </c>
      <c r="GJ431" s="384" t="e">
        <f>GJ428/GJ315</f>
        <v>#DIV/0!</v>
      </c>
      <c r="GK431" s="384" t="e">
        <f>GK428/GK315</f>
        <v>#DIV/0!</v>
      </c>
      <c r="GN431" s="70"/>
    </row>
    <row r="432" spans="1:196" s="376" customFormat="1" hidden="1" outlineLevel="1">
      <c r="A432" s="376" t="s">
        <v>311</v>
      </c>
      <c r="CP432" s="376">
        <f t="shared" ref="CP432:DM432" si="825">CP436+CP440+CP452</f>
        <v>103.92219</v>
      </c>
      <c r="CQ432" s="376">
        <f t="shared" si="825"/>
        <v>164.82485</v>
      </c>
      <c r="CR432" s="376">
        <f t="shared" si="825"/>
        <v>224.68499000000003</v>
      </c>
      <c r="CS432" s="376">
        <f t="shared" si="825"/>
        <v>137.70559999999998</v>
      </c>
      <c r="CT432" s="376">
        <f t="shared" si="825"/>
        <v>111.63419999999999</v>
      </c>
      <c r="CU432" s="376">
        <f t="shared" si="825"/>
        <v>152.54784000000001</v>
      </c>
      <c r="CV432" s="376">
        <f t="shared" si="825"/>
        <v>228.79919999999998</v>
      </c>
      <c r="CW432" s="376">
        <f t="shared" si="825"/>
        <v>153.39882</v>
      </c>
      <c r="CX432" s="376">
        <f t="shared" si="825"/>
        <v>155.68544</v>
      </c>
      <c r="CY432" s="376">
        <f t="shared" si="825"/>
        <v>207.6044</v>
      </c>
      <c r="CZ432" s="376">
        <f t="shared" si="825"/>
        <v>206.52318</v>
      </c>
      <c r="DA432" s="376">
        <f t="shared" si="825"/>
        <v>158.0325</v>
      </c>
      <c r="DB432" s="376">
        <f t="shared" si="825"/>
        <v>163.74613499999998</v>
      </c>
      <c r="DC432" s="376">
        <f t="shared" si="825"/>
        <v>215.79924</v>
      </c>
      <c r="DD432" s="376">
        <f t="shared" si="825"/>
        <v>227.72490000000002</v>
      </c>
      <c r="DE432" s="376">
        <f t="shared" si="825"/>
        <v>247.18893999999997</v>
      </c>
      <c r="DF432" s="376">
        <f t="shared" si="825"/>
        <v>197.36462999999998</v>
      </c>
      <c r="DG432" s="376">
        <f t="shared" si="825"/>
        <v>277.88197000000002</v>
      </c>
      <c r="DH432" s="376">
        <f t="shared" si="825"/>
        <v>447.98843999999997</v>
      </c>
      <c r="DI432" s="376">
        <f t="shared" si="825"/>
        <v>501.167125</v>
      </c>
      <c r="DJ432" s="397">
        <f t="shared" si="825"/>
        <v>571.54257574999997</v>
      </c>
      <c r="DK432" s="397">
        <f t="shared" si="825"/>
        <v>733.40562584999998</v>
      </c>
      <c r="DL432" s="397">
        <f t="shared" si="825"/>
        <v>902.02509835000012</v>
      </c>
      <c r="DM432" s="397">
        <f t="shared" si="825"/>
        <v>1104.9274760000001</v>
      </c>
      <c r="DN432" s="397">
        <f>DN436+DN440</f>
        <v>1190.4215649999999</v>
      </c>
      <c r="DO432" s="397">
        <f t="shared" ref="DO432:EW432" si="826">DO436+DO440</f>
        <v>1297.1668525</v>
      </c>
      <c r="DP432" s="397">
        <f t="shared" si="826"/>
        <v>1426.2106243599999</v>
      </c>
      <c r="DQ432" s="397">
        <f>DQ436+DQ440</f>
        <v>1381.9064645199999</v>
      </c>
      <c r="DR432" s="397">
        <f t="shared" si="826"/>
        <v>1172.4134045999999</v>
      </c>
      <c r="DS432" s="397">
        <f t="shared" si="826"/>
        <v>1126.5248795000002</v>
      </c>
      <c r="DT432" s="397">
        <f t="shared" si="826"/>
        <v>1319.4588824999998</v>
      </c>
      <c r="DU432" s="397">
        <f t="shared" si="826"/>
        <v>1446.0348353999998</v>
      </c>
      <c r="DV432" s="376">
        <f t="shared" si="826"/>
        <v>1303.2821999999999</v>
      </c>
      <c r="DW432" s="376">
        <f t="shared" si="826"/>
        <v>1318.459625</v>
      </c>
      <c r="DX432" s="376">
        <f t="shared" si="826"/>
        <v>1380.8629999999998</v>
      </c>
      <c r="DY432" s="376">
        <f t="shared" si="826"/>
        <v>1564.0154749999999</v>
      </c>
      <c r="DZ432" s="376">
        <f t="shared" si="826"/>
        <v>1621.3299999999997</v>
      </c>
      <c r="EA432" s="376">
        <f t="shared" si="826"/>
        <v>1814.2424999999998</v>
      </c>
      <c r="EB432" s="376">
        <f t="shared" si="826"/>
        <v>1965.181</v>
      </c>
      <c r="EC432" s="376">
        <f t="shared" si="826"/>
        <v>2221.7755000000002</v>
      </c>
      <c r="ED432" s="376">
        <f t="shared" si="826"/>
        <v>2451.2182256000001</v>
      </c>
      <c r="EE432" s="380">
        <f t="shared" si="826"/>
        <v>2939.1555832705603</v>
      </c>
      <c r="EF432" s="380">
        <f t="shared" si="826"/>
        <v>3098.1516531184288</v>
      </c>
      <c r="EG432" s="380">
        <f t="shared" si="826"/>
        <v>3297.0789979967199</v>
      </c>
      <c r="EH432" s="380">
        <f t="shared" si="826"/>
        <v>3499.36528178148</v>
      </c>
      <c r="EI432" s="380">
        <f t="shared" si="826"/>
        <v>3817.3445480351606</v>
      </c>
      <c r="EJ432" s="380">
        <f t="shared" si="826"/>
        <v>4168.5320936069311</v>
      </c>
      <c r="EK432" s="380">
        <f t="shared" si="826"/>
        <v>4464.3401863666877</v>
      </c>
      <c r="EL432" s="380">
        <f t="shared" si="826"/>
        <v>4653.8124160090047</v>
      </c>
      <c r="EM432" s="380">
        <f t="shared" si="826"/>
        <v>4977.983063982374</v>
      </c>
      <c r="EN432" s="380">
        <f t="shared" si="826"/>
        <v>5341.2713312372689</v>
      </c>
      <c r="EO432" s="380">
        <f t="shared" si="826"/>
        <v>5662.617237268646</v>
      </c>
      <c r="EP432" s="380">
        <f t="shared" si="826"/>
        <v>5138.5736098466396</v>
      </c>
      <c r="EQ432" s="380">
        <f t="shared" si="826"/>
        <v>5295.223473998205</v>
      </c>
      <c r="ER432" s="380">
        <f t="shared" si="826"/>
        <v>5632.6077080896166</v>
      </c>
      <c r="ES432" s="380">
        <f t="shared" si="826"/>
        <v>5916.4183798274516</v>
      </c>
      <c r="ET432" s="380">
        <f t="shared" si="826"/>
        <v>5425.9161272818146</v>
      </c>
      <c r="EU432" s="380">
        <f t="shared" si="826"/>
        <v>5591.3322782600035</v>
      </c>
      <c r="EV432" s="380">
        <f t="shared" si="826"/>
        <v>5944.3628080949848</v>
      </c>
      <c r="EW432" s="380">
        <f t="shared" si="826"/>
        <v>6303.7325115942758</v>
      </c>
      <c r="FW432" s="376">
        <f>CP432+CQ432+CR432+CS432</f>
        <v>631.13762999999994</v>
      </c>
      <c r="FX432" s="376">
        <f>CT432+CU432+CV432+CW432</f>
        <v>646.38005999999996</v>
      </c>
      <c r="FY432" s="376">
        <f>CX432+CY432+CZ432+DA432</f>
        <v>727.84552000000008</v>
      </c>
      <c r="FZ432" s="376">
        <f>DB432+DC432+DD432+DE432</f>
        <v>854.45921499999997</v>
      </c>
      <c r="GA432" s="376">
        <f>SUM(DF432:DI432)</f>
        <v>1424.402165</v>
      </c>
      <c r="GB432" s="376">
        <f>SUM(DJ432:DM432)</f>
        <v>3311.90077595</v>
      </c>
      <c r="GC432" s="376">
        <f>SUM(DN432:DQ432)</f>
        <v>5295.7055063799999</v>
      </c>
      <c r="GD432" s="376">
        <f>SUM(DR432:DU432)</f>
        <v>5064.4320019999996</v>
      </c>
      <c r="GE432" s="376">
        <f>SUM(DV432:DY432)</f>
        <v>5566.6202999999996</v>
      </c>
      <c r="GF432" s="376">
        <f>SUM(DZ432:EC432)</f>
        <v>7622.5289999999986</v>
      </c>
      <c r="GG432" s="380">
        <f>SUM(ED432:EG432)</f>
        <v>11785.604459985709</v>
      </c>
      <c r="GH432" s="380">
        <f>SUM(EH432:EK432)</f>
        <v>15949.582109790259</v>
      </c>
      <c r="GI432" s="380">
        <f>SUM(EL432:EO432)</f>
        <v>20635.684048497293</v>
      </c>
      <c r="GJ432" s="380">
        <f>SUM(EP432:ES432)</f>
        <v>21982.823171761913</v>
      </c>
      <c r="GK432" s="380">
        <f>SUM(ET432:EW432)</f>
        <v>23265.34372523108</v>
      </c>
      <c r="GN432" s="70"/>
    </row>
    <row r="433" spans="1:196" s="418" customFormat="1" hidden="1" outlineLevel="1">
      <c r="A433" s="381" t="s">
        <v>198</v>
      </c>
      <c r="CQ433" s="382">
        <f t="shared" ref="CQ433:EH433" si="827">CQ432/CP432-1</f>
        <v>0.5860409600682972</v>
      </c>
      <c r="CR433" s="382">
        <f t="shared" si="827"/>
        <v>0.36317424223349826</v>
      </c>
      <c r="CS433" s="382">
        <f t="shared" si="827"/>
        <v>-0.38711704773870315</v>
      </c>
      <c r="CT433" s="382">
        <f t="shared" si="827"/>
        <v>-0.18932708618966831</v>
      </c>
      <c r="CU433" s="382">
        <f t="shared" si="827"/>
        <v>0.36649736371112085</v>
      </c>
      <c r="CV433" s="382">
        <f t="shared" si="827"/>
        <v>0.49985211196697366</v>
      </c>
      <c r="CW433" s="382">
        <f t="shared" si="827"/>
        <v>-0.32954826765128542</v>
      </c>
      <c r="CX433" s="382">
        <f t="shared" si="827"/>
        <v>1.4906372813037194E-2</v>
      </c>
      <c r="CY433" s="382">
        <f t="shared" si="827"/>
        <v>0.33348629133206042</v>
      </c>
      <c r="CZ433" s="382">
        <f t="shared" si="827"/>
        <v>-5.2080784414973991E-3</v>
      </c>
      <c r="DA433" s="382">
        <f t="shared" si="827"/>
        <v>-0.23479533871210001</v>
      </c>
      <c r="DB433" s="382">
        <f t="shared" si="827"/>
        <v>3.6154809928337306E-2</v>
      </c>
      <c r="DC433" s="382">
        <f t="shared" si="827"/>
        <v>0.3178890604043878</v>
      </c>
      <c r="DD433" s="382">
        <f t="shared" si="827"/>
        <v>5.5262752547228677E-2</v>
      </c>
      <c r="DE433" s="382">
        <f t="shared" si="827"/>
        <v>8.5471724875057387E-2</v>
      </c>
      <c r="DF433" s="382">
        <f t="shared" si="827"/>
        <v>-0.20156367028395361</v>
      </c>
      <c r="DG433" s="382">
        <f t="shared" si="827"/>
        <v>0.40796235880765486</v>
      </c>
      <c r="DH433" s="382">
        <f t="shared" si="827"/>
        <v>0.61215367805259158</v>
      </c>
      <c r="DI433" s="382">
        <f t="shared" si="827"/>
        <v>0.11870548490045874</v>
      </c>
      <c r="DJ433" s="383">
        <f t="shared" si="827"/>
        <v>0.14042311883485969</v>
      </c>
      <c r="DK433" s="383">
        <f t="shared" si="827"/>
        <v>0.28320383636791568</v>
      </c>
      <c r="DL433" s="383">
        <f t="shared" si="827"/>
        <v>0.22991297933469501</v>
      </c>
      <c r="DM433" s="383">
        <f t="shared" si="827"/>
        <v>0.22494094457144542</v>
      </c>
      <c r="DN433" s="383">
        <f t="shared" si="827"/>
        <v>7.7375294629744351E-2</v>
      </c>
      <c r="DO433" s="383">
        <f t="shared" si="827"/>
        <v>8.96701560509785E-2</v>
      </c>
      <c r="DP433" s="383">
        <f t="shared" si="827"/>
        <v>9.9481243766980976E-2</v>
      </c>
      <c r="DQ433" s="383">
        <f t="shared" si="827"/>
        <v>-3.106424751244663E-2</v>
      </c>
      <c r="DR433" s="383">
        <f t="shared" si="827"/>
        <v>-0.15159713432035116</v>
      </c>
      <c r="DS433" s="383">
        <f t="shared" si="827"/>
        <v>-3.9140225555213459E-2</v>
      </c>
      <c r="DT433" s="383">
        <f t="shared" si="827"/>
        <v>0.17126475101520344</v>
      </c>
      <c r="DU433" s="383">
        <f t="shared" si="827"/>
        <v>9.5930198794959454E-2</v>
      </c>
      <c r="DV433" s="382">
        <f t="shared" si="827"/>
        <v>-9.8720052868236707E-2</v>
      </c>
      <c r="DW433" s="382">
        <f t="shared" si="827"/>
        <v>1.1645540006608002E-2</v>
      </c>
      <c r="DX433" s="382">
        <f>DX432/DW432-1</f>
        <v>4.7330516472963602E-2</v>
      </c>
      <c r="DY433" s="382">
        <f t="shared" si="827"/>
        <v>0.13263623907657762</v>
      </c>
      <c r="DZ433" s="382">
        <f t="shared" si="827"/>
        <v>3.6645753137448889E-2</v>
      </c>
      <c r="EA433" s="382">
        <f t="shared" si="827"/>
        <v>0.11898410564166473</v>
      </c>
      <c r="EB433" s="382">
        <f t="shared" si="827"/>
        <v>8.3196430466158766E-2</v>
      </c>
      <c r="EC433" s="382">
        <f t="shared" si="827"/>
        <v>0.13057041565128102</v>
      </c>
      <c r="ED433" s="382">
        <f t="shared" si="827"/>
        <v>0.10326998636900986</v>
      </c>
      <c r="EE433" s="384">
        <f t="shared" si="827"/>
        <v>0.19905912601931841</v>
      </c>
      <c r="EF433" s="384">
        <f t="shared" si="827"/>
        <v>5.4095833086503342E-2</v>
      </c>
      <c r="EG433" s="384">
        <f t="shared" si="827"/>
        <v>6.4208394924135437E-2</v>
      </c>
      <c r="EH433" s="384">
        <f t="shared" si="827"/>
        <v>6.1353180772334426E-2</v>
      </c>
      <c r="EI433" s="384">
        <f>EI432/EH432-1</f>
        <v>9.0867697610522491E-2</v>
      </c>
      <c r="EJ433" s="384">
        <f>EJ432/EI432-1</f>
        <v>9.1997864262090667E-2</v>
      </c>
      <c r="EK433" s="384">
        <f>EK432/EJ432-1</f>
        <v>7.0962172322823758E-2</v>
      </c>
      <c r="EL433" s="384">
        <f t="shared" ref="EL433" si="828">EL432/EK432-1</f>
        <v>4.2441261582379486E-2</v>
      </c>
      <c r="EM433" s="384">
        <f>EM432/EL432-1</f>
        <v>6.9657007845488117E-2</v>
      </c>
      <c r="EN433" s="384">
        <f>EN432/EM432-1</f>
        <v>7.2979008282174629E-2</v>
      </c>
      <c r="EO433" s="384">
        <f>EO432/EN432-1</f>
        <v>6.016281257835665E-2</v>
      </c>
      <c r="EP433" s="384">
        <f t="shared" ref="EP433" si="829">EP432/EO432-1</f>
        <v>-9.2544419914699749E-2</v>
      </c>
      <c r="EQ433" s="384">
        <f>EQ432/EP432-1</f>
        <v>3.0485087116663978E-2</v>
      </c>
      <c r="ER433" s="384">
        <f>ER432/EQ432-1</f>
        <v>6.371482445417298E-2</v>
      </c>
      <c r="ES433" s="384">
        <f>ES432/ER432-1</f>
        <v>5.0387082936775851E-2</v>
      </c>
      <c r="ET433" s="384">
        <f t="shared" ref="ET433" si="830">ET432/ES432-1</f>
        <v>-8.2905268197064563E-2</v>
      </c>
      <c r="EU433" s="384">
        <f>EU432/ET432-1</f>
        <v>3.0486308136328688E-2</v>
      </c>
      <c r="EV433" s="384">
        <f>EV432/EU432-1</f>
        <v>6.313889289098773E-2</v>
      </c>
      <c r="EW433" s="384">
        <f>EW432/EV432-1</f>
        <v>6.0455546725698639E-2</v>
      </c>
      <c r="EZ433" s="449"/>
      <c r="FA433" s="449"/>
      <c r="FB433" s="449"/>
      <c r="FC433" s="449"/>
      <c r="FD433" s="449"/>
      <c r="FE433" s="449"/>
      <c r="FF433" s="449"/>
      <c r="FG433" s="449"/>
      <c r="FH433" s="449"/>
      <c r="FI433" s="449"/>
      <c r="FJ433" s="449"/>
      <c r="FK433" s="449"/>
      <c r="FL433" s="449"/>
      <c r="FM433" s="449"/>
      <c r="FN433" s="449"/>
      <c r="FO433" s="449"/>
      <c r="FP433" s="449"/>
      <c r="FQ433" s="449"/>
      <c r="FR433" s="449"/>
      <c r="FS433" s="449"/>
      <c r="FT433" s="449"/>
      <c r="FU433" s="449"/>
      <c r="FV433" s="449"/>
      <c r="FW433" s="449"/>
      <c r="FX433" s="449"/>
      <c r="FY433" s="449"/>
      <c r="FZ433" s="386" t="s">
        <v>199</v>
      </c>
      <c r="GA433" s="386" t="s">
        <v>199</v>
      </c>
      <c r="GB433" s="386" t="s">
        <v>199</v>
      </c>
      <c r="GC433" s="386" t="s">
        <v>199</v>
      </c>
      <c r="GD433" s="386" t="s">
        <v>199</v>
      </c>
      <c r="GE433" s="386" t="s">
        <v>199</v>
      </c>
      <c r="GF433" s="386" t="s">
        <v>199</v>
      </c>
      <c r="GG433" s="467" t="s">
        <v>199</v>
      </c>
      <c r="GH433" s="467" t="s">
        <v>199</v>
      </c>
      <c r="GI433" s="467" t="s">
        <v>199</v>
      </c>
      <c r="GJ433" s="467" t="s">
        <v>199</v>
      </c>
      <c r="GK433" s="467" t="s">
        <v>199</v>
      </c>
      <c r="GN433" s="70"/>
    </row>
    <row r="434" spans="1:196" s="418" customFormat="1" hidden="1" outlineLevel="1">
      <c r="A434" s="381" t="s">
        <v>200</v>
      </c>
      <c r="CT434" s="382">
        <f t="shared" ref="CT434:EW434" si="831">CT432/CP432-1</f>
        <v>7.4209463830583244E-2</v>
      </c>
      <c r="CU434" s="382">
        <f t="shared" si="831"/>
        <v>-7.4485188368137445E-2</v>
      </c>
      <c r="CV434" s="382">
        <f t="shared" si="831"/>
        <v>1.8311014011216153E-2</v>
      </c>
      <c r="CW434" s="382">
        <f t="shared" si="831"/>
        <v>0.11396210466386281</v>
      </c>
      <c r="CX434" s="382">
        <f t="shared" si="831"/>
        <v>0.39460344589740437</v>
      </c>
      <c r="CY434" s="382">
        <f t="shared" si="831"/>
        <v>0.36091340264142713</v>
      </c>
      <c r="CZ434" s="382">
        <f t="shared" si="831"/>
        <v>-9.7360567694292577E-2</v>
      </c>
      <c r="DA434" s="382">
        <f t="shared" si="831"/>
        <v>3.020675126444905E-2</v>
      </c>
      <c r="DB434" s="382">
        <f t="shared" si="831"/>
        <v>5.1775522489450498E-2</v>
      </c>
      <c r="DC434" s="382">
        <f t="shared" si="831"/>
        <v>3.9473344495588814E-2</v>
      </c>
      <c r="DD434" s="382">
        <f t="shared" si="831"/>
        <v>0.10266024375568894</v>
      </c>
      <c r="DE434" s="382">
        <f t="shared" si="831"/>
        <v>0.56416521917959894</v>
      </c>
      <c r="DF434" s="382">
        <f t="shared" si="831"/>
        <v>0.20530863217015782</v>
      </c>
      <c r="DG434" s="382">
        <f t="shared" si="831"/>
        <v>0.28768743578522349</v>
      </c>
      <c r="DH434" s="382">
        <f t="shared" si="831"/>
        <v>0.9672352035284677</v>
      </c>
      <c r="DI434" s="382">
        <f t="shared" si="831"/>
        <v>1.0274658121839919</v>
      </c>
      <c r="DJ434" s="383">
        <f t="shared" si="831"/>
        <v>1.8958713410300518</v>
      </c>
      <c r="DK434" s="383">
        <f t="shared" si="831"/>
        <v>1.6392702838906748</v>
      </c>
      <c r="DL434" s="383">
        <f t="shared" si="831"/>
        <v>1.013500835758173</v>
      </c>
      <c r="DM434" s="383">
        <f t="shared" si="831"/>
        <v>1.2047086109249485</v>
      </c>
      <c r="DN434" s="383">
        <f t="shared" si="831"/>
        <v>1.0828221999697631</v>
      </c>
      <c r="DO434" s="383">
        <f t="shared" si="831"/>
        <v>0.76868953111262805</v>
      </c>
      <c r="DP434" s="383">
        <f t="shared" si="831"/>
        <v>0.58112077698153741</v>
      </c>
      <c r="DQ434" s="383">
        <f t="shared" si="831"/>
        <v>0.25067617064126635</v>
      </c>
      <c r="DR434" s="383">
        <f t="shared" si="831"/>
        <v>-1.5127548869630858E-2</v>
      </c>
      <c r="DS434" s="383">
        <f t="shared" si="831"/>
        <v>-0.13154974833894761</v>
      </c>
      <c r="DT434" s="383">
        <f t="shared" si="831"/>
        <v>-7.4849913495704024E-2</v>
      </c>
      <c r="DU434" s="383">
        <f t="shared" si="831"/>
        <v>4.6405724646692903E-2</v>
      </c>
      <c r="DV434" s="382">
        <f t="shared" si="831"/>
        <v>0.11162342130048342</v>
      </c>
      <c r="DW434" s="382">
        <f t="shared" si="831"/>
        <v>0.17037772444509924</v>
      </c>
      <c r="DX434" s="382">
        <f t="shared" si="831"/>
        <v>4.6537348237526421E-2</v>
      </c>
      <c r="DY434" s="382">
        <f t="shared" si="831"/>
        <v>8.1589071515946188E-2</v>
      </c>
      <c r="DZ434" s="382">
        <f t="shared" si="831"/>
        <v>0.24403601921364371</v>
      </c>
      <c r="EA434" s="382">
        <f t="shared" si="831"/>
        <v>0.3760318978292565</v>
      </c>
      <c r="EB434" s="382">
        <f t="shared" si="831"/>
        <v>0.4231542158780417</v>
      </c>
      <c r="EC434" s="382">
        <f t="shared" si="831"/>
        <v>0.42055851461444149</v>
      </c>
      <c r="ED434" s="382">
        <f t="shared" si="831"/>
        <v>0.51185645463909291</v>
      </c>
      <c r="EE434" s="384">
        <f t="shared" si="831"/>
        <v>0.62004560210146131</v>
      </c>
      <c r="EF434" s="384">
        <f t="shared" si="831"/>
        <v>0.57652229139118938</v>
      </c>
      <c r="EG434" s="384">
        <f t="shared" si="831"/>
        <v>0.48398386695537843</v>
      </c>
      <c r="EH434" s="384">
        <f t="shared" si="831"/>
        <v>0.42760250606610861</v>
      </c>
      <c r="EI434" s="384">
        <f t="shared" si="831"/>
        <v>0.29878954682194503</v>
      </c>
      <c r="EJ434" s="384">
        <f t="shared" si="831"/>
        <v>0.34549000834452892</v>
      </c>
      <c r="EK434" s="384">
        <f t="shared" si="831"/>
        <v>0.35402888104264019</v>
      </c>
      <c r="EL434" s="384">
        <f t="shared" si="831"/>
        <v>0.32990186541480782</v>
      </c>
      <c r="EM434" s="384">
        <f t="shared" si="831"/>
        <v>0.30404342635107695</v>
      </c>
      <c r="EN434" s="384">
        <f t="shared" si="831"/>
        <v>0.28133146424107158</v>
      </c>
      <c r="EO434" s="384">
        <f t="shared" si="831"/>
        <v>0.26841078432178755</v>
      </c>
      <c r="EP434" s="384">
        <f t="shared" si="831"/>
        <v>0.10416431744650212</v>
      </c>
      <c r="EQ434" s="384">
        <f t="shared" si="831"/>
        <v>6.3728704163577232E-2</v>
      </c>
      <c r="ER434" s="384">
        <f t="shared" si="831"/>
        <v>5.4544388177498071E-2</v>
      </c>
      <c r="ES434" s="384">
        <f t="shared" si="831"/>
        <v>4.4820465859568781E-2</v>
      </c>
      <c r="ET434" s="384">
        <f t="shared" si="831"/>
        <v>5.5918731393584276E-2</v>
      </c>
      <c r="EU434" s="384">
        <f t="shared" si="831"/>
        <v>5.5919982549522018E-2</v>
      </c>
      <c r="EV434" s="384">
        <f t="shared" si="831"/>
        <v>5.5348271380167624E-2</v>
      </c>
      <c r="EW434" s="384">
        <f t="shared" si="831"/>
        <v>6.546429053891889E-2</v>
      </c>
      <c r="EZ434" s="449"/>
      <c r="FA434" s="449"/>
      <c r="FB434" s="449"/>
      <c r="FC434" s="449"/>
      <c r="FD434" s="449"/>
      <c r="FE434" s="449"/>
      <c r="FF434" s="449"/>
      <c r="FG434" s="449"/>
      <c r="FH434" s="449"/>
      <c r="FI434" s="449"/>
      <c r="FJ434" s="449"/>
      <c r="FK434" s="449"/>
      <c r="FL434" s="449"/>
      <c r="FM434" s="449"/>
      <c r="FN434" s="449"/>
      <c r="FO434" s="449"/>
      <c r="FP434" s="449"/>
      <c r="FQ434" s="449"/>
      <c r="FR434" s="449"/>
      <c r="FS434" s="449"/>
      <c r="FT434" s="449"/>
      <c r="FU434" s="449"/>
      <c r="FV434" s="449"/>
      <c r="FW434" s="449"/>
      <c r="FX434" s="382">
        <f t="shared" ref="FX434:GK434" si="832">FX432/FW432-1</f>
        <v>2.4150722877987807E-2</v>
      </c>
      <c r="FY434" s="382">
        <f t="shared" si="832"/>
        <v>0.12603337423496663</v>
      </c>
      <c r="FZ434" s="382">
        <f t="shared" si="832"/>
        <v>0.17395682397000933</v>
      </c>
      <c r="GA434" s="382">
        <f t="shared" si="832"/>
        <v>0.66702183087814215</v>
      </c>
      <c r="GB434" s="382">
        <f t="shared" si="832"/>
        <v>1.3251163592200803</v>
      </c>
      <c r="GC434" s="382">
        <f t="shared" si="832"/>
        <v>0.59899280341844086</v>
      </c>
      <c r="GD434" s="382">
        <f t="shared" si="832"/>
        <v>-4.3671896804188481E-2</v>
      </c>
      <c r="GE434" s="382">
        <f t="shared" si="832"/>
        <v>9.9159846119304174E-2</v>
      </c>
      <c r="GF434" s="382">
        <f t="shared" si="832"/>
        <v>0.36932799242657155</v>
      </c>
      <c r="GG434" s="384">
        <f t="shared" si="832"/>
        <v>0.54615409924786262</v>
      </c>
      <c r="GH434" s="384">
        <f t="shared" si="832"/>
        <v>0.3533104868691308</v>
      </c>
      <c r="GI434" s="384">
        <f t="shared" si="832"/>
        <v>0.29380719234208552</v>
      </c>
      <c r="GJ434" s="384">
        <f t="shared" si="832"/>
        <v>6.5282019248725565E-2</v>
      </c>
      <c r="GK434" s="384">
        <f t="shared" si="832"/>
        <v>5.8341940134269521E-2</v>
      </c>
      <c r="GN434" s="70"/>
    </row>
    <row r="435" spans="1:196" s="382" customFormat="1" hidden="1" outlineLevel="1">
      <c r="A435" s="381" t="s">
        <v>309</v>
      </c>
      <c r="CP435" s="66">
        <f>CP432/CP321</f>
        <v>0.2793607258064516</v>
      </c>
      <c r="CQ435" s="66">
        <f>CQ432/CQ321</f>
        <v>0.2784203547297297</v>
      </c>
      <c r="CR435" s="66">
        <f>CR432/CR321</f>
        <v>0.26908382035928147</v>
      </c>
      <c r="CS435" s="66">
        <f>CS432/CS321</f>
        <v>0.27214545454545452</v>
      </c>
      <c r="CT435" s="66">
        <f>CT432/CT321</f>
        <v>0.28550946291560103</v>
      </c>
      <c r="CU435" s="66">
        <f>CU432/CU321</f>
        <v>0.2709553108348135</v>
      </c>
      <c r="CV435" s="66">
        <f>CV432/CV321</f>
        <v>0.27766893203883491</v>
      </c>
      <c r="CW435" s="66">
        <f>CW432/CW321</f>
        <v>0.2938674712643678</v>
      </c>
      <c r="CX435" s="66">
        <f>CX432/CX321</f>
        <v>0.29264180451127819</v>
      </c>
      <c r="CY435" s="66">
        <f>CY432/CY321</f>
        <v>0.30985731343283585</v>
      </c>
      <c r="CZ435" s="66">
        <f>CZ432/CZ321</f>
        <v>0.28884360839160839</v>
      </c>
      <c r="DA435" s="66">
        <f>DA432/DA321</f>
        <v>0.36497113163972283</v>
      </c>
      <c r="DB435" s="66">
        <f>DB432/DB321</f>
        <v>0.37130642857142854</v>
      </c>
      <c r="DC435" s="66">
        <f>DC432/DC321</f>
        <v>0.365142538071066</v>
      </c>
      <c r="DD435" s="66">
        <f>DD432/DD321</f>
        <v>0.43376171428571431</v>
      </c>
      <c r="DE435" s="66">
        <f>DE432/DE321</f>
        <v>0.53158911827956978</v>
      </c>
      <c r="DF435" s="66">
        <f>DF432/DF321</f>
        <v>0.56713974137931022</v>
      </c>
      <c r="DG435" s="66">
        <f>DG432/DG321</f>
        <v>0.49182649557522129</v>
      </c>
      <c r="DH435" s="66">
        <f>DH432/DH321</f>
        <v>0.39505153439153434</v>
      </c>
      <c r="DI435" s="66">
        <f>DI432/DI321</f>
        <v>0.39031707554517137</v>
      </c>
      <c r="DJ435" s="33">
        <f>DJ432/DJ321</f>
        <v>0.42493871802973976</v>
      </c>
      <c r="DK435" s="33">
        <f>DK432/DK321</f>
        <v>0.45837851615624997</v>
      </c>
      <c r="DL435" s="33">
        <f>DL432/DL321</f>
        <v>0.47103138295039171</v>
      </c>
      <c r="DM435" s="33">
        <f>DM432/DM321</f>
        <v>0.4928311668153435</v>
      </c>
      <c r="DN435" s="33">
        <f>DN432/DN321</f>
        <v>0.47126744457640535</v>
      </c>
      <c r="DO435" s="33">
        <f>DO432/DO321</f>
        <v>0.50422967753497661</v>
      </c>
      <c r="DP435" s="33">
        <f>DP432/DP321</f>
        <v>0.48289510692723719</v>
      </c>
      <c r="DQ435" s="33">
        <f>DQ432/DQ321</f>
        <v>0.49547195448422809</v>
      </c>
      <c r="DR435" s="33">
        <f>DR432/DR321</f>
        <v>0.45638112334897141</v>
      </c>
      <c r="DS435" s="33">
        <f>DS432/DS321</f>
        <v>0.44338373686266086</v>
      </c>
      <c r="DT435" s="33">
        <f>DT432/DT321</f>
        <v>0.47929469832507704</v>
      </c>
      <c r="DU435" s="33">
        <f>DU432/DU321</f>
        <v>0.51258600342556582</v>
      </c>
      <c r="DV435" s="66">
        <f>DV432/DV321</f>
        <v>0.55686413316588002</v>
      </c>
      <c r="DW435" s="66">
        <f>DW432/DW321</f>
        <v>0.60670345943841142</v>
      </c>
      <c r="DX435" s="66">
        <f>DX432/DX321</f>
        <v>0.63539954537506538</v>
      </c>
      <c r="DY435" s="66">
        <f>DY432/DY321</f>
        <v>0.64369796500441401</v>
      </c>
      <c r="DZ435" s="66">
        <f>DZ432/DZ321</f>
        <v>0.60994447286845033</v>
      </c>
      <c r="EA435" s="66">
        <f>EA432/EA321</f>
        <v>0.56526646383354595</v>
      </c>
      <c r="EB435" s="66">
        <f>EB432/EB321</f>
        <v>0.60095256734482938</v>
      </c>
      <c r="EC435" s="66">
        <f>EC432/EC321</f>
        <v>0.65272043291900106</v>
      </c>
      <c r="ED435" s="66">
        <f>ED432/ED321</f>
        <v>0.67228372997266506</v>
      </c>
      <c r="EE435" s="149">
        <f>EE432/EE321</f>
        <v>0.6780538882767031</v>
      </c>
      <c r="EF435" s="149">
        <f>EF432/EF321</f>
        <v>0.68518154276551824</v>
      </c>
      <c r="EG435" s="149">
        <f>EG432/EG321</f>
        <v>0.69173457344131895</v>
      </c>
      <c r="EH435" s="149">
        <f>EH432/EH321</f>
        <v>0.69109811764848139</v>
      </c>
      <c r="EI435" s="149">
        <f>EI432/EI321</f>
        <v>0.69214181600460378</v>
      </c>
      <c r="EJ435" s="149">
        <f>EJ432/EJ321</f>
        <v>0.68057073284281466</v>
      </c>
      <c r="EK435" s="149">
        <f>EK432/EK321</f>
        <v>0.68061213659775766</v>
      </c>
      <c r="EL435" s="149">
        <f>EL432/EL321</f>
        <v>0.68922013016607386</v>
      </c>
      <c r="EM435" s="149">
        <f>EM432/EM321</f>
        <v>0.69028927586394095</v>
      </c>
      <c r="EN435" s="149">
        <f>EN432/EN321</f>
        <v>0.68760429368697595</v>
      </c>
      <c r="EO435" s="149">
        <f>EO432/EO321</f>
        <v>0.68798731310725914</v>
      </c>
      <c r="EP435" s="149">
        <f>EP432/EP321</f>
        <v>0.6913835971487613</v>
      </c>
      <c r="EQ435" s="149">
        <f>EQ432/EQ321</f>
        <v>0.69104606195825546</v>
      </c>
      <c r="ER435" s="149">
        <f>ER432/ER321</f>
        <v>0.68738106552474221</v>
      </c>
      <c r="ES435" s="149">
        <f>ES432/ES321</f>
        <v>0.68739585460927122</v>
      </c>
      <c r="ET435" s="149">
        <f>ET432/ET321</f>
        <v>0.691226988872362</v>
      </c>
      <c r="EU435" s="149">
        <f>EU432/EU321</f>
        <v>0.69088820611061807</v>
      </c>
      <c r="EV435" s="149">
        <f>EV432/EV321</f>
        <v>0.68787706533820059</v>
      </c>
      <c r="EW435" s="149">
        <f>EW432/EW321</f>
        <v>0.68826863408193095</v>
      </c>
      <c r="FW435" s="66">
        <f>FW432/FW321</f>
        <v>0.27381242082429497</v>
      </c>
      <c r="FX435" s="66">
        <f>FX432/FX321</f>
        <v>0.28103480869565217</v>
      </c>
      <c r="FY435" s="66">
        <f>FY432/FY321</f>
        <v>0.30972149787234043</v>
      </c>
      <c r="FZ435" s="66">
        <f>FZ432/FZ321</f>
        <v>0.42258121414441147</v>
      </c>
      <c r="GA435" s="66">
        <f>GA432/GA321</f>
        <v>0.42761998348844188</v>
      </c>
      <c r="GB435" s="66">
        <f>GB432/GB321</f>
        <v>0.46633353646156012</v>
      </c>
      <c r="GC435" s="66">
        <f>GC432/GC321</f>
        <v>0.48848411057627977</v>
      </c>
      <c r="GD435" s="66">
        <f>GD432/GD321</f>
        <v>0.47403550901705194</v>
      </c>
      <c r="GE435" s="66">
        <f>GE432/GE321</f>
        <v>0.61060912650766674</v>
      </c>
      <c r="GF435" s="66">
        <f>GF432/GF321</f>
        <v>0.60777599483322597</v>
      </c>
      <c r="GG435" s="149">
        <f>GG432/GG321</f>
        <v>0.68247790629791827</v>
      </c>
      <c r="GH435" s="149">
        <f>GH432/GH321</f>
        <v>0.68561711072933473</v>
      </c>
      <c r="GI435" s="149">
        <f>GI432/GI321</f>
        <v>0.68871988316366251</v>
      </c>
      <c r="GJ435" s="149">
        <f>GJ432/GJ321</f>
        <v>0.68919817057443944</v>
      </c>
      <c r="GK435" s="149">
        <f>GK432/GK321</f>
        <v>0.68948483822956286</v>
      </c>
      <c r="GN435" s="70"/>
    </row>
    <row r="436" spans="1:196" s="376" customFormat="1" hidden="1" outlineLevel="1">
      <c r="A436" s="395" t="s">
        <v>268</v>
      </c>
      <c r="CP436" s="114">
        <f>CP439*CP327</f>
        <v>57.167939999999994</v>
      </c>
      <c r="CQ436" s="114">
        <f>CQ439*CQ327</f>
        <v>107.52615</v>
      </c>
      <c r="CR436" s="114">
        <f>CR439*CR327</f>
        <v>164.42424000000003</v>
      </c>
      <c r="CS436" s="114">
        <f>CS439*CS327</f>
        <v>82.857599999999991</v>
      </c>
      <c r="CT436" s="114">
        <f>CT439*CT327</f>
        <v>66.052800000000005</v>
      </c>
      <c r="CU436" s="114">
        <f>CU439*CU327</f>
        <v>101.63934</v>
      </c>
      <c r="CV436" s="114">
        <f>CV439*CV327</f>
        <v>144.3904</v>
      </c>
      <c r="CW436" s="114">
        <f>CW439*CW327</f>
        <v>85.220519999999993</v>
      </c>
      <c r="CX436" s="114">
        <f>CX439*CX327</f>
        <v>88.772639999999996</v>
      </c>
      <c r="CY436" s="114">
        <f>CY439*CY327</f>
        <v>109.4256</v>
      </c>
      <c r="CZ436" s="114">
        <f>CZ439*CZ327</f>
        <v>70.291260000000008</v>
      </c>
      <c r="DA436" s="114">
        <f>DA439*DA327</f>
        <v>31.988899999999997</v>
      </c>
      <c r="DB436" s="114">
        <f>DB439*DB327</f>
        <v>40.073034999999997</v>
      </c>
      <c r="DC436" s="114">
        <f>DC439*DC327</f>
        <v>55.926239999999993</v>
      </c>
      <c r="DD436" s="114">
        <f>DD439*DD327</f>
        <v>39.516600000000004</v>
      </c>
      <c r="DE436" s="114">
        <f>DE439*DE327</f>
        <v>13.722940000000001</v>
      </c>
      <c r="DF436" s="114">
        <f>DF439*DF327</f>
        <v>0.54872999999999994</v>
      </c>
      <c r="DG436" s="114">
        <f>DG439*DG327</f>
        <v>27.258000000000003</v>
      </c>
      <c r="DH436" s="114">
        <f>DH439*DH327</f>
        <v>110.77200000000001</v>
      </c>
      <c r="DI436" s="114">
        <f>DI439*DI327</f>
        <v>132.17400000000001</v>
      </c>
      <c r="DJ436" s="148">
        <f>DJ439*DJ327</f>
        <v>156.66450074999997</v>
      </c>
      <c r="DK436" s="148">
        <f>DK439*DK327</f>
        <v>196.53665085</v>
      </c>
      <c r="DL436" s="148">
        <f>DL439*DL327</f>
        <v>227.67118334999998</v>
      </c>
      <c r="DM436" s="148">
        <f>DM439*DM327</f>
        <v>296.86729600000001</v>
      </c>
      <c r="DN436" s="148">
        <f>DN439*DN327</f>
        <v>305.90356500000001</v>
      </c>
      <c r="DO436" s="148">
        <f>DO439*DO327</f>
        <v>302.50535249999996</v>
      </c>
      <c r="DP436" s="148">
        <f>DP439*DP327</f>
        <v>369.05612435999996</v>
      </c>
      <c r="DQ436" s="148">
        <f>DQ439*DQ327</f>
        <v>329.21431451999996</v>
      </c>
      <c r="DR436" s="148">
        <f>DR439*DR327</f>
        <v>365.1434046</v>
      </c>
      <c r="DS436" s="148">
        <f>DS439*DS327</f>
        <v>317.47787949999997</v>
      </c>
      <c r="DT436" s="148">
        <f>DT439*DT327</f>
        <v>290.02718250000004</v>
      </c>
      <c r="DU436" s="148">
        <f>DU439*DU327</f>
        <v>250.24758539999999</v>
      </c>
      <c r="DV436" s="114">
        <f>DV439*DV327</f>
        <v>190.49257499999999</v>
      </c>
      <c r="DW436" s="114">
        <f>DW439*DW327</f>
        <v>121.99957499999999</v>
      </c>
      <c r="DX436" s="114">
        <f>DX439*DX327</f>
        <v>93.004999999999995</v>
      </c>
      <c r="DY436" s="114">
        <f>DY439*DY327</f>
        <v>93.142499999999998</v>
      </c>
      <c r="DZ436" s="114">
        <f>DZ439*DZ327</f>
        <v>132.99</v>
      </c>
      <c r="EA436" s="114">
        <f>EA439*EA327</f>
        <v>240.24</v>
      </c>
      <c r="EB436" s="114">
        <f>EB439*EB327</f>
        <v>231.99</v>
      </c>
      <c r="EC436" s="114">
        <f>EC439*EC327</f>
        <v>137.005</v>
      </c>
      <c r="ED436" s="114">
        <f>ED439*ED327</f>
        <v>109.60400000000001</v>
      </c>
      <c r="EE436" s="153">
        <f>EE439*EE327</f>
        <v>117.27628000000001</v>
      </c>
      <c r="EF436" s="153">
        <f>EF439*EF327</f>
        <v>105.54865200000002</v>
      </c>
      <c r="EG436" s="153">
        <f>EG439*EG327</f>
        <v>94.993786800000038</v>
      </c>
      <c r="EH436" s="153">
        <f>EH439*EH327</f>
        <v>102.59328974400002</v>
      </c>
      <c r="EI436" s="153">
        <f>EI439*EI327</f>
        <v>108.74888712864004</v>
      </c>
      <c r="EJ436" s="153">
        <f>EJ439*EJ327</f>
        <v>157.68588633652806</v>
      </c>
      <c r="EK436" s="153">
        <f>EK439*EK327</f>
        <v>168.72389838008505</v>
      </c>
      <c r="EL436" s="153">
        <f>EL439*EL327</f>
        <v>143.41531362307225</v>
      </c>
      <c r="EM436" s="153">
        <f>EM439*EM327</f>
        <v>149.15192616799519</v>
      </c>
      <c r="EN436" s="153">
        <f>EN439*EN327</f>
        <v>171.52471509319443</v>
      </c>
      <c r="EO436" s="153">
        <f>EO439*EO327</f>
        <v>180.10095084785414</v>
      </c>
      <c r="EP436" s="153">
        <f>EP439*EP327</f>
        <v>149.48378920371891</v>
      </c>
      <c r="EQ436" s="153">
        <f>EQ439*EQ327</f>
        <v>155.4631407718677</v>
      </c>
      <c r="ER436" s="153">
        <f>ER439*ER327</f>
        <v>181.89187470308519</v>
      </c>
      <c r="ES436" s="153">
        <f>ES439*ES327</f>
        <v>190.98646843823948</v>
      </c>
      <c r="ET436" s="153">
        <f>ET439*ET327</f>
        <v>158.51876880373877</v>
      </c>
      <c r="EU436" s="153">
        <f>EU439*EU327</f>
        <v>164.85951955588831</v>
      </c>
      <c r="EV436" s="153">
        <f>EV439*EV327</f>
        <v>189.58844748927154</v>
      </c>
      <c r="EW436" s="153">
        <f>EW439*EW327</f>
        <v>199.06786986373513</v>
      </c>
      <c r="FW436" s="376">
        <f>CP436+CQ436+CR436+CS436</f>
        <v>411.97593000000001</v>
      </c>
      <c r="FX436" s="376">
        <f>CT436+CU436+CV436+CW436</f>
        <v>397.30305999999996</v>
      </c>
      <c r="FY436" s="376">
        <f>CX436+CY436+CZ436+DA436</f>
        <v>300.47840000000002</v>
      </c>
      <c r="FZ436" s="376">
        <f>DB436+DC436+DD436+DE436</f>
        <v>149.23881499999999</v>
      </c>
      <c r="GA436" s="376">
        <f>SUM(DF436:DI436)</f>
        <v>270.75273000000004</v>
      </c>
      <c r="GB436" s="376">
        <f>SUM(DJ436:DM436)</f>
        <v>877.73963094999999</v>
      </c>
      <c r="GC436" s="376">
        <f>SUM(DN436:DQ436)</f>
        <v>1306.6793563799999</v>
      </c>
      <c r="GD436" s="376">
        <f>SUM(DR436:DU436)</f>
        <v>1222.8960519999998</v>
      </c>
      <c r="GE436" s="376">
        <f>SUM(DV436:DY436)</f>
        <v>498.63964999999996</v>
      </c>
      <c r="GF436" s="376">
        <f>SUM(DZ436:EC436)</f>
        <v>742.22500000000002</v>
      </c>
      <c r="GG436" s="380">
        <f>SUM(ED436:EG436)</f>
        <v>427.4227188000001</v>
      </c>
      <c r="GH436" s="380">
        <f>SUM(EH436:EK436)</f>
        <v>537.75196158925314</v>
      </c>
      <c r="GI436" s="380">
        <f>SUM(EL436:EO436)</f>
        <v>644.19290573211606</v>
      </c>
      <c r="GJ436" s="380">
        <f>SUM(EP436:ES436)</f>
        <v>677.82527311691126</v>
      </c>
      <c r="GK436" s="380">
        <f>SUM(ET436:EW436)</f>
        <v>712.03460571263372</v>
      </c>
      <c r="GN436" s="70"/>
    </row>
    <row r="437" spans="1:196" s="382" customFormat="1" hidden="1" outlineLevel="1">
      <c r="A437" s="396" t="s">
        <v>198</v>
      </c>
      <c r="CP437" s="66"/>
      <c r="CQ437" s="382">
        <f t="shared" ref="CQ437:EH437" si="833">CQ436/CP436-1</f>
        <v>0.88088201184090265</v>
      </c>
      <c r="CR437" s="382">
        <f t="shared" si="833"/>
        <v>0.52915583790547727</v>
      </c>
      <c r="CS437" s="382">
        <f t="shared" si="833"/>
        <v>-0.49607430145336251</v>
      </c>
      <c r="CT437" s="382">
        <f t="shared" si="833"/>
        <v>-0.20281543274243985</v>
      </c>
      <c r="CU437" s="382">
        <f t="shared" si="833"/>
        <v>0.53875899280575545</v>
      </c>
      <c r="CV437" s="382">
        <f t="shared" si="833"/>
        <v>0.42061528538064086</v>
      </c>
      <c r="CW437" s="382">
        <f t="shared" si="833"/>
        <v>-0.40979095563139933</v>
      </c>
      <c r="CX437" s="382">
        <f t="shared" si="833"/>
        <v>4.16815105094408E-2</v>
      </c>
      <c r="CY437" s="382">
        <f t="shared" si="833"/>
        <v>0.23265005974813868</v>
      </c>
      <c r="CZ437" s="382">
        <f t="shared" si="833"/>
        <v>-0.35763422818791946</v>
      </c>
      <c r="DA437" s="382">
        <f t="shared" si="833"/>
        <v>-0.54490928175138709</v>
      </c>
      <c r="DB437" s="382">
        <f t="shared" si="833"/>
        <v>0.25271687991772152</v>
      </c>
      <c r="DC437" s="382">
        <f t="shared" si="833"/>
        <v>0.39560779461800166</v>
      </c>
      <c r="DD437" s="382">
        <f t="shared" si="833"/>
        <v>-0.29341575618171345</v>
      </c>
      <c r="DE437" s="382">
        <f t="shared" si="833"/>
        <v>-0.65272973889454056</v>
      </c>
      <c r="DF437" s="382">
        <f t="shared" si="833"/>
        <v>-0.96001367053998632</v>
      </c>
      <c r="DG437" s="382">
        <f t="shared" si="833"/>
        <v>48.674703406046703</v>
      </c>
      <c r="DH437" s="382">
        <f t="shared" si="833"/>
        <v>3.0638344706141316</v>
      </c>
      <c r="DI437" s="382">
        <f t="shared" si="833"/>
        <v>0.19320766980825477</v>
      </c>
      <c r="DJ437" s="383">
        <f t="shared" si="833"/>
        <v>0.18528985087838734</v>
      </c>
      <c r="DK437" s="383">
        <f t="shared" si="833"/>
        <v>0.25450660429848559</v>
      </c>
      <c r="DL437" s="383">
        <f t="shared" si="833"/>
        <v>0.15841591054567417</v>
      </c>
      <c r="DM437" s="383">
        <f t="shared" si="833"/>
        <v>0.30393004345931884</v>
      </c>
      <c r="DN437" s="383">
        <f t="shared" si="833"/>
        <v>3.0438748631981261E-2</v>
      </c>
      <c r="DO437" s="383">
        <f t="shared" si="833"/>
        <v>-1.1108770504194898E-2</v>
      </c>
      <c r="DP437" s="383">
        <f t="shared" si="833"/>
        <v>0.21999865889976289</v>
      </c>
      <c r="DQ437" s="383">
        <f t="shared" si="833"/>
        <v>-0.10795596444603606</v>
      </c>
      <c r="DR437" s="383">
        <f t="shared" si="833"/>
        <v>0.1091358683245145</v>
      </c>
      <c r="DS437" s="383">
        <f t="shared" si="833"/>
        <v>-0.13053919227218602</v>
      </c>
      <c r="DT437" s="383">
        <f t="shared" si="833"/>
        <v>-8.6464912274305195E-2</v>
      </c>
      <c r="DU437" s="383">
        <f t="shared" si="833"/>
        <v>-0.13715816826927951</v>
      </c>
      <c r="DV437" s="382">
        <f t="shared" si="833"/>
        <v>-0.23878356430287462</v>
      </c>
      <c r="DW437" s="382">
        <f t="shared" si="833"/>
        <v>-0.35955732132866591</v>
      </c>
      <c r="DX437" s="382">
        <f>DX436/DW436-1</f>
        <v>-0.2376612787380612</v>
      </c>
      <c r="DY437" s="382">
        <f t="shared" si="833"/>
        <v>1.4784151389710676E-3</v>
      </c>
      <c r="DZ437" s="382">
        <f t="shared" si="833"/>
        <v>0.42781222320637746</v>
      </c>
      <c r="EA437" s="382">
        <f t="shared" si="833"/>
        <v>0.80645161290322576</v>
      </c>
      <c r="EB437" s="382">
        <f t="shared" si="833"/>
        <v>-3.434065934065933E-2</v>
      </c>
      <c r="EC437" s="382">
        <f t="shared" si="833"/>
        <v>-0.40943575154101475</v>
      </c>
      <c r="ED437" s="382">
        <f t="shared" si="833"/>
        <v>-0.19999999999999984</v>
      </c>
      <c r="EE437" s="384">
        <f t="shared" si="833"/>
        <v>7.0000000000000062E-2</v>
      </c>
      <c r="EF437" s="384">
        <f t="shared" si="833"/>
        <v>-9.9999999999999978E-2</v>
      </c>
      <c r="EG437" s="384">
        <f t="shared" si="833"/>
        <v>-9.9999999999999756E-2</v>
      </c>
      <c r="EH437" s="384">
        <f t="shared" si="833"/>
        <v>7.9999999999999849E-2</v>
      </c>
      <c r="EI437" s="384">
        <f>EI436/EH436-1</f>
        <v>6.0000000000000053E-2</v>
      </c>
      <c r="EJ437" s="384">
        <f>EJ436/EI436-1</f>
        <v>0.44999999999999996</v>
      </c>
      <c r="EK437" s="384">
        <f>EK436/EJ436-1</f>
        <v>7.0000000000000062E-2</v>
      </c>
      <c r="EL437" s="384">
        <f t="shared" ref="EL437" si="834">EL436/EK436-1</f>
        <v>-0.15000000000000024</v>
      </c>
      <c r="EM437" s="384">
        <f>EM436/EL436-1</f>
        <v>4.0000000000000258E-2</v>
      </c>
      <c r="EN437" s="384">
        <f>EN436/EM436-1</f>
        <v>0.14999999999999969</v>
      </c>
      <c r="EO437" s="384">
        <f>EO436/EN436-1</f>
        <v>4.9999999999999822E-2</v>
      </c>
      <c r="EP437" s="384">
        <f t="shared" ref="EP437" si="835">EP436/EO436-1</f>
        <v>-0.17000000000000015</v>
      </c>
      <c r="EQ437" s="384">
        <f>EQ436/EP436-1</f>
        <v>4.0000000000000258E-2</v>
      </c>
      <c r="ER437" s="384">
        <f>ER436/EQ436-1</f>
        <v>0.16999999999999993</v>
      </c>
      <c r="ES437" s="384">
        <f>ES436/ER436-1</f>
        <v>5.0000000000000266E-2</v>
      </c>
      <c r="ET437" s="384">
        <f t="shared" ref="ET437" si="836">ET436/ES436-1</f>
        <v>-0.17000000000000004</v>
      </c>
      <c r="EU437" s="384">
        <f>EU436/ET436-1</f>
        <v>4.0000000000000036E-2</v>
      </c>
      <c r="EV437" s="384">
        <f>EV436/EU436-1</f>
        <v>0.14999999999999991</v>
      </c>
      <c r="EW437" s="384">
        <f>EW436/EV436-1</f>
        <v>5.0000000000000044E-2</v>
      </c>
      <c r="FX437" s="449"/>
      <c r="FY437" s="449"/>
      <c r="FZ437" s="386" t="s">
        <v>199</v>
      </c>
      <c r="GA437" s="386" t="s">
        <v>199</v>
      </c>
      <c r="GB437" s="386" t="s">
        <v>199</v>
      </c>
      <c r="GC437" s="386" t="s">
        <v>199</v>
      </c>
      <c r="GD437" s="386" t="s">
        <v>199</v>
      </c>
      <c r="GE437" s="386" t="s">
        <v>199</v>
      </c>
      <c r="GF437" s="386" t="s">
        <v>199</v>
      </c>
      <c r="GG437" s="467" t="s">
        <v>199</v>
      </c>
      <c r="GH437" s="467" t="s">
        <v>199</v>
      </c>
      <c r="GI437" s="467" t="s">
        <v>199</v>
      </c>
      <c r="GJ437" s="467" t="s">
        <v>199</v>
      </c>
      <c r="GK437" s="467" t="s">
        <v>199</v>
      </c>
      <c r="GN437" s="70"/>
    </row>
    <row r="438" spans="1:196" s="382" customFormat="1" hidden="1" outlineLevel="1">
      <c r="A438" s="396" t="s">
        <v>200</v>
      </c>
      <c r="CP438" s="66"/>
      <c r="CQ438" s="66"/>
      <c r="CR438" s="66"/>
      <c r="CS438" s="66"/>
      <c r="CT438" s="382">
        <f t="shared" ref="CT438:EW438" si="837">CT436/CP436-1</f>
        <v>0.1554168297825671</v>
      </c>
      <c r="CU438" s="382">
        <f t="shared" si="837"/>
        <v>-5.4747705558136239E-2</v>
      </c>
      <c r="CV438" s="382">
        <f t="shared" si="837"/>
        <v>-0.12184237555241262</v>
      </c>
      <c r="CW438" s="382">
        <f t="shared" si="837"/>
        <v>2.8517842660178427E-2</v>
      </c>
      <c r="CX438" s="382">
        <f t="shared" si="837"/>
        <v>0.34396482813748985</v>
      </c>
      <c r="CY438" s="382">
        <f t="shared" si="837"/>
        <v>7.6606754825444545E-2</v>
      </c>
      <c r="CZ438" s="382">
        <f t="shared" si="837"/>
        <v>-0.51318605669074946</v>
      </c>
      <c r="DA438" s="382">
        <f t="shared" si="837"/>
        <v>-0.62463383232113578</v>
      </c>
      <c r="DB438" s="382">
        <f t="shared" si="837"/>
        <v>-0.54858799963592386</v>
      </c>
      <c r="DC438" s="382">
        <f t="shared" si="837"/>
        <v>-0.4889108215993333</v>
      </c>
      <c r="DD438" s="382">
        <f t="shared" si="837"/>
        <v>-0.43781630888392098</v>
      </c>
      <c r="DE438" s="382">
        <f t="shared" si="837"/>
        <v>-0.57100931885747863</v>
      </c>
      <c r="DF438" s="382">
        <f t="shared" si="837"/>
        <v>-0.98630675215890184</v>
      </c>
      <c r="DG438" s="382">
        <f t="shared" si="837"/>
        <v>-0.5126080351548753</v>
      </c>
      <c r="DH438" s="382">
        <f t="shared" si="837"/>
        <v>1.8031763866324533</v>
      </c>
      <c r="DI438" s="382">
        <f t="shared" si="837"/>
        <v>8.6316095530549575</v>
      </c>
      <c r="DJ438" s="383">
        <f t="shared" si="837"/>
        <v>284.50380104969656</v>
      </c>
      <c r="DK438" s="383">
        <f t="shared" si="837"/>
        <v>6.2102373926920533</v>
      </c>
      <c r="DL438" s="383">
        <f t="shared" si="837"/>
        <v>1.0553134668508286</v>
      </c>
      <c r="DM438" s="383">
        <f t="shared" si="837"/>
        <v>1.2460339855039568</v>
      </c>
      <c r="DN438" s="383">
        <f t="shared" si="837"/>
        <v>0.95260294154417791</v>
      </c>
      <c r="DO438" s="383">
        <f t="shared" si="837"/>
        <v>0.53918035741270987</v>
      </c>
      <c r="DP438" s="383">
        <f t="shared" si="837"/>
        <v>0.62100499030941592</v>
      </c>
      <c r="DQ438" s="383">
        <f t="shared" si="837"/>
        <v>0.10896120575032953</v>
      </c>
      <c r="DR438" s="383">
        <f t="shared" si="837"/>
        <v>0.19365527694977991</v>
      </c>
      <c r="DS438" s="383">
        <f t="shared" si="837"/>
        <v>4.9495081248190465E-2</v>
      </c>
      <c r="DT438" s="383">
        <f t="shared" si="837"/>
        <v>-0.21413800406929506</v>
      </c>
      <c r="DU438" s="383">
        <f t="shared" si="837"/>
        <v>-0.23986420285258492</v>
      </c>
      <c r="DV438" s="382">
        <f t="shared" si="837"/>
        <v>-0.47830750165492653</v>
      </c>
      <c r="DW438" s="382">
        <f t="shared" si="837"/>
        <v>-0.61572259713924415</v>
      </c>
      <c r="DX438" s="382">
        <f t="shared" si="837"/>
        <v>-0.67932316137298621</v>
      </c>
      <c r="DY438" s="382">
        <f t="shared" si="837"/>
        <v>-0.62779860652353769</v>
      </c>
      <c r="DZ438" s="382">
        <f t="shared" si="837"/>
        <v>-0.30186255291052677</v>
      </c>
      <c r="EA438" s="382">
        <f t="shared" si="837"/>
        <v>0.96918718774225265</v>
      </c>
      <c r="EB438" s="382">
        <f t="shared" si="837"/>
        <v>1.4943820224719104</v>
      </c>
      <c r="EC438" s="382">
        <f t="shared" si="837"/>
        <v>0.47091821671095357</v>
      </c>
      <c r="ED438" s="382">
        <f t="shared" si="837"/>
        <v>-0.17584780810587253</v>
      </c>
      <c r="EE438" s="384">
        <f t="shared" si="837"/>
        <v>-0.51183699633699631</v>
      </c>
      <c r="EF438" s="384">
        <f t="shared" si="837"/>
        <v>-0.54502930298719765</v>
      </c>
      <c r="EG438" s="384">
        <f t="shared" si="837"/>
        <v>-0.30663999999999969</v>
      </c>
      <c r="EH438" s="384">
        <f t="shared" si="837"/>
        <v>-6.396399999999991E-2</v>
      </c>
      <c r="EI438" s="384">
        <f t="shared" si="837"/>
        <v>-7.2711999999999777E-2</v>
      </c>
      <c r="EJ438" s="384">
        <f t="shared" si="837"/>
        <v>0.49396400000000029</v>
      </c>
      <c r="EK438" s="384">
        <f t="shared" si="837"/>
        <v>0.7761572000000001</v>
      </c>
      <c r="EL438" s="384">
        <f t="shared" si="837"/>
        <v>0.39790150000000013</v>
      </c>
      <c r="EM438" s="384">
        <f t="shared" si="837"/>
        <v>0.37152600000000024</v>
      </c>
      <c r="EN438" s="384">
        <f t="shared" si="837"/>
        <v>8.7761999999999896E-2</v>
      </c>
      <c r="EO438" s="384">
        <f t="shared" si="837"/>
        <v>6.7429999999999657E-2</v>
      </c>
      <c r="EP438" s="384">
        <f t="shared" si="837"/>
        <v>4.2313999999999963E-2</v>
      </c>
      <c r="EQ438" s="384">
        <f t="shared" si="837"/>
        <v>4.2313999999999741E-2</v>
      </c>
      <c r="ER438" s="384">
        <f t="shared" si="837"/>
        <v>6.0441199999999862E-2</v>
      </c>
      <c r="ES438" s="384">
        <f t="shared" si="837"/>
        <v>6.0441200000000084E-2</v>
      </c>
      <c r="ET438" s="384">
        <f t="shared" si="837"/>
        <v>6.0441200000000306E-2</v>
      </c>
      <c r="EU438" s="384">
        <f t="shared" si="837"/>
        <v>6.0441200000000084E-2</v>
      </c>
      <c r="EV438" s="384">
        <f t="shared" si="837"/>
        <v>4.2313999999999963E-2</v>
      </c>
      <c r="EW438" s="384">
        <f t="shared" si="837"/>
        <v>4.2313999999999963E-2</v>
      </c>
      <c r="FX438" s="382">
        <f t="shared" ref="FX438:GK438" si="838">FX436/FW436-1</f>
        <v>-3.561584289645281E-2</v>
      </c>
      <c r="FY438" s="382">
        <f t="shared" si="838"/>
        <v>-0.24370479301115866</v>
      </c>
      <c r="FZ438" s="382">
        <f t="shared" si="838"/>
        <v>-0.50332930753092409</v>
      </c>
      <c r="GA438" s="382">
        <f t="shared" si="838"/>
        <v>0.81422460369978178</v>
      </c>
      <c r="GB438" s="382">
        <f t="shared" si="838"/>
        <v>2.2418496055422965</v>
      </c>
      <c r="GC438" s="382">
        <f t="shared" si="838"/>
        <v>0.48868674753326058</v>
      </c>
      <c r="GD438" s="382">
        <f t="shared" si="838"/>
        <v>-6.4119253105912599E-2</v>
      </c>
      <c r="GE438" s="382">
        <f t="shared" si="838"/>
        <v>-0.59224690505419997</v>
      </c>
      <c r="GF438" s="382">
        <f t="shared" si="838"/>
        <v>0.4884997613005706</v>
      </c>
      <c r="GG438" s="384">
        <f t="shared" si="838"/>
        <v>-0.4241332226750647</v>
      </c>
      <c r="GH438" s="384">
        <f t="shared" si="838"/>
        <v>0.25812676288945324</v>
      </c>
      <c r="GI438" s="384">
        <f t="shared" si="838"/>
        <v>0.19793687749327993</v>
      </c>
      <c r="GJ438" s="384">
        <f t="shared" si="838"/>
        <v>5.2208534253528338E-2</v>
      </c>
      <c r="GK438" s="384">
        <f t="shared" si="838"/>
        <v>5.0469249159764029E-2</v>
      </c>
      <c r="GN438" s="70"/>
    </row>
    <row r="439" spans="1:196" s="382" customFormat="1" hidden="1" outlineLevel="1">
      <c r="A439" s="396" t="s">
        <v>309</v>
      </c>
      <c r="CP439" s="149">
        <v>0.20499999999999999</v>
      </c>
      <c r="CQ439" s="149">
        <v>0.22500000000000001</v>
      </c>
      <c r="CR439" s="149">
        <v>0.23</v>
      </c>
      <c r="CS439" s="149">
        <v>0.21</v>
      </c>
      <c r="CT439" s="149">
        <v>0.22</v>
      </c>
      <c r="CU439" s="149">
        <v>0.22</v>
      </c>
      <c r="CV439" s="149">
        <v>0.22</v>
      </c>
      <c r="CW439" s="149">
        <v>0.22</v>
      </c>
      <c r="CX439" s="149">
        <v>0.22</v>
      </c>
      <c r="CY439" s="149">
        <v>0.22500000000000001</v>
      </c>
      <c r="CZ439" s="149">
        <v>0.155</v>
      </c>
      <c r="DA439" s="149">
        <v>0.155</v>
      </c>
      <c r="DB439" s="149">
        <v>0.185</v>
      </c>
      <c r="DC439" s="149">
        <v>0.185</v>
      </c>
      <c r="DD439" s="149">
        <v>0.2</v>
      </c>
      <c r="DE439" s="149">
        <v>0.22</v>
      </c>
      <c r="DF439" s="149">
        <v>0.21</v>
      </c>
      <c r="DG439" s="149">
        <v>0.21</v>
      </c>
      <c r="DH439" s="149">
        <v>0.2</v>
      </c>
      <c r="DI439" s="150">
        <v>0.2</v>
      </c>
      <c r="DJ439" s="151">
        <v>0.23499999999999999</v>
      </c>
      <c r="DK439" s="151">
        <v>0.25700000000000001</v>
      </c>
      <c r="DL439" s="151">
        <v>0.255</v>
      </c>
      <c r="DM439" s="151">
        <v>0.27500000000000002</v>
      </c>
      <c r="DN439" s="151">
        <v>0.27700000000000002</v>
      </c>
      <c r="DO439" s="151">
        <v>0.25</v>
      </c>
      <c r="DP439" s="151">
        <v>0.252</v>
      </c>
      <c r="DQ439" s="151">
        <f>DP439</f>
        <v>0.252</v>
      </c>
      <c r="DR439" s="151">
        <v>0.255</v>
      </c>
      <c r="DS439" s="151">
        <v>0.23499999999999999</v>
      </c>
      <c r="DT439" s="151">
        <v>0.23</v>
      </c>
      <c r="DU439" s="151">
        <v>0.23</v>
      </c>
      <c r="DV439" s="150">
        <v>0.25</v>
      </c>
      <c r="DW439" s="150">
        <v>0.25</v>
      </c>
      <c r="DX439" s="150">
        <v>0.25</v>
      </c>
      <c r="DY439" s="150">
        <v>0.25</v>
      </c>
      <c r="DZ439" s="150">
        <f t="shared" ref="DZ439:EW439" si="839">DY439</f>
        <v>0.25</v>
      </c>
      <c r="EA439" s="150">
        <f t="shared" si="839"/>
        <v>0.25</v>
      </c>
      <c r="EB439" s="150">
        <f t="shared" si="839"/>
        <v>0.25</v>
      </c>
      <c r="EC439" s="150">
        <f t="shared" si="839"/>
        <v>0.25</v>
      </c>
      <c r="ED439" s="150">
        <f t="shared" si="839"/>
        <v>0.25</v>
      </c>
      <c r="EE439" s="150">
        <f t="shared" si="839"/>
        <v>0.25</v>
      </c>
      <c r="EF439" s="150">
        <f t="shared" si="839"/>
        <v>0.25</v>
      </c>
      <c r="EG439" s="150">
        <f t="shared" si="839"/>
        <v>0.25</v>
      </c>
      <c r="EH439" s="150">
        <f t="shared" si="839"/>
        <v>0.25</v>
      </c>
      <c r="EI439" s="150">
        <f t="shared" si="839"/>
        <v>0.25</v>
      </c>
      <c r="EJ439" s="150">
        <f t="shared" si="839"/>
        <v>0.25</v>
      </c>
      <c r="EK439" s="150">
        <f t="shared" si="839"/>
        <v>0.25</v>
      </c>
      <c r="EL439" s="150">
        <f t="shared" si="839"/>
        <v>0.25</v>
      </c>
      <c r="EM439" s="150">
        <f t="shared" si="839"/>
        <v>0.25</v>
      </c>
      <c r="EN439" s="150">
        <f t="shared" si="839"/>
        <v>0.25</v>
      </c>
      <c r="EO439" s="150">
        <f t="shared" si="839"/>
        <v>0.25</v>
      </c>
      <c r="EP439" s="150">
        <f t="shared" si="839"/>
        <v>0.25</v>
      </c>
      <c r="EQ439" s="150">
        <f t="shared" si="839"/>
        <v>0.25</v>
      </c>
      <c r="ER439" s="150">
        <f t="shared" si="839"/>
        <v>0.25</v>
      </c>
      <c r="ES439" s="150">
        <f t="shared" si="839"/>
        <v>0.25</v>
      </c>
      <c r="ET439" s="150">
        <f t="shared" si="839"/>
        <v>0.25</v>
      </c>
      <c r="EU439" s="150">
        <f t="shared" si="839"/>
        <v>0.25</v>
      </c>
      <c r="EV439" s="150">
        <f t="shared" si="839"/>
        <v>0.25</v>
      </c>
      <c r="EW439" s="150">
        <f t="shared" si="839"/>
        <v>0.25</v>
      </c>
      <c r="EX439" s="150"/>
      <c r="FW439" s="382">
        <f>FW436/FW327</f>
        <v>0.22075539730255436</v>
      </c>
      <c r="FX439" s="382">
        <f>FX436/FX327</f>
        <v>0.21999999999999995</v>
      </c>
      <c r="FY439" s="382">
        <f>FY436/FY327</f>
        <v>0.19389205792014044</v>
      </c>
      <c r="FZ439" s="382">
        <f>FZ436/FZ327</f>
        <v>0.19160817204301075</v>
      </c>
      <c r="GA439" s="382">
        <f>GA436/GA327</f>
        <v>0.20098291718102684</v>
      </c>
      <c r="GB439" s="382">
        <f>GB436/GB327</f>
        <v>0.25787527138075594</v>
      </c>
      <c r="GC439" s="382">
        <f>GC436/GC327</f>
        <v>0.25695323324767799</v>
      </c>
      <c r="GD439" s="382">
        <f>GD436/GD327</f>
        <v>0.23829186291651727</v>
      </c>
      <c r="GE439" s="382">
        <f>GE436/GE327</f>
        <v>0.25</v>
      </c>
      <c r="GF439" s="382">
        <f>GF436/GF327</f>
        <v>0.25</v>
      </c>
      <c r="GG439" s="498">
        <f>GG436/GG327</f>
        <v>0.25</v>
      </c>
      <c r="GH439" s="498">
        <f>GH436/GH327</f>
        <v>0.25</v>
      </c>
      <c r="GI439" s="498">
        <f>GI436/GI327</f>
        <v>0.25</v>
      </c>
      <c r="GJ439" s="498">
        <f>GJ436/GJ327</f>
        <v>0.25</v>
      </c>
      <c r="GK439" s="498">
        <f>GK436/GK327</f>
        <v>0.25</v>
      </c>
      <c r="GN439" s="70"/>
    </row>
    <row r="440" spans="1:196" s="376" customFormat="1" hidden="1" outlineLevel="1">
      <c r="A440" s="395" t="s">
        <v>271</v>
      </c>
      <c r="CP440" s="114">
        <f>CP443*CP339</f>
        <v>2.0707500000000003</v>
      </c>
      <c r="CQ440" s="114">
        <f>CQ443*CQ339</f>
        <v>2.7027000000000001</v>
      </c>
      <c r="CR440" s="114">
        <f>CR443*CR339</f>
        <v>2.2522500000000001</v>
      </c>
      <c r="CS440" s="114">
        <f>CS443*CS339</f>
        <v>2.2220000000000004</v>
      </c>
      <c r="CT440" s="114">
        <f>CT443*CT339</f>
        <v>2.2153999999999998</v>
      </c>
      <c r="CU440" s="114">
        <f>CU443*CU339</f>
        <v>4.4770000000000003</v>
      </c>
      <c r="CV440" s="114">
        <f>CV443*CV339</f>
        <v>6.2568000000000001</v>
      </c>
      <c r="CW440" s="114">
        <f>CW443*CW339</f>
        <v>9.4742999999999995</v>
      </c>
      <c r="CX440" s="114">
        <f>CX443*CX339</f>
        <v>24.908799999999999</v>
      </c>
      <c r="CY440" s="114">
        <f>CY443*CY339</f>
        <v>41.606799999999993</v>
      </c>
      <c r="CZ440" s="114">
        <f>CZ443*CZ339</f>
        <v>44.605919999999998</v>
      </c>
      <c r="DA440" s="114">
        <f>DA443*DA339</f>
        <v>92.318599999999989</v>
      </c>
      <c r="DB440" s="114">
        <f>DB443*DB339</f>
        <v>75.248599999999996</v>
      </c>
      <c r="DC440" s="114">
        <f>DC443*DC339</f>
        <v>93.149999999999991</v>
      </c>
      <c r="DD440" s="114">
        <f>DD443*DD339</f>
        <v>146.99879999999999</v>
      </c>
      <c r="DE440" s="114">
        <f>DE443*DE339</f>
        <v>192.92699999999999</v>
      </c>
      <c r="DF440" s="114">
        <f>DF443*DF339</f>
        <v>151.08239999999998</v>
      </c>
      <c r="DG440" s="114">
        <f>DG443*DG339</f>
        <v>216.49046999999999</v>
      </c>
      <c r="DH440" s="114">
        <f>DH443*DH339</f>
        <v>261.44844000000001</v>
      </c>
      <c r="DI440" s="114">
        <f>DI443*DI339</f>
        <v>307.11562500000002</v>
      </c>
      <c r="DJ440" s="148">
        <f>DJ443*DJ339</f>
        <v>366.88679999999999</v>
      </c>
      <c r="DK440" s="148">
        <f>DK443*DK339</f>
        <v>491.84850000000006</v>
      </c>
      <c r="DL440" s="148">
        <f>DL443*DL339</f>
        <v>643.46800000000007</v>
      </c>
      <c r="DM440" s="148">
        <f>DM443*DM339</f>
        <v>766.86389999999994</v>
      </c>
      <c r="DN440" s="148">
        <f>DN443*DN339</f>
        <v>884.51799999999992</v>
      </c>
      <c r="DO440" s="148">
        <f>DO443*DO339</f>
        <v>994.66150000000016</v>
      </c>
      <c r="DP440" s="148">
        <f>DP443*DP339</f>
        <v>1057.1544999999999</v>
      </c>
      <c r="DQ440" s="148">
        <f>DQ443*DQ339</f>
        <v>1052.6921499999999</v>
      </c>
      <c r="DR440" s="148">
        <f>DR443*DR339</f>
        <v>807.27</v>
      </c>
      <c r="DS440" s="148">
        <f>DS443*DS339</f>
        <v>809.04700000000014</v>
      </c>
      <c r="DT440" s="148">
        <f>DT443*DT339</f>
        <v>1029.4316999999999</v>
      </c>
      <c r="DU440" s="148">
        <f>DU443*DU339</f>
        <v>1195.7872499999999</v>
      </c>
      <c r="DV440" s="114">
        <f>DV443*DV339</f>
        <v>1112.7896249999999</v>
      </c>
      <c r="DW440" s="114">
        <f>DW443*DW339</f>
        <v>1196.4600499999999</v>
      </c>
      <c r="DX440" s="114">
        <f>DX443*DX339</f>
        <v>1287.8579999999999</v>
      </c>
      <c r="DY440" s="114">
        <f>DY443*DY339</f>
        <v>1470.872975</v>
      </c>
      <c r="DZ440" s="114">
        <f>DZ443*DZ339</f>
        <v>1488.3399999999997</v>
      </c>
      <c r="EA440" s="114">
        <f>EA443*EA339</f>
        <v>1574.0024999999998</v>
      </c>
      <c r="EB440" s="114">
        <f>EB443*EB339</f>
        <v>1733.191</v>
      </c>
      <c r="EC440" s="114">
        <f>EC443*EC339</f>
        <v>2084.7705000000001</v>
      </c>
      <c r="ED440" s="114">
        <f>ED443*ED339</f>
        <v>2341.6142256000003</v>
      </c>
      <c r="EE440" s="153">
        <f>EE443*EE339</f>
        <v>2821.8793032705603</v>
      </c>
      <c r="EF440" s="153">
        <f>EF443*EF339</f>
        <v>2992.6030011184289</v>
      </c>
      <c r="EG440" s="153">
        <f>EG443*EG339</f>
        <v>3202.0852111967197</v>
      </c>
      <c r="EH440" s="153">
        <f>EH443*EH339</f>
        <v>3396.7719920374798</v>
      </c>
      <c r="EI440" s="153">
        <f>EI443*EI339</f>
        <v>3708.5956609065206</v>
      </c>
      <c r="EJ440" s="153">
        <f>EJ443*EJ339</f>
        <v>4010.8462072704033</v>
      </c>
      <c r="EK440" s="153">
        <f>EK443*EK339</f>
        <v>4295.6162879866024</v>
      </c>
      <c r="EL440" s="153">
        <f>EL443*EL339</f>
        <v>4510.3971023859322</v>
      </c>
      <c r="EM440" s="153">
        <f>EM443*EM339</f>
        <v>4828.831137814379</v>
      </c>
      <c r="EN440" s="153">
        <f>EN443*EN339</f>
        <v>5169.7466161440743</v>
      </c>
      <c r="EO440" s="153">
        <f>EO443*EO339</f>
        <v>5482.5162864207923</v>
      </c>
      <c r="EP440" s="153">
        <f>EP443*EP339</f>
        <v>4989.089820642921</v>
      </c>
      <c r="EQ440" s="153">
        <f>EQ443*EQ339</f>
        <v>5139.760333226337</v>
      </c>
      <c r="ER440" s="153">
        <f>ER443*ER339</f>
        <v>5450.7158333865318</v>
      </c>
      <c r="ES440" s="153">
        <f>ES443*ES339</f>
        <v>5725.4319113892125</v>
      </c>
      <c r="ET440" s="153">
        <f>ET443*ET339</f>
        <v>5267.3973584780761</v>
      </c>
      <c r="EU440" s="153">
        <f>EU443*EU339</f>
        <v>5426.4727587041152</v>
      </c>
      <c r="EV440" s="153">
        <f>EV443*EV339</f>
        <v>5754.7743606057129</v>
      </c>
      <c r="EW440" s="153">
        <f>EW443*EW339</f>
        <v>6104.664641730541</v>
      </c>
      <c r="FW440" s="376">
        <f>CP440+CQ440+CR440+CS440</f>
        <v>9.2477000000000018</v>
      </c>
      <c r="FX440" s="376">
        <f>CT440+CU440+CV440+CW440</f>
        <v>22.423500000000001</v>
      </c>
      <c r="FY440" s="376">
        <f>CX440+CY440+CZ440+DA440</f>
        <v>203.44011999999998</v>
      </c>
      <c r="FZ440" s="376">
        <f>DB440+DC440+DD440+DE440</f>
        <v>508.32439999999997</v>
      </c>
      <c r="GA440" s="376">
        <f>SUM(DF440:DI440)</f>
        <v>936.13693499999999</v>
      </c>
      <c r="GB440" s="376">
        <f>SUM(DJ440:DM440)</f>
        <v>2269.0672</v>
      </c>
      <c r="GC440" s="376">
        <f>SUM(DN440:DQ440)</f>
        <v>3989.0261499999997</v>
      </c>
      <c r="GD440" s="376">
        <f>SUM(DR440:DU440)</f>
        <v>3841.53595</v>
      </c>
      <c r="GE440" s="376">
        <f>SUM(DV440:DY440)</f>
        <v>5067.9806500000004</v>
      </c>
      <c r="GF440" s="376">
        <f>SUM(DZ440:EC440)</f>
        <v>6880.3040000000001</v>
      </c>
      <c r="GG440" s="380">
        <f>SUM(ED440:EG440)</f>
        <v>11358.181741185708</v>
      </c>
      <c r="GH440" s="380">
        <f>SUM(EH440:EK440)</f>
        <v>15411.830148201007</v>
      </c>
      <c r="GI440" s="380">
        <f>SUM(EL440:EO440)</f>
        <v>19991.491142765179</v>
      </c>
      <c r="GJ440" s="380">
        <f>SUM(EP440:ES440)</f>
        <v>21304.997898645001</v>
      </c>
      <c r="GK440" s="380">
        <f>SUM(ET440:EW440)</f>
        <v>22553.309119518446</v>
      </c>
      <c r="GN440" s="70"/>
    </row>
    <row r="441" spans="1:196" s="500" customFormat="1" hidden="1" outlineLevel="1">
      <c r="A441" s="499" t="s">
        <v>198</v>
      </c>
      <c r="CP441" s="95"/>
      <c r="CQ441" s="382">
        <f t="shared" ref="CQ441:EH441" si="840">CQ440/CP440-1</f>
        <v>0.3051792828685258</v>
      </c>
      <c r="CR441" s="382">
        <f t="shared" si="840"/>
        <v>-0.16666666666666663</v>
      </c>
      <c r="CS441" s="382">
        <f t="shared" si="840"/>
        <v>-1.3431013431013272E-2</v>
      </c>
      <c r="CT441" s="382">
        <f t="shared" si="840"/>
        <v>-2.970297029703195E-3</v>
      </c>
      <c r="CU441" s="382">
        <f t="shared" si="840"/>
        <v>1.0208540218470707</v>
      </c>
      <c r="CV441" s="382">
        <f t="shared" si="840"/>
        <v>0.39754299754299738</v>
      </c>
      <c r="CW441" s="382">
        <f t="shared" si="840"/>
        <v>0.51424050632911378</v>
      </c>
      <c r="CX441" s="382">
        <f t="shared" si="840"/>
        <v>1.6290913312856889</v>
      </c>
      <c r="CY441" s="382">
        <f t="shared" si="840"/>
        <v>0.67036549331962969</v>
      </c>
      <c r="CZ441" s="382">
        <f t="shared" si="840"/>
        <v>7.2082448061374649E-2</v>
      </c>
      <c r="DA441" s="382">
        <f t="shared" si="840"/>
        <v>1.0696490510676608</v>
      </c>
      <c r="DB441" s="382">
        <f t="shared" si="840"/>
        <v>-0.18490315061103613</v>
      </c>
      <c r="DC441" s="382">
        <f t="shared" si="840"/>
        <v>0.23789678479068055</v>
      </c>
      <c r="DD441" s="382">
        <f t="shared" si="840"/>
        <v>0.57808695652173925</v>
      </c>
      <c r="DE441" s="382">
        <f t="shared" si="840"/>
        <v>0.31243928521865483</v>
      </c>
      <c r="DF441" s="382">
        <f t="shared" si="840"/>
        <v>-0.21689343637749003</v>
      </c>
      <c r="DG441" s="382">
        <f t="shared" si="840"/>
        <v>0.43292977871677985</v>
      </c>
      <c r="DH441" s="382">
        <f t="shared" si="840"/>
        <v>0.2076672012398515</v>
      </c>
      <c r="DI441" s="382">
        <f t="shared" si="840"/>
        <v>0.17466994639554945</v>
      </c>
      <c r="DJ441" s="383">
        <f t="shared" si="840"/>
        <v>0.19462108122958566</v>
      </c>
      <c r="DK441" s="383">
        <f t="shared" si="840"/>
        <v>0.34060015241758501</v>
      </c>
      <c r="DL441" s="383">
        <f t="shared" si="840"/>
        <v>0.30826463839983242</v>
      </c>
      <c r="DM441" s="383">
        <f t="shared" si="840"/>
        <v>0.19176695655417175</v>
      </c>
      <c r="DN441" s="383">
        <f t="shared" si="840"/>
        <v>0.15342239998518648</v>
      </c>
      <c r="DO441" s="383">
        <f t="shared" si="840"/>
        <v>0.12452375191912468</v>
      </c>
      <c r="DP441" s="383">
        <f t="shared" si="840"/>
        <v>6.2828409463922874E-2</v>
      </c>
      <c r="DQ441" s="383">
        <f t="shared" si="840"/>
        <v>-4.2210954028006897E-3</v>
      </c>
      <c r="DR441" s="383">
        <f t="shared" si="840"/>
        <v>-0.23313762717808806</v>
      </c>
      <c r="DS441" s="383">
        <f t="shared" si="840"/>
        <v>2.2012461753813106E-3</v>
      </c>
      <c r="DT441" s="383">
        <f t="shared" si="840"/>
        <v>0.27240036734577799</v>
      </c>
      <c r="DU441" s="383">
        <f t="shared" si="840"/>
        <v>0.16159940479781221</v>
      </c>
      <c r="DV441" s="382">
        <f t="shared" si="840"/>
        <v>-6.9408354203475575E-2</v>
      </c>
      <c r="DW441" s="382">
        <f t="shared" si="840"/>
        <v>7.5189796094657257E-2</v>
      </c>
      <c r="DX441" s="382">
        <f>DX440/DW440-1</f>
        <v>7.6390306554740439E-2</v>
      </c>
      <c r="DY441" s="382">
        <f t="shared" si="840"/>
        <v>0.14210803908505443</v>
      </c>
      <c r="DZ441" s="382">
        <f t="shared" si="840"/>
        <v>1.1875277673110807E-2</v>
      </c>
      <c r="EA441" s="382">
        <f t="shared" si="840"/>
        <v>5.7555733232997897E-2</v>
      </c>
      <c r="EB441" s="382">
        <f t="shared" si="840"/>
        <v>0.10113611636576203</v>
      </c>
      <c r="EC441" s="382">
        <f t="shared" si="840"/>
        <v>0.20285098410965663</v>
      </c>
      <c r="ED441" s="382">
        <f t="shared" si="840"/>
        <v>0.1232000000000002</v>
      </c>
      <c r="EE441" s="384">
        <f t="shared" si="840"/>
        <v>0.20510000000000006</v>
      </c>
      <c r="EF441" s="384">
        <f t="shared" si="840"/>
        <v>6.0499999999999998E-2</v>
      </c>
      <c r="EG441" s="384">
        <f t="shared" si="840"/>
        <v>7.0000000000000284E-2</v>
      </c>
      <c r="EH441" s="384">
        <f t="shared" si="840"/>
        <v>6.0799999999999965E-2</v>
      </c>
      <c r="EI441" s="384">
        <f>EI440/EH440-1</f>
        <v>9.1800000000000104E-2</v>
      </c>
      <c r="EJ441" s="384">
        <f>EJ440/EI440-1</f>
        <v>8.150000000000035E-2</v>
      </c>
      <c r="EK441" s="384">
        <f>EK440/EJ440-1</f>
        <v>7.1000000000000174E-2</v>
      </c>
      <c r="EL441" s="384">
        <f t="shared" ref="EL441" si="841">EL440/EK440-1</f>
        <v>4.9999999999999822E-2</v>
      </c>
      <c r="EM441" s="384">
        <f>EM440/EL440-1</f>
        <v>7.0599999999999996E-2</v>
      </c>
      <c r="EN441" s="384">
        <f>EN440/EM440-1</f>
        <v>7.0599999999999996E-2</v>
      </c>
      <c r="EO441" s="384">
        <f>EO440/EN440-1</f>
        <v>6.050000000000022E-2</v>
      </c>
      <c r="EP441" s="384">
        <f t="shared" ref="EP441" si="842">EP440/EO440-1</f>
        <v>-8.9999999999999969E-2</v>
      </c>
      <c r="EQ441" s="384">
        <f>EQ440/EP440-1</f>
        <v>3.0200000000000005E-2</v>
      </c>
      <c r="ER441" s="384">
        <f>ER440/EQ440-1</f>
        <v>6.050000000000022E-2</v>
      </c>
      <c r="ES441" s="384">
        <f>ES440/ER440-1</f>
        <v>5.04E-2</v>
      </c>
      <c r="ET441" s="384">
        <f t="shared" ref="ET441" si="843">ET440/ES440-1</f>
        <v>-7.9999999999999849E-2</v>
      </c>
      <c r="EU441" s="384">
        <f>EU440/ET440-1</f>
        <v>3.0200000000000227E-2</v>
      </c>
      <c r="EV441" s="384">
        <f>EV440/EU440-1</f>
        <v>6.0499999999999776E-2</v>
      </c>
      <c r="EW441" s="384">
        <f>EW440/EV440-1</f>
        <v>6.0800000000000187E-2</v>
      </c>
      <c r="FX441" s="449"/>
      <c r="FY441" s="449"/>
      <c r="FZ441" s="386" t="s">
        <v>199</v>
      </c>
      <c r="GA441" s="386" t="s">
        <v>199</v>
      </c>
      <c r="GB441" s="386" t="s">
        <v>199</v>
      </c>
      <c r="GC441" s="386" t="s">
        <v>199</v>
      </c>
      <c r="GD441" s="386" t="s">
        <v>199</v>
      </c>
      <c r="GE441" s="386" t="s">
        <v>199</v>
      </c>
      <c r="GF441" s="386" t="s">
        <v>199</v>
      </c>
      <c r="GG441" s="467" t="s">
        <v>199</v>
      </c>
      <c r="GH441" s="467" t="s">
        <v>199</v>
      </c>
      <c r="GI441" s="467" t="s">
        <v>199</v>
      </c>
      <c r="GJ441" s="467" t="s">
        <v>199</v>
      </c>
      <c r="GK441" s="467" t="s">
        <v>199</v>
      </c>
      <c r="GN441" s="70"/>
    </row>
    <row r="442" spans="1:196" s="500" customFormat="1" hidden="1" outlineLevel="1">
      <c r="A442" s="499" t="s">
        <v>200</v>
      </c>
      <c r="CP442" s="95"/>
      <c r="CQ442" s="95"/>
      <c r="CR442" s="95"/>
      <c r="CS442" s="95"/>
      <c r="CT442" s="382">
        <f t="shared" ref="CT442:EW442" si="844">CT440/CP440-1</f>
        <v>6.9853917662682452E-2</v>
      </c>
      <c r="CU442" s="382">
        <f t="shared" si="844"/>
        <v>0.65649165649165653</v>
      </c>
      <c r="CV442" s="382">
        <f t="shared" si="844"/>
        <v>1.7780219780219779</v>
      </c>
      <c r="CW442" s="382">
        <f t="shared" si="844"/>
        <v>3.263861386138613</v>
      </c>
      <c r="CX442" s="382">
        <f t="shared" si="844"/>
        <v>10.243477475850863</v>
      </c>
      <c r="CY442" s="382">
        <f t="shared" si="844"/>
        <v>8.2934554389099819</v>
      </c>
      <c r="CZ442" s="382">
        <f t="shared" si="844"/>
        <v>6.1291906405830447</v>
      </c>
      <c r="DA442" s="382">
        <f t="shared" si="844"/>
        <v>8.7441077441077439</v>
      </c>
      <c r="DB442" s="382">
        <f t="shared" si="844"/>
        <v>2.020964478417266</v>
      </c>
      <c r="DC442" s="382">
        <f t="shared" si="844"/>
        <v>1.238816731880366</v>
      </c>
      <c r="DD442" s="382">
        <f t="shared" si="844"/>
        <v>2.2954997901623821</v>
      </c>
      <c r="DE442" s="382">
        <f t="shared" si="844"/>
        <v>1.0897955558251535</v>
      </c>
      <c r="DF442" s="382">
        <f t="shared" si="844"/>
        <v>1.0077768888723511</v>
      </c>
      <c r="DG442" s="382">
        <f t="shared" si="844"/>
        <v>1.3241059581320451</v>
      </c>
      <c r="DH442" s="382">
        <f t="shared" si="844"/>
        <v>0.77857533530885981</v>
      </c>
      <c r="DI442" s="382">
        <f t="shared" si="844"/>
        <v>0.59187477646985664</v>
      </c>
      <c r="DJ442" s="383">
        <f t="shared" si="844"/>
        <v>1.4283887468030692</v>
      </c>
      <c r="DK442" s="383">
        <f t="shared" si="844"/>
        <v>1.2719175583109967</v>
      </c>
      <c r="DL442" s="383">
        <f t="shared" si="844"/>
        <v>1.4611659568517603</v>
      </c>
      <c r="DM442" s="383">
        <f t="shared" si="844"/>
        <v>1.4969875759333311</v>
      </c>
      <c r="DN442" s="383">
        <f t="shared" si="844"/>
        <v>1.4108744168501017</v>
      </c>
      <c r="DO442" s="383">
        <f t="shared" si="844"/>
        <v>1.0222924335440688</v>
      </c>
      <c r="DP442" s="383">
        <f t="shared" si="844"/>
        <v>0.64290143410394873</v>
      </c>
      <c r="DQ442" s="383">
        <f t="shared" si="844"/>
        <v>0.37272356933218509</v>
      </c>
      <c r="DR442" s="383">
        <f t="shared" si="844"/>
        <v>-8.7333440359608216E-2</v>
      </c>
      <c r="DS442" s="383">
        <f t="shared" si="844"/>
        <v>-0.18661072133585144</v>
      </c>
      <c r="DT442" s="383">
        <f t="shared" si="844"/>
        <v>-2.6223981452096146E-2</v>
      </c>
      <c r="DU442" s="383">
        <f t="shared" si="844"/>
        <v>0.13593252310278947</v>
      </c>
      <c r="DV442" s="382">
        <f t="shared" si="844"/>
        <v>0.37846027351443734</v>
      </c>
      <c r="DW442" s="382">
        <f t="shared" si="844"/>
        <v>0.47885110506558926</v>
      </c>
      <c r="DX442" s="382">
        <f t="shared" si="844"/>
        <v>0.25103782990168266</v>
      </c>
      <c r="DY442" s="382">
        <f t="shared" si="844"/>
        <v>0.23004570838165406</v>
      </c>
      <c r="DZ442" s="382">
        <f t="shared" si="844"/>
        <v>0.33748551079454914</v>
      </c>
      <c r="EA442" s="382">
        <f t="shared" si="844"/>
        <v>0.31554956640633347</v>
      </c>
      <c r="EB442" s="382">
        <f t="shared" si="844"/>
        <v>0.3457935579854301</v>
      </c>
      <c r="EC442" s="382">
        <f t="shared" si="844"/>
        <v>0.41736950466439837</v>
      </c>
      <c r="ED442" s="382">
        <f t="shared" si="844"/>
        <v>0.57330598223524243</v>
      </c>
      <c r="EE442" s="384">
        <f t="shared" si="844"/>
        <v>0.79280484196852341</v>
      </c>
      <c r="EF442" s="384">
        <f t="shared" si="844"/>
        <v>0.72664351541083971</v>
      </c>
      <c r="EG442" s="384">
        <f t="shared" si="844"/>
        <v>0.5359413475952004</v>
      </c>
      <c r="EH442" s="384">
        <f t="shared" si="844"/>
        <v>0.45061127272880008</v>
      </c>
      <c r="EI442" s="384">
        <f t="shared" si="844"/>
        <v>0.31422901631840006</v>
      </c>
      <c r="EJ442" s="384">
        <f t="shared" si="844"/>
        <v>0.34025335327520057</v>
      </c>
      <c r="EK442" s="384">
        <f t="shared" si="844"/>
        <v>0.3415059265025604</v>
      </c>
      <c r="EL442" s="384">
        <f t="shared" si="844"/>
        <v>0.3278480607350005</v>
      </c>
      <c r="EM442" s="384">
        <f t="shared" si="844"/>
        <v>0.30206460324500051</v>
      </c>
      <c r="EN442" s="384">
        <f t="shared" si="844"/>
        <v>0.28894162203800011</v>
      </c>
      <c r="EO442" s="384">
        <f t="shared" si="844"/>
        <v>0.27630493946900025</v>
      </c>
      <c r="EP442" s="384">
        <f t="shared" si="844"/>
        <v>0.10613094753980046</v>
      </c>
      <c r="EQ442" s="384">
        <f t="shared" si="844"/>
        <v>6.439015706660034E-2</v>
      </c>
      <c r="ER442" s="384">
        <f t="shared" si="844"/>
        <v>5.4348740490500536E-2</v>
      </c>
      <c r="ES442" s="384">
        <f t="shared" si="844"/>
        <v>4.4307323914400065E-2</v>
      </c>
      <c r="ET442" s="384">
        <f t="shared" si="844"/>
        <v>5.5783228572800159E-2</v>
      </c>
      <c r="EU442" s="384">
        <f t="shared" si="844"/>
        <v>5.5783228572800603E-2</v>
      </c>
      <c r="EV442" s="384">
        <f t="shared" si="844"/>
        <v>5.5783228572799937E-2</v>
      </c>
      <c r="EW442" s="384">
        <f t="shared" si="844"/>
        <v>6.6236527865600303E-2</v>
      </c>
      <c r="FX442" s="382">
        <f t="shared" ref="FX442:GK442" si="845">FX440/FW440-1</f>
        <v>1.424765076721779</v>
      </c>
      <c r="FY442" s="382">
        <f t="shared" si="845"/>
        <v>8.0726300532923041</v>
      </c>
      <c r="FZ442" s="382">
        <f t="shared" si="845"/>
        <v>1.4986438269894848</v>
      </c>
      <c r="GA442" s="382">
        <f t="shared" si="845"/>
        <v>0.84161321982576487</v>
      </c>
      <c r="GB442" s="382">
        <f t="shared" si="845"/>
        <v>1.4238624875964327</v>
      </c>
      <c r="GC442" s="382">
        <f t="shared" si="845"/>
        <v>0.75800264972319886</v>
      </c>
      <c r="GD442" s="382">
        <f t="shared" si="845"/>
        <v>-3.6973986746113408E-2</v>
      </c>
      <c r="GE442" s="382">
        <f t="shared" si="845"/>
        <v>0.31925894120553533</v>
      </c>
      <c r="GF442" s="382">
        <f t="shared" si="845"/>
        <v>0.35760265777652478</v>
      </c>
      <c r="GG442" s="384">
        <f t="shared" si="845"/>
        <v>0.65082556543805459</v>
      </c>
      <c r="GH442" s="384">
        <f t="shared" si="845"/>
        <v>0.35689237057340195</v>
      </c>
      <c r="GI442" s="384">
        <f t="shared" si="845"/>
        <v>0.29715231419798305</v>
      </c>
      <c r="GJ442" s="384">
        <f t="shared" si="845"/>
        <v>6.570329079005055E-2</v>
      </c>
      <c r="GK442" s="384">
        <f t="shared" si="845"/>
        <v>5.8592412297437502E-2</v>
      </c>
      <c r="GN442" s="70"/>
    </row>
    <row r="443" spans="1:196" s="382" customFormat="1" hidden="1" outlineLevel="1">
      <c r="A443" s="396" t="s">
        <v>309</v>
      </c>
      <c r="CP443" s="384">
        <v>0.55000000000000004</v>
      </c>
      <c r="CQ443" s="384">
        <v>0.55000000000000004</v>
      </c>
      <c r="CR443" s="384">
        <v>0.55000000000000004</v>
      </c>
      <c r="CS443" s="384">
        <v>0.55000000000000004</v>
      </c>
      <c r="CT443" s="384">
        <v>0.55000000000000004</v>
      </c>
      <c r="CU443" s="384">
        <v>0.55000000000000004</v>
      </c>
      <c r="CV443" s="384">
        <v>0.55000000000000004</v>
      </c>
      <c r="CW443" s="384">
        <v>0.55000000000000004</v>
      </c>
      <c r="CX443" s="384">
        <v>0.56000000000000005</v>
      </c>
      <c r="CY443" s="384">
        <v>0.59</v>
      </c>
      <c r="CZ443" s="384">
        <v>0.56999999999999995</v>
      </c>
      <c r="DA443" s="384">
        <v>0.57999999999999996</v>
      </c>
      <c r="DB443" s="384">
        <v>0.59</v>
      </c>
      <c r="DC443" s="384">
        <v>0.6</v>
      </c>
      <c r="DD443" s="384">
        <v>0.6</v>
      </c>
      <c r="DE443" s="384">
        <v>0.6</v>
      </c>
      <c r="DF443" s="384">
        <v>0.59499999999999997</v>
      </c>
      <c r="DG443" s="384">
        <v>0.59</v>
      </c>
      <c r="DH443" s="384">
        <v>0.61</v>
      </c>
      <c r="DI443" s="384">
        <v>0.61499999999999999</v>
      </c>
      <c r="DJ443" s="391">
        <v>0.63</v>
      </c>
      <c r="DK443" s="391">
        <v>0.66</v>
      </c>
      <c r="DL443" s="391">
        <v>0.67</v>
      </c>
      <c r="DM443" s="391">
        <v>0.71</v>
      </c>
      <c r="DN443" s="391">
        <v>0.71</v>
      </c>
      <c r="DO443" s="391">
        <v>0.73</v>
      </c>
      <c r="DP443" s="391">
        <v>0.71</v>
      </c>
      <c r="DQ443" s="391">
        <v>0.71</v>
      </c>
      <c r="DR443" s="391">
        <v>0.71</v>
      </c>
      <c r="DS443" s="391">
        <v>0.68</v>
      </c>
      <c r="DT443" s="391">
        <v>0.69</v>
      </c>
      <c r="DU443" s="391">
        <v>0.69</v>
      </c>
      <c r="DV443" s="384">
        <v>0.70499999999999996</v>
      </c>
      <c r="DW443" s="384">
        <v>0.71</v>
      </c>
      <c r="DX443" s="384">
        <v>0.71499999999999997</v>
      </c>
      <c r="DY443" s="384">
        <v>0.71499999999999997</v>
      </c>
      <c r="DZ443" s="384">
        <v>0.7</v>
      </c>
      <c r="EA443" s="384">
        <v>0.7</v>
      </c>
      <c r="EB443" s="384">
        <v>0.74</v>
      </c>
      <c r="EC443" s="384">
        <v>0.73</v>
      </c>
      <c r="ED443" s="384">
        <f t="shared" ref="ED443:EW443" si="846">EC443</f>
        <v>0.73</v>
      </c>
      <c r="EE443" s="391">
        <f t="shared" si="846"/>
        <v>0.73</v>
      </c>
      <c r="EF443" s="391">
        <f t="shared" si="846"/>
        <v>0.73</v>
      </c>
      <c r="EG443" s="391">
        <f t="shared" si="846"/>
        <v>0.73</v>
      </c>
      <c r="EH443" s="391">
        <f t="shared" si="846"/>
        <v>0.73</v>
      </c>
      <c r="EI443" s="391">
        <f t="shared" si="846"/>
        <v>0.73</v>
      </c>
      <c r="EJ443" s="391">
        <f t="shared" si="846"/>
        <v>0.73</v>
      </c>
      <c r="EK443" s="391">
        <f t="shared" si="846"/>
        <v>0.73</v>
      </c>
      <c r="EL443" s="391">
        <f t="shared" si="846"/>
        <v>0.73</v>
      </c>
      <c r="EM443" s="391">
        <f t="shared" si="846"/>
        <v>0.73</v>
      </c>
      <c r="EN443" s="391">
        <f t="shared" si="846"/>
        <v>0.73</v>
      </c>
      <c r="EO443" s="391">
        <f t="shared" si="846"/>
        <v>0.73</v>
      </c>
      <c r="EP443" s="391">
        <f t="shared" si="846"/>
        <v>0.73</v>
      </c>
      <c r="EQ443" s="391">
        <f t="shared" si="846"/>
        <v>0.73</v>
      </c>
      <c r="ER443" s="391">
        <f t="shared" si="846"/>
        <v>0.73</v>
      </c>
      <c r="ES443" s="391">
        <f t="shared" si="846"/>
        <v>0.73</v>
      </c>
      <c r="ET443" s="391">
        <f t="shared" si="846"/>
        <v>0.73</v>
      </c>
      <c r="EU443" s="391">
        <f t="shared" si="846"/>
        <v>0.73</v>
      </c>
      <c r="EV443" s="391">
        <f t="shared" si="846"/>
        <v>0.73</v>
      </c>
      <c r="EW443" s="391">
        <f t="shared" si="846"/>
        <v>0.73</v>
      </c>
      <c r="FW443" s="382">
        <f>FW440/FW339</f>
        <v>0.55000000000000016</v>
      </c>
      <c r="FX443" s="382">
        <f>FX440/FX339</f>
        <v>0.55000000000000004</v>
      </c>
      <c r="FY443" s="382">
        <f>FY440/FY339</f>
        <v>0.57725627507618615</v>
      </c>
      <c r="FZ443" s="382">
        <f>FZ440/FZ339</f>
        <v>0.59849835105900739</v>
      </c>
      <c r="GA443" s="382">
        <f>GA440/GA339</f>
        <v>0.60441476867730015</v>
      </c>
      <c r="GB443" s="382">
        <f>GB440/GB339</f>
        <v>0.67369853699813698</v>
      </c>
      <c r="GC443" s="382">
        <f>GC440/GC339</f>
        <v>0.7148837223889396</v>
      </c>
      <c r="GD443" s="382">
        <f>GD440/GD339</f>
        <v>0.69195294980123323</v>
      </c>
      <c r="GE443" s="382">
        <f>GE440/GE339</f>
        <v>0.71160064420604208</v>
      </c>
      <c r="GF443" s="382">
        <f>GF440/GF339</f>
        <v>0.71873662548216166</v>
      </c>
      <c r="GG443" s="498">
        <f>GG440/GG339</f>
        <v>0.73</v>
      </c>
      <c r="GH443" s="498">
        <f>GH440/GH339</f>
        <v>0.73</v>
      </c>
      <c r="GI443" s="498">
        <f>GI440/GI339</f>
        <v>0.73</v>
      </c>
      <c r="GJ443" s="498">
        <f>GJ440/GJ339</f>
        <v>0.73</v>
      </c>
      <c r="GK443" s="498">
        <f>GK440/GK339</f>
        <v>0.73</v>
      </c>
      <c r="GN443" s="70"/>
    </row>
    <row r="444" spans="1:196" s="382" customFormat="1" hidden="1" outlineLevel="1">
      <c r="A444" s="376" t="s">
        <v>312</v>
      </c>
      <c r="CP444" s="384"/>
      <c r="CQ444" s="384"/>
      <c r="CR444" s="384"/>
      <c r="CS444" s="384"/>
      <c r="CT444" s="384"/>
      <c r="CU444" s="384"/>
      <c r="CV444" s="384"/>
      <c r="CW444" s="384"/>
      <c r="CX444" s="384"/>
      <c r="CY444" s="384"/>
      <c r="CZ444" s="384"/>
      <c r="DA444" s="384"/>
      <c r="DB444" s="384"/>
      <c r="DC444" s="384"/>
      <c r="DD444" s="384"/>
      <c r="DE444" s="384"/>
      <c r="DF444" s="384"/>
      <c r="DG444" s="384"/>
      <c r="DH444" s="384"/>
      <c r="DI444" s="384"/>
      <c r="DJ444" s="391"/>
      <c r="DK444" s="391"/>
      <c r="DL444" s="391"/>
      <c r="DM444" s="391"/>
      <c r="DN444" s="397">
        <f>DN448+DN452</f>
        <v>490.40749999999997</v>
      </c>
      <c r="DO444" s="397">
        <f t="shared" ref="DO444:DU444" si="847">DO448+DO452</f>
        <v>961.57473934259997</v>
      </c>
      <c r="DP444" s="397">
        <f t="shared" si="847"/>
        <v>997.05507987617182</v>
      </c>
      <c r="DQ444" s="397">
        <f>DQ448+DQ452</f>
        <v>1081.9724984655693</v>
      </c>
      <c r="DR444" s="397">
        <f t="shared" si="847"/>
        <v>1150.2276485879947</v>
      </c>
      <c r="DS444" s="397">
        <f t="shared" si="847"/>
        <v>1062.7024905837577</v>
      </c>
      <c r="DT444" s="397">
        <f t="shared" si="847"/>
        <v>886.03464093739422</v>
      </c>
      <c r="DU444" s="397">
        <f t="shared" si="847"/>
        <v>748.8267902033665</v>
      </c>
      <c r="DV444" s="376">
        <f>DV447*DV157</f>
        <v>575.28000000000009</v>
      </c>
      <c r="DW444" s="376">
        <f>DW447*DW157</f>
        <v>585.48</v>
      </c>
      <c r="DX444" s="376">
        <f>DX447*DX157</f>
        <v>648.9</v>
      </c>
      <c r="DY444" s="376">
        <f>DY447*DY157</f>
        <v>646.09999999999991</v>
      </c>
      <c r="DZ444" s="376">
        <f>DZ447*DZ157</f>
        <v>576.09999999999991</v>
      </c>
      <c r="EA444" s="376">
        <f>EA447*EA157</f>
        <v>576.79999999999995</v>
      </c>
      <c r="EB444" s="376">
        <f>EB447*EB157</f>
        <v>608.46999999999991</v>
      </c>
      <c r="EC444" s="376">
        <f>EC447*EC157</f>
        <v>674.5</v>
      </c>
      <c r="ED444" s="376">
        <f>ED447*ED157</f>
        <v>619.82999999999993</v>
      </c>
      <c r="EE444" s="410">
        <f>EE447*EE157</f>
        <v>681.81299999999999</v>
      </c>
      <c r="EF444" s="410">
        <f>EF447*EF157</f>
        <v>736.35804000000019</v>
      </c>
      <c r="EG444" s="410">
        <f>EG447*EG157</f>
        <v>765.81236160000014</v>
      </c>
      <c r="EH444" s="410">
        <f>EH447*EH157</f>
        <v>704.54737267200017</v>
      </c>
      <c r="EI444" s="410">
        <f>EI447*EI157</f>
        <v>732.72926757888024</v>
      </c>
      <c r="EJ444" s="410">
        <f>EJ447*EJ157</f>
        <v>776.69302363361317</v>
      </c>
      <c r="EK444" s="410">
        <f>EK447*EK157</f>
        <v>831.06153528796608</v>
      </c>
      <c r="EL444" s="410">
        <f>EL447*EL157</f>
        <v>764.57661246492887</v>
      </c>
      <c r="EM444" s="410">
        <f>EM447*EM157</f>
        <v>795.15967696352607</v>
      </c>
      <c r="EN444" s="410">
        <f>EN447*EN157</f>
        <v>834.91766081170249</v>
      </c>
      <c r="EO444" s="410">
        <f>EO447*EO157</f>
        <v>868.31436724417063</v>
      </c>
      <c r="EP444" s="410">
        <f>EP447*EP157</f>
        <v>816.21550520952042</v>
      </c>
      <c r="EQ444" s="410">
        <f>EQ447*EQ157</f>
        <v>848.86412541790116</v>
      </c>
      <c r="ER444" s="410">
        <f>ER447*ER157</f>
        <v>899.79597294297525</v>
      </c>
      <c r="ES444" s="410">
        <f>ES447*ES157</f>
        <v>935.78781186069443</v>
      </c>
      <c r="ET444" s="410">
        <f>ET447*ET157</f>
        <v>879.64054314905263</v>
      </c>
      <c r="EU444" s="410">
        <f>EU447*EU157</f>
        <v>906.02975944352431</v>
      </c>
      <c r="EV444" s="410">
        <f>EV447*EV157</f>
        <v>951.33124741570066</v>
      </c>
      <c r="EW444" s="410">
        <f>EW447*EW157</f>
        <v>979.87118483817176</v>
      </c>
      <c r="GC444" s="376">
        <f>SUM(DN444:DQ444)</f>
        <v>3531.0098176843412</v>
      </c>
      <c r="GD444" s="376">
        <f>SUM(DR444:DU444)</f>
        <v>3847.7915703125136</v>
      </c>
      <c r="GE444" s="376">
        <f>SUM(DV444:DY444)</f>
        <v>2455.7600000000002</v>
      </c>
      <c r="GF444" s="376">
        <f>SUM(DZ444:EC444)</f>
        <v>2435.87</v>
      </c>
      <c r="GG444" s="380">
        <f>SUM(ED444:EG444)</f>
        <v>2803.8134016000004</v>
      </c>
      <c r="GH444" s="380">
        <f>SUM(EH444:EK444)</f>
        <v>3045.0311991724593</v>
      </c>
      <c r="GI444" s="380">
        <f>SUM(EL444:EO444)</f>
        <v>3262.9683174843281</v>
      </c>
      <c r="GJ444" s="380">
        <f>SUM(EP444:ES444)</f>
        <v>3500.6634154310914</v>
      </c>
      <c r="GK444" s="380">
        <f>SUM(ET444:EW444)</f>
        <v>3716.8727348464495</v>
      </c>
      <c r="GN444" s="70"/>
    </row>
    <row r="445" spans="1:196" s="382" customFormat="1" hidden="1" outlineLevel="1">
      <c r="A445" s="381" t="s">
        <v>198</v>
      </c>
      <c r="CP445" s="384"/>
      <c r="CQ445" s="384"/>
      <c r="CR445" s="384"/>
      <c r="CS445" s="384"/>
      <c r="CT445" s="384"/>
      <c r="CU445" s="384"/>
      <c r="CV445" s="384"/>
      <c r="CW445" s="384"/>
      <c r="CX445" s="384"/>
      <c r="CY445" s="384"/>
      <c r="CZ445" s="384"/>
      <c r="DA445" s="384"/>
      <c r="DB445" s="384"/>
      <c r="DC445" s="384"/>
      <c r="DD445" s="384"/>
      <c r="DE445" s="384"/>
      <c r="DF445" s="384"/>
      <c r="DG445" s="384"/>
      <c r="DH445" s="384"/>
      <c r="DI445" s="384"/>
      <c r="DJ445" s="391"/>
      <c r="DK445" s="391"/>
      <c r="DL445" s="391"/>
      <c r="DM445" s="391"/>
      <c r="DN445" s="501"/>
      <c r="DO445" s="383">
        <f>DO444/DN444-1</f>
        <v>0.96076678954257444</v>
      </c>
      <c r="DP445" s="383">
        <f t="shared" ref="DP445:EH445" si="848">DP444/DO444-1</f>
        <v>3.6898162027247716E-2</v>
      </c>
      <c r="DQ445" s="383">
        <f t="shared" si="848"/>
        <v>8.5168232230403706E-2</v>
      </c>
      <c r="DR445" s="383">
        <f t="shared" si="848"/>
        <v>6.3083997254295809E-2</v>
      </c>
      <c r="DS445" s="383">
        <f t="shared" si="848"/>
        <v>-7.6093769882580875E-2</v>
      </c>
      <c r="DT445" s="383">
        <f t="shared" si="848"/>
        <v>-0.16624394053063463</v>
      </c>
      <c r="DU445" s="383">
        <f t="shared" si="848"/>
        <v>-0.15485607942920443</v>
      </c>
      <c r="DV445" s="382">
        <f t="shared" si="848"/>
        <v>-0.23175825501146208</v>
      </c>
      <c r="DW445" s="382">
        <f t="shared" si="848"/>
        <v>1.7730496453900679E-2</v>
      </c>
      <c r="DX445" s="382">
        <f>DX444/DW444-1</f>
        <v>0.10832137733142022</v>
      </c>
      <c r="DY445" s="382">
        <f t="shared" si="848"/>
        <v>-4.3149946062568389E-3</v>
      </c>
      <c r="DZ445" s="382">
        <f t="shared" si="848"/>
        <v>-0.10834236186348867</v>
      </c>
      <c r="EA445" s="382">
        <f t="shared" si="848"/>
        <v>1.2150668286756705E-3</v>
      </c>
      <c r="EB445" s="382">
        <f t="shared" si="848"/>
        <v>5.4906380027739177E-2</v>
      </c>
      <c r="EC445" s="382">
        <f t="shared" si="848"/>
        <v>0.10851808634772486</v>
      </c>
      <c r="ED445" s="382">
        <f t="shared" si="848"/>
        <v>-8.1052631578947487E-2</v>
      </c>
      <c r="EE445" s="384">
        <f t="shared" si="848"/>
        <v>0.10000000000000009</v>
      </c>
      <c r="EF445" s="384">
        <f t="shared" si="848"/>
        <v>8.0000000000000293E-2</v>
      </c>
      <c r="EG445" s="384">
        <f t="shared" si="848"/>
        <v>4.0000000000000036E-2</v>
      </c>
      <c r="EH445" s="384">
        <f t="shared" si="848"/>
        <v>-7.999999999999996E-2</v>
      </c>
      <c r="EI445" s="384">
        <f>EI444/EH444-1</f>
        <v>4.0000000000000036E-2</v>
      </c>
      <c r="EJ445" s="384">
        <f>EJ444/EI444-1</f>
        <v>6.0000000000000053E-2</v>
      </c>
      <c r="EK445" s="384">
        <f>EK444/EJ444-1</f>
        <v>7.0000000000000062E-2</v>
      </c>
      <c r="EL445" s="384">
        <f t="shared" ref="EL445" si="849">EL444/EK444-1</f>
        <v>-7.999999999999996E-2</v>
      </c>
      <c r="EM445" s="384">
        <f>EM444/EL444-1</f>
        <v>4.0000000000000036E-2</v>
      </c>
      <c r="EN445" s="384">
        <f>EN444/EM444-1</f>
        <v>5.0000000000000044E-2</v>
      </c>
      <c r="EO445" s="384">
        <f>EO444/EN444-1</f>
        <v>4.0000000000000036E-2</v>
      </c>
      <c r="EP445" s="384">
        <f t="shared" ref="EP445" si="850">EP444/EO444-1</f>
        <v>-5.9999999999999942E-2</v>
      </c>
      <c r="EQ445" s="384">
        <f>EQ444/EP444-1</f>
        <v>3.9999999999999813E-2</v>
      </c>
      <c r="ER445" s="384">
        <f>ER444/EQ444-1</f>
        <v>6.0000000000000053E-2</v>
      </c>
      <c r="ES445" s="384">
        <f>ES444/ER444-1</f>
        <v>4.0000000000000258E-2</v>
      </c>
      <c r="ET445" s="384">
        <f t="shared" ref="ET445" si="851">ET444/ES444-1</f>
        <v>-6.0000000000000164E-2</v>
      </c>
      <c r="EU445" s="384">
        <f>EU444/ET444-1</f>
        <v>3.0000000000000027E-2</v>
      </c>
      <c r="EV445" s="384">
        <f>EV444/EU444-1</f>
        <v>5.0000000000000044E-2</v>
      </c>
      <c r="EW445" s="384">
        <f>EW444/EV444-1</f>
        <v>3.0000000000000027E-2</v>
      </c>
      <c r="GD445" s="386" t="s">
        <v>199</v>
      </c>
      <c r="GE445" s="386" t="s">
        <v>199</v>
      </c>
      <c r="GF445" s="386" t="s">
        <v>199</v>
      </c>
      <c r="GG445" s="467" t="s">
        <v>199</v>
      </c>
      <c r="GH445" s="467" t="s">
        <v>199</v>
      </c>
      <c r="GI445" s="467" t="s">
        <v>199</v>
      </c>
      <c r="GJ445" s="467" t="s">
        <v>199</v>
      </c>
      <c r="GK445" s="467" t="s">
        <v>199</v>
      </c>
      <c r="GN445" s="70"/>
    </row>
    <row r="446" spans="1:196" s="382" customFormat="1" hidden="1" outlineLevel="1">
      <c r="A446" s="381" t="s">
        <v>200</v>
      </c>
      <c r="CP446" s="384"/>
      <c r="CQ446" s="384"/>
      <c r="CR446" s="384"/>
      <c r="CS446" s="384"/>
      <c r="CT446" s="384"/>
      <c r="CU446" s="384"/>
      <c r="CV446" s="384"/>
      <c r="CW446" s="384"/>
      <c r="CX446" s="384"/>
      <c r="CY446" s="384"/>
      <c r="CZ446" s="384"/>
      <c r="DA446" s="384"/>
      <c r="DB446" s="384"/>
      <c r="DC446" s="384"/>
      <c r="DD446" s="384"/>
      <c r="DE446" s="384"/>
      <c r="DF446" s="384"/>
      <c r="DG446" s="384"/>
      <c r="DH446" s="384"/>
      <c r="DI446" s="384"/>
      <c r="DJ446" s="391"/>
      <c r="DK446" s="391"/>
      <c r="DL446" s="391"/>
      <c r="DM446" s="391"/>
      <c r="DN446" s="501"/>
      <c r="DO446" s="501"/>
      <c r="DP446" s="444"/>
      <c r="DQ446" s="444"/>
      <c r="DR446" s="391">
        <f t="shared" ref="DR446:EW446" si="852">DR444/DN444-1</f>
        <v>1.3454528093228486</v>
      </c>
      <c r="DS446" s="391">
        <f t="shared" si="852"/>
        <v>0.10516889338242774</v>
      </c>
      <c r="DT446" s="391">
        <f t="shared" si="852"/>
        <v>-0.11134835093821061</v>
      </c>
      <c r="DU446" s="391">
        <f t="shared" si="852"/>
        <v>-0.30790589292672688</v>
      </c>
      <c r="DV446" s="384">
        <f t="shared" si="852"/>
        <v>-0.49985552798508481</v>
      </c>
      <c r="DW446" s="384">
        <f t="shared" si="852"/>
        <v>-0.44906499684743617</v>
      </c>
      <c r="DX446" s="384">
        <f t="shared" si="852"/>
        <v>-0.26763585753996477</v>
      </c>
      <c r="DY446" s="384">
        <f t="shared" si="852"/>
        <v>-0.1371836472029373</v>
      </c>
      <c r="DZ446" s="384">
        <f t="shared" si="852"/>
        <v>1.4253928521761328E-3</v>
      </c>
      <c r="EA446" s="384">
        <f t="shared" si="852"/>
        <v>-1.4825442372070841E-2</v>
      </c>
      <c r="EB446" s="384">
        <f t="shared" si="852"/>
        <v>-6.2305439975342991E-2</v>
      </c>
      <c r="EC446" s="384">
        <f t="shared" si="852"/>
        <v>4.3956043956044022E-2</v>
      </c>
      <c r="ED446" s="384">
        <f t="shared" si="852"/>
        <v>7.5906960597118545E-2</v>
      </c>
      <c r="EE446" s="384">
        <f t="shared" si="852"/>
        <v>0.18206137309292658</v>
      </c>
      <c r="EF446" s="384">
        <f t="shared" si="852"/>
        <v>0.21017969661610314</v>
      </c>
      <c r="EG446" s="384">
        <f t="shared" si="852"/>
        <v>0.1353778526315792</v>
      </c>
      <c r="EH446" s="384">
        <f t="shared" si="852"/>
        <v>0.13667840000000031</v>
      </c>
      <c r="EI446" s="384">
        <f t="shared" si="852"/>
        <v>7.4677760000000371E-2</v>
      </c>
      <c r="EJ446" s="384">
        <f t="shared" si="852"/>
        <v>5.4776320000000212E-2</v>
      </c>
      <c r="EK446" s="384">
        <f t="shared" si="852"/>
        <v>8.5202560000000371E-2</v>
      </c>
      <c r="EL446" s="384">
        <f t="shared" si="852"/>
        <v>8.5202560000000371E-2</v>
      </c>
      <c r="EM446" s="384">
        <f t="shared" si="852"/>
        <v>8.5202560000000371E-2</v>
      </c>
      <c r="EN446" s="384">
        <f t="shared" si="852"/>
        <v>7.4964800000000276E-2</v>
      </c>
      <c r="EO446" s="384">
        <f t="shared" si="852"/>
        <v>4.4825600000000243E-2</v>
      </c>
      <c r="EP446" s="384">
        <f t="shared" si="852"/>
        <v>6.7539200000000355E-2</v>
      </c>
      <c r="EQ446" s="384">
        <f t="shared" si="852"/>
        <v>6.7539200000000132E-2</v>
      </c>
      <c r="ER446" s="384">
        <f t="shared" si="852"/>
        <v>7.7706239999999926E-2</v>
      </c>
      <c r="ES446" s="384">
        <f t="shared" si="852"/>
        <v>7.7706240000000149E-2</v>
      </c>
      <c r="ET446" s="384">
        <f t="shared" si="852"/>
        <v>7.7706239999999926E-2</v>
      </c>
      <c r="EU446" s="384">
        <f t="shared" si="852"/>
        <v>6.7343680000000239E-2</v>
      </c>
      <c r="EV446" s="384">
        <f t="shared" si="852"/>
        <v>5.7274400000000281E-2</v>
      </c>
      <c r="EW446" s="384">
        <f t="shared" si="852"/>
        <v>4.7108300000000103E-2</v>
      </c>
      <c r="GD446" s="382">
        <f>GD444/GC444-1</f>
        <v>8.9714208961310549E-2</v>
      </c>
      <c r="GE446" s="382">
        <f>GE444/GD444-1</f>
        <v>-0.36177416184719535</v>
      </c>
      <c r="GF446" s="382">
        <f>GF444/GE444-1</f>
        <v>-8.099325667003443E-3</v>
      </c>
      <c r="GG446" s="384">
        <f>GG444/GF444-1</f>
        <v>0.15105215040211517</v>
      </c>
      <c r="GH446" s="384">
        <f>GH444/GG444-1</f>
        <v>8.6032043870967856E-2</v>
      </c>
      <c r="GI446" s="384">
        <f t="shared" ref="GI446:GK446" si="853">GI444/GH444-1</f>
        <v>7.1571390917471334E-2</v>
      </c>
      <c r="GJ446" s="384">
        <f t="shared" si="853"/>
        <v>7.284627824091805E-2</v>
      </c>
      <c r="GK446" s="384">
        <f t="shared" si="853"/>
        <v>6.1762384370430246E-2</v>
      </c>
      <c r="GN446" s="70"/>
    </row>
    <row r="447" spans="1:196" s="382" customFormat="1" hidden="1" outlineLevel="1">
      <c r="A447" s="381" t="s">
        <v>309</v>
      </c>
      <c r="CP447" s="384"/>
      <c r="CQ447" s="384"/>
      <c r="CR447" s="384"/>
      <c r="CS447" s="384"/>
      <c r="CT447" s="384"/>
      <c r="CU447" s="384"/>
      <c r="CV447" s="384"/>
      <c r="CW447" s="384"/>
      <c r="CX447" s="384"/>
      <c r="CY447" s="384"/>
      <c r="CZ447" s="384"/>
      <c r="DA447" s="384"/>
      <c r="DB447" s="384"/>
      <c r="DC447" s="384"/>
      <c r="DD447" s="384"/>
      <c r="DE447" s="384"/>
      <c r="DF447" s="384"/>
      <c r="DG447" s="384"/>
      <c r="DH447" s="384"/>
      <c r="DI447" s="384"/>
      <c r="DJ447" s="391"/>
      <c r="DK447" s="391"/>
      <c r="DL447" s="391"/>
      <c r="DM447" s="391"/>
      <c r="DN447" s="391">
        <f>DN444/DN351</f>
        <v>0.66735274305815429</v>
      </c>
      <c r="DO447" s="391">
        <f t="shared" ref="DO447:DU447" si="854">DO444/DO351</f>
        <v>0.69959921473632103</v>
      </c>
      <c r="DP447" s="391">
        <f t="shared" si="854"/>
        <v>0.70065388900941294</v>
      </c>
      <c r="DQ447" s="391">
        <f>DQ444/DQ351</f>
        <v>0.69519135091868389</v>
      </c>
      <c r="DR447" s="391">
        <f t="shared" si="854"/>
        <v>0.69347239444886655</v>
      </c>
      <c r="DS447" s="391">
        <f t="shared" si="854"/>
        <v>0.6830063068978488</v>
      </c>
      <c r="DT447" s="391">
        <f t="shared" si="854"/>
        <v>0.66162444042855262</v>
      </c>
      <c r="DU447" s="391">
        <f t="shared" si="854"/>
        <v>0.65754614742911621</v>
      </c>
      <c r="DV447" s="384">
        <v>0.68</v>
      </c>
      <c r="DW447" s="384">
        <v>0.68</v>
      </c>
      <c r="DX447" s="384">
        <v>0.7</v>
      </c>
      <c r="DY447" s="384">
        <v>0.7</v>
      </c>
      <c r="DZ447" s="384">
        <v>0.7</v>
      </c>
      <c r="EA447" s="384">
        <v>0.7</v>
      </c>
      <c r="EB447" s="384">
        <v>0.71</v>
      </c>
      <c r="EC447" s="384">
        <f t="shared" ref="EC447:EH447" si="855">EB447</f>
        <v>0.71</v>
      </c>
      <c r="ED447" s="384">
        <f t="shared" si="855"/>
        <v>0.71</v>
      </c>
      <c r="EE447" s="391">
        <f t="shared" si="855"/>
        <v>0.71</v>
      </c>
      <c r="EF447" s="391">
        <f t="shared" si="855"/>
        <v>0.71</v>
      </c>
      <c r="EG447" s="391">
        <f t="shared" si="855"/>
        <v>0.71</v>
      </c>
      <c r="EH447" s="391">
        <f t="shared" si="855"/>
        <v>0.71</v>
      </c>
      <c r="EI447" s="391">
        <f>EH447</f>
        <v>0.71</v>
      </c>
      <c r="EJ447" s="391">
        <f>EI447</f>
        <v>0.71</v>
      </c>
      <c r="EK447" s="391">
        <f>EJ447</f>
        <v>0.71</v>
      </c>
      <c r="EL447" s="391">
        <f t="shared" ref="EL447" si="856">EK447</f>
        <v>0.71</v>
      </c>
      <c r="EM447" s="391">
        <f>EL447</f>
        <v>0.71</v>
      </c>
      <c r="EN447" s="391">
        <f>EM447</f>
        <v>0.71</v>
      </c>
      <c r="EO447" s="391">
        <f>EN447</f>
        <v>0.71</v>
      </c>
      <c r="EP447" s="391">
        <f t="shared" ref="EP447" si="857">EO447</f>
        <v>0.71</v>
      </c>
      <c r="EQ447" s="391">
        <f>EP447</f>
        <v>0.71</v>
      </c>
      <c r="ER447" s="391">
        <f>EQ447</f>
        <v>0.71</v>
      </c>
      <c r="ES447" s="391">
        <f>ER447</f>
        <v>0.71</v>
      </c>
      <c r="ET447" s="391">
        <f t="shared" ref="ET447" si="858">ES447</f>
        <v>0.71</v>
      </c>
      <c r="EU447" s="391">
        <f>ET447</f>
        <v>0.71</v>
      </c>
      <c r="EV447" s="391">
        <f>EU447</f>
        <v>0.71</v>
      </c>
      <c r="EW447" s="391">
        <f>EV447</f>
        <v>0.71</v>
      </c>
      <c r="GC447" s="382">
        <f>GC444/GC351</f>
        <v>0.69388935369886751</v>
      </c>
      <c r="GD447" s="382">
        <f>GD444/GD351</f>
        <v>0.67593232136556813</v>
      </c>
      <c r="GE447" s="382">
        <f>GE444/GE157</f>
        <v>0.69040202417767793</v>
      </c>
      <c r="GF447" s="382">
        <f>GF444/GF157</f>
        <v>0.70523161551823965</v>
      </c>
      <c r="GG447" s="498">
        <f>GG444/GG157</f>
        <v>0.71</v>
      </c>
      <c r="GH447" s="498">
        <f>GH444/GH157</f>
        <v>0.71</v>
      </c>
      <c r="GI447" s="498">
        <f>GI444/GI157</f>
        <v>0.71</v>
      </c>
      <c r="GJ447" s="498">
        <f>GJ444/GJ157</f>
        <v>0.71</v>
      </c>
      <c r="GK447" s="498">
        <f>GK444/GK157</f>
        <v>0.71000000000000008</v>
      </c>
      <c r="GN447" s="70"/>
    </row>
    <row r="448" spans="1:196" s="382" customFormat="1" hidden="1" outlineLevel="1">
      <c r="A448" s="395" t="s">
        <v>298</v>
      </c>
      <c r="CP448" s="384"/>
      <c r="CQ448" s="384"/>
      <c r="CR448" s="384"/>
      <c r="CS448" s="384"/>
      <c r="CT448" s="384"/>
      <c r="CU448" s="384"/>
      <c r="CV448" s="384"/>
      <c r="CW448" s="384"/>
      <c r="CX448" s="384"/>
      <c r="CY448" s="376">
        <v>477.48199999999997</v>
      </c>
      <c r="CZ448" s="376">
        <v>514.63199999999995</v>
      </c>
      <c r="DA448" s="376">
        <v>552.154</v>
      </c>
      <c r="DB448" s="376">
        <v>558.904</v>
      </c>
      <c r="DC448" s="376">
        <v>566.13199999999995</v>
      </c>
      <c r="DD448" s="376">
        <v>547.7349999999999</v>
      </c>
      <c r="DE448" s="376">
        <v>492.28899999999999</v>
      </c>
      <c r="DF448" s="376">
        <v>535.13199999999995</v>
      </c>
      <c r="DG448" s="376">
        <v>500.57</v>
      </c>
      <c r="DH448" s="376">
        <v>548.41499999999996</v>
      </c>
      <c r="DI448" s="376">
        <v>553.98900000000003</v>
      </c>
      <c r="DJ448" s="397">
        <v>578.97799999999995</v>
      </c>
      <c r="DK448" s="397">
        <v>596.09799999999996</v>
      </c>
      <c r="DL448" s="397">
        <v>643.69200000000001</v>
      </c>
      <c r="DM448" s="397">
        <f>+DM394</f>
        <v>736.33400000000006</v>
      </c>
      <c r="DN448" s="397">
        <f>+DN359*DN451</f>
        <v>402.47999999999996</v>
      </c>
      <c r="DO448" s="397">
        <f t="shared" ref="DO448:DU448" si="859">+DO359*DO451</f>
        <v>897.84708395760003</v>
      </c>
      <c r="DP448" s="397">
        <f t="shared" si="859"/>
        <v>934.48645472347187</v>
      </c>
      <c r="DQ448" s="397">
        <f>+DQ359*DQ451</f>
        <v>998.04191861181528</v>
      </c>
      <c r="DR448" s="397">
        <f t="shared" si="859"/>
        <v>1050.2276485879947</v>
      </c>
      <c r="DS448" s="397">
        <f t="shared" si="859"/>
        <v>962.70249058375771</v>
      </c>
      <c r="DT448" s="397">
        <f t="shared" si="859"/>
        <v>786.03464093739422</v>
      </c>
      <c r="DU448" s="397">
        <f t="shared" si="859"/>
        <v>664.3267902033665</v>
      </c>
      <c r="DV448" s="376"/>
      <c r="DW448" s="376"/>
      <c r="DX448" s="376"/>
      <c r="DY448" s="380"/>
      <c r="DZ448" s="380"/>
      <c r="EA448" s="380"/>
      <c r="EB448" s="380"/>
      <c r="EC448" s="380"/>
      <c r="ED448" s="380"/>
      <c r="EE448" s="380"/>
      <c r="EF448" s="380"/>
      <c r="EG448" s="380"/>
      <c r="EH448" s="380"/>
      <c r="EI448" s="380"/>
      <c r="EJ448" s="380"/>
      <c r="EK448" s="380"/>
      <c r="EL448" s="380"/>
      <c r="EM448" s="380"/>
      <c r="EN448" s="380"/>
      <c r="EO448" s="380"/>
      <c r="EP448" s="380"/>
      <c r="EQ448" s="380"/>
      <c r="ER448" s="380"/>
      <c r="ES448" s="380"/>
      <c r="ET448" s="380"/>
      <c r="EU448" s="380"/>
      <c r="EV448" s="380"/>
      <c r="EW448" s="380"/>
      <c r="GC448" s="376">
        <f>SUM(DN448:DQ448)</f>
        <v>3232.855457292887</v>
      </c>
      <c r="GD448" s="376">
        <f>SUM(DR448:DU448)</f>
        <v>3463.2915703125136</v>
      </c>
      <c r="GE448" s="376"/>
      <c r="GF448" s="376"/>
      <c r="GG448" s="380"/>
      <c r="GH448" s="380"/>
      <c r="GI448" s="380"/>
      <c r="GJ448" s="380"/>
      <c r="GK448" s="380"/>
      <c r="GN448" s="70"/>
    </row>
    <row r="449" spans="1:196" s="382" customFormat="1" hidden="1" outlineLevel="1">
      <c r="A449" s="396" t="s">
        <v>198</v>
      </c>
      <c r="CP449" s="384"/>
      <c r="CQ449" s="384"/>
      <c r="CR449" s="384"/>
      <c r="CS449" s="384"/>
      <c r="CT449" s="384"/>
      <c r="CU449" s="384"/>
      <c r="CV449" s="384"/>
      <c r="CW449" s="384"/>
      <c r="CX449" s="384"/>
      <c r="CZ449" s="382">
        <f t="shared" ref="CZ449:DU449" si="860">CZ448/CY448-1</f>
        <v>7.7803980045320964E-2</v>
      </c>
      <c r="DA449" s="382">
        <f t="shared" si="860"/>
        <v>7.2910351474451796E-2</v>
      </c>
      <c r="DB449" s="382">
        <f t="shared" si="860"/>
        <v>1.2224850313499402E-2</v>
      </c>
      <c r="DC449" s="382">
        <f t="shared" si="860"/>
        <v>1.293245351616723E-2</v>
      </c>
      <c r="DD449" s="382">
        <f t="shared" si="860"/>
        <v>-3.2495955006959565E-2</v>
      </c>
      <c r="DE449" s="382">
        <f t="shared" si="860"/>
        <v>-0.1012277835084483</v>
      </c>
      <c r="DF449" s="382">
        <f t="shared" si="860"/>
        <v>8.7028148099998148E-2</v>
      </c>
      <c r="DG449" s="382">
        <f t="shared" si="860"/>
        <v>-6.458593393779466E-2</v>
      </c>
      <c r="DH449" s="382">
        <f t="shared" si="860"/>
        <v>9.5581037617116449E-2</v>
      </c>
      <c r="DI449" s="382">
        <f t="shared" si="860"/>
        <v>1.0163835781297204E-2</v>
      </c>
      <c r="DJ449" s="383">
        <f t="shared" si="860"/>
        <v>4.5107393829119102E-2</v>
      </c>
      <c r="DK449" s="383">
        <f t="shared" si="860"/>
        <v>2.9569344603767256E-2</v>
      </c>
      <c r="DL449" s="383">
        <f t="shared" si="860"/>
        <v>7.9842576220688688E-2</v>
      </c>
      <c r="DM449" s="383">
        <f t="shared" si="860"/>
        <v>0.14392286994401049</v>
      </c>
      <c r="DN449" s="383">
        <f t="shared" si="860"/>
        <v>-0.45340022326824525</v>
      </c>
      <c r="DO449" s="383">
        <f t="shared" si="860"/>
        <v>1.2307868315384618</v>
      </c>
      <c r="DP449" s="383">
        <f t="shared" si="860"/>
        <v>4.0808030031539433E-2</v>
      </c>
      <c r="DQ449" s="383">
        <f t="shared" si="860"/>
        <v>6.801111302052032E-2</v>
      </c>
      <c r="DR449" s="383">
        <f t="shared" si="860"/>
        <v>5.2288114359730464E-2</v>
      </c>
      <c r="DS449" s="383">
        <f t="shared" si="860"/>
        <v>-8.3339224711815985E-2</v>
      </c>
      <c r="DT449" s="383">
        <f t="shared" si="860"/>
        <v>-0.18351240531146518</v>
      </c>
      <c r="DU449" s="383">
        <f t="shared" si="860"/>
        <v>-0.15483776973096719</v>
      </c>
      <c r="DY449" s="384"/>
      <c r="DZ449" s="384"/>
      <c r="EA449" s="384"/>
      <c r="EB449" s="384"/>
      <c r="EC449" s="384"/>
      <c r="ED449" s="384"/>
      <c r="EE449" s="384"/>
      <c r="EF449" s="384"/>
      <c r="EG449" s="384"/>
      <c r="EH449" s="384"/>
      <c r="EI449" s="384"/>
      <c r="EJ449" s="384"/>
      <c r="EK449" s="384"/>
      <c r="EL449" s="384"/>
      <c r="EM449" s="384"/>
      <c r="EN449" s="384"/>
      <c r="EO449" s="384"/>
      <c r="EP449" s="384"/>
      <c r="EQ449" s="384"/>
      <c r="ER449" s="384"/>
      <c r="ES449" s="384"/>
      <c r="ET449" s="384"/>
      <c r="EU449" s="384"/>
      <c r="EV449" s="384"/>
      <c r="EW449" s="384"/>
      <c r="GG449" s="384"/>
      <c r="GH449" s="384"/>
      <c r="GI449" s="384"/>
      <c r="GJ449" s="384"/>
      <c r="GK449" s="384"/>
      <c r="GN449" s="70"/>
    </row>
    <row r="450" spans="1:196" s="382" customFormat="1" hidden="1" outlineLevel="1">
      <c r="A450" s="396" t="s">
        <v>200</v>
      </c>
      <c r="CP450" s="384"/>
      <c r="CQ450" s="384"/>
      <c r="CR450" s="384"/>
      <c r="CS450" s="384"/>
      <c r="CT450" s="384"/>
      <c r="CU450" s="384"/>
      <c r="CV450" s="384"/>
      <c r="CW450" s="384"/>
      <c r="CX450" s="384"/>
      <c r="DC450" s="382">
        <f t="shared" ref="DC450:DU450" si="861">DC448/CY448-1</f>
        <v>0.18566144901797332</v>
      </c>
      <c r="DD450" s="382">
        <f t="shared" si="861"/>
        <v>6.4323633198090979E-2</v>
      </c>
      <c r="DE450" s="382">
        <f t="shared" si="861"/>
        <v>-0.10842083911372558</v>
      </c>
      <c r="DF450" s="382">
        <f t="shared" si="861"/>
        <v>-4.2533243633969375E-2</v>
      </c>
      <c r="DG450" s="382">
        <f t="shared" si="861"/>
        <v>-0.1158069142885404</v>
      </c>
      <c r="DH450" s="382">
        <f t="shared" si="861"/>
        <v>1.241476261330865E-3</v>
      </c>
      <c r="DI450" s="382">
        <f t="shared" si="861"/>
        <v>0.12533288373292928</v>
      </c>
      <c r="DJ450" s="383">
        <f t="shared" si="861"/>
        <v>8.1934924467234271E-2</v>
      </c>
      <c r="DK450" s="383">
        <f t="shared" si="861"/>
        <v>0.19083844417364193</v>
      </c>
      <c r="DL450" s="383">
        <f t="shared" si="861"/>
        <v>0.17373157189354793</v>
      </c>
      <c r="DM450" s="383">
        <f t="shared" si="861"/>
        <v>0.32914913473011209</v>
      </c>
      <c r="DN450" s="383">
        <f t="shared" si="861"/>
        <v>-0.3048440527964793</v>
      </c>
      <c r="DO450" s="383">
        <f t="shared" si="861"/>
        <v>0.50620717391704062</v>
      </c>
      <c r="DP450" s="383">
        <f t="shared" si="861"/>
        <v>0.45176024360015643</v>
      </c>
      <c r="DQ450" s="383">
        <f t="shared" si="861"/>
        <v>0.35542011996161404</v>
      </c>
      <c r="DR450" s="383">
        <f t="shared" si="861"/>
        <v>1.6093908979029887</v>
      </c>
      <c r="DS450" s="383">
        <f t="shared" si="861"/>
        <v>7.2234356813058787E-2</v>
      </c>
      <c r="DT450" s="383">
        <f t="shared" si="861"/>
        <v>-0.15885924620491876</v>
      </c>
      <c r="DU450" s="383">
        <f t="shared" si="861"/>
        <v>-0.33436985179201284</v>
      </c>
      <c r="DY450" s="384"/>
      <c r="DZ450" s="384"/>
      <c r="EA450" s="384"/>
      <c r="EB450" s="384"/>
      <c r="EC450" s="384"/>
      <c r="ED450" s="384"/>
      <c r="EE450" s="384"/>
      <c r="EF450" s="384"/>
      <c r="EG450" s="384"/>
      <c r="EH450" s="384"/>
      <c r="EI450" s="384"/>
      <c r="EJ450" s="384"/>
      <c r="EK450" s="384"/>
      <c r="EL450" s="384"/>
      <c r="EM450" s="384"/>
      <c r="EN450" s="384"/>
      <c r="EO450" s="384"/>
      <c r="EP450" s="384"/>
      <c r="EQ450" s="384"/>
      <c r="ER450" s="384"/>
      <c r="ES450" s="384"/>
      <c r="ET450" s="384"/>
      <c r="EU450" s="384"/>
      <c r="EV450" s="384"/>
      <c r="EW450" s="384"/>
      <c r="GG450" s="384"/>
      <c r="GH450" s="384"/>
      <c r="GI450" s="384"/>
      <c r="GJ450" s="384"/>
      <c r="GK450" s="384"/>
      <c r="GN450" s="70"/>
    </row>
    <row r="451" spans="1:196" s="382" customFormat="1" hidden="1" outlineLevel="1">
      <c r="A451" s="396" t="s">
        <v>309</v>
      </c>
      <c r="CP451" s="384"/>
      <c r="CQ451" s="384"/>
      <c r="CR451" s="384"/>
      <c r="CS451" s="384"/>
      <c r="CT451" s="384"/>
      <c r="CU451" s="384"/>
      <c r="CV451" s="384"/>
      <c r="CW451" s="384"/>
      <c r="CX451" s="384"/>
      <c r="CY451" s="382">
        <f t="shared" ref="CY451:DM451" si="862">+CY448/CY$383</f>
        <v>0.69766510812390414</v>
      </c>
      <c r="CZ451" s="382">
        <f t="shared" si="862"/>
        <v>0.68957791772745536</v>
      </c>
      <c r="DA451" s="382">
        <f t="shared" si="862"/>
        <v>0.69010623672040994</v>
      </c>
      <c r="DB451" s="382">
        <f t="shared" si="862"/>
        <v>0.67467889908256884</v>
      </c>
      <c r="DC451" s="382">
        <f t="shared" si="862"/>
        <v>0.66635122410546133</v>
      </c>
      <c r="DD451" s="382">
        <f t="shared" si="862"/>
        <v>0.65722942164626807</v>
      </c>
      <c r="DE451" s="382">
        <f t="shared" si="862"/>
        <v>0.68042709053213546</v>
      </c>
      <c r="DF451" s="382">
        <f t="shared" si="862"/>
        <v>0.70582152527998365</v>
      </c>
      <c r="DG451" s="382">
        <f t="shared" si="862"/>
        <v>0.68907299439693359</v>
      </c>
      <c r="DH451" s="384">
        <f t="shared" si="862"/>
        <v>0.71544678325190625</v>
      </c>
      <c r="DI451" s="384">
        <f t="shared" si="862"/>
        <v>0.6895522053661669</v>
      </c>
      <c r="DJ451" s="391">
        <f t="shared" si="862"/>
        <v>0.68036056955041613</v>
      </c>
      <c r="DK451" s="391">
        <f t="shared" si="862"/>
        <v>0.67845883137606622</v>
      </c>
      <c r="DL451" s="391">
        <f t="shared" si="862"/>
        <v>0.68787415711125599</v>
      </c>
      <c r="DM451" s="391">
        <f t="shared" si="862"/>
        <v>0.72827995201071349</v>
      </c>
      <c r="DN451" s="391">
        <v>0.72</v>
      </c>
      <c r="DO451" s="391">
        <f>DN451</f>
        <v>0.72</v>
      </c>
      <c r="DP451" s="391">
        <f>DO451</f>
        <v>0.72</v>
      </c>
      <c r="DQ451" s="391">
        <v>0.74</v>
      </c>
      <c r="DR451" s="391">
        <v>0.72</v>
      </c>
      <c r="DS451" s="391">
        <v>0.71</v>
      </c>
      <c r="DT451" s="391">
        <v>0.69</v>
      </c>
      <c r="DU451" s="391">
        <v>0.68500000000000005</v>
      </c>
      <c r="DV451" s="384"/>
      <c r="DW451" s="384"/>
      <c r="DX451" s="384"/>
      <c r="DY451" s="384"/>
      <c r="DZ451" s="384"/>
      <c r="EA451" s="384"/>
      <c r="EB451" s="384"/>
      <c r="EC451" s="384"/>
      <c r="ED451" s="384"/>
      <c r="EE451" s="384"/>
      <c r="EF451" s="384"/>
      <c r="EG451" s="384"/>
      <c r="EH451" s="384"/>
      <c r="EI451" s="384"/>
      <c r="EJ451" s="384"/>
      <c r="EK451" s="384"/>
      <c r="EL451" s="384"/>
      <c r="EM451" s="384"/>
      <c r="EN451" s="384"/>
      <c r="EO451" s="384"/>
      <c r="EP451" s="384"/>
      <c r="EQ451" s="384"/>
      <c r="ER451" s="384"/>
      <c r="ES451" s="384"/>
      <c r="ET451" s="384"/>
      <c r="EU451" s="384"/>
      <c r="EV451" s="384"/>
      <c r="EW451" s="384"/>
      <c r="GC451" s="382">
        <f>GC448/GC359</f>
        <v>0.7260580396232319</v>
      </c>
      <c r="GD451" s="382">
        <f>GD448/GD359</f>
        <v>0.7034107516141781</v>
      </c>
      <c r="GG451" s="384"/>
      <c r="GH451" s="384"/>
      <c r="GI451" s="384"/>
      <c r="GJ451" s="384"/>
      <c r="GK451" s="384"/>
      <c r="GN451" s="70"/>
    </row>
    <row r="452" spans="1:196" s="376" customFormat="1" hidden="1" outlineLevel="1">
      <c r="A452" s="395" t="s">
        <v>274</v>
      </c>
      <c r="CP452" s="376">
        <f t="shared" ref="CP452:DU452" si="863">CP455*CP355</f>
        <v>44.683500000000002</v>
      </c>
      <c r="CQ452" s="376">
        <f t="shared" si="863"/>
        <v>54.595999999999997</v>
      </c>
      <c r="CR452" s="376">
        <f t="shared" si="863"/>
        <v>58.008499999999984</v>
      </c>
      <c r="CS452" s="376">
        <f t="shared" si="863"/>
        <v>52.625999999999998</v>
      </c>
      <c r="CT452" s="376">
        <f t="shared" si="863"/>
        <v>43.365999999999993</v>
      </c>
      <c r="CU452" s="376">
        <f t="shared" si="863"/>
        <v>46.431499999999993</v>
      </c>
      <c r="CV452" s="376">
        <f t="shared" si="863"/>
        <v>78.151999999999973</v>
      </c>
      <c r="CW452" s="376">
        <f t="shared" si="863"/>
        <v>58.704000000000008</v>
      </c>
      <c r="CX452" s="376">
        <f t="shared" si="863"/>
        <v>42.004000000000005</v>
      </c>
      <c r="CY452" s="376">
        <f t="shared" si="863"/>
        <v>56.571999999999996</v>
      </c>
      <c r="CZ452" s="376">
        <f t="shared" si="863"/>
        <v>91.625999999999991</v>
      </c>
      <c r="DA452" s="376">
        <f t="shared" si="863"/>
        <v>33.725000000000009</v>
      </c>
      <c r="DB452" s="376">
        <f t="shared" si="863"/>
        <v>48.424500000000009</v>
      </c>
      <c r="DC452" s="376">
        <f t="shared" si="863"/>
        <v>66.723000000000013</v>
      </c>
      <c r="DD452" s="376">
        <f t="shared" si="863"/>
        <v>41.20950000000002</v>
      </c>
      <c r="DE452" s="376">
        <f t="shared" si="863"/>
        <v>40.538999999999987</v>
      </c>
      <c r="DF452" s="376">
        <f t="shared" si="863"/>
        <v>45.733500000000006</v>
      </c>
      <c r="DG452" s="376">
        <f t="shared" si="863"/>
        <v>34.133499999999998</v>
      </c>
      <c r="DH452" s="376">
        <f t="shared" si="863"/>
        <v>75.768000000000001</v>
      </c>
      <c r="DI452" s="376">
        <f t="shared" si="863"/>
        <v>61.877499999999998</v>
      </c>
      <c r="DJ452" s="397">
        <f t="shared" si="863"/>
        <v>47.99127500000003</v>
      </c>
      <c r="DK452" s="397">
        <f t="shared" si="863"/>
        <v>45.020474999999976</v>
      </c>
      <c r="DL452" s="397">
        <f t="shared" si="863"/>
        <v>30.885915000000068</v>
      </c>
      <c r="DM452" s="397">
        <f t="shared" si="863"/>
        <v>41.196280000000115</v>
      </c>
      <c r="DN452" s="397">
        <f t="shared" si="863"/>
        <v>87.927500000000009</v>
      </c>
      <c r="DO452" s="397">
        <f t="shared" si="863"/>
        <v>63.727655384999984</v>
      </c>
      <c r="DP452" s="397">
        <f t="shared" si="863"/>
        <v>62.568625152699965</v>
      </c>
      <c r="DQ452" s="397">
        <f>DQ455*DQ355</f>
        <v>83.930579853753954</v>
      </c>
      <c r="DR452" s="397">
        <f t="shared" si="863"/>
        <v>100</v>
      </c>
      <c r="DS452" s="397">
        <f t="shared" si="863"/>
        <v>100</v>
      </c>
      <c r="DT452" s="397">
        <f t="shared" si="863"/>
        <v>100</v>
      </c>
      <c r="DU452" s="397">
        <f t="shared" si="863"/>
        <v>84.5</v>
      </c>
      <c r="DY452" s="380"/>
      <c r="DZ452" s="380"/>
      <c r="EA452" s="380"/>
      <c r="EB452" s="380"/>
      <c r="EC452" s="380"/>
      <c r="ED452" s="380"/>
      <c r="EE452" s="380"/>
      <c r="EF452" s="380"/>
      <c r="EG452" s="380"/>
      <c r="EH452" s="380"/>
      <c r="EI452" s="380"/>
      <c r="EJ452" s="380"/>
      <c r="EK452" s="380"/>
      <c r="EL452" s="380"/>
      <c r="EM452" s="380"/>
      <c r="EN452" s="380"/>
      <c r="EO452" s="380"/>
      <c r="EP452" s="380"/>
      <c r="EQ452" s="380"/>
      <c r="ER452" s="380"/>
      <c r="ES452" s="380"/>
      <c r="ET452" s="380"/>
      <c r="EU452" s="380"/>
      <c r="EV452" s="380"/>
      <c r="EW452" s="380"/>
      <c r="FU452" s="502"/>
      <c r="FW452" s="376">
        <f>CP452+CQ452+CR452+CS452</f>
        <v>209.91399999999999</v>
      </c>
      <c r="FX452" s="376">
        <f>CT452+CU452+CV452+CW452</f>
        <v>226.65349999999995</v>
      </c>
      <c r="FY452" s="376">
        <f>CX452+CY452+CZ452+DA452</f>
        <v>223.92700000000002</v>
      </c>
      <c r="FZ452" s="376">
        <f>DB452+DC452+DD452+DE452</f>
        <v>196.89600000000002</v>
      </c>
      <c r="GA452" s="376">
        <f>SUM(DF452:DI452)</f>
        <v>217.51249999999999</v>
      </c>
      <c r="GB452" s="376">
        <f>SUM(DJ452:DM452)</f>
        <v>165.09394500000019</v>
      </c>
      <c r="GC452" s="376">
        <f>SUM(DN452:DQ452)</f>
        <v>298.15436039145391</v>
      </c>
      <c r="GD452" s="376">
        <f>SUM(DR452:DU452)</f>
        <v>384.5</v>
      </c>
      <c r="GG452" s="380"/>
      <c r="GH452" s="380"/>
      <c r="GI452" s="380"/>
      <c r="GJ452" s="380"/>
      <c r="GK452" s="380"/>
      <c r="GN452" s="70"/>
    </row>
    <row r="453" spans="1:196" s="418" customFormat="1" hidden="1" outlineLevel="1">
      <c r="A453" s="396" t="s">
        <v>198</v>
      </c>
      <c r="CP453" s="483"/>
      <c r="CQ453" s="382">
        <f t="shared" ref="CQ453:DQ453" si="864">CQ452/CP452-1</f>
        <v>0.22183803864961327</v>
      </c>
      <c r="CR453" s="382">
        <f t="shared" si="864"/>
        <v>6.2504579090042922E-2</v>
      </c>
      <c r="CS453" s="382">
        <f t="shared" si="864"/>
        <v>-9.2788125878103811E-2</v>
      </c>
      <c r="CT453" s="382">
        <f t="shared" si="864"/>
        <v>-0.17595865161707147</v>
      </c>
      <c r="CU453" s="382">
        <f t="shared" si="864"/>
        <v>7.0689019047179835E-2</v>
      </c>
      <c r="CV453" s="382">
        <f t="shared" si="864"/>
        <v>0.68316767711575088</v>
      </c>
      <c r="CW453" s="382">
        <f t="shared" si="864"/>
        <v>-0.24884839799365299</v>
      </c>
      <c r="CX453" s="382">
        <f t="shared" si="864"/>
        <v>-0.28447805941673476</v>
      </c>
      <c r="CY453" s="382">
        <f t="shared" si="864"/>
        <v>0.34682411198933405</v>
      </c>
      <c r="CZ453" s="382">
        <f t="shared" si="864"/>
        <v>0.61963515520045243</v>
      </c>
      <c r="DA453" s="382">
        <f t="shared" si="864"/>
        <v>-0.63192761879815762</v>
      </c>
      <c r="DB453" s="382">
        <f t="shared" si="864"/>
        <v>0.43586360266864332</v>
      </c>
      <c r="DC453" s="382">
        <f t="shared" si="864"/>
        <v>0.37787690115540684</v>
      </c>
      <c r="DD453" s="382">
        <f t="shared" si="864"/>
        <v>-0.3823793894159434</v>
      </c>
      <c r="DE453" s="382">
        <f t="shared" si="864"/>
        <v>-1.6270520147054213E-2</v>
      </c>
      <c r="DF453" s="382">
        <f t="shared" si="864"/>
        <v>0.12813586916302877</v>
      </c>
      <c r="DG453" s="382">
        <f t="shared" si="864"/>
        <v>-0.25364339051242535</v>
      </c>
      <c r="DH453" s="382">
        <f t="shared" si="864"/>
        <v>1.2197547863535823</v>
      </c>
      <c r="DI453" s="382">
        <f t="shared" si="864"/>
        <v>-0.1833293738781544</v>
      </c>
      <c r="DJ453" s="383">
        <f t="shared" si="864"/>
        <v>-0.22441477112035824</v>
      </c>
      <c r="DK453" s="383">
        <f t="shared" si="864"/>
        <v>-6.1902918811805985E-2</v>
      </c>
      <c r="DL453" s="383">
        <f t="shared" si="864"/>
        <v>-0.31395848222391953</v>
      </c>
      <c r="DM453" s="383">
        <f t="shared" si="864"/>
        <v>0.3338209342349101</v>
      </c>
      <c r="DN453" s="383">
        <f t="shared" si="864"/>
        <v>1.1343553349962607</v>
      </c>
      <c r="DO453" s="383">
        <f t="shared" si="864"/>
        <v>-0.27522498211594804</v>
      </c>
      <c r="DP453" s="383">
        <f t="shared" si="864"/>
        <v>-1.8187241085489969E-2</v>
      </c>
      <c r="DQ453" s="383">
        <f t="shared" si="864"/>
        <v>0.34141639917641986</v>
      </c>
      <c r="DR453" s="383">
        <f>DR452/DQ452-1</f>
        <v>0.19146084983859812</v>
      </c>
      <c r="DS453" s="383">
        <f>DS452/DR452-1</f>
        <v>0</v>
      </c>
      <c r="DT453" s="383">
        <f>DT452/DS452-1</f>
        <v>0</v>
      </c>
      <c r="DU453" s="383">
        <f>DU452/DT452-1</f>
        <v>-0.15500000000000003</v>
      </c>
      <c r="DV453" s="382"/>
      <c r="DW453" s="382"/>
      <c r="DX453" s="382"/>
      <c r="DY453" s="384"/>
      <c r="DZ453" s="384"/>
      <c r="EA453" s="384"/>
      <c r="EB453" s="384"/>
      <c r="EC453" s="384"/>
      <c r="ED453" s="384"/>
      <c r="EE453" s="384"/>
      <c r="EF453" s="384"/>
      <c r="EG453" s="384"/>
      <c r="EH453" s="384"/>
      <c r="EI453" s="384"/>
      <c r="EJ453" s="384"/>
      <c r="EK453" s="384"/>
      <c r="EL453" s="384"/>
      <c r="EM453" s="384"/>
      <c r="EN453" s="384"/>
      <c r="EO453" s="384"/>
      <c r="EP453" s="384"/>
      <c r="EQ453" s="384"/>
      <c r="ER453" s="384"/>
      <c r="ES453" s="384"/>
      <c r="ET453" s="384"/>
      <c r="EU453" s="384"/>
      <c r="EV453" s="384"/>
      <c r="EW453" s="384"/>
      <c r="EZ453" s="449"/>
      <c r="FA453" s="449"/>
      <c r="FB453" s="449"/>
      <c r="FC453" s="449"/>
      <c r="FD453" s="449"/>
      <c r="FE453" s="449"/>
      <c r="FF453" s="449"/>
      <c r="FG453" s="449"/>
      <c r="FH453" s="449"/>
      <c r="FI453" s="449"/>
      <c r="FJ453" s="449"/>
      <c r="FK453" s="449"/>
      <c r="FL453" s="449"/>
      <c r="FM453" s="449"/>
      <c r="FN453" s="449"/>
      <c r="FO453" s="449"/>
      <c r="FP453" s="449"/>
      <c r="FQ453" s="449"/>
      <c r="FR453" s="449"/>
      <c r="FS453" s="449"/>
      <c r="FT453" s="449"/>
      <c r="FU453" s="449"/>
      <c r="FV453" s="449"/>
      <c r="FW453" s="449"/>
      <c r="FX453" s="449"/>
      <c r="FY453" s="449"/>
      <c r="FZ453" s="386" t="s">
        <v>199</v>
      </c>
      <c r="GA453" s="386" t="s">
        <v>199</v>
      </c>
      <c r="GB453" s="386" t="s">
        <v>199</v>
      </c>
      <c r="GC453" s="386" t="s">
        <v>199</v>
      </c>
      <c r="GD453" s="386" t="s">
        <v>199</v>
      </c>
      <c r="GE453" s="386"/>
      <c r="GF453" s="386"/>
      <c r="GG453" s="467"/>
      <c r="GH453" s="467"/>
      <c r="GI453" s="467"/>
      <c r="GJ453" s="467"/>
      <c r="GK453" s="467"/>
      <c r="GN453" s="70"/>
    </row>
    <row r="454" spans="1:196" s="418" customFormat="1" hidden="1" outlineLevel="1">
      <c r="A454" s="396" t="s">
        <v>200</v>
      </c>
      <c r="CP454" s="483"/>
      <c r="CQ454" s="483"/>
      <c r="CR454" s="483"/>
      <c r="CS454" s="483"/>
      <c r="CT454" s="382">
        <f t="shared" ref="CT454:DQ454" si="865">CT452/CP452-1</f>
        <v>-2.9485156713328409E-2</v>
      </c>
      <c r="CU454" s="382">
        <f t="shared" si="865"/>
        <v>-0.14954392263169469</v>
      </c>
      <c r="CV454" s="382">
        <f t="shared" si="865"/>
        <v>0.34725083392951017</v>
      </c>
      <c r="CW454" s="382">
        <f t="shared" si="865"/>
        <v>0.11549424238969341</v>
      </c>
      <c r="CX454" s="382">
        <f t="shared" si="865"/>
        <v>-3.1407093114421136E-2</v>
      </c>
      <c r="CY454" s="382">
        <f t="shared" si="865"/>
        <v>0.21839699342041508</v>
      </c>
      <c r="CZ454" s="382">
        <f t="shared" si="865"/>
        <v>0.17240761592793552</v>
      </c>
      <c r="DA454" s="382">
        <f t="shared" si="865"/>
        <v>-0.42550763150722259</v>
      </c>
      <c r="DB454" s="382">
        <f t="shared" si="865"/>
        <v>0.15285449004856688</v>
      </c>
      <c r="DC454" s="382">
        <f t="shared" si="865"/>
        <v>0.17943505621155365</v>
      </c>
      <c r="DD454" s="382">
        <f t="shared" si="865"/>
        <v>-0.55024228930652841</v>
      </c>
      <c r="DE454" s="382">
        <f t="shared" si="865"/>
        <v>0.20204595997034769</v>
      </c>
      <c r="DF454" s="382">
        <f t="shared" si="865"/>
        <v>-5.5571043583310109E-2</v>
      </c>
      <c r="DG454" s="382">
        <f t="shared" si="865"/>
        <v>-0.48842977683857158</v>
      </c>
      <c r="DH454" s="382">
        <f t="shared" si="865"/>
        <v>0.83860517599097206</v>
      </c>
      <c r="DI454" s="382">
        <f t="shared" si="865"/>
        <v>0.5263696687140782</v>
      </c>
      <c r="DJ454" s="383">
        <f t="shared" si="865"/>
        <v>4.9368078104672142E-2</v>
      </c>
      <c r="DK454" s="383">
        <f t="shared" si="865"/>
        <v>0.31895278831646268</v>
      </c>
      <c r="DL454" s="383">
        <f t="shared" si="865"/>
        <v>-0.59236201298701208</v>
      </c>
      <c r="DM454" s="383">
        <f t="shared" si="865"/>
        <v>-0.33422843521473689</v>
      </c>
      <c r="DN454" s="383">
        <f t="shared" si="865"/>
        <v>0.83215594918034475</v>
      </c>
      <c r="DO454" s="383">
        <f t="shared" si="865"/>
        <v>0.41552605531150033</v>
      </c>
      <c r="DP454" s="383">
        <f t="shared" si="865"/>
        <v>1.0257980102807323</v>
      </c>
      <c r="DQ454" s="383">
        <f t="shared" si="865"/>
        <v>1.0373339499040624</v>
      </c>
      <c r="DR454" s="383">
        <f>DR452/DN452-1</f>
        <v>0.1373006169855846</v>
      </c>
      <c r="DS454" s="383">
        <f>DS452/DO452-1</f>
        <v>0.56917745358536576</v>
      </c>
      <c r="DT454" s="383">
        <f>DT452/DP452-1</f>
        <v>0.59824512295016907</v>
      </c>
      <c r="DU454" s="383">
        <f>DU452/DQ452-1</f>
        <v>6.7844181136154091E-3</v>
      </c>
      <c r="DV454" s="382"/>
      <c r="DW454" s="382"/>
      <c r="DX454" s="382"/>
      <c r="DY454" s="384"/>
      <c r="DZ454" s="384"/>
      <c r="EA454" s="384"/>
      <c r="EB454" s="384"/>
      <c r="EC454" s="384"/>
      <c r="ED454" s="384"/>
      <c r="EE454" s="384"/>
      <c r="EF454" s="384"/>
      <c r="EG454" s="384"/>
      <c r="EH454" s="384"/>
      <c r="EI454" s="384"/>
      <c r="EJ454" s="384"/>
      <c r="EK454" s="384"/>
      <c r="EL454" s="384"/>
      <c r="EM454" s="384"/>
      <c r="EN454" s="384"/>
      <c r="EO454" s="384"/>
      <c r="EP454" s="384"/>
      <c r="EQ454" s="384"/>
      <c r="ER454" s="384"/>
      <c r="ES454" s="384"/>
      <c r="ET454" s="384"/>
      <c r="EU454" s="384"/>
      <c r="EV454" s="384"/>
      <c r="EW454" s="384"/>
      <c r="EZ454" s="449"/>
      <c r="FA454" s="449"/>
      <c r="FB454" s="449"/>
      <c r="FC454" s="449"/>
      <c r="FD454" s="449"/>
      <c r="FE454" s="449"/>
      <c r="FF454" s="449"/>
      <c r="FG454" s="449"/>
      <c r="FH454" s="449"/>
      <c r="FI454" s="449"/>
      <c r="FJ454" s="449"/>
      <c r="FK454" s="449"/>
      <c r="FL454" s="449"/>
      <c r="FM454" s="449"/>
      <c r="FN454" s="449"/>
      <c r="FO454" s="449"/>
      <c r="FP454" s="449"/>
      <c r="FQ454" s="449"/>
      <c r="FR454" s="449"/>
      <c r="FS454" s="449"/>
      <c r="FT454" s="449"/>
      <c r="FU454" s="449"/>
      <c r="FV454" s="449"/>
      <c r="FW454" s="449"/>
      <c r="FX454" s="382">
        <f t="shared" ref="FX454:GD454" si="866">FX452/FW452-1</f>
        <v>7.9744562058747803E-2</v>
      </c>
      <c r="FY454" s="382">
        <f t="shared" si="866"/>
        <v>-1.2029375235767081E-2</v>
      </c>
      <c r="FZ454" s="382">
        <f t="shared" si="866"/>
        <v>-0.12071344679292806</v>
      </c>
      <c r="GA454" s="382">
        <f t="shared" si="866"/>
        <v>0.10470756135218573</v>
      </c>
      <c r="GB454" s="382">
        <f t="shared" si="866"/>
        <v>-0.24099100051721078</v>
      </c>
      <c r="GC454" s="382">
        <f t="shared" si="866"/>
        <v>0.80596787115029311</v>
      </c>
      <c r="GD454" s="382">
        <f t="shared" si="866"/>
        <v>0.2896004589541501</v>
      </c>
      <c r="GE454" s="382"/>
      <c r="GF454" s="382"/>
      <c r="GG454" s="384"/>
      <c r="GH454" s="384"/>
      <c r="GI454" s="384"/>
      <c r="GJ454" s="384"/>
      <c r="GK454" s="384"/>
      <c r="GN454" s="70"/>
    </row>
    <row r="455" spans="1:196" s="382" customFormat="1" hidden="1" outlineLevel="1">
      <c r="A455" s="396" t="s">
        <v>309</v>
      </c>
      <c r="CP455" s="384">
        <v>0.5</v>
      </c>
      <c r="CQ455" s="384">
        <v>0.5</v>
      </c>
      <c r="CR455" s="384">
        <v>0.5</v>
      </c>
      <c r="CS455" s="384">
        <v>0.49</v>
      </c>
      <c r="CT455" s="384">
        <v>0.5</v>
      </c>
      <c r="CU455" s="384">
        <v>0.5</v>
      </c>
      <c r="CV455" s="384">
        <v>0.5</v>
      </c>
      <c r="CW455" s="384">
        <v>0.5</v>
      </c>
      <c r="CX455" s="384">
        <v>0.5</v>
      </c>
      <c r="CY455" s="384">
        <v>0.5</v>
      </c>
      <c r="CZ455" s="384">
        <v>0.5</v>
      </c>
      <c r="DA455" s="384">
        <v>0.5</v>
      </c>
      <c r="DB455" s="384">
        <v>0.5</v>
      </c>
      <c r="DC455" s="384">
        <v>0.5</v>
      </c>
      <c r="DD455" s="384">
        <v>0.5</v>
      </c>
      <c r="DE455" s="384">
        <v>0.5</v>
      </c>
      <c r="DF455" s="384">
        <v>0.5</v>
      </c>
      <c r="DG455" s="384">
        <v>0.5</v>
      </c>
      <c r="DH455" s="384">
        <v>0.5</v>
      </c>
      <c r="DI455" s="384">
        <v>0.5</v>
      </c>
      <c r="DJ455" s="391">
        <f t="shared" ref="DJ455:DU455" si="867">DI455</f>
        <v>0.5</v>
      </c>
      <c r="DK455" s="391">
        <f t="shared" si="867"/>
        <v>0.5</v>
      </c>
      <c r="DL455" s="391">
        <f t="shared" si="867"/>
        <v>0.5</v>
      </c>
      <c r="DM455" s="391">
        <f t="shared" si="867"/>
        <v>0.5</v>
      </c>
      <c r="DN455" s="391">
        <f t="shared" si="867"/>
        <v>0.5</v>
      </c>
      <c r="DO455" s="391">
        <f t="shared" si="867"/>
        <v>0.5</v>
      </c>
      <c r="DP455" s="391">
        <f t="shared" si="867"/>
        <v>0.5</v>
      </c>
      <c r="DQ455" s="391">
        <f t="shared" si="867"/>
        <v>0.5</v>
      </c>
      <c r="DR455" s="391">
        <f t="shared" si="867"/>
        <v>0.5</v>
      </c>
      <c r="DS455" s="391">
        <f t="shared" si="867"/>
        <v>0.5</v>
      </c>
      <c r="DT455" s="391">
        <f t="shared" si="867"/>
        <v>0.5</v>
      </c>
      <c r="DU455" s="391">
        <f t="shared" si="867"/>
        <v>0.5</v>
      </c>
      <c r="DV455" s="384"/>
      <c r="DW455" s="384"/>
      <c r="DX455" s="384"/>
      <c r="DY455" s="384"/>
      <c r="DZ455" s="384"/>
      <c r="EA455" s="384"/>
      <c r="EB455" s="384"/>
      <c r="EC455" s="384"/>
      <c r="ED455" s="384"/>
      <c r="EE455" s="384"/>
      <c r="EF455" s="384"/>
      <c r="EG455" s="384"/>
      <c r="EH455" s="384"/>
      <c r="EI455" s="384"/>
      <c r="EJ455" s="384"/>
      <c r="EK455" s="384"/>
      <c r="EL455" s="384"/>
      <c r="EM455" s="384"/>
      <c r="EN455" s="384"/>
      <c r="EO455" s="384"/>
      <c r="EP455" s="384"/>
      <c r="EQ455" s="384"/>
      <c r="ER455" s="384"/>
      <c r="ES455" s="384"/>
      <c r="ET455" s="384"/>
      <c r="EU455" s="384"/>
      <c r="EV455" s="384"/>
      <c r="EW455" s="384"/>
      <c r="FW455" s="382">
        <f t="shared" ref="FW455:GD455" si="868">FW452/FW355</f>
        <v>0.49745483155440123</v>
      </c>
      <c r="FX455" s="382">
        <f t="shared" si="868"/>
        <v>0.5</v>
      </c>
      <c r="FY455" s="382">
        <f t="shared" si="868"/>
        <v>0.5</v>
      </c>
      <c r="FZ455" s="382">
        <f t="shared" si="868"/>
        <v>0.5</v>
      </c>
      <c r="GA455" s="382">
        <f t="shared" si="868"/>
        <v>0.5</v>
      </c>
      <c r="GB455" s="382">
        <f t="shared" si="868"/>
        <v>0.5</v>
      </c>
      <c r="GC455" s="382">
        <f t="shared" si="868"/>
        <v>0.5</v>
      </c>
      <c r="GD455" s="382">
        <f t="shared" si="868"/>
        <v>0.5</v>
      </c>
      <c r="GG455" s="384"/>
      <c r="GH455" s="384"/>
      <c r="GI455" s="384"/>
      <c r="GJ455" s="384"/>
      <c r="GK455" s="384"/>
      <c r="GN455" s="70"/>
    </row>
    <row r="456" spans="1:196" s="382" customFormat="1" hidden="1" outlineLevel="1">
      <c r="A456" s="376" t="s">
        <v>313</v>
      </c>
      <c r="CV456" s="376">
        <v>45</v>
      </c>
      <c r="CW456" s="376"/>
      <c r="CX456" s="376"/>
      <c r="CY456" s="376"/>
      <c r="CZ456" s="376">
        <f>86+35-25-5</f>
        <v>91</v>
      </c>
      <c r="DA456" s="376">
        <v>-45</v>
      </c>
      <c r="DB456" s="376"/>
      <c r="DC456" s="376"/>
      <c r="DD456" s="376"/>
      <c r="DE456" s="376"/>
      <c r="DF456" s="376"/>
      <c r="DG456" s="376"/>
      <c r="DH456" s="380"/>
      <c r="DI456" s="380"/>
      <c r="DJ456" s="397"/>
      <c r="DK456" s="410"/>
      <c r="DL456" s="410"/>
      <c r="DM456" s="410"/>
      <c r="DN456" s="410"/>
      <c r="DO456" s="410"/>
      <c r="DP456" s="410"/>
      <c r="DQ456" s="410"/>
      <c r="DR456" s="410"/>
      <c r="DS456" s="410"/>
      <c r="DT456" s="410"/>
      <c r="DU456" s="410"/>
      <c r="DV456" s="380"/>
      <c r="DW456" s="380"/>
      <c r="DX456" s="380"/>
      <c r="DY456" s="380"/>
      <c r="DZ456" s="380"/>
      <c r="EA456" s="380"/>
      <c r="EB456" s="380"/>
      <c r="EC456" s="380"/>
      <c r="ED456" s="380"/>
      <c r="EE456" s="380"/>
      <c r="EF456" s="380"/>
      <c r="EG456" s="380"/>
      <c r="EH456" s="380"/>
      <c r="EI456" s="380"/>
      <c r="EJ456" s="380"/>
      <c r="EK456" s="380"/>
      <c r="EL456" s="380"/>
      <c r="EM456" s="380"/>
      <c r="EN456" s="380"/>
      <c r="EO456" s="380"/>
      <c r="EP456" s="380"/>
      <c r="EQ456" s="380"/>
      <c r="ER456" s="380"/>
      <c r="ES456" s="380"/>
      <c r="ET456" s="380"/>
      <c r="EU456" s="380"/>
      <c r="EV456" s="380"/>
      <c r="EW456" s="380"/>
      <c r="FU456" s="376"/>
      <c r="FV456" s="376"/>
      <c r="FW456" s="376">
        <f>CP456+CQ456+CR456+CS456</f>
        <v>0</v>
      </c>
      <c r="FX456" s="376">
        <f>CT456+CU456+CV456+CW456</f>
        <v>45</v>
      </c>
      <c r="FY456" s="376">
        <f>CX456+CY456+CZ456+DA456</f>
        <v>46</v>
      </c>
      <c r="FZ456" s="376">
        <f>DB456+DC456+DD456+DE456</f>
        <v>0</v>
      </c>
      <c r="GA456" s="376">
        <f>SUM(DF456:DI456)</f>
        <v>0</v>
      </c>
      <c r="GB456" s="376">
        <f>SUM(DG456:DJ456)</f>
        <v>0</v>
      </c>
      <c r="GC456" s="376">
        <f>SUM(DH456:DQ456)</f>
        <v>0</v>
      </c>
      <c r="GD456" s="376">
        <f>SUM(DR456:DU456)</f>
        <v>0</v>
      </c>
      <c r="GE456" s="376">
        <f>SUM(DV456:DY456)</f>
        <v>0</v>
      </c>
      <c r="GF456" s="376">
        <f>SUM(DZ456:EC456)</f>
        <v>0</v>
      </c>
      <c r="GG456" s="380">
        <f>SUM(ED456:EG456)</f>
        <v>0</v>
      </c>
      <c r="GH456" s="380">
        <f>SUM(EH456:EK456)</f>
        <v>0</v>
      </c>
      <c r="GI456" s="380">
        <f>SUM(EI456:EL456)</f>
        <v>0</v>
      </c>
      <c r="GJ456" s="380">
        <f>SUM(EJ456:EM456)</f>
        <v>0</v>
      </c>
      <c r="GK456" s="380">
        <f>SUM(EK456:EN456)</f>
        <v>0</v>
      </c>
      <c r="GN456" s="70"/>
    </row>
    <row r="457" spans="1:196" s="376" customFormat="1" hidden="1" outlineLevel="1">
      <c r="A457" s="376" t="s">
        <v>275</v>
      </c>
      <c r="CP457" s="376">
        <f t="shared" ref="CP457:CU457" si="869">CP412+CP432</f>
        <v>268.59244000000001</v>
      </c>
      <c r="CQ457" s="376">
        <f t="shared" si="869"/>
        <v>319.29754000000003</v>
      </c>
      <c r="CR457" s="376">
        <f t="shared" si="869"/>
        <v>398.69807000000003</v>
      </c>
      <c r="CS457" s="376">
        <f t="shared" si="869"/>
        <v>350.31919999999991</v>
      </c>
      <c r="CT457" s="376">
        <f t="shared" si="869"/>
        <v>331.02897999999999</v>
      </c>
      <c r="CU457" s="376">
        <f t="shared" si="869"/>
        <v>403.73248000000001</v>
      </c>
      <c r="CV457" s="376">
        <f t="shared" ref="CV457:DM457" si="870">CV412+CV432+CV456</f>
        <v>574.66924999999992</v>
      </c>
      <c r="CW457" s="376">
        <f t="shared" si="870"/>
        <v>514.91057999999998</v>
      </c>
      <c r="CX457" s="376">
        <f t="shared" si="870"/>
        <v>596.10741635538216</v>
      </c>
      <c r="CY457" s="376">
        <f t="shared" si="870"/>
        <v>651.682068125</v>
      </c>
      <c r="CZ457" s="376">
        <f t="shared" si="870"/>
        <v>661.20960442499995</v>
      </c>
      <c r="DA457" s="376">
        <f t="shared" si="870"/>
        <v>538.89638152499992</v>
      </c>
      <c r="DB457" s="376">
        <f t="shared" si="870"/>
        <v>505.83856804999994</v>
      </c>
      <c r="DC457" s="376">
        <f t="shared" si="870"/>
        <v>616.84396015300001</v>
      </c>
      <c r="DD457" s="376">
        <f t="shared" si="870"/>
        <v>776.97047292500008</v>
      </c>
      <c r="DE457" s="376">
        <f t="shared" si="870"/>
        <v>947.24765585882346</v>
      </c>
      <c r="DF457" s="376">
        <f t="shared" si="870"/>
        <v>813.73538404999999</v>
      </c>
      <c r="DG457" s="376">
        <f t="shared" si="870"/>
        <v>848.47982833333344</v>
      </c>
      <c r="DH457" s="376">
        <f t="shared" si="870"/>
        <v>1229.5839376666668</v>
      </c>
      <c r="DI457" s="376">
        <f t="shared" si="870"/>
        <v>1447.9793484650002</v>
      </c>
      <c r="DJ457" s="397">
        <f t="shared" si="870"/>
        <v>1586.6123719767781</v>
      </c>
      <c r="DK457" s="397">
        <f t="shared" si="870"/>
        <v>1829.2871824601468</v>
      </c>
      <c r="DL457" s="397">
        <f t="shared" si="870"/>
        <v>2085.7225572583334</v>
      </c>
      <c r="DM457" s="397">
        <f t="shared" si="870"/>
        <v>2426.7884143333335</v>
      </c>
      <c r="DN457" s="397">
        <f t="shared" ref="DN457:EW457" si="871">DN412+DN432+DN444</f>
        <v>3095.0293800416662</v>
      </c>
      <c r="DO457" s="397">
        <f t="shared" si="871"/>
        <v>3531.5734512626004</v>
      </c>
      <c r="DP457" s="397">
        <f t="shared" si="871"/>
        <v>2765.6897845561716</v>
      </c>
      <c r="DQ457" s="397">
        <f t="shared" si="871"/>
        <v>2848.751220085569</v>
      </c>
      <c r="DR457" s="397">
        <f t="shared" si="871"/>
        <v>2666.7530962485907</v>
      </c>
      <c r="DS457" s="397">
        <f t="shared" si="871"/>
        <v>2627.7636628243154</v>
      </c>
      <c r="DT457" s="397">
        <f t="shared" si="871"/>
        <v>2916.9294266993375</v>
      </c>
      <c r="DU457" s="397">
        <f t="shared" si="871"/>
        <v>3055.9237360323978</v>
      </c>
      <c r="DV457" s="376">
        <f t="shared" si="871"/>
        <v>2856.1698600000004</v>
      </c>
      <c r="DW457" s="376">
        <f t="shared" si="871"/>
        <v>3095.5603850000002</v>
      </c>
      <c r="DX457" s="376">
        <f t="shared" si="871"/>
        <v>3652.0970000000002</v>
      </c>
      <c r="DY457" s="376">
        <f t="shared" si="871"/>
        <v>4136.9385750000001</v>
      </c>
      <c r="DZ457" s="376">
        <f t="shared" si="871"/>
        <v>3987.6999999999994</v>
      </c>
      <c r="EA457" s="376">
        <f t="shared" si="871"/>
        <v>3321.20975</v>
      </c>
      <c r="EB457" s="376">
        <f t="shared" si="871"/>
        <v>4984.0995000000003</v>
      </c>
      <c r="EC457" s="376">
        <f t="shared" si="871"/>
        <v>5846.9912500000009</v>
      </c>
      <c r="ED457" s="376">
        <f t="shared" si="871"/>
        <v>5679.5991479999993</v>
      </c>
      <c r="EE457" s="380">
        <f t="shared" si="871"/>
        <v>6290.4186981914663</v>
      </c>
      <c r="EF457" s="380">
        <f t="shared" si="871"/>
        <v>6737.8903743604396</v>
      </c>
      <c r="EG457" s="380">
        <f t="shared" si="871"/>
        <v>8784.869966169128</v>
      </c>
      <c r="EH457" s="380">
        <f t="shared" si="871"/>
        <v>9431.7586336887907</v>
      </c>
      <c r="EI457" s="380">
        <f t="shared" si="871"/>
        <v>10369.291214237615</v>
      </c>
      <c r="EJ457" s="380">
        <f t="shared" si="871"/>
        <v>11832.20044207791</v>
      </c>
      <c r="EK457" s="380">
        <f t="shared" si="871"/>
        <v>13045.110134997363</v>
      </c>
      <c r="EL457" s="380">
        <f t="shared" si="871"/>
        <v>12919.518092535423</v>
      </c>
      <c r="EM457" s="380">
        <f t="shared" si="871"/>
        <v>13547.596126701919</v>
      </c>
      <c r="EN457" s="380">
        <f t="shared" si="871"/>
        <v>14593.082381436319</v>
      </c>
      <c r="EO457" s="380">
        <f t="shared" si="871"/>
        <v>15591.03530783735</v>
      </c>
      <c r="EP457" s="380">
        <f t="shared" si="871"/>
        <v>15238.522966378898</v>
      </c>
      <c r="EQ457" s="380">
        <f t="shared" si="871"/>
        <v>15866.02923360728</v>
      </c>
      <c r="ER457" s="380">
        <f t="shared" si="871"/>
        <v>17170.059043366738</v>
      </c>
      <c r="ES457" s="380">
        <f t="shared" si="871"/>
        <v>17935.630103038198</v>
      </c>
      <c r="ET457" s="380">
        <f t="shared" si="871"/>
        <v>17220.786390894169</v>
      </c>
      <c r="EU457" s="380">
        <f t="shared" si="871"/>
        <v>17924.726305482556</v>
      </c>
      <c r="EV457" s="380">
        <f t="shared" si="871"/>
        <v>19720.506668796996</v>
      </c>
      <c r="EW457" s="380">
        <f t="shared" si="871"/>
        <v>20651.31732075843</v>
      </c>
      <c r="FW457" s="376">
        <f>CP457+CQ457+CR457+CS457</f>
        <v>1336.90725</v>
      </c>
      <c r="FX457" s="376">
        <f>CT457+CU457+CV457+CW457</f>
        <v>1824.3412899999998</v>
      </c>
      <c r="FY457" s="376">
        <f>CX457+CY457+CZ457+DA457</f>
        <v>2447.8954704303824</v>
      </c>
      <c r="FZ457" s="376">
        <f>DB457+DC457+DD457+DE457</f>
        <v>2846.9006569868234</v>
      </c>
      <c r="GA457" s="376">
        <f>SUM(DF457:DI457)</f>
        <v>4339.7784985150001</v>
      </c>
      <c r="GB457" s="376">
        <f>SUM(DJ457:DM457)</f>
        <v>7928.4105260285924</v>
      </c>
      <c r="GC457" s="376">
        <f>SUM(DN457:DQ457)</f>
        <v>12241.043835946008</v>
      </c>
      <c r="GD457" s="376">
        <f>SUM(DR457:DU457)</f>
        <v>11267.369921804642</v>
      </c>
      <c r="GE457" s="376">
        <f>SUM(DV457:DY457)</f>
        <v>13740.765820000001</v>
      </c>
      <c r="GF457" s="376">
        <f>SUM(DZ457:EC457)</f>
        <v>18140.000500000002</v>
      </c>
      <c r="GG457" s="380">
        <f>SUM(ED457:EG457)</f>
        <v>27492.778186721032</v>
      </c>
      <c r="GH457" s="380">
        <f>SUM(EH457:EK457)</f>
        <v>44678.36042500168</v>
      </c>
      <c r="GI457" s="380">
        <f>SUM(EL457:EO457)</f>
        <v>56651.231908511014</v>
      </c>
      <c r="GJ457" s="380">
        <f>SUM(EP457:ES457)</f>
        <v>66210.241346391122</v>
      </c>
      <c r="GK457" s="380">
        <f>SUM(ET457:EW457)</f>
        <v>75517.336685932154</v>
      </c>
      <c r="GM457" s="379"/>
      <c r="GN457" s="70"/>
    </row>
    <row r="458" spans="1:196" s="382" customFormat="1" hidden="1" outlineLevel="1">
      <c r="A458" s="381" t="s">
        <v>198</v>
      </c>
      <c r="CQ458" s="382">
        <f t="shared" ref="CQ458:EH458" si="872">CQ457/CP457-1</f>
        <v>0.18878081601998931</v>
      </c>
      <c r="CR458" s="382">
        <f t="shared" si="872"/>
        <v>0.24867253909942422</v>
      </c>
      <c r="CS458" s="382">
        <f t="shared" si="872"/>
        <v>-0.12134212237345443</v>
      </c>
      <c r="CT458" s="382">
        <f t="shared" si="872"/>
        <v>-5.5064695283615461E-2</v>
      </c>
      <c r="CU458" s="382">
        <f t="shared" si="872"/>
        <v>0.21962880712135835</v>
      </c>
      <c r="CV458" s="382">
        <f t="shared" si="872"/>
        <v>0.4233911772468737</v>
      </c>
      <c r="CW458" s="382">
        <f t="shared" si="872"/>
        <v>-0.10398793740921397</v>
      </c>
      <c r="CX458" s="382">
        <f t="shared" si="872"/>
        <v>0.15769113999440876</v>
      </c>
      <c r="CY458" s="382">
        <f t="shared" si="872"/>
        <v>9.3229257420420764E-2</v>
      </c>
      <c r="CZ458" s="382">
        <f t="shared" si="872"/>
        <v>1.4619914780549914E-2</v>
      </c>
      <c r="DA458" s="382">
        <f t="shared" si="872"/>
        <v>-0.1849840384674476</v>
      </c>
      <c r="DB458" s="382">
        <f t="shared" si="872"/>
        <v>-6.1343543227087682E-2</v>
      </c>
      <c r="DC458" s="382">
        <f t="shared" si="872"/>
        <v>0.21944825704161741</v>
      </c>
      <c r="DD458" s="382">
        <f t="shared" si="872"/>
        <v>0.25958998241999942</v>
      </c>
      <c r="DE458" s="382">
        <f t="shared" si="872"/>
        <v>0.2191552817866993</v>
      </c>
      <c r="DF458" s="382">
        <f t="shared" si="872"/>
        <v>-0.14094758744773495</v>
      </c>
      <c r="DG458" s="382">
        <f t="shared" si="872"/>
        <v>4.2697472623604904E-2</v>
      </c>
      <c r="DH458" s="382">
        <f t="shared" si="872"/>
        <v>0.44916107208103595</v>
      </c>
      <c r="DI458" s="382">
        <f t="shared" si="872"/>
        <v>0.17761732575392442</v>
      </c>
      <c r="DJ458" s="383">
        <f t="shared" si="872"/>
        <v>9.5742403825539668E-2</v>
      </c>
      <c r="DK458" s="383">
        <f t="shared" si="872"/>
        <v>0.15295154302938996</v>
      </c>
      <c r="DL458" s="383">
        <f t="shared" si="872"/>
        <v>0.14018322396667937</v>
      </c>
      <c r="DM458" s="383">
        <f t="shared" si="872"/>
        <v>0.16352407748963915</v>
      </c>
      <c r="DN458" s="383">
        <f t="shared" si="872"/>
        <v>0.27536020930440541</v>
      </c>
      <c r="DO458" s="383">
        <f t="shared" si="872"/>
        <v>0.14104682625502485</v>
      </c>
      <c r="DP458" s="383">
        <f t="shared" si="872"/>
        <v>-0.21686754566370747</v>
      </c>
      <c r="DQ458" s="383">
        <f t="shared" si="872"/>
        <v>3.0032809895462309E-2</v>
      </c>
      <c r="DR458" s="383">
        <f t="shared" si="872"/>
        <v>-6.3886984077013098E-2</v>
      </c>
      <c r="DS458" s="383">
        <f t="shared" si="872"/>
        <v>-1.4620563665651343E-2</v>
      </c>
      <c r="DT458" s="383">
        <f t="shared" si="872"/>
        <v>0.11004253082799198</v>
      </c>
      <c r="DU458" s="383">
        <f t="shared" si="872"/>
        <v>4.7650898942159126E-2</v>
      </c>
      <c r="DV458" s="382">
        <f t="shared" si="872"/>
        <v>-6.5366119473826978E-2</v>
      </c>
      <c r="DW458" s="382">
        <f t="shared" si="872"/>
        <v>8.3815226941719612E-2</v>
      </c>
      <c r="DX458" s="382">
        <f>DX457/DW457-1</f>
        <v>0.17978541710792695</v>
      </c>
      <c r="DY458" s="382">
        <f t="shared" si="872"/>
        <v>0.13275703657378202</v>
      </c>
      <c r="DZ458" s="382">
        <f t="shared" si="872"/>
        <v>-3.6074641258119433E-2</v>
      </c>
      <c r="EA458" s="382">
        <f t="shared" si="872"/>
        <v>-0.16713650725982387</v>
      </c>
      <c r="EB458" s="382">
        <f t="shared" si="872"/>
        <v>0.50068796467913534</v>
      </c>
      <c r="EC458" s="382">
        <f t="shared" si="872"/>
        <v>0.17312891726980983</v>
      </c>
      <c r="ED458" s="382">
        <f t="shared" si="872"/>
        <v>-2.8628758765459339E-2</v>
      </c>
      <c r="EE458" s="384">
        <f t="shared" si="872"/>
        <v>0.10754624301374505</v>
      </c>
      <c r="EF458" s="384">
        <f t="shared" si="872"/>
        <v>7.1135435912656142E-2</v>
      </c>
      <c r="EG458" s="384">
        <f t="shared" si="872"/>
        <v>0.30380126094037085</v>
      </c>
      <c r="EH458" s="384">
        <f t="shared" si="872"/>
        <v>7.3636681022127393E-2</v>
      </c>
      <c r="EI458" s="384">
        <f>EI457/EH457-1</f>
        <v>9.9401672260791551E-2</v>
      </c>
      <c r="EJ458" s="384">
        <f>EJ457/EI457-1</f>
        <v>0.14108092806108474</v>
      </c>
      <c r="EK458" s="384">
        <f>EK457/EJ457-1</f>
        <v>0.10250922462453205</v>
      </c>
      <c r="EL458" s="384">
        <f t="shared" ref="EL458" si="873">EL457/EK457-1</f>
        <v>-9.6275187531764672E-3</v>
      </c>
      <c r="EM458" s="384">
        <f>EM457/EL457-1</f>
        <v>4.8614664236538596E-2</v>
      </c>
      <c r="EN458" s="384">
        <f>EN457/EM457-1</f>
        <v>7.7171347961412673E-2</v>
      </c>
      <c r="EO458" s="384">
        <f>EO457/EN457-1</f>
        <v>6.838534178841571E-2</v>
      </c>
      <c r="EP458" s="384">
        <f t="shared" ref="EP458" si="874">EP457/EO457-1</f>
        <v>-2.2609937986687201E-2</v>
      </c>
      <c r="EQ458" s="384">
        <f>EQ457/EP457-1</f>
        <v>4.1178942907581284E-2</v>
      </c>
      <c r="ER458" s="384">
        <f>ER457/EQ457-1</f>
        <v>8.2190054648158206E-2</v>
      </c>
      <c r="ES458" s="384">
        <f>ES457/ER457-1</f>
        <v>4.4587561273833787E-2</v>
      </c>
      <c r="ET458" s="384">
        <f t="shared" ref="ET458" si="875">ET457/ES457-1</f>
        <v>-3.985606906684247E-2</v>
      </c>
      <c r="EU458" s="384">
        <f>EU457/ET457-1</f>
        <v>4.0877338502997018E-2</v>
      </c>
      <c r="EV458" s="384">
        <f>EV457/EU457-1</f>
        <v>0.10018453463164856</v>
      </c>
      <c r="EW458" s="384">
        <f>EW457/EV457-1</f>
        <v>4.7200138799385893E-2</v>
      </c>
      <c r="FW458" s="382">
        <f t="shared" ref="FW458:GG458" si="876">+FW440/FW457</f>
        <v>6.9172337871606293E-3</v>
      </c>
      <c r="FX458" s="382">
        <f t="shared" si="876"/>
        <v>1.2291285694684904E-2</v>
      </c>
      <c r="FY458" s="382">
        <f t="shared" si="876"/>
        <v>8.3108172900957941E-2</v>
      </c>
      <c r="FZ458" s="382">
        <f t="shared" si="876"/>
        <v>0.17855361364734573</v>
      </c>
      <c r="GA458" s="382">
        <f t="shared" si="876"/>
        <v>0.21571076388353241</v>
      </c>
      <c r="GB458" s="382">
        <f t="shared" si="876"/>
        <v>0.28619446389043063</v>
      </c>
      <c r="GC458" s="382">
        <f t="shared" si="876"/>
        <v>0.32587303856278704</v>
      </c>
      <c r="GD458" s="382">
        <f t="shared" si="876"/>
        <v>0.34094344790844666</v>
      </c>
      <c r="GE458" s="382">
        <f t="shared" si="876"/>
        <v>0.36882810728230575</v>
      </c>
      <c r="GF458" s="382">
        <f t="shared" si="876"/>
        <v>0.37928907444076415</v>
      </c>
      <c r="GG458" s="382">
        <f t="shared" si="876"/>
        <v>0.41313328409537353</v>
      </c>
      <c r="GH458" s="382">
        <f>+GH440/GH457</f>
        <v>0.34495066518995759</v>
      </c>
      <c r="GI458" s="382">
        <f t="shared" ref="GI458:GK458" si="877">+GI440/GI457</f>
        <v>0.35288713888959139</v>
      </c>
      <c r="GJ458" s="382">
        <f t="shared" si="877"/>
        <v>0.32177798276227337</v>
      </c>
      <c r="GK458" s="382">
        <f t="shared" si="877"/>
        <v>0.29865074841443418</v>
      </c>
      <c r="GN458" s="70"/>
    </row>
    <row r="459" spans="1:196" s="382" customFormat="1" hidden="1" outlineLevel="1">
      <c r="A459" s="381" t="s">
        <v>200</v>
      </c>
      <c r="CT459" s="382">
        <f>CT457/CP457-1</f>
        <v>0.23245829257145134</v>
      </c>
      <c r="CU459" s="382">
        <f t="shared" ref="CU459:EW459" si="878">CU457/CQ457-1</f>
        <v>0.26443968218483604</v>
      </c>
      <c r="CV459" s="382">
        <f t="shared" si="878"/>
        <v>0.44136451425511014</v>
      </c>
      <c r="CW459" s="382">
        <f t="shared" si="878"/>
        <v>0.46983259838455926</v>
      </c>
      <c r="CX459" s="382">
        <f t="shared" si="878"/>
        <v>0.80077108764127591</v>
      </c>
      <c r="CY459" s="382">
        <f t="shared" si="878"/>
        <v>0.61414327657016843</v>
      </c>
      <c r="CZ459" s="382">
        <f t="shared" si="878"/>
        <v>0.15059158711728537</v>
      </c>
      <c r="DA459" s="382">
        <f t="shared" si="878"/>
        <v>4.6582460055491381E-2</v>
      </c>
      <c r="DB459" s="382">
        <f t="shared" si="878"/>
        <v>-0.15143050703393113</v>
      </c>
      <c r="DC459" s="382">
        <f t="shared" si="878"/>
        <v>-5.3458748791776811E-2</v>
      </c>
      <c r="DD459" s="382">
        <f t="shared" si="878"/>
        <v>0.175074390518976</v>
      </c>
      <c r="DE459" s="382">
        <f t="shared" si="878"/>
        <v>0.75775471562501062</v>
      </c>
      <c r="DF459" s="382">
        <f t="shared" si="878"/>
        <v>0.60868592362764606</v>
      </c>
      <c r="DG459" s="382">
        <f t="shared" si="878"/>
        <v>0.37551776971744877</v>
      </c>
      <c r="DH459" s="382">
        <f t="shared" si="878"/>
        <v>0.58253624882004607</v>
      </c>
      <c r="DI459" s="382">
        <f t="shared" si="878"/>
        <v>0.5286175051572839</v>
      </c>
      <c r="DJ459" s="383">
        <f t="shared" si="878"/>
        <v>0.94978908755341607</v>
      </c>
      <c r="DK459" s="383">
        <f t="shared" si="878"/>
        <v>1.1559583638581139</v>
      </c>
      <c r="DL459" s="383">
        <f t="shared" si="878"/>
        <v>0.69628318438863745</v>
      </c>
      <c r="DM459" s="383">
        <f t="shared" si="878"/>
        <v>0.67598275272776975</v>
      </c>
      <c r="DN459" s="383">
        <f t="shared" si="878"/>
        <v>0.95071552113610114</v>
      </c>
      <c r="DO459" s="383">
        <f t="shared" si="878"/>
        <v>0.93057355079321447</v>
      </c>
      <c r="DP459" s="383">
        <f t="shared" si="878"/>
        <v>0.3260103914260053</v>
      </c>
      <c r="DQ459" s="383">
        <f t="shared" si="878"/>
        <v>0.17387704806071991</v>
      </c>
      <c r="DR459" s="383">
        <f t="shared" si="878"/>
        <v>-0.13837551480280608</v>
      </c>
      <c r="DS459" s="383">
        <f t="shared" si="878"/>
        <v>-0.25592269307471349</v>
      </c>
      <c r="DT459" s="383">
        <f t="shared" si="878"/>
        <v>5.4684239348787411E-2</v>
      </c>
      <c r="DU459" s="383">
        <f t="shared" si="878"/>
        <v>7.2723976206179763E-2</v>
      </c>
      <c r="DV459" s="382">
        <f t="shared" si="878"/>
        <v>7.1028984279747798E-2</v>
      </c>
      <c r="DW459" s="382">
        <f t="shared" si="878"/>
        <v>0.17802085050255156</v>
      </c>
      <c r="DX459" s="382">
        <f t="shared" si="878"/>
        <v>0.25203474810583426</v>
      </c>
      <c r="DY459" s="382">
        <f t="shared" si="878"/>
        <v>0.35374405003022691</v>
      </c>
      <c r="DZ459" s="382">
        <f t="shared" si="878"/>
        <v>0.39617046445549953</v>
      </c>
      <c r="EA459" s="382">
        <f t="shared" si="878"/>
        <v>7.2894512442211568E-2</v>
      </c>
      <c r="EB459" s="382">
        <f t="shared" si="878"/>
        <v>0.36472265112345048</v>
      </c>
      <c r="EC459" s="382">
        <f t="shared" si="878"/>
        <v>0.41336187231158017</v>
      </c>
      <c r="ED459" s="382">
        <f t="shared" si="878"/>
        <v>0.42427944629736447</v>
      </c>
      <c r="EE459" s="384">
        <f t="shared" si="878"/>
        <v>0.89401428145014528</v>
      </c>
      <c r="EF459" s="384">
        <f t="shared" si="878"/>
        <v>0.35187717949058595</v>
      </c>
      <c r="EG459" s="384">
        <f t="shared" si="878"/>
        <v>0.50245991323642336</v>
      </c>
      <c r="EH459" s="384">
        <f t="shared" si="878"/>
        <v>0.66063808165230609</v>
      </c>
      <c r="EI459" s="384">
        <f t="shared" si="878"/>
        <v>0.64842623547759226</v>
      </c>
      <c r="EJ459" s="384">
        <f t="shared" si="878"/>
        <v>0.75606900449178394</v>
      </c>
      <c r="EK459" s="384">
        <f t="shared" si="878"/>
        <v>0.48495198964066444</v>
      </c>
      <c r="EL459" s="384">
        <f t="shared" si="878"/>
        <v>0.36978887970997176</v>
      </c>
      <c r="EM459" s="384">
        <f t="shared" si="878"/>
        <v>0.30651129829397727</v>
      </c>
      <c r="EN459" s="384">
        <f t="shared" si="878"/>
        <v>0.23333630569172104</v>
      </c>
      <c r="EO459" s="384">
        <f t="shared" si="878"/>
        <v>0.19516317965072516</v>
      </c>
      <c r="EP459" s="384">
        <f t="shared" si="878"/>
        <v>0.17949623641019063</v>
      </c>
      <c r="EQ459" s="384">
        <f t="shared" si="878"/>
        <v>0.17113243450886428</v>
      </c>
      <c r="ER459" s="384">
        <f t="shared" si="878"/>
        <v>0.17658892032354734</v>
      </c>
      <c r="ES459" s="384">
        <f t="shared" si="878"/>
        <v>0.15038095603710544</v>
      </c>
      <c r="ET459" s="384">
        <f t="shared" si="878"/>
        <v>0.13008238586435072</v>
      </c>
      <c r="EU459" s="384">
        <f t="shared" si="878"/>
        <v>0.12975502827856666</v>
      </c>
      <c r="EV459" s="384">
        <f t="shared" si="878"/>
        <v>0.14854041089716374</v>
      </c>
      <c r="EW459" s="384">
        <f t="shared" si="878"/>
        <v>0.15141298087209143</v>
      </c>
      <c r="FX459" s="382">
        <f t="shared" ref="FX459:GK459" si="879">FX457/FW457-1</f>
        <v>0.36459824718580869</v>
      </c>
      <c r="FY459" s="382">
        <f t="shared" si="879"/>
        <v>0.34179689066314034</v>
      </c>
      <c r="FZ459" s="382">
        <f t="shared" si="879"/>
        <v>0.16299927483680055</v>
      </c>
      <c r="GA459" s="382">
        <f t="shared" si="879"/>
        <v>0.52438705153422793</v>
      </c>
      <c r="GB459" s="382">
        <f t="shared" si="879"/>
        <v>0.82691594253982359</v>
      </c>
      <c r="GC459" s="382">
        <f t="shared" si="879"/>
        <v>0.5439467716459998</v>
      </c>
      <c r="GD459" s="382">
        <f t="shared" si="879"/>
        <v>-7.9541739020830726E-2</v>
      </c>
      <c r="GE459" s="382">
        <f t="shared" si="879"/>
        <v>0.21951847816843539</v>
      </c>
      <c r="GF459" s="382">
        <f t="shared" si="879"/>
        <v>0.32015935193341361</v>
      </c>
      <c r="GG459" s="384">
        <f t="shared" si="879"/>
        <v>0.51558861239948861</v>
      </c>
      <c r="GH459" s="384">
        <f t="shared" si="879"/>
        <v>0.62509442012598271</v>
      </c>
      <c r="GI459" s="384">
        <f t="shared" si="879"/>
        <v>0.26797920446537704</v>
      </c>
      <c r="GJ459" s="384">
        <f t="shared" si="879"/>
        <v>0.16873436138718834</v>
      </c>
      <c r="GK459" s="384">
        <f t="shared" si="879"/>
        <v>0.14056881760707141</v>
      </c>
      <c r="GN459" s="70"/>
    </row>
    <row r="460" spans="1:196" s="382" customFormat="1" hidden="1" outlineLevel="1">
      <c r="A460" s="381" t="s">
        <v>309</v>
      </c>
      <c r="CP460" s="382">
        <f>CP457/CP4</f>
        <v>0.32282745192307694</v>
      </c>
      <c r="CQ460" s="382">
        <f>CQ457/CQ4</f>
        <v>0.31090315481986369</v>
      </c>
      <c r="CR460" s="382">
        <f>CR457/CR4</f>
        <v>0.30504825554705434</v>
      </c>
      <c r="CS460" s="382">
        <f>CS457/CS4</f>
        <v>0.31674430379746826</v>
      </c>
      <c r="CT460" s="382">
        <f>CT457/CT4</f>
        <v>0.3364115650406504</v>
      </c>
      <c r="CU460" s="382">
        <f>CU457/CU4</f>
        <v>0.33038664484451719</v>
      </c>
      <c r="CV460" s="382">
        <f>CV457/CV4</f>
        <v>0.34976825928180155</v>
      </c>
      <c r="CW460" s="382">
        <f>CW457/CW4</f>
        <v>0.34791255405405402</v>
      </c>
      <c r="CX460" s="382">
        <f>CX457/CX4</f>
        <v>0.36193528619027454</v>
      </c>
      <c r="CY460" s="382">
        <f>CY457/CY4</f>
        <v>0.37111735086845105</v>
      </c>
      <c r="CZ460" s="382">
        <f>CZ457/CZ4</f>
        <v>0.40000581029945553</v>
      </c>
      <c r="DA460" s="382">
        <f>DA457/DA4</f>
        <v>0.37977193905919654</v>
      </c>
      <c r="DB460" s="382">
        <f>DB457/DB4</f>
        <v>0.39767183022798736</v>
      </c>
      <c r="DC460" s="382">
        <f>DC457/DC4</f>
        <v>0.40290265196146308</v>
      </c>
      <c r="DD460" s="382">
        <f>DD457/DD4</f>
        <v>0.4314105901860078</v>
      </c>
      <c r="DE460" s="382">
        <f>DE457/DE4</f>
        <v>0.44534445503470776</v>
      </c>
      <c r="DF460" s="382">
        <f>DF457/DF4</f>
        <v>0.45561891604143334</v>
      </c>
      <c r="DG460" s="382">
        <f>DG457/DG4</f>
        <v>0.43917175379572126</v>
      </c>
      <c r="DH460" s="382">
        <f>DH457/DH4</f>
        <v>0.43898034190170182</v>
      </c>
      <c r="DI460" s="382">
        <f>DI457/DI4</f>
        <v>0.44635614934186196</v>
      </c>
      <c r="DJ460" s="383">
        <f>DJ457/DJ4</f>
        <v>0.46055511523273679</v>
      </c>
      <c r="DK460" s="383">
        <f>DK457/DK4</f>
        <v>0.47513952791172642</v>
      </c>
      <c r="DL460" s="383">
        <f>DL457/DL4</f>
        <v>0.48358974200285959</v>
      </c>
      <c r="DM460" s="383">
        <f>DM457/DM4</f>
        <v>0.50285711030529079</v>
      </c>
      <c r="DN460" s="383">
        <f>(DN457)/DN4</f>
        <v>0.52573966027546559</v>
      </c>
      <c r="DO460" s="383">
        <f>(DO457)/DO4</f>
        <v>0.5391715192767329</v>
      </c>
      <c r="DP460" s="383">
        <f>(DP457)/DP4</f>
        <v>0.49697929641620336</v>
      </c>
      <c r="DQ460" s="383">
        <f>(DQ457)/DQ4</f>
        <v>0.50879643152090892</v>
      </c>
      <c r="DR460" s="383">
        <f>(DR457)/DR4</f>
        <v>0.49817916985776028</v>
      </c>
      <c r="DS460" s="383">
        <f>(DS457)/DS4</f>
        <v>0.49034589714952703</v>
      </c>
      <c r="DT460" s="383">
        <f>(DT457)/DT4</f>
        <v>0.50291886667229957</v>
      </c>
      <c r="DU460" s="383">
        <f>(DU457)/DU4</f>
        <v>0.49544807652924738</v>
      </c>
      <c r="DV460" s="382">
        <f>(DV457)/DV4</f>
        <v>0.52186549607162447</v>
      </c>
      <c r="DW460" s="382">
        <f>(DW457)/DW4</f>
        <v>0.53051591859468727</v>
      </c>
      <c r="DX460" s="382">
        <f>(DX457)/DX4</f>
        <v>0.53557662413843676</v>
      </c>
      <c r="DY460" s="382">
        <f>(DY457)/DY4</f>
        <v>0.54021135740402193</v>
      </c>
      <c r="DZ460" s="382">
        <f>(DZ457)/DZ4</f>
        <v>0.53612530250067214</v>
      </c>
      <c r="EA460" s="382">
        <f>(EA457)/EA4</f>
        <v>0.43216782693558881</v>
      </c>
      <c r="EB460" s="382">
        <f>(EB457)/EB4</f>
        <v>0.53905467229072035</v>
      </c>
      <c r="EC460" s="382">
        <f>(EC457)/EC4</f>
        <v>0.56932728821811107</v>
      </c>
      <c r="ED460" s="382">
        <f>(ED457)/ED4</f>
        <v>0.55394510367697258</v>
      </c>
      <c r="EE460" s="384">
        <f>(EE457)/EE4</f>
        <v>0.56051777033077144</v>
      </c>
      <c r="EF460" s="384">
        <f>(EF457)/EF4</f>
        <v>0.56178954771432477</v>
      </c>
      <c r="EG460" s="384">
        <f>(EG457)/EG4</f>
        <v>0.5425580655744755</v>
      </c>
      <c r="EH460" s="384">
        <f>(EH457)/EH4</f>
        <v>0.5409720567055416</v>
      </c>
      <c r="EI460" s="384">
        <f>(EI457)/EI4</f>
        <v>0.53974342062201741</v>
      </c>
      <c r="EJ460" s="384">
        <f>(EJ457)/EJ4</f>
        <v>0.5345270454945612</v>
      </c>
      <c r="EK460" s="384">
        <f>(EK457)/EK4</f>
        <v>0.53205155107133728</v>
      </c>
      <c r="EL460" s="384">
        <f>(EL457)/EL4</f>
        <v>0.53962931712905837</v>
      </c>
      <c r="EM460" s="384">
        <f>(EM457)/EM4</f>
        <v>0.54118758060520467</v>
      </c>
      <c r="EN460" s="384">
        <f>(EN457)/EN4</f>
        <v>0.54306046339706182</v>
      </c>
      <c r="EO460" s="384">
        <f>(EO457)/EO4</f>
        <v>0.54225755368799189</v>
      </c>
      <c r="EP460" s="384">
        <f>(EP457)/EP4</f>
        <v>0.54082259873835481</v>
      </c>
      <c r="EQ460" s="384">
        <f>(EQ457)/EQ4</f>
        <v>0.54005982533295893</v>
      </c>
      <c r="ER460" s="384">
        <f>(ER457)/ER4</f>
        <v>0.54136680039788709</v>
      </c>
      <c r="ES460" s="384">
        <f>(ES457)/ES4</f>
        <v>0.54162913714325145</v>
      </c>
      <c r="ET460" s="384">
        <f>(ET457)/ET4</f>
        <v>0.54300948590599363</v>
      </c>
      <c r="EU460" s="384">
        <f>(EU457)/EU4</f>
        <v>0.54227075511734946</v>
      </c>
      <c r="EV460" s="384">
        <f>(EV457)/EV4</f>
        <v>0.54294217102685427</v>
      </c>
      <c r="EW460" s="384">
        <f>(EW457)/EW4</f>
        <v>0.54349564184536236</v>
      </c>
      <c r="FW460" s="382">
        <f>FW457/FW4</f>
        <v>0.31294645365168539</v>
      </c>
      <c r="FX460" s="382">
        <f>FX457/FX4</f>
        <v>0.34234214486770498</v>
      </c>
      <c r="FY460" s="382">
        <f>FY457/FY4</f>
        <v>0.37805335450662275</v>
      </c>
      <c r="FZ460" s="382">
        <f>FZ457/FZ4</f>
        <v>0.42295359634331053</v>
      </c>
      <c r="GA460" s="382">
        <f>GA457/GA4</f>
        <v>0.44451280328946025</v>
      </c>
      <c r="GB460" s="382">
        <f>GB457/GB4</f>
        <v>0.48243948679740734</v>
      </c>
      <c r="GC460" s="382">
        <f>GC457/GC4</f>
        <v>0.51866632074683305</v>
      </c>
      <c r="GD460" s="382">
        <f>GD457/GD4</f>
        <v>0.49679761559985197</v>
      </c>
      <c r="GE460" s="382">
        <f>GE457/GE4</f>
        <v>0.53289764669381423</v>
      </c>
      <c r="GF460" s="382">
        <f>GF457/GF4</f>
        <v>0.52368718785184332</v>
      </c>
      <c r="GG460" s="498">
        <f>GG457/GG4</f>
        <v>0.55361226586228185</v>
      </c>
      <c r="GH460" s="498">
        <f>GH457/GH4</f>
        <v>0.5363504009085569</v>
      </c>
      <c r="GI460" s="498">
        <f>GI457/GI4</f>
        <v>0.54160617921211618</v>
      </c>
      <c r="GJ460" s="498">
        <f>GJ457/GJ4</f>
        <v>0.54099875479289472</v>
      </c>
      <c r="GK460" s="498">
        <f>GK457/GK4</f>
        <v>0.54294915607849126</v>
      </c>
      <c r="GN460" s="70"/>
    </row>
    <row r="461" spans="1:196" s="382" customFormat="1" hidden="1" outlineLevel="1">
      <c r="A461" s="396"/>
      <c r="DJ461" s="383"/>
      <c r="DK461" s="383"/>
      <c r="DL461" s="383"/>
      <c r="DM461" s="383"/>
      <c r="DN461" s="383"/>
      <c r="DO461" s="383"/>
      <c r="DP461" s="383"/>
      <c r="DQ461" s="383"/>
      <c r="DR461" s="383"/>
      <c r="DS461" s="383"/>
      <c r="DT461" s="383"/>
      <c r="DU461" s="383"/>
      <c r="FX461" s="384"/>
      <c r="FY461" s="384"/>
      <c r="FZ461" s="384"/>
      <c r="GA461" s="384"/>
      <c r="GB461" s="384"/>
      <c r="GC461" s="384"/>
      <c r="GD461" s="384"/>
      <c r="GE461" s="384"/>
      <c r="GF461" s="384"/>
      <c r="GG461" s="384"/>
      <c r="GH461" s="384"/>
      <c r="GI461" s="384"/>
      <c r="GJ461" s="384"/>
      <c r="GK461" s="384"/>
      <c r="GN461" s="70"/>
    </row>
    <row r="462" spans="1:196" collapsed="1">
      <c r="A462" s="41" t="s">
        <v>314</v>
      </c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5"/>
      <c r="AM462" s="155"/>
      <c r="AN462" s="155"/>
      <c r="AO462" s="155"/>
      <c r="AP462" s="155"/>
      <c r="AQ462" s="155"/>
      <c r="AR462" s="155"/>
      <c r="AS462" s="155"/>
      <c r="AT462" s="155"/>
      <c r="AU462" s="155"/>
      <c r="AV462" s="155"/>
      <c r="AW462" s="155"/>
      <c r="AX462" s="155"/>
      <c r="AY462" s="155"/>
      <c r="AZ462" s="155"/>
      <c r="BA462" s="155"/>
      <c r="BB462" s="155"/>
      <c r="BC462" s="155"/>
      <c r="BD462" s="155"/>
      <c r="BE462" s="155"/>
      <c r="BF462" s="155"/>
      <c r="BG462" s="155"/>
      <c r="BH462" s="155"/>
      <c r="BI462" s="155"/>
      <c r="BJ462" s="155"/>
      <c r="BK462" s="155"/>
      <c r="BL462" s="155"/>
      <c r="BM462" s="155"/>
      <c r="BN462" s="155"/>
      <c r="BO462" s="155"/>
      <c r="BP462" s="155"/>
      <c r="BQ462" s="155"/>
      <c r="BR462" s="155"/>
      <c r="BS462" s="155"/>
      <c r="BT462" s="155"/>
      <c r="BU462" s="155"/>
      <c r="BV462" s="155"/>
      <c r="BW462" s="155"/>
      <c r="BX462" s="155"/>
      <c r="BY462" s="155"/>
      <c r="BZ462" s="155"/>
      <c r="CA462" s="155"/>
      <c r="CB462" s="155"/>
      <c r="CC462" s="155"/>
      <c r="CD462" s="155"/>
      <c r="CE462" s="155"/>
      <c r="CF462" s="155"/>
      <c r="CG462" s="155"/>
      <c r="CH462" s="155"/>
      <c r="CI462" s="155"/>
      <c r="CJ462" s="155"/>
      <c r="CK462" s="155"/>
      <c r="CL462" s="155"/>
      <c r="CM462" s="155"/>
      <c r="CN462" s="155"/>
      <c r="CO462" s="155"/>
      <c r="CP462" s="155"/>
      <c r="CQ462" s="155"/>
      <c r="CR462" s="155"/>
      <c r="CS462" s="155"/>
      <c r="CT462" s="156"/>
      <c r="CU462" s="156"/>
      <c r="CV462" s="156"/>
      <c r="CW462" s="156"/>
      <c r="CX462" s="156"/>
      <c r="CY462" s="156"/>
      <c r="CZ462" s="156"/>
      <c r="DA462" s="156"/>
      <c r="DB462" s="156"/>
      <c r="DC462" s="156"/>
      <c r="DD462" s="156"/>
      <c r="DE462" s="156"/>
      <c r="DF462" s="156"/>
      <c r="DG462" s="156"/>
      <c r="DH462" s="156"/>
      <c r="DI462" s="156"/>
      <c r="DJ462" s="157"/>
      <c r="DK462" s="157"/>
      <c r="DL462" s="157"/>
      <c r="DM462" s="157"/>
      <c r="DN462" s="157"/>
      <c r="DO462" s="157"/>
      <c r="DP462" s="157"/>
      <c r="DQ462" s="157"/>
      <c r="DR462" s="157"/>
      <c r="DS462" s="157"/>
      <c r="DT462" s="157"/>
      <c r="DU462" s="157"/>
      <c r="DV462" s="157"/>
      <c r="DW462" s="157"/>
      <c r="DX462" s="156"/>
      <c r="DY462" s="156"/>
      <c r="DZ462" s="156"/>
      <c r="EA462" s="156"/>
      <c r="EB462" s="156"/>
      <c r="EC462" s="156"/>
      <c r="ED462" s="156"/>
      <c r="EE462" s="156"/>
      <c r="EF462" s="156"/>
      <c r="EG462" s="156"/>
      <c r="EH462" s="156"/>
      <c r="EI462" s="156"/>
      <c r="EJ462" s="156"/>
      <c r="EK462" s="156"/>
      <c r="EL462" s="156"/>
      <c r="EM462" s="156"/>
      <c r="EN462" s="156"/>
      <c r="EO462" s="156"/>
      <c r="EP462" s="156"/>
      <c r="EQ462" s="156"/>
      <c r="ER462" s="156"/>
      <c r="ES462" s="156"/>
      <c r="ET462" s="156"/>
      <c r="EU462" s="156"/>
      <c r="EV462" s="156"/>
      <c r="EW462" s="156"/>
      <c r="EZ462" s="155"/>
      <c r="FA462" s="155"/>
      <c r="FB462" s="155"/>
      <c r="FC462" s="155"/>
      <c r="FD462" s="155"/>
      <c r="FE462" s="155"/>
      <c r="FF462" s="155"/>
      <c r="FG462" s="155"/>
      <c r="FH462" s="155"/>
      <c r="FI462" s="155"/>
      <c r="FJ462" s="155"/>
      <c r="FK462" s="155"/>
      <c r="FL462" s="155"/>
      <c r="FM462" s="155"/>
      <c r="FN462" s="155"/>
      <c r="FO462" s="155"/>
      <c r="FP462" s="155"/>
      <c r="FQ462" s="155"/>
      <c r="FR462" s="155"/>
      <c r="FS462" s="155"/>
      <c r="FT462" s="155"/>
      <c r="FU462" s="155"/>
      <c r="FV462" s="155"/>
      <c r="FW462" s="155"/>
      <c r="FX462" s="155"/>
      <c r="FY462" s="155"/>
      <c r="FZ462" s="155"/>
      <c r="GA462" s="155"/>
      <c r="GB462" s="155"/>
      <c r="GC462" s="155"/>
      <c r="GD462" s="155"/>
      <c r="GE462" s="155"/>
      <c r="GF462" s="155"/>
      <c r="GG462" s="155"/>
      <c r="GH462" s="155"/>
      <c r="GI462" s="155"/>
      <c r="GJ462" s="155"/>
      <c r="GK462" s="155"/>
      <c r="GN462" s="48"/>
    </row>
    <row r="463" spans="1:196" s="376" customFormat="1">
      <c r="A463" s="376" t="s">
        <v>308</v>
      </c>
      <c r="CD463" s="376">
        <v>-75</v>
      </c>
      <c r="CE463" s="376">
        <v>-20</v>
      </c>
      <c r="CF463" s="376">
        <v>9</v>
      </c>
      <c r="CG463" s="376">
        <v>-15</v>
      </c>
      <c r="CH463" s="376">
        <v>3</v>
      </c>
      <c r="CI463" s="376">
        <v>-6</v>
      </c>
      <c r="CJ463" s="376">
        <v>-17</v>
      </c>
      <c r="CK463" s="376">
        <v>-56</v>
      </c>
      <c r="CL463" s="376">
        <v>-75</v>
      </c>
      <c r="CM463" s="376">
        <v>-147</v>
      </c>
      <c r="CN463" s="376">
        <v>-181</v>
      </c>
      <c r="CO463" s="376">
        <v>-99</v>
      </c>
      <c r="CP463" s="376">
        <v>-70</v>
      </c>
      <c r="CQ463" s="376">
        <v>-81</v>
      </c>
      <c r="CR463" s="376">
        <v>-66</v>
      </c>
      <c r="CS463" s="376">
        <v>-21</v>
      </c>
      <c r="CT463" s="376">
        <v>-15</v>
      </c>
      <c r="CU463" s="376">
        <v>7</v>
      </c>
      <c r="CV463" s="376">
        <v>70</v>
      </c>
      <c r="CW463" s="376">
        <v>85</v>
      </c>
      <c r="CX463" s="376">
        <v>138</v>
      </c>
      <c r="CY463" s="376">
        <v>117</v>
      </c>
      <c r="CZ463" s="376">
        <v>100</v>
      </c>
      <c r="DA463" s="376">
        <v>115</v>
      </c>
      <c r="DB463" s="376">
        <v>16</v>
      </c>
      <c r="DC463" s="376">
        <v>22</v>
      </c>
      <c r="DD463" s="376">
        <v>179</v>
      </c>
      <c r="DE463" s="376">
        <v>360</v>
      </c>
      <c r="DF463" s="376">
        <v>262</v>
      </c>
      <c r="DG463" s="376">
        <v>200</v>
      </c>
      <c r="DH463" s="376">
        <v>384</v>
      </c>
      <c r="DI463" s="376">
        <v>420</v>
      </c>
      <c r="DJ463" s="397">
        <v>485</v>
      </c>
      <c r="DK463" s="397">
        <v>526</v>
      </c>
      <c r="DL463" s="397">
        <v>513</v>
      </c>
      <c r="DM463" s="410"/>
      <c r="DN463" s="410"/>
      <c r="DO463" s="410"/>
      <c r="DP463" s="410"/>
      <c r="DQ463" s="410"/>
      <c r="DR463" s="410"/>
      <c r="DS463" s="410"/>
      <c r="DT463" s="410"/>
      <c r="DU463" s="410"/>
      <c r="DV463" s="410"/>
      <c r="DW463" s="410"/>
      <c r="DX463" s="380"/>
      <c r="DY463" s="380"/>
      <c r="DZ463" s="380"/>
      <c r="EA463" s="380"/>
      <c r="EB463" s="380"/>
      <c r="EC463" s="380"/>
      <c r="ED463" s="380"/>
      <c r="EE463" s="380"/>
      <c r="EF463" s="380"/>
      <c r="EG463" s="380"/>
      <c r="EH463" s="380"/>
      <c r="EI463" s="380"/>
      <c r="EJ463" s="380"/>
      <c r="EK463" s="380"/>
      <c r="EL463" s="380"/>
      <c r="EM463" s="380"/>
      <c r="EN463" s="380"/>
      <c r="EO463" s="380"/>
      <c r="EP463" s="380"/>
      <c r="EQ463" s="380"/>
      <c r="ER463" s="380"/>
      <c r="ES463" s="380"/>
      <c r="ET463" s="380"/>
      <c r="EU463" s="380"/>
      <c r="EV463" s="380"/>
      <c r="EW463" s="380"/>
      <c r="FT463" s="376">
        <f>CD463+CE463+CF463+CG463</f>
        <v>-101</v>
      </c>
      <c r="FU463" s="376">
        <f>CH463+CI463+CJ463+CK463</f>
        <v>-76</v>
      </c>
      <c r="FV463" s="376">
        <f>CL463+CM463+CN463+CO463</f>
        <v>-502</v>
      </c>
      <c r="FW463" s="376">
        <f>CP463+CQ463+CR463+CS463</f>
        <v>-238</v>
      </c>
      <c r="FX463" s="376">
        <f>CT463+CU463+CV463+CW463</f>
        <v>147</v>
      </c>
      <c r="FY463" s="376">
        <f>CX463+CY463+CZ463+DA463</f>
        <v>470</v>
      </c>
      <c r="FZ463" s="376">
        <f>DF463+DG463+DH463+DI463</f>
        <v>1266</v>
      </c>
      <c r="GA463" s="380"/>
      <c r="GB463" s="380"/>
      <c r="GC463" s="380"/>
      <c r="GD463" s="380"/>
      <c r="GE463" s="380"/>
      <c r="GF463" s="380"/>
      <c r="GG463" s="380"/>
      <c r="GH463" s="380"/>
      <c r="GI463" s="380"/>
      <c r="GJ463" s="380"/>
      <c r="GK463" s="380"/>
      <c r="GN463" s="70"/>
    </row>
    <row r="464" spans="1:196" s="382" customFormat="1">
      <c r="A464" s="381" t="s">
        <v>198</v>
      </c>
      <c r="CE464" s="382">
        <f>CE463/CD463-1</f>
        <v>-0.73333333333333339</v>
      </c>
      <c r="CF464" s="382">
        <f t="shared" ref="CF464:DL464" si="880">CF463/CE463-1</f>
        <v>-1.45</v>
      </c>
      <c r="CG464" s="382">
        <f t="shared" si="880"/>
        <v>-2.666666666666667</v>
      </c>
      <c r="CH464" s="382">
        <f t="shared" si="880"/>
        <v>-1.2</v>
      </c>
      <c r="CI464" s="382">
        <f t="shared" si="880"/>
        <v>-3</v>
      </c>
      <c r="CJ464" s="382">
        <f t="shared" si="880"/>
        <v>1.8333333333333335</v>
      </c>
      <c r="CK464" s="382">
        <f t="shared" si="880"/>
        <v>2.2941176470588234</v>
      </c>
      <c r="CL464" s="382">
        <f t="shared" si="880"/>
        <v>0.33928571428571419</v>
      </c>
      <c r="CM464" s="382">
        <f t="shared" si="880"/>
        <v>0.96</v>
      </c>
      <c r="CN464" s="382">
        <f t="shared" si="880"/>
        <v>0.23129251700680276</v>
      </c>
      <c r="CO464" s="382">
        <f t="shared" si="880"/>
        <v>-0.45303867403314912</v>
      </c>
      <c r="CP464" s="382">
        <f t="shared" si="880"/>
        <v>-0.29292929292929293</v>
      </c>
      <c r="CQ464" s="382">
        <f t="shared" si="880"/>
        <v>0.15714285714285725</v>
      </c>
      <c r="CR464" s="382">
        <f t="shared" si="880"/>
        <v>-0.18518518518518523</v>
      </c>
      <c r="CS464" s="382">
        <f t="shared" si="880"/>
        <v>-0.68181818181818188</v>
      </c>
      <c r="CT464" s="382">
        <f t="shared" si="880"/>
        <v>-0.2857142857142857</v>
      </c>
      <c r="CU464" s="382">
        <f t="shared" si="880"/>
        <v>-1.4666666666666668</v>
      </c>
      <c r="CV464" s="382">
        <f t="shared" si="880"/>
        <v>9</v>
      </c>
      <c r="CW464" s="382">
        <f t="shared" si="880"/>
        <v>0.21428571428571419</v>
      </c>
      <c r="CX464" s="382">
        <f t="shared" si="880"/>
        <v>0.62352941176470589</v>
      </c>
      <c r="CY464" s="382">
        <f t="shared" si="880"/>
        <v>-0.15217391304347827</v>
      </c>
      <c r="CZ464" s="382">
        <f t="shared" si="880"/>
        <v>-0.14529914529914534</v>
      </c>
      <c r="DA464" s="382">
        <f t="shared" si="880"/>
        <v>0.14999999999999991</v>
      </c>
      <c r="DB464" s="382">
        <f t="shared" si="880"/>
        <v>-0.86086956521739133</v>
      </c>
      <c r="DC464" s="382">
        <f t="shared" si="880"/>
        <v>0.375</v>
      </c>
      <c r="DD464" s="382">
        <f t="shared" si="880"/>
        <v>7.1363636363636367</v>
      </c>
      <c r="DE464" s="382">
        <f t="shared" si="880"/>
        <v>1.011173184357542</v>
      </c>
      <c r="DF464" s="382">
        <f t="shared" si="880"/>
        <v>-0.27222222222222225</v>
      </c>
      <c r="DG464" s="382">
        <f t="shared" si="880"/>
        <v>-0.23664122137404575</v>
      </c>
      <c r="DH464" s="382">
        <f t="shared" si="880"/>
        <v>0.91999999999999993</v>
      </c>
      <c r="DI464" s="382">
        <f t="shared" si="880"/>
        <v>9.375E-2</v>
      </c>
      <c r="DJ464" s="383">
        <f t="shared" si="880"/>
        <v>0.15476190476190466</v>
      </c>
      <c r="DK464" s="383">
        <f t="shared" si="880"/>
        <v>8.4536082474226726E-2</v>
      </c>
      <c r="DL464" s="383">
        <f t="shared" si="880"/>
        <v>-2.4714828897338448E-2</v>
      </c>
      <c r="DM464" s="391"/>
      <c r="DN464" s="391"/>
      <c r="DO464" s="391"/>
      <c r="DP464" s="391"/>
      <c r="DQ464" s="391"/>
      <c r="DR464" s="391"/>
      <c r="DS464" s="391"/>
      <c r="DT464" s="391"/>
      <c r="DU464" s="391"/>
      <c r="DV464" s="475"/>
      <c r="DW464" s="475"/>
      <c r="DX464" s="384"/>
      <c r="DY464" s="384"/>
      <c r="DZ464" s="384"/>
      <c r="EA464" s="384"/>
      <c r="EB464" s="384"/>
      <c r="EC464" s="384"/>
      <c r="ED464" s="384"/>
      <c r="EE464" s="384"/>
      <c r="EF464" s="384"/>
      <c r="EG464" s="384"/>
      <c r="EH464" s="384"/>
      <c r="EI464" s="384"/>
      <c r="EJ464" s="384"/>
      <c r="EK464" s="384"/>
      <c r="EL464" s="384"/>
      <c r="EM464" s="384"/>
      <c r="EN464" s="384"/>
      <c r="EO464" s="384"/>
      <c r="EP464" s="384"/>
      <c r="EQ464" s="384"/>
      <c r="ER464" s="384"/>
      <c r="ES464" s="384"/>
      <c r="ET464" s="384"/>
      <c r="EU464" s="384"/>
      <c r="EV464" s="384"/>
      <c r="EW464" s="384"/>
      <c r="FX464" s="384"/>
      <c r="FY464" s="384"/>
      <c r="FZ464" s="384"/>
      <c r="GA464" s="384"/>
      <c r="GB464" s="384"/>
      <c r="GC464" s="384"/>
      <c r="GD464" s="384"/>
      <c r="GE464" s="384"/>
      <c r="GF464" s="384"/>
      <c r="GG464" s="384"/>
      <c r="GH464" s="384"/>
      <c r="GI464" s="384"/>
      <c r="GJ464" s="384"/>
      <c r="GK464" s="384"/>
      <c r="GN464" s="70"/>
    </row>
    <row r="465" spans="1:196" s="382" customFormat="1">
      <c r="A465" s="381" t="s">
        <v>200</v>
      </c>
      <c r="CH465" s="382">
        <f>CH463/CD463-1</f>
        <v>-1.04</v>
      </c>
      <c r="CI465" s="382">
        <f t="shared" ref="CI465:CU465" si="881">CI463/CE463-1</f>
        <v>-0.7</v>
      </c>
      <c r="CJ465" s="382">
        <f t="shared" si="881"/>
        <v>-2.8888888888888888</v>
      </c>
      <c r="CK465" s="382">
        <f t="shared" si="881"/>
        <v>2.7333333333333334</v>
      </c>
      <c r="CL465" s="382">
        <f t="shared" si="881"/>
        <v>-26</v>
      </c>
      <c r="CM465" s="382">
        <f t="shared" si="881"/>
        <v>23.5</v>
      </c>
      <c r="CN465" s="382">
        <f t="shared" si="881"/>
        <v>9.6470588235294112</v>
      </c>
      <c r="CO465" s="382">
        <f t="shared" si="881"/>
        <v>0.76785714285714279</v>
      </c>
      <c r="CP465" s="382">
        <f t="shared" si="881"/>
        <v>-6.6666666666666652E-2</v>
      </c>
      <c r="CQ465" s="382">
        <f t="shared" si="881"/>
        <v>-0.44897959183673475</v>
      </c>
      <c r="CR465" s="382">
        <f t="shared" si="881"/>
        <v>-0.63535911602209949</v>
      </c>
      <c r="CS465" s="382">
        <f t="shared" si="881"/>
        <v>-0.78787878787878785</v>
      </c>
      <c r="CT465" s="382">
        <f t="shared" si="881"/>
        <v>-0.7857142857142857</v>
      </c>
      <c r="CU465" s="382">
        <f t="shared" si="881"/>
        <v>-1.0864197530864197</v>
      </c>
      <c r="CY465" s="382">
        <f t="shared" ref="CY465:DL465" si="882">CY463/CU463-1</f>
        <v>15.714285714285715</v>
      </c>
      <c r="CZ465" s="382">
        <f t="shared" si="882"/>
        <v>0.4285714285714286</v>
      </c>
      <c r="DA465" s="382">
        <f t="shared" si="882"/>
        <v>0.35294117647058831</v>
      </c>
      <c r="DB465" s="382">
        <f t="shared" si="882"/>
        <v>-0.88405797101449279</v>
      </c>
      <c r="DC465" s="382">
        <f t="shared" si="882"/>
        <v>-0.81196581196581197</v>
      </c>
      <c r="DD465" s="382">
        <f t="shared" si="882"/>
        <v>0.79</v>
      </c>
      <c r="DE465" s="382">
        <f t="shared" si="882"/>
        <v>2.1304347826086958</v>
      </c>
      <c r="DF465" s="382">
        <f t="shared" si="882"/>
        <v>15.375</v>
      </c>
      <c r="DG465" s="382">
        <f t="shared" si="882"/>
        <v>8.0909090909090917</v>
      </c>
      <c r="DH465" s="382">
        <f t="shared" si="882"/>
        <v>1.1452513966480447</v>
      </c>
      <c r="DI465" s="382">
        <f t="shared" si="882"/>
        <v>0.16666666666666674</v>
      </c>
      <c r="DJ465" s="383">
        <f t="shared" si="882"/>
        <v>0.85114503816793885</v>
      </c>
      <c r="DK465" s="383">
        <f t="shared" si="882"/>
        <v>1.63</v>
      </c>
      <c r="DL465" s="383">
        <f t="shared" si="882"/>
        <v>0.3359375</v>
      </c>
      <c r="DM465" s="391"/>
      <c r="DN465" s="391"/>
      <c r="DO465" s="391"/>
      <c r="DP465" s="391"/>
      <c r="DQ465" s="391"/>
      <c r="DR465" s="391"/>
      <c r="DS465" s="391"/>
      <c r="DT465" s="391"/>
      <c r="DU465" s="391"/>
      <c r="DV465" s="391"/>
      <c r="DW465" s="391"/>
      <c r="DX465" s="384"/>
      <c r="DY465" s="384"/>
      <c r="DZ465" s="384"/>
      <c r="EA465" s="384"/>
      <c r="EB465" s="384"/>
      <c r="EC465" s="384"/>
      <c r="ED465" s="384"/>
      <c r="EE465" s="384"/>
      <c r="EF465" s="384"/>
      <c r="EG465" s="384"/>
      <c r="EH465" s="384"/>
      <c r="EI465" s="384"/>
      <c r="EJ465" s="384"/>
      <c r="EK465" s="384"/>
      <c r="EL465" s="384"/>
      <c r="EM465" s="384"/>
      <c r="EN465" s="384"/>
      <c r="EO465" s="384"/>
      <c r="EP465" s="384"/>
      <c r="EQ465" s="384"/>
      <c r="ER465" s="384"/>
      <c r="ES465" s="384"/>
      <c r="ET465" s="384"/>
      <c r="EU465" s="384"/>
      <c r="EV465" s="384"/>
      <c r="EW465" s="384"/>
      <c r="FU465" s="386" t="s">
        <v>199</v>
      </c>
      <c r="FV465" s="386" t="s">
        <v>199</v>
      </c>
      <c r="FW465" s="386" t="s">
        <v>199</v>
      </c>
      <c r="FX465" s="386" t="s">
        <v>199</v>
      </c>
      <c r="FY465" s="382">
        <f>FY463/FX463-1</f>
        <v>2.1972789115646258</v>
      </c>
      <c r="FZ465" s="382">
        <f>FZ463/FY463-1</f>
        <v>1.6936170212765957</v>
      </c>
      <c r="GA465" s="384"/>
      <c r="GB465" s="384"/>
      <c r="GC465" s="384"/>
      <c r="GD465" s="384"/>
      <c r="GE465" s="384"/>
      <c r="GF465" s="384"/>
      <c r="GG465" s="384"/>
      <c r="GH465" s="384"/>
      <c r="GI465" s="384"/>
      <c r="GJ465" s="384"/>
      <c r="GK465" s="384"/>
      <c r="GN465" s="70"/>
    </row>
    <row r="466" spans="1:196" s="382" customFormat="1">
      <c r="A466" s="381" t="s">
        <v>315</v>
      </c>
      <c r="CD466" s="382">
        <f>CD463/CD188</f>
        <v>-8.2146768893756841E-2</v>
      </c>
      <c r="CE466" s="382">
        <f>CE463/CE188</f>
        <v>-2.0120724346076459E-2</v>
      </c>
      <c r="CF466" s="382">
        <f>CF463/CF188</f>
        <v>9.7297297297297292E-3</v>
      </c>
      <c r="CG466" s="382">
        <f>CG463/CG188</f>
        <v>-1.6891891891891893E-2</v>
      </c>
      <c r="CH466" s="382">
        <f>CH463/CH188</f>
        <v>3.4843205574912892E-3</v>
      </c>
      <c r="CI466" s="382">
        <f>CI463/CI188</f>
        <v>-7.246376811594203E-3</v>
      </c>
      <c r="CJ466" s="382">
        <f>CJ463/CJ188</f>
        <v>-2.176696542893726E-2</v>
      </c>
      <c r="CK466" s="382">
        <f>CK463/CK188</f>
        <v>-8.4592145015105744E-2</v>
      </c>
      <c r="CL466" s="382">
        <f>CL463/CL188</f>
        <v>-0.14097744360902256</v>
      </c>
      <c r="CM466" s="382">
        <f>CM463/CM188</f>
        <v>-0.38786279683377306</v>
      </c>
      <c r="CN466" s="382">
        <f>CN463/CN188</f>
        <v>-0.42688679245283018</v>
      </c>
      <c r="CO466" s="382">
        <f>CO463/CO188</f>
        <v>-0.21063829787234042</v>
      </c>
      <c r="CP466" s="382">
        <f>CP463/CP188</f>
        <v>-0.15217391304347827</v>
      </c>
      <c r="CQ466" s="382">
        <f>CQ463/CQ188</f>
        <v>-0.18620689655172415</v>
      </c>
      <c r="CR466" s="382">
        <f>CR463/CR188</f>
        <v>-0.13983050847457626</v>
      </c>
      <c r="CS466" s="382">
        <f>CS463/CS188</f>
        <v>-3.5000000000000003E-2</v>
      </c>
      <c r="CT466" s="382">
        <f>CT463/CT188</f>
        <v>-2.5295109612141653E-2</v>
      </c>
      <c r="CU466" s="382">
        <f>CU463/CU188</f>
        <v>1.0622154779969651E-2</v>
      </c>
      <c r="CV466" s="382">
        <f>CV463/CV188</f>
        <v>8.5470085470085472E-2</v>
      </c>
      <c r="CW466" s="382">
        <f>CW463/CW188</f>
        <v>8.8726513569937368E-2</v>
      </c>
      <c r="CX466" s="382">
        <f>CX463/CX188</f>
        <v>0.12376681614349776</v>
      </c>
      <c r="CY466" s="382">
        <f>CY463/CY188</f>
        <v>0.10773480662983426</v>
      </c>
      <c r="CZ466" s="382">
        <f>CZ463/CZ188</f>
        <v>0.10660980810234541</v>
      </c>
      <c r="DA466" s="382">
        <f>DA463/DA188</f>
        <v>0.11663286004056796</v>
      </c>
      <c r="DB466" s="382">
        <f>DB463/DB188</f>
        <v>1.9253910950661854E-2</v>
      </c>
      <c r="DC466" s="382">
        <f>DC463/DC188</f>
        <v>2.3404255319148935E-2</v>
      </c>
      <c r="DD466" s="382">
        <f>DD463/DD188</f>
        <v>0.14028213166144202</v>
      </c>
      <c r="DE466" s="382">
        <f>DE463/DE188</f>
        <v>0.21660649819494585</v>
      </c>
      <c r="DF466" s="382">
        <f>DF463/DF188</f>
        <v>0.18219749652294853</v>
      </c>
      <c r="DG466" s="382">
        <f>DG463/DG188</f>
        <v>0.14630577907827358</v>
      </c>
      <c r="DH466" s="382">
        <f>DH463/DH188</f>
        <v>0.23035392921415718</v>
      </c>
      <c r="DI466" s="382">
        <f>DI463/DI188</f>
        <v>0.21428571428571427</v>
      </c>
      <c r="DJ466" s="383">
        <f>DJ463/DJ188</f>
        <v>0.23095238095238096</v>
      </c>
      <c r="DK466" s="383">
        <f>DK463/DK188</f>
        <v>0.23377777777777778</v>
      </c>
      <c r="DL466" s="383">
        <f>DL463/DL188</f>
        <v>0.21392827356130109</v>
      </c>
      <c r="DM466" s="391"/>
      <c r="DN466" s="391"/>
      <c r="DO466" s="391"/>
      <c r="DP466" s="391"/>
      <c r="DQ466" s="391"/>
      <c r="DR466" s="391"/>
      <c r="DS466" s="391"/>
      <c r="DT466" s="391"/>
      <c r="DU466" s="391"/>
      <c r="DV466" s="391"/>
      <c r="DW466" s="391"/>
      <c r="DX466" s="384"/>
      <c r="DY466" s="384"/>
      <c r="DZ466" s="384"/>
      <c r="EA466" s="384"/>
      <c r="EB466" s="384"/>
      <c r="EC466" s="384"/>
      <c r="ED466" s="384"/>
      <c r="EE466" s="384"/>
      <c r="EF466" s="384"/>
      <c r="EG466" s="384"/>
      <c r="EH466" s="384"/>
      <c r="EI466" s="384"/>
      <c r="EJ466" s="384"/>
      <c r="EK466" s="384"/>
      <c r="EL466" s="384"/>
      <c r="EM466" s="384"/>
      <c r="EN466" s="384"/>
      <c r="EO466" s="384"/>
      <c r="EP466" s="384"/>
      <c r="EQ466" s="384"/>
      <c r="ER466" s="384"/>
      <c r="ES466" s="384"/>
      <c r="ET466" s="384"/>
      <c r="EU466" s="384"/>
      <c r="EV466" s="384"/>
      <c r="EW466" s="384"/>
      <c r="FT466" s="382">
        <f>FT463/FT188</f>
        <v>-2.7150537634408601E-2</v>
      </c>
      <c r="FU466" s="382">
        <f>FU463/FU188</f>
        <v>-2.4265644955300127E-2</v>
      </c>
      <c r="FV466" s="382">
        <f>FV463/FV188</f>
        <v>-0.27811634349030473</v>
      </c>
      <c r="FW466" s="382">
        <f>FW463/FW188</f>
        <v>-0.12099644128113879</v>
      </c>
      <c r="FX466" s="382">
        <f>FX463/FX188</f>
        <v>4.8530868273357543E-2</v>
      </c>
      <c r="FY466" s="382">
        <f>FY463/FY188</f>
        <v>0.11393939393939394</v>
      </c>
      <c r="FZ466" s="382">
        <f>FZ463/FZ188</f>
        <v>0.26884688893607983</v>
      </c>
      <c r="GA466" s="384"/>
      <c r="GB466" s="384"/>
      <c r="GC466" s="384"/>
      <c r="GD466" s="384"/>
      <c r="GE466" s="384"/>
      <c r="GF466" s="384"/>
      <c r="GG466" s="384"/>
      <c r="GH466" s="384"/>
      <c r="GI466" s="384"/>
      <c r="GJ466" s="384"/>
      <c r="GK466" s="384"/>
      <c r="GN466" s="70"/>
    </row>
    <row r="467" spans="1:196" s="376" customFormat="1">
      <c r="A467" s="376" t="s">
        <v>311</v>
      </c>
      <c r="CD467" s="376">
        <v>52</v>
      </c>
      <c r="CE467" s="376">
        <v>22</v>
      </c>
      <c r="CF467" s="376">
        <v>92</v>
      </c>
      <c r="CG467" s="376">
        <v>129</v>
      </c>
      <c r="CH467" s="376">
        <v>85</v>
      </c>
      <c r="CI467" s="376">
        <v>97</v>
      </c>
      <c r="CJ467" s="376">
        <v>108</v>
      </c>
      <c r="CK467" s="376">
        <v>109</v>
      </c>
      <c r="CL467" s="376">
        <v>45</v>
      </c>
      <c r="CM467" s="376">
        <v>27</v>
      </c>
      <c r="CN467" s="376">
        <v>84</v>
      </c>
      <c r="CO467" s="376">
        <v>59</v>
      </c>
      <c r="CP467" s="376">
        <v>16</v>
      </c>
      <c r="CQ467" s="376">
        <v>84</v>
      </c>
      <c r="CR467" s="376">
        <v>136</v>
      </c>
      <c r="CS467" s="376">
        <v>47</v>
      </c>
      <c r="CT467" s="376">
        <v>9</v>
      </c>
      <c r="CU467" s="376">
        <v>42</v>
      </c>
      <c r="CV467" s="376">
        <v>84</v>
      </c>
      <c r="CW467" s="376">
        <v>19</v>
      </c>
      <c r="CX467" s="376">
        <v>14</v>
      </c>
      <c r="CY467" s="376">
        <v>69</v>
      </c>
      <c r="CZ467" s="376">
        <v>86</v>
      </c>
      <c r="DA467" s="376">
        <v>-6</v>
      </c>
      <c r="DB467" s="376">
        <v>68</v>
      </c>
      <c r="DC467" s="376">
        <v>89</v>
      </c>
      <c r="DD467" s="376">
        <v>61</v>
      </c>
      <c r="DE467" s="376">
        <v>45</v>
      </c>
      <c r="DF467" s="376">
        <v>-26</v>
      </c>
      <c r="DG467" s="376">
        <v>33</v>
      </c>
      <c r="DH467" s="376">
        <v>141</v>
      </c>
      <c r="DI467" s="376">
        <v>243</v>
      </c>
      <c r="DJ467" s="397">
        <v>277</v>
      </c>
      <c r="DK467" s="397">
        <v>398</v>
      </c>
      <c r="DL467" s="397">
        <v>542</v>
      </c>
      <c r="DM467" s="410"/>
      <c r="DN467" s="410"/>
      <c r="DO467" s="410"/>
      <c r="DP467" s="410"/>
      <c r="DQ467" s="410"/>
      <c r="DR467" s="410"/>
      <c r="DS467" s="410"/>
      <c r="DT467" s="410"/>
      <c r="DU467" s="410"/>
      <c r="DV467" s="410"/>
      <c r="DW467" s="410"/>
      <c r="DX467" s="380"/>
      <c r="DY467" s="380"/>
      <c r="DZ467" s="380"/>
      <c r="EA467" s="380"/>
      <c r="EB467" s="380"/>
      <c r="EC467" s="380"/>
      <c r="ED467" s="380"/>
      <c r="EE467" s="380"/>
      <c r="EF467" s="380"/>
      <c r="EG467" s="380"/>
      <c r="EH467" s="380"/>
      <c r="EI467" s="380"/>
      <c r="EJ467" s="380"/>
      <c r="EK467" s="380"/>
      <c r="EL467" s="380"/>
      <c r="EM467" s="380"/>
      <c r="EN467" s="380"/>
      <c r="EO467" s="380"/>
      <c r="EP467" s="380"/>
      <c r="EQ467" s="380"/>
      <c r="ER467" s="380"/>
      <c r="ES467" s="380"/>
      <c r="ET467" s="380"/>
      <c r="EU467" s="380"/>
      <c r="EV467" s="380"/>
      <c r="EW467" s="380"/>
      <c r="FT467" s="376">
        <f>CD467+CE467+CF467+CG467</f>
        <v>295</v>
      </c>
      <c r="FU467" s="376">
        <f>CH467+CI467+CJ467+CK467</f>
        <v>399</v>
      </c>
      <c r="FV467" s="376">
        <f>CL467+CM467+CN467+CO467</f>
        <v>215</v>
      </c>
      <c r="FW467" s="376">
        <f>CP467+CQ467+CR467+CS467</f>
        <v>283</v>
      </c>
      <c r="FX467" s="376">
        <f>CT467+CU467+CV467+CW467</f>
        <v>154</v>
      </c>
      <c r="FY467" s="376">
        <f>CX467+CY467+CZ467+DA467</f>
        <v>163</v>
      </c>
      <c r="FZ467" s="376">
        <f>DF467+DG467+DH467+DI467</f>
        <v>391</v>
      </c>
      <c r="GA467" s="380"/>
      <c r="GB467" s="380"/>
      <c r="GC467" s="380"/>
      <c r="GD467" s="380"/>
      <c r="GE467" s="380"/>
      <c r="GF467" s="380"/>
      <c r="GG467" s="380"/>
      <c r="GH467" s="380"/>
      <c r="GI467" s="380"/>
      <c r="GJ467" s="380"/>
      <c r="GK467" s="380"/>
      <c r="GN467" s="70"/>
    </row>
    <row r="468" spans="1:196" s="382" customFormat="1">
      <c r="A468" s="381" t="s">
        <v>198</v>
      </c>
      <c r="CE468" s="382">
        <f t="shared" ref="CE468:DL468" si="883">CE467/CD467-1</f>
        <v>-0.57692307692307687</v>
      </c>
      <c r="CF468" s="382">
        <f t="shared" si="883"/>
        <v>3.1818181818181817</v>
      </c>
      <c r="CG468" s="382">
        <f t="shared" si="883"/>
        <v>0.40217391304347827</v>
      </c>
      <c r="CH468" s="382">
        <f t="shared" si="883"/>
        <v>-0.34108527131782951</v>
      </c>
      <c r="CI468" s="382">
        <f t="shared" si="883"/>
        <v>0.14117647058823524</v>
      </c>
      <c r="CJ468" s="382">
        <f t="shared" si="883"/>
        <v>0.11340206185567014</v>
      </c>
      <c r="CK468" s="382">
        <f t="shared" si="883"/>
        <v>9.2592592592593004E-3</v>
      </c>
      <c r="CL468" s="382">
        <f t="shared" si="883"/>
        <v>-0.58715596330275233</v>
      </c>
      <c r="CM468" s="382">
        <f t="shared" si="883"/>
        <v>-0.4</v>
      </c>
      <c r="CN468" s="382">
        <f t="shared" si="883"/>
        <v>2.1111111111111112</v>
      </c>
      <c r="CO468" s="382">
        <f t="shared" si="883"/>
        <v>-0.29761904761904767</v>
      </c>
      <c r="CP468" s="382">
        <f t="shared" si="883"/>
        <v>-0.72881355932203395</v>
      </c>
      <c r="CQ468" s="382">
        <f t="shared" si="883"/>
        <v>4.25</v>
      </c>
      <c r="CR468" s="382">
        <f t="shared" si="883"/>
        <v>0.61904761904761907</v>
      </c>
      <c r="CS468" s="382">
        <f t="shared" si="883"/>
        <v>-0.65441176470588236</v>
      </c>
      <c r="CT468" s="382">
        <f t="shared" si="883"/>
        <v>-0.8085106382978724</v>
      </c>
      <c r="CU468" s="382">
        <f t="shared" si="883"/>
        <v>3.666666666666667</v>
      </c>
      <c r="CV468" s="382">
        <f t="shared" si="883"/>
        <v>1</v>
      </c>
      <c r="CW468" s="382">
        <f t="shared" si="883"/>
        <v>-0.77380952380952384</v>
      </c>
      <c r="CX468" s="382">
        <f t="shared" si="883"/>
        <v>-0.26315789473684215</v>
      </c>
      <c r="CY468" s="382">
        <f t="shared" si="883"/>
        <v>3.9285714285714288</v>
      </c>
      <c r="CZ468" s="382">
        <f t="shared" si="883"/>
        <v>0.24637681159420288</v>
      </c>
      <c r="DA468" s="382">
        <f t="shared" si="883"/>
        <v>-1.069767441860465</v>
      </c>
      <c r="DC468" s="382">
        <f t="shared" si="883"/>
        <v>0.30882352941176472</v>
      </c>
      <c r="DD468" s="382">
        <f t="shared" si="883"/>
        <v>-0.3146067415730337</v>
      </c>
      <c r="DE468" s="382">
        <f t="shared" si="883"/>
        <v>-0.26229508196721307</v>
      </c>
      <c r="DF468" s="382">
        <f t="shared" si="883"/>
        <v>-1.5777777777777777</v>
      </c>
      <c r="DG468" s="382">
        <f t="shared" si="883"/>
        <v>-2.2692307692307692</v>
      </c>
      <c r="DH468" s="382">
        <f t="shared" si="883"/>
        <v>3.2727272727272725</v>
      </c>
      <c r="DI468" s="382">
        <f t="shared" si="883"/>
        <v>0.72340425531914887</v>
      </c>
      <c r="DJ468" s="383">
        <f t="shared" si="883"/>
        <v>0.13991769547325106</v>
      </c>
      <c r="DK468" s="383">
        <f t="shared" si="883"/>
        <v>0.43682310469314078</v>
      </c>
      <c r="DL468" s="383">
        <f t="shared" si="883"/>
        <v>0.36180904522613067</v>
      </c>
      <c r="DM468" s="391"/>
      <c r="DN468" s="391"/>
      <c r="DO468" s="391"/>
      <c r="DP468" s="391"/>
      <c r="DQ468" s="391"/>
      <c r="DR468" s="391"/>
      <c r="DS468" s="391"/>
      <c r="DT468" s="391"/>
      <c r="DU468" s="391"/>
      <c r="DV468" s="391"/>
      <c r="DW468" s="391"/>
      <c r="DX468" s="384"/>
      <c r="DY468" s="384"/>
      <c r="DZ468" s="384"/>
      <c r="EA468" s="384"/>
      <c r="EB468" s="384"/>
      <c r="EC468" s="384"/>
      <c r="ED468" s="384"/>
      <c r="EE468" s="384"/>
      <c r="EF468" s="384"/>
      <c r="EG468" s="384"/>
      <c r="EH468" s="384"/>
      <c r="EI468" s="384"/>
      <c r="EJ468" s="384"/>
      <c r="EK468" s="384"/>
      <c r="EL468" s="384"/>
      <c r="EM468" s="384"/>
      <c r="EN468" s="384"/>
      <c r="EO468" s="384"/>
      <c r="EP468" s="384"/>
      <c r="EQ468" s="384"/>
      <c r="ER468" s="384"/>
      <c r="ES468" s="384"/>
      <c r="ET468" s="384"/>
      <c r="EU468" s="384"/>
      <c r="EV468" s="384"/>
      <c r="EW468" s="384"/>
      <c r="FX468" s="384"/>
      <c r="FY468" s="384"/>
      <c r="FZ468" s="384"/>
      <c r="GA468" s="384"/>
      <c r="GB468" s="384"/>
      <c r="GC468" s="384"/>
      <c r="GD468" s="384"/>
      <c r="GE468" s="384"/>
      <c r="GF468" s="384"/>
      <c r="GG468" s="384"/>
      <c r="GH468" s="384"/>
      <c r="GI468" s="384"/>
      <c r="GJ468" s="384"/>
      <c r="GK468" s="384"/>
      <c r="GN468" s="70"/>
    </row>
    <row r="469" spans="1:196" s="382" customFormat="1">
      <c r="A469" s="381" t="s">
        <v>200</v>
      </c>
      <c r="CH469" s="382">
        <f t="shared" ref="CH469:DL469" si="884">CH467/CD467-1</f>
        <v>0.63461538461538458</v>
      </c>
      <c r="CI469" s="382">
        <f t="shared" si="884"/>
        <v>3.4090909090909092</v>
      </c>
      <c r="CJ469" s="382">
        <f t="shared" si="884"/>
        <v>0.17391304347826098</v>
      </c>
      <c r="CK469" s="382">
        <f t="shared" si="884"/>
        <v>-0.15503875968992253</v>
      </c>
      <c r="CL469" s="382">
        <f t="shared" si="884"/>
        <v>-0.47058823529411764</v>
      </c>
      <c r="CM469" s="382">
        <f t="shared" si="884"/>
        <v>-0.72164948453608246</v>
      </c>
      <c r="CN469" s="382">
        <f t="shared" si="884"/>
        <v>-0.22222222222222221</v>
      </c>
      <c r="CO469" s="382">
        <f t="shared" si="884"/>
        <v>-0.45871559633027525</v>
      </c>
      <c r="CP469" s="382">
        <f t="shared" si="884"/>
        <v>-0.64444444444444438</v>
      </c>
      <c r="CQ469" s="382">
        <f t="shared" si="884"/>
        <v>2.1111111111111112</v>
      </c>
      <c r="CR469" s="382">
        <f t="shared" si="884"/>
        <v>0.61904761904761907</v>
      </c>
      <c r="CS469" s="382">
        <f t="shared" si="884"/>
        <v>-0.20338983050847459</v>
      </c>
      <c r="CT469" s="382">
        <f t="shared" si="884"/>
        <v>-0.4375</v>
      </c>
      <c r="CU469" s="382">
        <f t="shared" si="884"/>
        <v>-0.5</v>
      </c>
      <c r="CV469" s="382">
        <f t="shared" si="884"/>
        <v>-0.38235294117647056</v>
      </c>
      <c r="CW469" s="382">
        <f t="shared" si="884"/>
        <v>-0.5957446808510638</v>
      </c>
      <c r="CX469" s="382">
        <f t="shared" si="884"/>
        <v>0.55555555555555558</v>
      </c>
      <c r="CY469" s="382">
        <f t="shared" si="884"/>
        <v>0.64285714285714279</v>
      </c>
      <c r="CZ469" s="382">
        <f t="shared" si="884"/>
        <v>2.3809523809523725E-2</v>
      </c>
      <c r="DA469" s="382">
        <f t="shared" si="884"/>
        <v>-1.3157894736842106</v>
      </c>
      <c r="DB469" s="382">
        <f t="shared" si="884"/>
        <v>3.8571428571428568</v>
      </c>
      <c r="DC469" s="382">
        <f t="shared" si="884"/>
        <v>0.28985507246376807</v>
      </c>
      <c r="DD469" s="382">
        <f t="shared" si="884"/>
        <v>-0.29069767441860461</v>
      </c>
      <c r="DE469" s="382">
        <f t="shared" si="884"/>
        <v>-8.5</v>
      </c>
      <c r="DF469" s="382">
        <f t="shared" si="884"/>
        <v>-1.3823529411764706</v>
      </c>
      <c r="DG469" s="382">
        <f t="shared" si="884"/>
        <v>-0.6292134831460674</v>
      </c>
      <c r="DH469" s="382">
        <f t="shared" si="884"/>
        <v>1.3114754098360657</v>
      </c>
      <c r="DI469" s="382">
        <f t="shared" si="884"/>
        <v>4.4000000000000004</v>
      </c>
      <c r="DJ469" s="383">
        <f t="shared" si="884"/>
        <v>-11.653846153846153</v>
      </c>
      <c r="DK469" s="383">
        <f t="shared" si="884"/>
        <v>11.060606060606061</v>
      </c>
      <c r="DL469" s="383">
        <f t="shared" si="884"/>
        <v>2.8439716312056738</v>
      </c>
      <c r="DM469" s="391"/>
      <c r="DN469" s="391"/>
      <c r="DO469" s="391"/>
      <c r="DP469" s="391"/>
      <c r="DQ469" s="391"/>
      <c r="DR469" s="391"/>
      <c r="DS469" s="391"/>
      <c r="DT469" s="391"/>
      <c r="DU469" s="391"/>
      <c r="DV469" s="391"/>
      <c r="DW469" s="391"/>
      <c r="DX469" s="384"/>
      <c r="DY469" s="384"/>
      <c r="DZ469" s="384"/>
      <c r="EA469" s="384"/>
      <c r="EB469" s="384"/>
      <c r="EC469" s="384"/>
      <c r="ED469" s="384"/>
      <c r="EE469" s="384"/>
      <c r="EF469" s="384"/>
      <c r="EG469" s="384"/>
      <c r="EH469" s="384"/>
      <c r="EI469" s="384"/>
      <c r="EJ469" s="384"/>
      <c r="EK469" s="384"/>
      <c r="EL469" s="384"/>
      <c r="EM469" s="384"/>
      <c r="EN469" s="384"/>
      <c r="EO469" s="384"/>
      <c r="EP469" s="384"/>
      <c r="EQ469" s="384"/>
      <c r="ER469" s="384"/>
      <c r="ES469" s="384"/>
      <c r="ET469" s="384"/>
      <c r="EU469" s="384"/>
      <c r="EV469" s="384"/>
      <c r="EW469" s="384"/>
      <c r="FU469" s="382">
        <f t="shared" ref="FU469:FZ469" si="885">FU467/FT467-1</f>
        <v>0.35254237288135593</v>
      </c>
      <c r="FV469" s="382">
        <f t="shared" si="885"/>
        <v>-0.46115288220551376</v>
      </c>
      <c r="FW469" s="382">
        <f t="shared" si="885"/>
        <v>0.3162790697674418</v>
      </c>
      <c r="FX469" s="382">
        <f t="shared" si="885"/>
        <v>-0.45583038869257952</v>
      </c>
      <c r="FY469" s="382">
        <f t="shared" si="885"/>
        <v>5.8441558441558517E-2</v>
      </c>
      <c r="FZ469" s="382">
        <f t="shared" si="885"/>
        <v>1.3987730061349692</v>
      </c>
      <c r="GA469" s="384"/>
      <c r="GB469" s="384"/>
      <c r="GC469" s="384"/>
      <c r="GD469" s="384"/>
      <c r="GE469" s="384"/>
      <c r="GF469" s="384"/>
      <c r="GG469" s="384"/>
      <c r="GH469" s="384"/>
      <c r="GI469" s="384"/>
      <c r="GJ469" s="384"/>
      <c r="GK469" s="384"/>
      <c r="GN469" s="70"/>
    </row>
    <row r="470" spans="1:196" s="382" customFormat="1">
      <c r="A470" s="381" t="s">
        <v>315</v>
      </c>
      <c r="CD470" s="382">
        <f>CD467/CD321</f>
        <v>0.29714285714285715</v>
      </c>
      <c r="CE470" s="382">
        <f>CE467/CE321</f>
        <v>0.1317365269461078</v>
      </c>
      <c r="CF470" s="382">
        <f>CF467/CF321</f>
        <v>0.17164179104477612</v>
      </c>
      <c r="CG470" s="382">
        <f>CG467/CG321</f>
        <v>0.18402282453637661</v>
      </c>
      <c r="CH470" s="382">
        <f>CH467/CH321</f>
        <v>0.15858208955223882</v>
      </c>
      <c r="CI470" s="382">
        <f>CI467/CI321</f>
        <v>0.15823817292006526</v>
      </c>
      <c r="CJ470" s="382">
        <f>CJ467/CJ321</f>
        <v>0.16666666666666666</v>
      </c>
      <c r="CK470" s="382">
        <f>CK467/CK321</f>
        <v>0.18890814558058924</v>
      </c>
      <c r="CL470" s="382">
        <f>CL467/CL321</f>
        <v>9.036144578313253E-2</v>
      </c>
      <c r="CM470" s="382">
        <f>CM467/CM321</f>
        <v>4.7957371225577264E-2</v>
      </c>
      <c r="CN470" s="382">
        <f>CN467/CN321</f>
        <v>0.13186813186813187</v>
      </c>
      <c r="CO470" s="382">
        <f>CO467/CO321</f>
        <v>0.12090163934426229</v>
      </c>
      <c r="CP470" s="382">
        <f>CP467/CP321</f>
        <v>4.3010752688172046E-2</v>
      </c>
      <c r="CQ470" s="382">
        <f>CQ467/CQ321</f>
        <v>0.14189189189189189</v>
      </c>
      <c r="CR470" s="382">
        <f>CR467/CR321</f>
        <v>0.16287425149700599</v>
      </c>
      <c r="CS470" s="382">
        <f>CS467/CS321</f>
        <v>9.2885375494071151E-2</v>
      </c>
      <c r="CT470" s="382">
        <f>CT467/CT321</f>
        <v>2.3017902813299233E-2</v>
      </c>
      <c r="CU470" s="382">
        <f>CU467/CU321</f>
        <v>7.460035523978685E-2</v>
      </c>
      <c r="CV470" s="382">
        <f>CV467/CV321</f>
        <v>0.10194174757281553</v>
      </c>
      <c r="CW470" s="382">
        <f>CW467/CW321</f>
        <v>3.6398467432950193E-2</v>
      </c>
      <c r="CX470" s="382">
        <f>CX467/CX321</f>
        <v>2.6315789473684209E-2</v>
      </c>
      <c r="CY470" s="382">
        <f>CY467/CY321</f>
        <v>0.10298507462686567</v>
      </c>
      <c r="CZ470" s="382">
        <f>CZ467/CZ321</f>
        <v>0.12027972027972028</v>
      </c>
      <c r="DA470" s="382">
        <f>DA467/DA321</f>
        <v>-1.3856812933025405E-2</v>
      </c>
      <c r="DB470" s="382">
        <f>DB467/DB321</f>
        <v>0.15419501133786848</v>
      </c>
      <c r="DC470" s="382">
        <f>DC467/DC321</f>
        <v>0.15059221658206429</v>
      </c>
      <c r="DD470" s="382">
        <f>DD467/DD321</f>
        <v>0.11619047619047619</v>
      </c>
      <c r="DE470" s="382">
        <f>DE467/DE321</f>
        <v>9.6774193548387094E-2</v>
      </c>
      <c r="DF470" s="382">
        <f>DF467/DF321</f>
        <v>-7.4712643678160925E-2</v>
      </c>
      <c r="DG470" s="382">
        <f>DG467/DG321</f>
        <v>5.8407079646017698E-2</v>
      </c>
      <c r="DH470" s="382">
        <f>DH467/DH321</f>
        <v>0.12433862433862433</v>
      </c>
      <c r="DI470" s="382">
        <f>DI467/DI321</f>
        <v>0.18925233644859812</v>
      </c>
      <c r="DJ470" s="383">
        <f>DJ467/DJ321</f>
        <v>0.20594795539033459</v>
      </c>
      <c r="DK470" s="383">
        <f>DK467/DK321</f>
        <v>0.24875</v>
      </c>
      <c r="DL470" s="383">
        <f>DL467/DL321</f>
        <v>0.28302872062663187</v>
      </c>
      <c r="DM470" s="391"/>
      <c r="DN470" s="391"/>
      <c r="DO470" s="391"/>
      <c r="DP470" s="391"/>
      <c r="DQ470" s="391"/>
      <c r="DR470" s="391"/>
      <c r="DS470" s="391"/>
      <c r="DT470" s="391"/>
      <c r="DU470" s="391"/>
      <c r="DV470" s="391"/>
      <c r="DW470" s="391"/>
      <c r="DX470" s="384"/>
      <c r="DY470" s="384"/>
      <c r="DZ470" s="384"/>
      <c r="EA470" s="384"/>
      <c r="EB470" s="384"/>
      <c r="EC470" s="384"/>
      <c r="ED470" s="384"/>
      <c r="EE470" s="384"/>
      <c r="EF470" s="384"/>
      <c r="EG470" s="384"/>
      <c r="EH470" s="384"/>
      <c r="EI470" s="384"/>
      <c r="EJ470" s="384"/>
      <c r="EK470" s="384"/>
      <c r="EL470" s="384"/>
      <c r="EM470" s="384"/>
      <c r="EN470" s="384"/>
      <c r="EO470" s="384"/>
      <c r="EP470" s="384"/>
      <c r="EQ470" s="384"/>
      <c r="ER470" s="384"/>
      <c r="ES470" s="384"/>
      <c r="ET470" s="384"/>
      <c r="EU470" s="384"/>
      <c r="EV470" s="384"/>
      <c r="EW470" s="384"/>
      <c r="FT470" s="382">
        <f>FT467/FT321</f>
        <v>0.18682710576314124</v>
      </c>
      <c r="FU470" s="382">
        <f>FU467/FU321</f>
        <v>0.16807076663858467</v>
      </c>
      <c r="FV470" s="382">
        <f>FV467/FV321</f>
        <v>9.835315645013723E-2</v>
      </c>
      <c r="FW470" s="382">
        <f>FW467/FW321</f>
        <v>0.1227765726681128</v>
      </c>
      <c r="FX470" s="382">
        <f>FX467/FX321</f>
        <v>6.6956521739130428E-2</v>
      </c>
      <c r="FY470" s="382">
        <f>FY467/FY321</f>
        <v>6.9361702127659575E-2</v>
      </c>
      <c r="FZ470" s="382">
        <f>FZ467/FZ321</f>
        <v>0.1933728981206726</v>
      </c>
      <c r="GA470" s="384"/>
      <c r="GB470" s="384"/>
      <c r="GC470" s="384"/>
      <c r="GD470" s="384"/>
      <c r="GE470" s="384"/>
      <c r="GF470" s="384"/>
      <c r="GG470" s="384"/>
      <c r="GH470" s="384"/>
      <c r="GI470" s="384"/>
      <c r="GJ470" s="384"/>
      <c r="GK470" s="384"/>
      <c r="GN470" s="70"/>
    </row>
    <row r="471" spans="1:196" s="376" customFormat="1">
      <c r="A471" s="376" t="s">
        <v>316</v>
      </c>
      <c r="CD471" s="376">
        <v>-75</v>
      </c>
      <c r="CE471" s="376">
        <v>-31</v>
      </c>
      <c r="CF471" s="376">
        <v>-6</v>
      </c>
      <c r="CG471" s="376">
        <v>21</v>
      </c>
      <c r="CH471" s="376">
        <v>-39</v>
      </c>
      <c r="CI471" s="376">
        <v>-28</v>
      </c>
      <c r="CJ471" s="376">
        <v>-28</v>
      </c>
      <c r="CK471" s="376">
        <v>-383</v>
      </c>
      <c r="CL471" s="376">
        <v>-107</v>
      </c>
      <c r="CM471" s="376">
        <v>-17</v>
      </c>
      <c r="CN471" s="376">
        <v>-61</v>
      </c>
      <c r="CO471" s="376">
        <v>-9</v>
      </c>
      <c r="CP471" s="376">
        <v>-14</v>
      </c>
      <c r="CQ471" s="376">
        <v>-11</v>
      </c>
      <c r="CR471" s="376">
        <v>-363</v>
      </c>
      <c r="CS471" s="376">
        <v>-29</v>
      </c>
      <c r="CT471" s="376">
        <v>-23</v>
      </c>
      <c r="CU471" s="376">
        <v>-24</v>
      </c>
      <c r="CV471" s="376">
        <v>-28</v>
      </c>
      <c r="CW471" s="376">
        <v>-22</v>
      </c>
      <c r="CX471" s="376">
        <v>-32</v>
      </c>
      <c r="CY471" s="376">
        <v>-32</v>
      </c>
      <c r="CZ471" s="376">
        <v>-36</v>
      </c>
      <c r="DA471" s="376">
        <v>-81</v>
      </c>
      <c r="DB471" s="376">
        <v>-46</v>
      </c>
      <c r="DC471" s="376">
        <v>-52</v>
      </c>
      <c r="DD471" s="376">
        <v>-54</v>
      </c>
      <c r="DE471" s="376">
        <v>57</v>
      </c>
      <c r="DF471" s="376">
        <v>-59</v>
      </c>
      <c r="DG471" s="376">
        <v>-60</v>
      </c>
      <c r="DH471" s="376">
        <v>-76</v>
      </c>
      <c r="DI471" s="376">
        <v>-93</v>
      </c>
      <c r="DJ471" s="397">
        <v>-100</v>
      </c>
      <c r="DK471" s="397">
        <v>-93</v>
      </c>
      <c r="DL471" s="397">
        <v>-107</v>
      </c>
      <c r="DM471" s="410"/>
      <c r="DN471" s="410"/>
      <c r="DO471" s="410"/>
      <c r="DP471" s="410"/>
      <c r="DQ471" s="410"/>
      <c r="DR471" s="410"/>
      <c r="DS471" s="410"/>
      <c r="DT471" s="410"/>
      <c r="DU471" s="410"/>
      <c r="DV471" s="410"/>
      <c r="DW471" s="410"/>
      <c r="DX471" s="380"/>
      <c r="DY471" s="380"/>
      <c r="DZ471" s="380"/>
      <c r="EA471" s="380"/>
      <c r="EB471" s="380"/>
      <c r="EC471" s="380"/>
      <c r="ED471" s="380"/>
      <c r="EE471" s="380"/>
      <c r="EF471" s="380"/>
      <c r="EG471" s="380"/>
      <c r="EH471" s="380"/>
      <c r="EI471" s="380"/>
      <c r="EJ471" s="380"/>
      <c r="EK471" s="380"/>
      <c r="EL471" s="380"/>
      <c r="EM471" s="380"/>
      <c r="EN471" s="380"/>
      <c r="EO471" s="380"/>
      <c r="EP471" s="380"/>
      <c r="EQ471" s="380"/>
      <c r="ER471" s="380"/>
      <c r="ES471" s="380"/>
      <c r="ET471" s="380"/>
      <c r="EU471" s="380"/>
      <c r="EV471" s="380"/>
      <c r="EW471" s="380"/>
      <c r="FT471" s="376">
        <f>CD471+CE471+CF471+CG471</f>
        <v>-91</v>
      </c>
      <c r="FU471" s="376">
        <f>CH471+CI471+CJ471+CK471</f>
        <v>-478</v>
      </c>
      <c r="FV471" s="376">
        <f>CL471+CM471+CN471+CO471</f>
        <v>-194</v>
      </c>
      <c r="FW471" s="376">
        <f>CP471+CQ471+CR471+CS471</f>
        <v>-417</v>
      </c>
      <c r="FX471" s="376">
        <f>CT471+CU471+CV471+CW471</f>
        <v>-97</v>
      </c>
      <c r="FY471" s="376">
        <f>CX471+CY471+CZ471+DA471</f>
        <v>-181</v>
      </c>
      <c r="FZ471" s="376">
        <f>DF471+DG471+DH471+DI471</f>
        <v>-288</v>
      </c>
      <c r="GA471" s="380"/>
      <c r="GB471" s="380"/>
      <c r="GC471" s="380"/>
      <c r="GD471" s="380"/>
      <c r="GE471" s="380"/>
      <c r="GF471" s="380"/>
      <c r="GG471" s="380"/>
      <c r="GH471" s="380"/>
      <c r="GI471" s="380"/>
      <c r="GJ471" s="380"/>
      <c r="GK471" s="380"/>
      <c r="GN471" s="70"/>
    </row>
    <row r="472" spans="1:196" s="382" customFormat="1">
      <c r="A472" s="381" t="s">
        <v>198</v>
      </c>
      <c r="CE472" s="382">
        <f t="shared" ref="CE472:DL472" si="886">CE471/CD471-1</f>
        <v>-0.58666666666666667</v>
      </c>
      <c r="CF472" s="382">
        <f t="shared" si="886"/>
        <v>-0.80645161290322576</v>
      </c>
      <c r="CG472" s="382">
        <f t="shared" si="886"/>
        <v>-4.5</v>
      </c>
      <c r="CH472" s="382">
        <f t="shared" si="886"/>
        <v>-2.8571428571428572</v>
      </c>
      <c r="CI472" s="382">
        <f t="shared" si="886"/>
        <v>-0.28205128205128205</v>
      </c>
      <c r="CJ472" s="382">
        <f t="shared" si="886"/>
        <v>0</v>
      </c>
      <c r="CK472" s="382">
        <f t="shared" si="886"/>
        <v>12.678571428571429</v>
      </c>
      <c r="CL472" s="382">
        <f t="shared" si="886"/>
        <v>-0.72062663185378595</v>
      </c>
      <c r="CM472" s="382">
        <f t="shared" si="886"/>
        <v>-0.84112149532710279</v>
      </c>
      <c r="CN472" s="382">
        <f t="shared" si="886"/>
        <v>2.5882352941176472</v>
      </c>
      <c r="CO472" s="382">
        <f t="shared" si="886"/>
        <v>-0.85245901639344268</v>
      </c>
      <c r="CP472" s="382">
        <f t="shared" si="886"/>
        <v>0.55555555555555558</v>
      </c>
      <c r="CQ472" s="382">
        <f t="shared" si="886"/>
        <v>-0.2142857142857143</v>
      </c>
      <c r="CR472" s="382">
        <f t="shared" si="886"/>
        <v>32</v>
      </c>
      <c r="CS472" s="382">
        <f t="shared" si="886"/>
        <v>-0.92011019283746553</v>
      </c>
      <c r="CT472" s="382">
        <f t="shared" si="886"/>
        <v>-0.2068965517241379</v>
      </c>
      <c r="CU472" s="382">
        <f t="shared" si="886"/>
        <v>4.3478260869565188E-2</v>
      </c>
      <c r="CV472" s="382">
        <f t="shared" si="886"/>
        <v>0.16666666666666674</v>
      </c>
      <c r="CW472" s="382">
        <f t="shared" si="886"/>
        <v>-0.2142857142857143</v>
      </c>
      <c r="CX472" s="382">
        <f t="shared" si="886"/>
        <v>0.45454545454545459</v>
      </c>
      <c r="CY472" s="382">
        <f t="shared" si="886"/>
        <v>0</v>
      </c>
      <c r="CZ472" s="382">
        <f t="shared" si="886"/>
        <v>0.125</v>
      </c>
      <c r="DA472" s="382">
        <f t="shared" si="886"/>
        <v>1.25</v>
      </c>
      <c r="DB472" s="382">
        <f t="shared" si="886"/>
        <v>-0.4320987654320988</v>
      </c>
      <c r="DC472" s="382">
        <f t="shared" si="886"/>
        <v>0.13043478260869557</v>
      </c>
      <c r="DD472" s="382">
        <f t="shared" si="886"/>
        <v>3.8461538461538547E-2</v>
      </c>
      <c r="DE472" s="382">
        <f t="shared" si="886"/>
        <v>-2.0555555555555554</v>
      </c>
      <c r="DF472" s="382">
        <f t="shared" si="886"/>
        <v>-2.0350877192982457</v>
      </c>
      <c r="DG472" s="382">
        <f t="shared" si="886"/>
        <v>1.6949152542372836E-2</v>
      </c>
      <c r="DH472" s="382">
        <f t="shared" si="886"/>
        <v>0.26666666666666661</v>
      </c>
      <c r="DI472" s="382">
        <f t="shared" si="886"/>
        <v>0.22368421052631571</v>
      </c>
      <c r="DJ472" s="383">
        <f t="shared" si="886"/>
        <v>7.5268817204301008E-2</v>
      </c>
      <c r="DK472" s="383">
        <f t="shared" si="886"/>
        <v>-6.9999999999999951E-2</v>
      </c>
      <c r="DL472" s="383">
        <f t="shared" si="886"/>
        <v>0.15053763440860224</v>
      </c>
      <c r="DM472" s="391"/>
      <c r="DN472" s="391"/>
      <c r="DO472" s="391"/>
      <c r="DP472" s="391"/>
      <c r="DQ472" s="391"/>
      <c r="DR472" s="391"/>
      <c r="DS472" s="391"/>
      <c r="DT472" s="391"/>
      <c r="DU472" s="391"/>
      <c r="DV472" s="391"/>
      <c r="DW472" s="391"/>
      <c r="DX472" s="384"/>
      <c r="DY472" s="384"/>
      <c r="DZ472" s="384"/>
      <c r="EA472" s="384"/>
      <c r="EB472" s="384"/>
      <c r="EC472" s="384"/>
      <c r="ED472" s="384"/>
      <c r="EE472" s="384"/>
      <c r="EF472" s="384"/>
      <c r="EG472" s="384"/>
      <c r="EH472" s="384"/>
      <c r="EI472" s="384"/>
      <c r="EJ472" s="384"/>
      <c r="EK472" s="384"/>
      <c r="EL472" s="384"/>
      <c r="EM472" s="384"/>
      <c r="EN472" s="384"/>
      <c r="EO472" s="384"/>
      <c r="EP472" s="384"/>
      <c r="EQ472" s="384"/>
      <c r="ER472" s="384"/>
      <c r="ES472" s="384"/>
      <c r="ET472" s="384"/>
      <c r="EU472" s="384"/>
      <c r="EV472" s="384"/>
      <c r="EW472" s="384"/>
      <c r="FH472" s="392"/>
      <c r="FI472" s="392"/>
      <c r="FJ472" s="392"/>
      <c r="FK472" s="392"/>
      <c r="FL472" s="392"/>
      <c r="FM472" s="392"/>
      <c r="FN472" s="392"/>
      <c r="FO472" s="392"/>
      <c r="FP472" s="392"/>
      <c r="FQ472" s="392"/>
      <c r="FR472" s="392"/>
      <c r="FS472" s="392"/>
      <c r="FT472" s="392"/>
      <c r="FU472" s="392"/>
      <c r="FV472" s="392"/>
      <c r="FW472" s="392"/>
      <c r="FX472" s="387"/>
      <c r="FY472" s="387"/>
      <c r="FZ472" s="387"/>
      <c r="GA472" s="387"/>
      <c r="GB472" s="387"/>
      <c r="GC472" s="387"/>
      <c r="GD472" s="387"/>
      <c r="GE472" s="387"/>
      <c r="GF472" s="387"/>
      <c r="GG472" s="387"/>
      <c r="GH472" s="387"/>
      <c r="GI472" s="387"/>
      <c r="GJ472" s="387"/>
      <c r="GK472" s="387"/>
      <c r="GN472" s="70"/>
    </row>
    <row r="473" spans="1:196" s="382" customFormat="1">
      <c r="A473" s="381" t="s">
        <v>200</v>
      </c>
      <c r="CH473" s="382">
        <f t="shared" ref="CH473:DL473" si="887">CH471/CD471-1</f>
        <v>-0.48</v>
      </c>
      <c r="CI473" s="382">
        <f t="shared" si="887"/>
        <v>-9.6774193548387122E-2</v>
      </c>
      <c r="CJ473" s="382">
        <f t="shared" si="887"/>
        <v>3.666666666666667</v>
      </c>
      <c r="CK473" s="382">
        <f t="shared" si="887"/>
        <v>-19.238095238095237</v>
      </c>
      <c r="CL473" s="382">
        <f t="shared" si="887"/>
        <v>1.7435897435897436</v>
      </c>
      <c r="CM473" s="382">
        <f t="shared" si="887"/>
        <v>-0.3928571428571429</v>
      </c>
      <c r="CN473" s="382">
        <f t="shared" si="887"/>
        <v>1.1785714285714284</v>
      </c>
      <c r="CO473" s="382">
        <f t="shared" si="887"/>
        <v>-0.97650130548302871</v>
      </c>
      <c r="CP473" s="382">
        <f t="shared" si="887"/>
        <v>-0.86915887850467288</v>
      </c>
      <c r="CQ473" s="382">
        <f t="shared" si="887"/>
        <v>-0.3529411764705882</v>
      </c>
      <c r="CR473" s="382">
        <f t="shared" si="887"/>
        <v>4.9508196721311473</v>
      </c>
      <c r="CS473" s="382">
        <f t="shared" si="887"/>
        <v>2.2222222222222223</v>
      </c>
      <c r="CT473" s="382">
        <f t="shared" si="887"/>
        <v>0.64285714285714279</v>
      </c>
      <c r="CU473" s="382">
        <f t="shared" si="887"/>
        <v>1.1818181818181817</v>
      </c>
      <c r="CV473" s="382">
        <f t="shared" si="887"/>
        <v>-0.92286501377410468</v>
      </c>
      <c r="CW473" s="382">
        <f t="shared" si="887"/>
        <v>-0.24137931034482762</v>
      </c>
      <c r="CX473" s="382">
        <f t="shared" si="887"/>
        <v>0.39130434782608692</v>
      </c>
      <c r="CY473" s="382">
        <f t="shared" si="887"/>
        <v>0.33333333333333326</v>
      </c>
      <c r="CZ473" s="382">
        <f t="shared" si="887"/>
        <v>0.28571428571428581</v>
      </c>
      <c r="DA473" s="382">
        <f t="shared" si="887"/>
        <v>2.6818181818181817</v>
      </c>
      <c r="DB473" s="382">
        <f t="shared" si="887"/>
        <v>0.4375</v>
      </c>
      <c r="DC473" s="382">
        <f t="shared" si="887"/>
        <v>0.625</v>
      </c>
      <c r="DD473" s="382">
        <f t="shared" si="887"/>
        <v>0.5</v>
      </c>
      <c r="DE473" s="382">
        <f t="shared" si="887"/>
        <v>-1.7037037037037037</v>
      </c>
      <c r="DF473" s="382">
        <f t="shared" si="887"/>
        <v>0.28260869565217384</v>
      </c>
      <c r="DG473" s="382">
        <f t="shared" si="887"/>
        <v>0.15384615384615374</v>
      </c>
      <c r="DH473" s="382">
        <f t="shared" si="887"/>
        <v>0.40740740740740744</v>
      </c>
      <c r="DI473" s="382">
        <f t="shared" si="887"/>
        <v>-2.6315789473684212</v>
      </c>
      <c r="DJ473" s="383">
        <f t="shared" si="887"/>
        <v>0.69491525423728806</v>
      </c>
      <c r="DK473" s="383">
        <f t="shared" si="887"/>
        <v>0.55000000000000004</v>
      </c>
      <c r="DL473" s="383">
        <f t="shared" si="887"/>
        <v>0.40789473684210531</v>
      </c>
      <c r="DM473" s="391"/>
      <c r="DN473" s="391"/>
      <c r="DO473" s="391"/>
      <c r="DP473" s="391"/>
      <c r="DQ473" s="391"/>
      <c r="DR473" s="391"/>
      <c r="DS473" s="391"/>
      <c r="DT473" s="391"/>
      <c r="DU473" s="391"/>
      <c r="DV473" s="391"/>
      <c r="DW473" s="391"/>
      <c r="DX473" s="384"/>
      <c r="DY473" s="384"/>
      <c r="DZ473" s="384"/>
      <c r="EA473" s="384"/>
      <c r="EB473" s="384"/>
      <c r="EC473" s="384"/>
      <c r="ED473" s="384"/>
      <c r="EE473" s="384"/>
      <c r="EF473" s="384"/>
      <c r="EG473" s="384"/>
      <c r="EH473" s="384"/>
      <c r="EI473" s="384"/>
      <c r="EJ473" s="384"/>
      <c r="EK473" s="384"/>
      <c r="EL473" s="384"/>
      <c r="EM473" s="384"/>
      <c r="EN473" s="384"/>
      <c r="EO473" s="384"/>
      <c r="EP473" s="384"/>
      <c r="EQ473" s="384"/>
      <c r="ER473" s="384"/>
      <c r="ES473" s="384"/>
      <c r="ET473" s="384"/>
      <c r="EU473" s="384"/>
      <c r="EV473" s="384"/>
      <c r="EW473" s="384"/>
      <c r="FX473" s="384"/>
      <c r="FY473" s="384"/>
      <c r="FZ473" s="384"/>
      <c r="GA473" s="384"/>
      <c r="GB473" s="384"/>
      <c r="GC473" s="384"/>
      <c r="GD473" s="384"/>
      <c r="GE473" s="384"/>
      <c r="GF473" s="384"/>
      <c r="GG473" s="384"/>
      <c r="GH473" s="384"/>
      <c r="GI473" s="384"/>
      <c r="GJ473" s="384"/>
      <c r="GK473" s="384"/>
      <c r="GN473" s="70"/>
    </row>
    <row r="474" spans="1:196" s="382" customFormat="1">
      <c r="A474" s="381"/>
      <c r="CD474" s="503"/>
      <c r="CE474" s="503"/>
      <c r="CF474" s="503"/>
      <c r="CG474" s="503"/>
      <c r="CH474" s="503"/>
      <c r="CI474" s="503"/>
      <c r="CJ474" s="503"/>
      <c r="CK474" s="503"/>
      <c r="CL474" s="503"/>
      <c r="CM474" s="503"/>
      <c r="CN474" s="503"/>
      <c r="CO474" s="503"/>
      <c r="CP474" s="503"/>
      <c r="CQ474" s="503"/>
      <c r="CR474" s="503"/>
      <c r="CS474" s="503"/>
      <c r="CT474" s="384"/>
      <c r="CU474" s="384"/>
      <c r="CV474" s="384"/>
      <c r="CW474" s="384"/>
      <c r="CX474" s="384"/>
      <c r="CY474" s="384"/>
      <c r="CZ474" s="384"/>
      <c r="DA474" s="384"/>
      <c r="DB474" s="384"/>
      <c r="DC474" s="384"/>
      <c r="DD474" s="384"/>
      <c r="DE474" s="384"/>
      <c r="DF474" s="384"/>
      <c r="DG474" s="384"/>
      <c r="DH474" s="384"/>
      <c r="DI474" s="384"/>
      <c r="DJ474" s="391"/>
      <c r="DK474" s="391"/>
      <c r="DL474" s="391"/>
      <c r="DM474" s="391"/>
      <c r="DN474" s="391"/>
      <c r="DO474" s="391"/>
      <c r="DP474" s="391"/>
      <c r="DQ474" s="391"/>
      <c r="DR474" s="391"/>
      <c r="DS474" s="391"/>
      <c r="DT474" s="391"/>
      <c r="DU474" s="391"/>
      <c r="DV474" s="391"/>
      <c r="DW474" s="391"/>
      <c r="DX474" s="384"/>
      <c r="DY474" s="384"/>
      <c r="DZ474" s="384"/>
      <c r="EA474" s="384"/>
      <c r="EB474" s="384"/>
      <c r="EC474" s="384"/>
      <c r="ED474" s="384"/>
      <c r="EE474" s="384"/>
      <c r="EF474" s="384"/>
      <c r="EG474" s="384"/>
      <c r="EH474" s="384"/>
      <c r="EI474" s="384"/>
      <c r="EJ474" s="384"/>
      <c r="EK474" s="384"/>
      <c r="EL474" s="384"/>
      <c r="EM474" s="384"/>
      <c r="EN474" s="384"/>
      <c r="EO474" s="384"/>
      <c r="EP474" s="384"/>
      <c r="EQ474" s="384"/>
      <c r="ER474" s="384"/>
      <c r="ES474" s="384"/>
      <c r="ET474" s="384"/>
      <c r="EU474" s="384"/>
      <c r="EV474" s="384"/>
      <c r="EW474" s="384"/>
      <c r="FT474" s="503"/>
      <c r="FU474" s="503"/>
      <c r="FV474" s="503"/>
      <c r="FW474" s="503"/>
      <c r="FX474" s="504"/>
      <c r="FY474" s="504"/>
      <c r="FZ474" s="384"/>
      <c r="GA474" s="384"/>
      <c r="GB474" s="384"/>
      <c r="GC474" s="384"/>
      <c r="GD474" s="384"/>
      <c r="GE474" s="384"/>
      <c r="GF474" s="384"/>
      <c r="GG474" s="384"/>
      <c r="GH474" s="384"/>
      <c r="GI474" s="384"/>
      <c r="GJ474" s="384"/>
      <c r="GK474" s="384"/>
      <c r="GN474" s="70"/>
    </row>
    <row r="475" spans="1:196" s="159" customFormat="1">
      <c r="A475" s="158" t="s">
        <v>317</v>
      </c>
      <c r="CD475" s="160"/>
      <c r="CE475" s="160"/>
      <c r="CF475" s="160"/>
      <c r="CG475" s="160"/>
      <c r="CH475" s="160"/>
      <c r="CI475" s="160"/>
      <c r="CJ475" s="160"/>
      <c r="CK475" s="160"/>
      <c r="CL475" s="160"/>
      <c r="CM475" s="160"/>
      <c r="CN475" s="160"/>
      <c r="CO475" s="160"/>
      <c r="CP475" s="160"/>
      <c r="CQ475" s="160"/>
      <c r="CR475" s="160"/>
      <c r="CS475" s="160"/>
      <c r="CT475" s="161"/>
      <c r="CU475" s="161"/>
      <c r="CV475" s="161"/>
      <c r="CW475" s="161"/>
      <c r="CX475" s="161"/>
      <c r="CY475" s="161"/>
      <c r="CZ475" s="161"/>
      <c r="DA475" s="161"/>
      <c r="DB475" s="161"/>
      <c r="DC475" s="161"/>
      <c r="DD475" s="161"/>
      <c r="DE475" s="161"/>
      <c r="DF475" s="161"/>
      <c r="DG475" s="161"/>
      <c r="DH475" s="161"/>
      <c r="DI475" s="161"/>
      <c r="DJ475" s="162"/>
      <c r="DK475" s="162"/>
      <c r="DL475" s="162"/>
      <c r="DM475" s="162"/>
      <c r="DN475" s="162"/>
      <c r="DO475" s="162"/>
      <c r="DP475" s="162"/>
      <c r="DQ475" s="162"/>
      <c r="DR475" s="162"/>
      <c r="DS475" s="163"/>
      <c r="DT475" s="163"/>
      <c r="DU475" s="163"/>
      <c r="DV475" s="163"/>
      <c r="DW475" s="163"/>
      <c r="DX475" s="163"/>
      <c r="DY475" s="163"/>
      <c r="DZ475" s="163"/>
      <c r="EA475" s="163"/>
      <c r="EB475" s="161"/>
      <c r="EC475" s="161"/>
      <c r="ED475" s="161"/>
      <c r="EE475" s="161"/>
      <c r="EF475" s="161"/>
      <c r="EG475" s="161"/>
      <c r="EH475" s="161"/>
      <c r="EI475" s="161"/>
      <c r="EJ475" s="161"/>
      <c r="EK475" s="161"/>
      <c r="EL475" s="161"/>
      <c r="EM475" s="161"/>
      <c r="EN475" s="161"/>
      <c r="EO475" s="161"/>
      <c r="EP475" s="161"/>
      <c r="EQ475" s="161"/>
      <c r="ER475" s="161"/>
      <c r="ES475" s="161"/>
      <c r="ET475" s="161"/>
      <c r="EU475" s="161"/>
      <c r="EV475" s="161"/>
      <c r="EW475" s="161"/>
      <c r="FT475" s="160"/>
      <c r="FU475" s="160"/>
      <c r="FV475" s="160"/>
      <c r="FW475" s="160"/>
      <c r="FX475" s="164"/>
      <c r="FY475" s="164"/>
      <c r="FZ475" s="161"/>
      <c r="GA475" s="161"/>
      <c r="GB475" s="161"/>
      <c r="GC475" s="161"/>
      <c r="GD475" s="161"/>
      <c r="GE475" s="161"/>
      <c r="GF475" s="161"/>
      <c r="GG475" s="161"/>
      <c r="GH475" s="161"/>
      <c r="GI475" s="161"/>
      <c r="GJ475" s="161"/>
      <c r="GK475" s="161"/>
      <c r="GN475" s="165"/>
    </row>
    <row r="476" spans="1:196" s="382" customFormat="1">
      <c r="A476" s="376" t="s">
        <v>318</v>
      </c>
      <c r="CD476" s="503"/>
      <c r="CE476" s="503"/>
      <c r="CF476" s="503"/>
      <c r="CG476" s="503"/>
      <c r="CH476" s="503"/>
      <c r="CI476" s="503"/>
      <c r="CJ476" s="503"/>
      <c r="CK476" s="503"/>
      <c r="CL476" s="503"/>
      <c r="CM476" s="503"/>
      <c r="CN476" s="503"/>
      <c r="CO476" s="503"/>
      <c r="CP476" s="503"/>
      <c r="CQ476" s="503"/>
      <c r="CR476" s="503"/>
      <c r="CS476" s="503"/>
      <c r="CT476" s="384"/>
      <c r="CU476" s="384"/>
      <c r="CV476" s="384"/>
      <c r="CW476" s="384"/>
      <c r="CX476" s="384"/>
      <c r="CY476" s="384"/>
      <c r="CZ476" s="384"/>
      <c r="DA476" s="384"/>
      <c r="DB476" s="384"/>
      <c r="DC476" s="384"/>
      <c r="DD476" s="384"/>
      <c r="DE476" s="384"/>
      <c r="DF476" s="384"/>
      <c r="DG476" s="384"/>
      <c r="DH476" s="384"/>
      <c r="DI476" s="384"/>
      <c r="DJ476" s="391"/>
      <c r="DK476" s="391"/>
      <c r="DL476" s="391"/>
      <c r="DM476" s="391"/>
      <c r="DN476" s="391"/>
      <c r="DO476" s="391"/>
      <c r="DP476" s="391"/>
      <c r="DQ476" s="391"/>
      <c r="DR476" s="391"/>
      <c r="DS476" s="391"/>
      <c r="DT476" s="391"/>
      <c r="DU476" s="391"/>
      <c r="DV476" s="391"/>
      <c r="DW476" s="391"/>
      <c r="DX476" s="384"/>
      <c r="DY476" s="384"/>
      <c r="DZ476" s="384"/>
      <c r="EA476" s="384"/>
      <c r="EB476" s="384"/>
      <c r="EC476" s="384"/>
      <c r="ED476" s="384"/>
      <c r="EE476" s="384"/>
      <c r="EF476" s="384"/>
      <c r="EG476" s="384"/>
      <c r="EH476" s="384"/>
      <c r="EI476" s="384"/>
      <c r="EJ476" s="384"/>
      <c r="EK476" s="384"/>
      <c r="EL476" s="384"/>
      <c r="EM476" s="384"/>
      <c r="EN476" s="384"/>
      <c r="EO476" s="384"/>
      <c r="EP476" s="384"/>
      <c r="EQ476" s="384"/>
      <c r="ER476" s="384"/>
      <c r="ES476" s="384"/>
      <c r="ET476" s="384"/>
      <c r="EU476" s="384"/>
      <c r="EV476" s="384"/>
      <c r="EW476" s="384"/>
      <c r="FT476" s="503"/>
      <c r="FU476" s="503"/>
      <c r="FV476" s="503"/>
      <c r="FW476" s="503"/>
      <c r="FX476" s="504"/>
      <c r="FY476" s="504"/>
      <c r="FZ476" s="384"/>
      <c r="GA476" s="384"/>
      <c r="GB476" s="384"/>
      <c r="GC476" s="384"/>
      <c r="GD476" s="384"/>
      <c r="GE476" s="384"/>
      <c r="GF476" s="384"/>
      <c r="GG476" s="384"/>
      <c r="GH476" s="384"/>
      <c r="GI476" s="384"/>
      <c r="GJ476" s="384"/>
      <c r="GK476" s="384"/>
      <c r="GN476" s="70"/>
    </row>
    <row r="477" spans="1:196" s="382" customFormat="1">
      <c r="A477" s="395" t="s">
        <v>319</v>
      </c>
      <c r="CD477" s="503"/>
      <c r="CE477" s="503"/>
      <c r="CF477" s="503"/>
      <c r="CG477" s="503"/>
      <c r="CH477" s="503"/>
      <c r="CI477" s="503"/>
      <c r="CJ477" s="503"/>
      <c r="CK477" s="503"/>
      <c r="CL477" s="503"/>
      <c r="CM477" s="503"/>
      <c r="CN477" s="503"/>
      <c r="CO477" s="503"/>
      <c r="CP477" s="503"/>
      <c r="CQ477" s="503"/>
      <c r="CR477" s="503"/>
      <c r="CS477" s="503"/>
      <c r="CT477" s="384"/>
      <c r="CU477" s="384"/>
      <c r="CV477" s="384"/>
      <c r="CW477" s="384"/>
      <c r="CX477" s="384"/>
      <c r="CY477" s="384"/>
      <c r="CZ477" s="384"/>
      <c r="DA477" s="384"/>
      <c r="DB477" s="384"/>
      <c r="DC477" s="384"/>
      <c r="DD477" s="384"/>
      <c r="DE477" s="384"/>
      <c r="DF477" s="384"/>
      <c r="DG477" s="384"/>
      <c r="DH477" s="384"/>
      <c r="DI477" s="384"/>
      <c r="DJ477" s="391"/>
      <c r="DK477" s="426">
        <v>3204</v>
      </c>
      <c r="DL477" s="426">
        <v>2162</v>
      </c>
      <c r="DM477" s="426"/>
      <c r="DN477" s="426"/>
      <c r="DO477" s="426"/>
      <c r="DP477" s="426"/>
      <c r="DQ477" s="426"/>
      <c r="DR477" s="426"/>
      <c r="DS477" s="426"/>
      <c r="DT477" s="426"/>
      <c r="DU477" s="426"/>
      <c r="DV477" s="426"/>
      <c r="DW477" s="426"/>
      <c r="DX477" s="426"/>
      <c r="DY477" s="384"/>
      <c r="DZ477" s="384"/>
      <c r="EA477" s="384"/>
      <c r="EB477" s="384"/>
      <c r="EC477" s="384"/>
      <c r="ED477" s="384"/>
      <c r="EE477" s="384"/>
      <c r="EF477" s="384"/>
      <c r="EG477" s="384"/>
      <c r="EH477" s="384"/>
      <c r="EI477" s="384"/>
      <c r="EJ477" s="384"/>
      <c r="EK477" s="384"/>
      <c r="EL477" s="384"/>
      <c r="EM477" s="384"/>
      <c r="EN477" s="384"/>
      <c r="EO477" s="384"/>
      <c r="EP477" s="384"/>
      <c r="EQ477" s="384"/>
      <c r="ER477" s="384"/>
      <c r="ES477" s="384"/>
      <c r="ET477" s="384"/>
      <c r="EU477" s="384"/>
      <c r="EV477" s="384"/>
      <c r="EW477" s="384"/>
      <c r="FT477" s="503"/>
      <c r="FU477" s="503"/>
      <c r="FV477" s="503"/>
      <c r="FW477" s="503"/>
      <c r="FX477" s="504"/>
      <c r="FY477" s="504"/>
      <c r="FZ477" s="384"/>
      <c r="GA477" s="384"/>
      <c r="GB477" s="384"/>
      <c r="GC477" s="384"/>
      <c r="GD477" s="384"/>
      <c r="GE477" s="384"/>
      <c r="GF477" s="384"/>
      <c r="GG477" s="384"/>
      <c r="GH477" s="384"/>
      <c r="GI477" s="384"/>
      <c r="GJ477" s="384"/>
      <c r="GK477" s="384"/>
      <c r="GN477" s="70"/>
    </row>
    <row r="478" spans="1:196" s="382" customFormat="1">
      <c r="A478" s="395" t="s">
        <v>320</v>
      </c>
      <c r="CD478" s="503"/>
      <c r="CE478" s="503"/>
      <c r="CF478" s="503"/>
      <c r="CG478" s="503"/>
      <c r="CH478" s="503"/>
      <c r="CI478" s="503"/>
      <c r="CJ478" s="503"/>
      <c r="CK478" s="503"/>
      <c r="CL478" s="503"/>
      <c r="CM478" s="503"/>
      <c r="CN478" s="503"/>
      <c r="CO478" s="503"/>
      <c r="CP478" s="503"/>
      <c r="CQ478" s="503"/>
      <c r="CR478" s="503"/>
      <c r="CS478" s="503"/>
      <c r="CT478" s="384"/>
      <c r="CU478" s="384"/>
      <c r="CV478" s="384"/>
      <c r="CW478" s="384"/>
      <c r="CX478" s="384"/>
      <c r="CY478" s="384"/>
      <c r="CZ478" s="384"/>
      <c r="DA478" s="384"/>
      <c r="DB478" s="384"/>
      <c r="DC478" s="384"/>
      <c r="DD478" s="384"/>
      <c r="DE478" s="384"/>
      <c r="DF478" s="384"/>
      <c r="DG478" s="384"/>
      <c r="DH478" s="384"/>
      <c r="DI478" s="384"/>
      <c r="DJ478" s="391"/>
      <c r="DK478" s="426">
        <v>1154</v>
      </c>
      <c r="DL478" s="426">
        <v>2477</v>
      </c>
      <c r="DM478" s="426">
        <v>5765</v>
      </c>
      <c r="DN478" s="426">
        <v>6463</v>
      </c>
      <c r="DO478" s="426">
        <v>6599</v>
      </c>
      <c r="DP478" s="426">
        <v>4925</v>
      </c>
      <c r="DQ478" s="426"/>
      <c r="DR478" s="426"/>
      <c r="DS478" s="426"/>
      <c r="DT478" s="426"/>
      <c r="DU478" s="426"/>
      <c r="DV478" s="426"/>
      <c r="DW478" s="426"/>
      <c r="DX478" s="426"/>
      <c r="DY478" s="384"/>
      <c r="DZ478" s="384"/>
      <c r="EA478" s="384"/>
      <c r="EB478" s="384"/>
      <c r="EC478" s="384"/>
      <c r="ED478" s="384"/>
      <c r="EE478" s="384"/>
      <c r="EF478" s="384"/>
      <c r="EG478" s="384"/>
      <c r="EH478" s="384"/>
      <c r="EI478" s="384"/>
      <c r="EJ478" s="384"/>
      <c r="EK478" s="384"/>
      <c r="EL478" s="384"/>
      <c r="EM478" s="384"/>
      <c r="EN478" s="384"/>
      <c r="EO478" s="384"/>
      <c r="EP478" s="384"/>
      <c r="EQ478" s="384"/>
      <c r="ER478" s="384"/>
      <c r="ES478" s="384"/>
      <c r="ET478" s="384"/>
      <c r="EU478" s="384"/>
      <c r="EV478" s="384"/>
      <c r="EW478" s="384"/>
      <c r="FT478" s="503"/>
      <c r="FU478" s="503"/>
      <c r="FV478" s="503"/>
      <c r="FW478" s="503"/>
      <c r="FX478" s="504"/>
      <c r="FY478" s="504"/>
      <c r="FZ478" s="384"/>
      <c r="GA478" s="384"/>
      <c r="GB478" s="384"/>
      <c r="GC478" s="384"/>
      <c r="GD478" s="384"/>
      <c r="GE478" s="384"/>
      <c r="GF478" s="384"/>
      <c r="GG478" s="384"/>
      <c r="GH478" s="384"/>
      <c r="GI478" s="384"/>
      <c r="GJ478" s="384"/>
      <c r="GK478" s="384"/>
      <c r="GN478" s="70"/>
    </row>
    <row r="479" spans="1:196" s="382" customFormat="1">
      <c r="A479" s="395" t="s">
        <v>321</v>
      </c>
      <c r="CD479" s="503"/>
      <c r="CE479" s="503"/>
      <c r="CF479" s="503"/>
      <c r="CG479" s="503"/>
      <c r="CH479" s="503"/>
      <c r="CI479" s="503"/>
      <c r="CJ479" s="503"/>
      <c r="CK479" s="503"/>
      <c r="CL479" s="503"/>
      <c r="CM479" s="503"/>
      <c r="CN479" s="503"/>
      <c r="CO479" s="503"/>
      <c r="CP479" s="503"/>
      <c r="CQ479" s="503"/>
      <c r="CR479" s="503"/>
      <c r="CS479" s="503"/>
      <c r="CT479" s="384"/>
      <c r="CU479" s="384"/>
      <c r="CV479" s="384"/>
      <c r="CW479" s="384"/>
      <c r="CX479" s="384"/>
      <c r="CY479" s="384"/>
      <c r="CZ479" s="384"/>
      <c r="DA479" s="384"/>
      <c r="DB479" s="384"/>
      <c r="DC479" s="384"/>
      <c r="DD479" s="384"/>
      <c r="DE479" s="384"/>
      <c r="DF479" s="384"/>
      <c r="DG479" s="384"/>
      <c r="DH479" s="384"/>
      <c r="DI479" s="384"/>
      <c r="DJ479" s="391"/>
      <c r="DK479" s="426">
        <v>682</v>
      </c>
      <c r="DL479" s="426">
        <v>728</v>
      </c>
      <c r="DM479" s="426">
        <v>1658</v>
      </c>
      <c r="DN479" s="426">
        <v>1868</v>
      </c>
      <c r="DO479" s="426">
        <v>2184</v>
      </c>
      <c r="DP479" s="426">
        <v>2693</v>
      </c>
      <c r="DQ479" s="426">
        <v>6489</v>
      </c>
      <c r="DR479" s="426">
        <v>4424</v>
      </c>
      <c r="DS479" s="426">
        <v>3944</v>
      </c>
      <c r="DT479" s="426">
        <v>2426</v>
      </c>
      <c r="DU479" s="426"/>
      <c r="DV479" s="426"/>
      <c r="DW479" s="426"/>
      <c r="DX479" s="426"/>
      <c r="DY479" s="384"/>
      <c r="DZ479" s="384"/>
      <c r="EA479" s="384"/>
      <c r="EB479" s="384"/>
      <c r="EC479" s="384"/>
      <c r="ED479" s="384"/>
      <c r="EE479" s="384"/>
      <c r="EF479" s="384"/>
      <c r="EG479" s="384"/>
      <c r="EH479" s="384"/>
      <c r="EI479" s="384"/>
      <c r="EJ479" s="384"/>
      <c r="EK479" s="384"/>
      <c r="EL479" s="384"/>
      <c r="EM479" s="384"/>
      <c r="EN479" s="384"/>
      <c r="EO479" s="384"/>
      <c r="EP479" s="384"/>
      <c r="EQ479" s="384"/>
      <c r="ER479" s="384"/>
      <c r="ES479" s="384"/>
      <c r="ET479" s="384"/>
      <c r="EU479" s="384"/>
      <c r="EV479" s="384"/>
      <c r="EW479" s="384"/>
      <c r="FT479" s="503"/>
      <c r="FU479" s="503"/>
      <c r="FV479" s="503"/>
      <c r="FW479" s="503"/>
      <c r="FX479" s="504"/>
      <c r="FY479" s="504"/>
      <c r="FZ479" s="384"/>
      <c r="GA479" s="384"/>
      <c r="GB479" s="384"/>
      <c r="GC479" s="384"/>
      <c r="GD479" s="384"/>
      <c r="GE479" s="384"/>
      <c r="GF479" s="384"/>
      <c r="GG479" s="384"/>
      <c r="GH479" s="384"/>
      <c r="GI479" s="384"/>
      <c r="GJ479" s="384"/>
      <c r="GK479" s="384"/>
      <c r="GN479" s="70"/>
    </row>
    <row r="480" spans="1:196" s="382" customFormat="1">
      <c r="A480" s="505">
        <v>2024</v>
      </c>
      <c r="CD480" s="503"/>
      <c r="CE480" s="503"/>
      <c r="CF480" s="503"/>
      <c r="CG480" s="503"/>
      <c r="CH480" s="503"/>
      <c r="CI480" s="503"/>
      <c r="CJ480" s="503"/>
      <c r="CK480" s="503"/>
      <c r="CL480" s="503"/>
      <c r="CM480" s="503"/>
      <c r="CN480" s="503"/>
      <c r="CO480" s="503"/>
      <c r="CP480" s="503"/>
      <c r="CQ480" s="503"/>
      <c r="CR480" s="503"/>
      <c r="CS480" s="503"/>
      <c r="CT480" s="384"/>
      <c r="CU480" s="384"/>
      <c r="CV480" s="384"/>
      <c r="CW480" s="384"/>
      <c r="CX480" s="384"/>
      <c r="CY480" s="384"/>
      <c r="CZ480" s="384"/>
      <c r="DA480" s="384"/>
      <c r="DB480" s="384"/>
      <c r="DC480" s="384"/>
      <c r="DD480" s="384"/>
      <c r="DE480" s="384"/>
      <c r="DF480" s="384"/>
      <c r="DG480" s="384"/>
      <c r="DH480" s="384"/>
      <c r="DI480" s="384"/>
      <c r="DJ480" s="391"/>
      <c r="DK480" s="426">
        <v>596</v>
      </c>
      <c r="DL480" s="426">
        <v>658</v>
      </c>
      <c r="DM480" s="426">
        <v>755</v>
      </c>
      <c r="DN480" s="426">
        <v>762</v>
      </c>
      <c r="DO480" s="426">
        <v>998</v>
      </c>
      <c r="DP480" s="426">
        <v>1020</v>
      </c>
      <c r="DQ480" s="426">
        <v>1434</v>
      </c>
      <c r="DR480" s="426">
        <v>1558</v>
      </c>
      <c r="DS480" s="426">
        <v>1599</v>
      </c>
      <c r="DT480" s="426">
        <v>1893</v>
      </c>
      <c r="DU480" s="426">
        <v>3858</v>
      </c>
      <c r="DV480" s="426">
        <v>3278</v>
      </c>
      <c r="DW480" s="426">
        <v>3056</v>
      </c>
      <c r="DX480" s="426">
        <v>2510</v>
      </c>
      <c r="DY480" s="426"/>
      <c r="DZ480" s="426"/>
      <c r="EA480" s="426"/>
      <c r="EB480" s="384"/>
      <c r="EC480" s="384"/>
      <c r="ED480" s="384"/>
      <c r="EE480" s="384"/>
      <c r="EF480" s="384"/>
      <c r="EG480" s="384"/>
      <c r="EH480" s="384"/>
      <c r="EI480" s="384"/>
      <c r="EJ480" s="384"/>
      <c r="EK480" s="384"/>
      <c r="EL480" s="384"/>
      <c r="EM480" s="384"/>
      <c r="EN480" s="384"/>
      <c r="EO480" s="384"/>
      <c r="EP480" s="384"/>
      <c r="EQ480" s="384"/>
      <c r="ER480" s="384"/>
      <c r="ES480" s="384"/>
      <c r="ET480" s="384"/>
      <c r="EU480" s="384"/>
      <c r="EV480" s="384"/>
      <c r="EW480" s="384"/>
      <c r="FT480" s="503"/>
      <c r="FU480" s="503"/>
      <c r="FV480" s="503"/>
      <c r="FW480" s="503"/>
      <c r="FX480" s="504"/>
      <c r="FY480" s="504"/>
      <c r="FZ480" s="384"/>
      <c r="GA480" s="384"/>
      <c r="GB480" s="384"/>
      <c r="GC480" s="384"/>
      <c r="GD480" s="384"/>
      <c r="GE480" s="384"/>
      <c r="GF480" s="384"/>
      <c r="GG480" s="384"/>
      <c r="GH480" s="384"/>
      <c r="GI480" s="384"/>
      <c r="GJ480" s="384"/>
      <c r="GK480" s="384"/>
      <c r="GN480" s="70"/>
    </row>
    <row r="481" spans="1:196" s="382" customFormat="1">
      <c r="A481" s="505">
        <v>2025</v>
      </c>
      <c r="CD481" s="503"/>
      <c r="CE481" s="503"/>
      <c r="CF481" s="503"/>
      <c r="CG481" s="503"/>
      <c r="CH481" s="503"/>
      <c r="CI481" s="503"/>
      <c r="CJ481" s="503"/>
      <c r="CK481" s="503"/>
      <c r="CL481" s="503"/>
      <c r="CM481" s="503"/>
      <c r="CN481" s="503"/>
      <c r="CO481" s="503"/>
      <c r="CP481" s="503"/>
      <c r="CQ481" s="503"/>
      <c r="CR481" s="503"/>
      <c r="CS481" s="503"/>
      <c r="CT481" s="384"/>
      <c r="CU481" s="384"/>
      <c r="CV481" s="384"/>
      <c r="CW481" s="384"/>
      <c r="CX481" s="384"/>
      <c r="CY481" s="384"/>
      <c r="CZ481" s="384"/>
      <c r="DA481" s="384"/>
      <c r="DB481" s="384"/>
      <c r="DC481" s="384"/>
      <c r="DD481" s="384"/>
      <c r="DE481" s="384"/>
      <c r="DF481" s="384"/>
      <c r="DG481" s="384"/>
      <c r="DH481" s="384"/>
      <c r="DI481" s="384"/>
      <c r="DJ481" s="391"/>
      <c r="DK481" s="426">
        <v>103</v>
      </c>
      <c r="DL481" s="426">
        <v>153</v>
      </c>
      <c r="DM481" s="426">
        <v>329</v>
      </c>
      <c r="DN481" s="426">
        <v>332</v>
      </c>
      <c r="DO481" s="426">
        <v>333</v>
      </c>
      <c r="DP481" s="426">
        <v>336</v>
      </c>
      <c r="DQ481" s="426">
        <v>271</v>
      </c>
      <c r="DR481" s="426">
        <v>355</v>
      </c>
      <c r="DS481" s="426">
        <v>345</v>
      </c>
      <c r="DT481" s="426">
        <v>343</v>
      </c>
      <c r="DU481" s="426">
        <v>351</v>
      </c>
      <c r="DV481" s="426">
        <v>348</v>
      </c>
      <c r="DW481" s="426">
        <v>371</v>
      </c>
      <c r="DX481" s="426">
        <v>1325</v>
      </c>
      <c r="DY481" s="426">
        <v>4501</v>
      </c>
      <c r="DZ481" s="426">
        <v>5605</v>
      </c>
      <c r="EA481" s="426"/>
      <c r="EB481" s="384"/>
      <c r="EC481" s="384"/>
      <c r="ED481" s="384"/>
      <c r="EE481" s="384"/>
      <c r="EF481" s="384"/>
      <c r="EG481" s="384"/>
      <c r="EH481" s="384"/>
      <c r="EI481" s="384"/>
      <c r="EJ481" s="384"/>
      <c r="EK481" s="384"/>
      <c r="EL481" s="384"/>
      <c r="EM481" s="384"/>
      <c r="EN481" s="384"/>
      <c r="EO481" s="384"/>
      <c r="EP481" s="384"/>
      <c r="EQ481" s="384"/>
      <c r="ER481" s="384"/>
      <c r="ES481" s="384"/>
      <c r="ET481" s="384"/>
      <c r="EU481" s="384"/>
      <c r="EV481" s="384"/>
      <c r="EW481" s="384"/>
      <c r="FT481" s="503"/>
      <c r="FU481" s="503"/>
      <c r="FV481" s="503"/>
      <c r="FW481" s="503"/>
      <c r="FX481" s="504"/>
      <c r="FY481" s="504"/>
      <c r="FZ481" s="384"/>
      <c r="GA481" s="384"/>
      <c r="GB481" s="384"/>
      <c r="GC481" s="384"/>
      <c r="GD481" s="384"/>
      <c r="GE481" s="384"/>
      <c r="GF481" s="384"/>
      <c r="GG481" s="384"/>
      <c r="GH481" s="384"/>
      <c r="GI481" s="384"/>
      <c r="GJ481" s="384"/>
      <c r="GK481" s="384"/>
      <c r="GN481" s="70"/>
    </row>
    <row r="482" spans="1:196" s="382" customFormat="1">
      <c r="A482" s="505">
        <v>2026</v>
      </c>
      <c r="CD482" s="503"/>
      <c r="CE482" s="503"/>
      <c r="CF482" s="503"/>
      <c r="CG482" s="503"/>
      <c r="CH482" s="503"/>
      <c r="CI482" s="503"/>
      <c r="CJ482" s="503"/>
      <c r="CK482" s="503"/>
      <c r="CL482" s="503"/>
      <c r="CM482" s="503"/>
      <c r="CN482" s="503"/>
      <c r="CO482" s="503"/>
      <c r="CP482" s="503"/>
      <c r="CQ482" s="503"/>
      <c r="CR482" s="503"/>
      <c r="CS482" s="503"/>
      <c r="CT482" s="384"/>
      <c r="CU482" s="384"/>
      <c r="CV482" s="384"/>
      <c r="CW482" s="384"/>
      <c r="CX482" s="384"/>
      <c r="CY482" s="384"/>
      <c r="CZ482" s="384"/>
      <c r="DA482" s="384"/>
      <c r="DB482" s="384"/>
      <c r="DC482" s="384"/>
      <c r="DD482" s="384"/>
      <c r="DE482" s="384"/>
      <c r="DF482" s="384"/>
      <c r="DG482" s="384"/>
      <c r="DH482" s="384"/>
      <c r="DI482" s="384"/>
      <c r="DJ482" s="391"/>
      <c r="DK482" s="426">
        <v>277</v>
      </c>
      <c r="DL482" s="426">
        <v>388</v>
      </c>
      <c r="DM482" s="426">
        <v>176</v>
      </c>
      <c r="DN482" s="426">
        <v>179</v>
      </c>
      <c r="DO482" s="426">
        <v>179</v>
      </c>
      <c r="DP482" s="426">
        <v>169</v>
      </c>
      <c r="DQ482" s="426">
        <v>129</v>
      </c>
      <c r="DR482" s="426">
        <v>219</v>
      </c>
      <c r="DS482" s="426">
        <v>183</v>
      </c>
      <c r="DT482" s="426">
        <v>182</v>
      </c>
      <c r="DU482" s="426">
        <v>186</v>
      </c>
      <c r="DV482" s="426">
        <v>182</v>
      </c>
      <c r="DW482" s="426">
        <v>268</v>
      </c>
      <c r="DX482" s="426">
        <v>268</v>
      </c>
      <c r="DY482" s="426">
        <v>274</v>
      </c>
      <c r="DZ482" s="426">
        <v>884</v>
      </c>
      <c r="EA482" s="426"/>
      <c r="EB482" s="384"/>
      <c r="EC482" s="384"/>
      <c r="ED482" s="384"/>
      <c r="EE482" s="384"/>
      <c r="EF482" s="384"/>
      <c r="EG482" s="384"/>
      <c r="EH482" s="384"/>
      <c r="EI482" s="384"/>
      <c r="EJ482" s="384"/>
      <c r="EK482" s="384"/>
      <c r="EL482" s="384"/>
      <c r="EM482" s="384"/>
      <c r="EN482" s="384"/>
      <c r="EO482" s="384"/>
      <c r="EP482" s="384"/>
      <c r="EQ482" s="384"/>
      <c r="ER482" s="384"/>
      <c r="ES482" s="384"/>
      <c r="ET482" s="384"/>
      <c r="EU482" s="384"/>
      <c r="EV482" s="384"/>
      <c r="EW482" s="384"/>
      <c r="FT482" s="503"/>
      <c r="FU482" s="503"/>
      <c r="FV482" s="503"/>
      <c r="FW482" s="503"/>
      <c r="FX482" s="504"/>
      <c r="FY482" s="504"/>
      <c r="FZ482" s="384"/>
      <c r="GA482" s="384"/>
      <c r="GB482" s="384"/>
      <c r="GC482" s="384"/>
      <c r="GD482" s="384"/>
      <c r="GE482" s="384"/>
      <c r="GF482" s="384"/>
      <c r="GG482" s="384"/>
      <c r="GH482" s="384"/>
      <c r="GI482" s="384"/>
      <c r="GJ482" s="384"/>
      <c r="GK482" s="384"/>
      <c r="GN482" s="70"/>
    </row>
    <row r="483" spans="1:196" s="382" customFormat="1">
      <c r="A483" s="505">
        <v>2027</v>
      </c>
      <c r="CD483" s="503"/>
      <c r="CE483" s="503"/>
      <c r="CF483" s="503"/>
      <c r="CG483" s="503"/>
      <c r="CH483" s="503"/>
      <c r="CI483" s="503"/>
      <c r="CJ483" s="503"/>
      <c r="CK483" s="503"/>
      <c r="CL483" s="503"/>
      <c r="CM483" s="503"/>
      <c r="CN483" s="503"/>
      <c r="CO483" s="503"/>
      <c r="CP483" s="503"/>
      <c r="CQ483" s="503"/>
      <c r="CR483" s="503"/>
      <c r="CS483" s="503"/>
      <c r="CT483" s="384"/>
      <c r="CU483" s="384"/>
      <c r="CV483" s="384"/>
      <c r="CW483" s="384"/>
      <c r="CX483" s="384"/>
      <c r="CY483" s="384"/>
      <c r="CZ483" s="384"/>
      <c r="DA483" s="384"/>
      <c r="DB483" s="384"/>
      <c r="DC483" s="384"/>
      <c r="DD483" s="384"/>
      <c r="DE483" s="384"/>
      <c r="DF483" s="384"/>
      <c r="DG483" s="384"/>
      <c r="DH483" s="384"/>
      <c r="DI483" s="384"/>
      <c r="DJ483" s="391"/>
      <c r="DK483" s="426"/>
      <c r="DL483" s="426"/>
      <c r="DM483" s="426">
        <v>383</v>
      </c>
      <c r="DN483" s="426">
        <v>383</v>
      </c>
      <c r="DO483" s="426">
        <v>392</v>
      </c>
      <c r="DP483" s="426">
        <v>389</v>
      </c>
      <c r="DQ483" s="426">
        <v>85</v>
      </c>
      <c r="DR483" s="426">
        <v>86</v>
      </c>
      <c r="DS483" s="426">
        <v>53</v>
      </c>
      <c r="DT483" s="426">
        <v>51</v>
      </c>
      <c r="DU483" s="426">
        <v>51</v>
      </c>
      <c r="DV483" s="426">
        <v>44</v>
      </c>
      <c r="DW483" s="426">
        <v>44</v>
      </c>
      <c r="DX483" s="426">
        <v>45</v>
      </c>
      <c r="DY483" s="426">
        <v>46</v>
      </c>
      <c r="DZ483" s="426">
        <v>651</v>
      </c>
      <c r="EA483" s="426"/>
      <c r="EB483" s="384"/>
      <c r="EC483" s="384"/>
      <c r="ED483" s="384"/>
      <c r="EE483" s="384"/>
      <c r="EF483" s="384"/>
      <c r="EG483" s="384"/>
      <c r="EH483" s="384"/>
      <c r="EI483" s="384"/>
      <c r="EJ483" s="384"/>
      <c r="EK483" s="384"/>
      <c r="EL483" s="384"/>
      <c r="EM483" s="384"/>
      <c r="EN483" s="384"/>
      <c r="EO483" s="384"/>
      <c r="EP483" s="384"/>
      <c r="EQ483" s="384"/>
      <c r="ER483" s="384"/>
      <c r="ES483" s="384"/>
      <c r="ET483" s="384"/>
      <c r="EU483" s="384"/>
      <c r="EV483" s="384"/>
      <c r="EW483" s="384"/>
      <c r="FT483" s="503"/>
      <c r="FU483" s="503"/>
      <c r="FV483" s="503"/>
      <c r="FW483" s="503"/>
      <c r="FX483" s="504"/>
      <c r="FY483" s="504"/>
      <c r="FZ483" s="384"/>
      <c r="GA483" s="384"/>
      <c r="GB483" s="384"/>
      <c r="GC483" s="384"/>
      <c r="GD483" s="384"/>
      <c r="GE483" s="384"/>
      <c r="GF483" s="384"/>
      <c r="GG483" s="384"/>
      <c r="GH483" s="384"/>
      <c r="GI483" s="384"/>
      <c r="GJ483" s="384"/>
      <c r="GK483" s="384"/>
      <c r="GN483" s="70"/>
    </row>
    <row r="484" spans="1:196" s="382" customFormat="1">
      <c r="A484" s="505">
        <v>2028</v>
      </c>
      <c r="CD484" s="503"/>
      <c r="CE484" s="503"/>
      <c r="CF484" s="503"/>
      <c r="CG484" s="503"/>
      <c r="CH484" s="503"/>
      <c r="CI484" s="503"/>
      <c r="CJ484" s="503"/>
      <c r="CK484" s="503"/>
      <c r="CL484" s="503"/>
      <c r="CM484" s="503"/>
      <c r="CN484" s="503"/>
      <c r="CO484" s="503"/>
      <c r="CP484" s="503"/>
      <c r="CQ484" s="503"/>
      <c r="CR484" s="503"/>
      <c r="CS484" s="503"/>
      <c r="CT484" s="384"/>
      <c r="CU484" s="384"/>
      <c r="CV484" s="384"/>
      <c r="CW484" s="384"/>
      <c r="CX484" s="384"/>
      <c r="CY484" s="384"/>
      <c r="CZ484" s="384"/>
      <c r="DA484" s="384"/>
      <c r="DB484" s="384"/>
      <c r="DC484" s="384"/>
      <c r="DD484" s="384"/>
      <c r="DE484" s="384"/>
      <c r="DF484" s="384"/>
      <c r="DG484" s="384"/>
      <c r="DH484" s="384"/>
      <c r="DI484" s="384"/>
      <c r="DJ484" s="391"/>
      <c r="DK484" s="426"/>
      <c r="DL484" s="426"/>
      <c r="DM484" s="426"/>
      <c r="DN484" s="426"/>
      <c r="DO484" s="426"/>
      <c r="DP484" s="426"/>
      <c r="DQ484" s="426">
        <v>202</v>
      </c>
      <c r="DR484" s="426">
        <v>186</v>
      </c>
      <c r="DS484" s="426">
        <v>160</v>
      </c>
      <c r="DT484" s="426">
        <v>146</v>
      </c>
      <c r="DU484" s="426">
        <v>49</v>
      </c>
      <c r="DV484" s="426">
        <v>46</v>
      </c>
      <c r="DW484" s="426">
        <v>44</v>
      </c>
      <c r="DX484" s="426">
        <v>44</v>
      </c>
      <c r="DY484" s="426">
        <v>46</v>
      </c>
      <c r="DZ484" s="426">
        <v>647</v>
      </c>
      <c r="EA484" s="426"/>
      <c r="EB484" s="384"/>
      <c r="EC484" s="384"/>
      <c r="ED484" s="384"/>
      <c r="EE484" s="384"/>
      <c r="EF484" s="384"/>
      <c r="EG484" s="384"/>
      <c r="EH484" s="384"/>
      <c r="EI484" s="384"/>
      <c r="EJ484" s="384"/>
      <c r="EK484" s="384"/>
      <c r="EL484" s="384"/>
      <c r="EM484" s="384"/>
      <c r="EN484" s="384"/>
      <c r="EO484" s="384"/>
      <c r="EP484" s="384"/>
      <c r="EQ484" s="384"/>
      <c r="ER484" s="384"/>
      <c r="ES484" s="384"/>
      <c r="ET484" s="384"/>
      <c r="EU484" s="384"/>
      <c r="EV484" s="384"/>
      <c r="EW484" s="384"/>
      <c r="FT484" s="503"/>
      <c r="FU484" s="503"/>
      <c r="FV484" s="503"/>
      <c r="FW484" s="503"/>
      <c r="FX484" s="504"/>
      <c r="FY484" s="504"/>
      <c r="FZ484" s="384"/>
      <c r="GA484" s="384"/>
      <c r="GB484" s="384"/>
      <c r="GC484" s="384"/>
      <c r="GD484" s="384"/>
      <c r="GE484" s="384"/>
      <c r="GF484" s="384"/>
      <c r="GG484" s="384"/>
      <c r="GH484" s="384"/>
      <c r="GI484" s="384"/>
      <c r="GJ484" s="384"/>
      <c r="GK484" s="384"/>
      <c r="GN484" s="70"/>
    </row>
    <row r="485" spans="1:196" s="382" customFormat="1">
      <c r="A485" s="395" t="s">
        <v>322</v>
      </c>
      <c r="CD485" s="503"/>
      <c r="CE485" s="503"/>
      <c r="CF485" s="503"/>
      <c r="CG485" s="503"/>
      <c r="CH485" s="503"/>
      <c r="CI485" s="503"/>
      <c r="CJ485" s="503"/>
      <c r="CK485" s="503"/>
      <c r="CL485" s="503"/>
      <c r="CM485" s="503"/>
      <c r="CN485" s="503"/>
      <c r="CO485" s="503"/>
      <c r="CP485" s="503"/>
      <c r="CQ485" s="503"/>
      <c r="CR485" s="503"/>
      <c r="CS485" s="503"/>
      <c r="CT485" s="384"/>
      <c r="CU485" s="384"/>
      <c r="CV485" s="384"/>
      <c r="CW485" s="384"/>
      <c r="CX485" s="384"/>
      <c r="CY485" s="384"/>
      <c r="CZ485" s="384"/>
      <c r="DA485" s="384"/>
      <c r="DB485" s="384"/>
      <c r="DC485" s="384"/>
      <c r="DD485" s="384"/>
      <c r="DE485" s="384"/>
      <c r="DF485" s="384"/>
      <c r="DG485" s="384"/>
      <c r="DH485" s="384"/>
      <c r="DI485" s="384"/>
      <c r="DJ485" s="391"/>
      <c r="DK485" s="426"/>
      <c r="DL485" s="426"/>
      <c r="DM485" s="426"/>
      <c r="DN485" s="426"/>
      <c r="DO485" s="426"/>
      <c r="DP485" s="426"/>
      <c r="DQ485" s="426"/>
      <c r="DR485" s="426"/>
      <c r="DS485" s="426"/>
      <c r="DT485" s="426"/>
      <c r="DU485" s="426">
        <v>99</v>
      </c>
      <c r="DV485" s="426">
        <v>94</v>
      </c>
      <c r="DW485" s="426">
        <v>95</v>
      </c>
      <c r="DX485" s="426">
        <v>95</v>
      </c>
      <c r="DY485" s="426">
        <f>45+56</f>
        <v>101</v>
      </c>
      <c r="DZ485" s="426">
        <f>426+35</f>
        <v>461</v>
      </c>
      <c r="EA485" s="426"/>
      <c r="EB485" s="384"/>
      <c r="EC485" s="384"/>
      <c r="ED485" s="384"/>
      <c r="EE485" s="384"/>
      <c r="EF485" s="384"/>
      <c r="EG485" s="384"/>
      <c r="EH485" s="384"/>
      <c r="EI485" s="384"/>
      <c r="EJ485" s="384"/>
      <c r="EK485" s="384"/>
      <c r="EL485" s="384"/>
      <c r="EM485" s="384"/>
      <c r="EN485" s="384"/>
      <c r="EO485" s="384"/>
      <c r="EP485" s="384"/>
      <c r="EQ485" s="384"/>
      <c r="ER485" s="384"/>
      <c r="ES485" s="384"/>
      <c r="ET485" s="384"/>
      <c r="EU485" s="384"/>
      <c r="EV485" s="384"/>
      <c r="EW485" s="384"/>
      <c r="FT485" s="503"/>
      <c r="FU485" s="503"/>
      <c r="FV485" s="503"/>
      <c r="FW485" s="503"/>
      <c r="FX485" s="504"/>
      <c r="FY485" s="504"/>
      <c r="FZ485" s="384"/>
      <c r="GA485" s="384"/>
      <c r="GB485" s="384"/>
      <c r="GC485" s="384"/>
      <c r="GD485" s="384"/>
      <c r="GE485" s="384"/>
      <c r="GF485" s="384"/>
      <c r="GG485" s="384"/>
      <c r="GH485" s="384"/>
      <c r="GI485" s="384"/>
      <c r="GJ485" s="384"/>
      <c r="GK485" s="384"/>
      <c r="GN485" s="70"/>
    </row>
    <row r="486" spans="1:196" s="382" customFormat="1">
      <c r="A486" s="395" t="s">
        <v>275</v>
      </c>
      <c r="CD486" s="503"/>
      <c r="CE486" s="503"/>
      <c r="CF486" s="503"/>
      <c r="CG486" s="503"/>
      <c r="CH486" s="503"/>
      <c r="CI486" s="503"/>
      <c r="CJ486" s="503"/>
      <c r="CK486" s="503"/>
      <c r="CL486" s="503"/>
      <c r="CM486" s="503"/>
      <c r="CN486" s="503"/>
      <c r="CO486" s="503"/>
      <c r="CP486" s="503"/>
      <c r="CQ486" s="503"/>
      <c r="CR486" s="503"/>
      <c r="CS486" s="503"/>
      <c r="CT486" s="384"/>
      <c r="CU486" s="384"/>
      <c r="CV486" s="384"/>
      <c r="CW486" s="384"/>
      <c r="CX486" s="384"/>
      <c r="CY486" s="384"/>
      <c r="CZ486" s="384"/>
      <c r="DA486" s="384"/>
      <c r="DB486" s="384"/>
      <c r="DC486" s="384"/>
      <c r="DD486" s="384"/>
      <c r="DE486" s="384"/>
      <c r="DF486" s="384"/>
      <c r="DG486" s="384"/>
      <c r="DH486" s="384"/>
      <c r="DI486" s="384"/>
      <c r="DJ486" s="391"/>
      <c r="DK486" s="397">
        <f t="shared" ref="DK486:DZ486" si="888">SUM(DK477:DK485)</f>
        <v>6016</v>
      </c>
      <c r="DL486" s="397">
        <f t="shared" si="888"/>
        <v>6566</v>
      </c>
      <c r="DM486" s="397">
        <f t="shared" si="888"/>
        <v>9066</v>
      </c>
      <c r="DN486" s="397">
        <f t="shared" si="888"/>
        <v>9987</v>
      </c>
      <c r="DO486" s="397">
        <f t="shared" si="888"/>
        <v>10685</v>
      </c>
      <c r="DP486" s="397">
        <f t="shared" si="888"/>
        <v>9532</v>
      </c>
      <c r="DQ486" s="397">
        <f t="shared" si="888"/>
        <v>8610</v>
      </c>
      <c r="DR486" s="397">
        <f t="shared" si="888"/>
        <v>6828</v>
      </c>
      <c r="DS486" s="397">
        <f t="shared" si="888"/>
        <v>6284</v>
      </c>
      <c r="DT486" s="397">
        <f t="shared" si="888"/>
        <v>5041</v>
      </c>
      <c r="DU486" s="397">
        <f t="shared" si="888"/>
        <v>4594</v>
      </c>
      <c r="DV486" s="397">
        <f t="shared" si="888"/>
        <v>3992</v>
      </c>
      <c r="DW486" s="397">
        <f t="shared" si="888"/>
        <v>3878</v>
      </c>
      <c r="DX486" s="397">
        <f t="shared" si="888"/>
        <v>4287</v>
      </c>
      <c r="DY486" s="397">
        <f t="shared" si="888"/>
        <v>4968</v>
      </c>
      <c r="DZ486" s="397">
        <f t="shared" si="888"/>
        <v>8248</v>
      </c>
      <c r="EA486" s="397"/>
      <c r="EB486" s="384"/>
      <c r="EC486" s="384"/>
      <c r="ED486" s="384"/>
      <c r="EE486" s="384"/>
      <c r="EF486" s="384"/>
      <c r="EG486" s="384"/>
      <c r="EH486" s="384"/>
      <c r="EI486" s="384"/>
      <c r="EJ486" s="384"/>
      <c r="EK486" s="384"/>
      <c r="EL486" s="384"/>
      <c r="EM486" s="384"/>
      <c r="EN486" s="384"/>
      <c r="EO486" s="384"/>
      <c r="EP486" s="384"/>
      <c r="EQ486" s="384"/>
      <c r="ER486" s="384"/>
      <c r="ES486" s="384"/>
      <c r="ET486" s="384"/>
      <c r="EU486" s="384"/>
      <c r="EV486" s="384"/>
      <c r="EW486" s="384"/>
      <c r="FT486" s="503"/>
      <c r="FU486" s="503"/>
      <c r="FV486" s="503"/>
      <c r="FW486" s="503"/>
      <c r="FX486" s="504"/>
      <c r="FY486" s="504"/>
      <c r="FZ486" s="384"/>
      <c r="GA486" s="384"/>
      <c r="GB486" s="384"/>
      <c r="GC486" s="384"/>
      <c r="GD486" s="384"/>
      <c r="GE486" s="384"/>
      <c r="GF486" s="384"/>
      <c r="GG486" s="384"/>
      <c r="GH486" s="384"/>
      <c r="GI486" s="384"/>
      <c r="GJ486" s="384"/>
      <c r="GK486" s="384"/>
      <c r="GN486" s="70"/>
    </row>
    <row r="487" spans="1:196" s="382" customFormat="1">
      <c r="A487" s="381"/>
      <c r="CD487" s="503"/>
      <c r="CE487" s="503"/>
      <c r="CF487" s="503"/>
      <c r="CG487" s="503"/>
      <c r="CH487" s="503"/>
      <c r="CI487" s="503"/>
      <c r="CJ487" s="503"/>
      <c r="CK487" s="503"/>
      <c r="CL487" s="503"/>
      <c r="CM487" s="503"/>
      <c r="CN487" s="503"/>
      <c r="CO487" s="503"/>
      <c r="CP487" s="503"/>
      <c r="CQ487" s="503"/>
      <c r="CR487" s="503"/>
      <c r="CS487" s="503"/>
      <c r="CT487" s="384"/>
      <c r="CU487" s="384"/>
      <c r="CV487" s="384"/>
      <c r="CW487" s="384"/>
      <c r="CX487" s="384"/>
      <c r="CY487" s="384"/>
      <c r="CZ487" s="384"/>
      <c r="DA487" s="384"/>
      <c r="DB487" s="384"/>
      <c r="DC487" s="384"/>
      <c r="DD487" s="384"/>
      <c r="DE487" s="384"/>
      <c r="DF487" s="384"/>
      <c r="DG487" s="384"/>
      <c r="DH487" s="384"/>
      <c r="DI487" s="384"/>
      <c r="DJ487" s="391"/>
      <c r="DK487" s="391"/>
      <c r="DL487" s="391"/>
      <c r="DM487" s="391"/>
      <c r="DN487" s="391"/>
      <c r="DO487" s="391"/>
      <c r="DP487" s="391"/>
      <c r="DQ487" s="391"/>
      <c r="DR487" s="391"/>
      <c r="DS487" s="391"/>
      <c r="DT487" s="391"/>
      <c r="DU487" s="391"/>
      <c r="DV487" s="391"/>
      <c r="DW487" s="391"/>
      <c r="DX487" s="384"/>
      <c r="DY487" s="384"/>
      <c r="DZ487" s="384"/>
      <c r="EA487" s="384"/>
      <c r="EB487" s="384"/>
      <c r="EC487" s="384"/>
      <c r="ED487" s="384"/>
      <c r="EE487" s="384"/>
      <c r="EF487" s="384"/>
      <c r="EG487" s="384"/>
      <c r="EH487" s="384"/>
      <c r="EI487" s="384"/>
      <c r="EJ487" s="384"/>
      <c r="EK487" s="384"/>
      <c r="EL487" s="384"/>
      <c r="EM487" s="384"/>
      <c r="EN487" s="384"/>
      <c r="EO487" s="384"/>
      <c r="EP487" s="384"/>
      <c r="EQ487" s="384"/>
      <c r="ER487" s="384"/>
      <c r="ES487" s="384"/>
      <c r="ET487" s="384"/>
      <c r="EU487" s="384"/>
      <c r="EV487" s="384"/>
      <c r="EW487" s="384"/>
      <c r="FT487" s="503"/>
      <c r="FU487" s="503"/>
      <c r="FV487" s="503"/>
      <c r="FW487" s="503"/>
      <c r="FX487" s="504"/>
      <c r="FY487" s="504"/>
      <c r="FZ487" s="384"/>
      <c r="GA487" s="384"/>
      <c r="GB487" s="384"/>
      <c r="GC487" s="384"/>
      <c r="GD487" s="384"/>
      <c r="GE487" s="384"/>
      <c r="GF487" s="384"/>
      <c r="GG487" s="384"/>
      <c r="GH487" s="384"/>
      <c r="GI487" s="384"/>
      <c r="GJ487" s="384"/>
      <c r="GK487" s="384"/>
      <c r="GN487" s="70"/>
    </row>
    <row r="488" spans="1:196" s="382" customFormat="1">
      <c r="A488" s="506" t="s">
        <v>323</v>
      </c>
      <c r="CD488" s="503"/>
      <c r="CE488" s="503"/>
      <c r="CF488" s="503"/>
      <c r="CG488" s="503"/>
      <c r="CH488" s="503"/>
      <c r="CI488" s="503"/>
      <c r="CJ488" s="503"/>
      <c r="CK488" s="503"/>
      <c r="CL488" s="503"/>
      <c r="CM488" s="503"/>
      <c r="CN488" s="503"/>
      <c r="CO488" s="503"/>
      <c r="CP488" s="503"/>
      <c r="CQ488" s="503"/>
      <c r="CR488" s="503"/>
      <c r="CS488" s="503"/>
      <c r="CT488" s="384"/>
      <c r="CU488" s="384"/>
      <c r="CV488" s="384"/>
      <c r="CW488" s="384"/>
      <c r="CX488" s="384"/>
      <c r="CY488" s="384"/>
      <c r="CZ488" s="384"/>
      <c r="DA488" s="384"/>
      <c r="DB488" s="384"/>
      <c r="DC488" s="384"/>
      <c r="DD488" s="384"/>
      <c r="DE488" s="384"/>
      <c r="DF488" s="384"/>
      <c r="DG488" s="384"/>
      <c r="DH488" s="384"/>
      <c r="DI488" s="384"/>
      <c r="DJ488" s="391"/>
      <c r="DK488" s="391"/>
      <c r="DL488" s="391"/>
      <c r="DM488" s="391"/>
      <c r="DN488" s="391"/>
      <c r="DO488" s="391"/>
      <c r="DP488" s="391"/>
      <c r="DQ488" s="391"/>
      <c r="DR488" s="391"/>
      <c r="DS488" s="391"/>
      <c r="DT488" s="391"/>
      <c r="DU488" s="391"/>
      <c r="DV488" s="391"/>
      <c r="DW488" s="391"/>
      <c r="DX488" s="384"/>
      <c r="DY488" s="384"/>
      <c r="DZ488" s="384"/>
      <c r="EA488" s="384"/>
      <c r="EB488" s="384"/>
      <c r="EC488" s="384"/>
      <c r="ED488" s="384"/>
      <c r="EE488" s="384"/>
      <c r="EF488" s="384"/>
      <c r="EG488" s="384"/>
      <c r="EH488" s="384"/>
      <c r="EI488" s="384"/>
      <c r="EJ488" s="384"/>
      <c r="EK488" s="384"/>
      <c r="EL488" s="384"/>
      <c r="EM488" s="384"/>
      <c r="EN488" s="384"/>
      <c r="EO488" s="384"/>
      <c r="EP488" s="384"/>
      <c r="EQ488" s="384"/>
      <c r="ER488" s="384"/>
      <c r="ES488" s="384"/>
      <c r="ET488" s="384"/>
      <c r="EU488" s="384"/>
      <c r="EV488" s="384"/>
      <c r="EW488" s="384"/>
      <c r="FT488" s="503"/>
      <c r="FU488" s="503"/>
      <c r="FV488" s="503"/>
      <c r="FW488" s="503"/>
      <c r="FX488" s="504"/>
      <c r="FY488" s="504"/>
      <c r="FZ488" s="384"/>
      <c r="GA488" s="384"/>
      <c r="GB488" s="384"/>
      <c r="GC488" s="384"/>
      <c r="GD488" s="384"/>
      <c r="GE488" s="384"/>
      <c r="GF488" s="384"/>
      <c r="GG488" s="384"/>
      <c r="GH488" s="384"/>
      <c r="GI488" s="384"/>
      <c r="GJ488" s="384"/>
      <c r="GK488" s="384"/>
      <c r="GN488" s="70"/>
    </row>
    <row r="489" spans="1:196" s="382" customFormat="1">
      <c r="A489" s="379" t="s">
        <v>324</v>
      </c>
      <c r="CD489" s="503"/>
      <c r="CE489" s="503"/>
      <c r="CF489" s="503"/>
      <c r="CG489" s="503"/>
      <c r="CH489" s="503"/>
      <c r="CI489" s="503"/>
      <c r="CJ489" s="503"/>
      <c r="CK489" s="503"/>
      <c r="CL489" s="503"/>
      <c r="CM489" s="503"/>
      <c r="CN489" s="503"/>
      <c r="CO489" s="503"/>
      <c r="CP489" s="503"/>
      <c r="CQ489" s="503"/>
      <c r="CR489" s="503"/>
      <c r="CS489" s="503"/>
      <c r="CT489" s="384"/>
      <c r="CU489" s="384"/>
      <c r="CV489" s="384"/>
      <c r="CW489" s="384"/>
      <c r="CX489" s="384"/>
      <c r="CY489" s="384"/>
      <c r="CZ489" s="384"/>
      <c r="DA489" s="384"/>
      <c r="DB489" s="384"/>
      <c r="DC489" s="384"/>
      <c r="DD489" s="384"/>
      <c r="DE489" s="384"/>
      <c r="DF489" s="384"/>
      <c r="DG489" s="384"/>
      <c r="DH489" s="384"/>
      <c r="DI489" s="384"/>
      <c r="DJ489" s="391"/>
      <c r="DK489" s="391"/>
      <c r="DL489" s="391"/>
      <c r="DM489" s="391"/>
      <c r="DN489" s="391"/>
      <c r="DO489" s="391"/>
      <c r="DP489" s="391"/>
      <c r="DQ489" s="391"/>
      <c r="DR489" s="391"/>
      <c r="DS489" s="391"/>
      <c r="DT489" s="391"/>
      <c r="DU489" s="391"/>
      <c r="DV489" s="391"/>
      <c r="DW489" s="391"/>
      <c r="DX489" s="384"/>
      <c r="DY489" s="384"/>
      <c r="DZ489" s="384"/>
      <c r="EA489" s="384"/>
      <c r="EB489" s="384"/>
      <c r="EC489" s="384"/>
      <c r="ED489" s="384"/>
      <c r="EE489" s="384"/>
      <c r="EF489" s="384"/>
      <c r="EG489" s="384"/>
      <c r="EH489" s="384"/>
      <c r="EI489" s="384"/>
      <c r="EJ489" s="384"/>
      <c r="EK489" s="384"/>
      <c r="EL489" s="384"/>
      <c r="EM489" s="384"/>
      <c r="EN489" s="384"/>
      <c r="EO489" s="384"/>
      <c r="EP489" s="384"/>
      <c r="EQ489" s="384"/>
      <c r="ER489" s="384"/>
      <c r="ES489" s="384"/>
      <c r="ET489" s="384"/>
      <c r="EU489" s="384"/>
      <c r="EV489" s="384"/>
      <c r="EW489" s="384"/>
      <c r="FT489" s="503"/>
      <c r="FU489" s="503"/>
      <c r="FV489" s="503"/>
      <c r="FW489" s="503"/>
      <c r="FX489" s="504"/>
      <c r="FY489" s="504"/>
      <c r="FZ489" s="384"/>
      <c r="GA489" s="384"/>
      <c r="GB489" s="384"/>
      <c r="GC489" s="384"/>
      <c r="GD489" s="384"/>
      <c r="GE489" s="384"/>
      <c r="GF489" s="384"/>
      <c r="GG489" s="384"/>
      <c r="GH489" s="384"/>
      <c r="GI489" s="384"/>
      <c r="GJ489" s="384"/>
      <c r="GK489" s="384"/>
      <c r="GN489" s="70"/>
    </row>
    <row r="490" spans="1:196" s="382" customFormat="1">
      <c r="A490" s="381"/>
      <c r="CD490" s="503"/>
      <c r="CE490" s="503"/>
      <c r="CF490" s="503"/>
      <c r="CG490" s="503"/>
      <c r="CH490" s="503"/>
      <c r="CI490" s="503"/>
      <c r="CJ490" s="503"/>
      <c r="CK490" s="503"/>
      <c r="CL490" s="503"/>
      <c r="CM490" s="503"/>
      <c r="CN490" s="503"/>
      <c r="CO490" s="503"/>
      <c r="CP490" s="503"/>
      <c r="CQ490" s="503"/>
      <c r="CR490" s="503"/>
      <c r="CS490" s="503"/>
      <c r="CT490" s="384"/>
      <c r="CU490" s="384"/>
      <c r="CV490" s="384"/>
      <c r="CW490" s="384"/>
      <c r="CX490" s="384"/>
      <c r="CY490" s="384"/>
      <c r="CZ490" s="384"/>
      <c r="DA490" s="384"/>
      <c r="DB490" s="384"/>
      <c r="DC490" s="384"/>
      <c r="DD490" s="384"/>
      <c r="DE490" s="384"/>
      <c r="DF490" s="384"/>
      <c r="DG490" s="384"/>
      <c r="DH490" s="384"/>
      <c r="DI490" s="384"/>
      <c r="DJ490" s="391"/>
      <c r="DK490" s="391"/>
      <c r="DL490" s="391"/>
      <c r="DM490" s="391"/>
      <c r="DN490" s="391"/>
      <c r="DO490" s="391"/>
      <c r="DP490" s="391"/>
      <c r="DQ490" s="391"/>
      <c r="DR490" s="391"/>
      <c r="DS490" s="391"/>
      <c r="DT490" s="391"/>
      <c r="DU490" s="391"/>
      <c r="DV490" s="391"/>
      <c r="DW490" s="391"/>
      <c r="DX490" s="384"/>
      <c r="DY490" s="384"/>
      <c r="DZ490" s="384"/>
      <c r="EA490" s="384"/>
      <c r="EB490" s="384"/>
      <c r="EC490" s="384"/>
      <c r="ED490" s="384"/>
      <c r="EE490" s="384"/>
      <c r="EF490" s="384"/>
      <c r="EG490" s="384"/>
      <c r="EH490" s="384"/>
      <c r="EI490" s="384"/>
      <c r="EJ490" s="384"/>
      <c r="EK490" s="384"/>
      <c r="EL490" s="384"/>
      <c r="EM490" s="384"/>
      <c r="EN490" s="384"/>
      <c r="EO490" s="384"/>
      <c r="EP490" s="384"/>
      <c r="EQ490" s="384"/>
      <c r="ER490" s="384"/>
      <c r="ES490" s="384"/>
      <c r="ET490" s="384"/>
      <c r="EU490" s="384"/>
      <c r="EV490" s="384"/>
      <c r="EW490" s="384"/>
      <c r="FT490" s="503"/>
      <c r="FU490" s="503"/>
      <c r="FV490" s="503"/>
      <c r="FW490" s="503"/>
      <c r="FX490" s="504"/>
      <c r="FY490" s="504"/>
      <c r="FZ490" s="384"/>
      <c r="GA490" s="384"/>
      <c r="GB490" s="384"/>
      <c r="GC490" s="384"/>
      <c r="GD490" s="384"/>
      <c r="GE490" s="384"/>
      <c r="GF490" s="384"/>
      <c r="GG490" s="384"/>
      <c r="GH490" s="384"/>
      <c r="GI490" s="384"/>
      <c r="GJ490" s="384"/>
      <c r="GK490" s="384"/>
      <c r="GN490" s="70"/>
    </row>
    <row r="491" spans="1:196" s="382" customFormat="1">
      <c r="A491" s="507" t="s">
        <v>325</v>
      </c>
      <c r="CD491" s="503"/>
      <c r="CE491" s="503"/>
      <c r="CF491" s="503"/>
      <c r="CG491" s="503"/>
      <c r="CH491" s="503"/>
      <c r="CI491" s="503"/>
      <c r="CJ491" s="503"/>
      <c r="CK491" s="503"/>
      <c r="CL491" s="503"/>
      <c r="CM491" s="503"/>
      <c r="CN491" s="503"/>
      <c r="CO491" s="503"/>
      <c r="CP491" s="503"/>
      <c r="CQ491" s="503"/>
      <c r="CR491" s="503"/>
      <c r="CS491" s="503"/>
      <c r="CT491" s="384"/>
      <c r="CU491" s="384"/>
      <c r="CV491" s="384"/>
      <c r="CW491" s="384"/>
      <c r="CX491" s="384"/>
      <c r="CY491" s="384"/>
      <c r="CZ491" s="384"/>
      <c r="DA491" s="384"/>
      <c r="DB491" s="384"/>
      <c r="DC491" s="384"/>
      <c r="DD491" s="384"/>
      <c r="DE491" s="384"/>
      <c r="DF491" s="384"/>
      <c r="DG491" s="384"/>
      <c r="DH491" s="384"/>
      <c r="DI491" s="384"/>
      <c r="DJ491" s="391"/>
      <c r="DK491" s="391"/>
      <c r="DL491" s="391"/>
      <c r="DM491" s="391"/>
      <c r="DN491" s="391"/>
      <c r="DO491" s="391"/>
      <c r="DP491" s="391"/>
      <c r="DQ491" s="391"/>
      <c r="DR491" s="391"/>
      <c r="DS491" s="391"/>
      <c r="DT491" s="391"/>
      <c r="DU491" s="391"/>
      <c r="DV491" s="391"/>
      <c r="DW491" s="391"/>
      <c r="DX491" s="384"/>
      <c r="DY491" s="384"/>
      <c r="DZ491" s="384"/>
      <c r="EA491" s="384"/>
      <c r="EB491" s="384"/>
      <c r="EC491" s="384"/>
      <c r="ED491" s="384"/>
      <c r="EE491" s="384"/>
      <c r="EF491" s="384"/>
      <c r="EG491" s="384"/>
      <c r="EH491" s="384"/>
      <c r="EI491" s="384"/>
      <c r="EJ491" s="384"/>
      <c r="EK491" s="384"/>
      <c r="EL491" s="384"/>
      <c r="EM491" s="384"/>
      <c r="EN491" s="384"/>
      <c r="EO491" s="384"/>
      <c r="EP491" s="384"/>
      <c r="EQ491" s="384"/>
      <c r="ER491" s="384"/>
      <c r="ES491" s="384"/>
      <c r="ET491" s="384"/>
      <c r="EU491" s="384"/>
      <c r="EV491" s="384"/>
      <c r="EW491" s="384"/>
      <c r="FT491" s="503"/>
      <c r="FU491" s="503"/>
      <c r="FV491" s="503"/>
      <c r="FW491" s="503"/>
      <c r="FX491" s="504"/>
      <c r="FY491" s="504"/>
      <c r="FZ491" s="384"/>
      <c r="GA491" s="384"/>
      <c r="GB491" s="508"/>
      <c r="GC491" s="508"/>
      <c r="GD491" s="508"/>
      <c r="GE491" s="508"/>
      <c r="GF491" s="508"/>
      <c r="GG491" s="384"/>
      <c r="GH491" s="384"/>
      <c r="GI491" s="384"/>
      <c r="GJ491" s="384"/>
      <c r="GK491" s="384"/>
      <c r="GN491" s="70"/>
    </row>
    <row r="492" spans="1:196" s="382" customFormat="1">
      <c r="A492" s="379" t="s">
        <v>326</v>
      </c>
      <c r="CD492" s="503"/>
      <c r="CE492" s="503"/>
      <c r="CF492" s="503"/>
      <c r="CG492" s="503"/>
      <c r="CH492" s="503"/>
      <c r="CI492" s="503"/>
      <c r="CJ492" s="503"/>
      <c r="CK492" s="503"/>
      <c r="CL492" s="503"/>
      <c r="CM492" s="503"/>
      <c r="CN492" s="503"/>
      <c r="CO492" s="503"/>
      <c r="CP492" s="503"/>
      <c r="CQ492" s="503"/>
      <c r="CR492" s="503"/>
      <c r="CS492" s="503"/>
      <c r="CT492" s="384"/>
      <c r="CU492" s="384"/>
      <c r="CV492" s="384"/>
      <c r="CW492" s="384"/>
      <c r="CX492" s="384"/>
      <c r="CY492" s="384"/>
      <c r="CZ492" s="384"/>
      <c r="DA492" s="384"/>
      <c r="DB492" s="384"/>
      <c r="DC492" s="384"/>
      <c r="DD492" s="384"/>
      <c r="DE492" s="384"/>
      <c r="DF492" s="384"/>
      <c r="DG492" s="384"/>
      <c r="DH492" s="384"/>
      <c r="DI492" s="384"/>
      <c r="DJ492" s="391"/>
      <c r="DK492" s="391"/>
      <c r="DL492" s="391"/>
      <c r="DM492" s="391"/>
      <c r="DN492" s="391"/>
      <c r="DO492" s="391"/>
      <c r="DP492" s="391"/>
      <c r="DQ492" s="391"/>
      <c r="DR492" s="391"/>
      <c r="DS492" s="391"/>
      <c r="DT492" s="391"/>
      <c r="DU492" s="391"/>
      <c r="DV492" s="391"/>
      <c r="DW492" s="391"/>
      <c r="DX492" s="384"/>
      <c r="DY492" s="384"/>
      <c r="DZ492" s="384"/>
      <c r="EA492" s="384"/>
      <c r="EB492" s="384"/>
      <c r="EC492" s="384"/>
      <c r="ED492" s="384"/>
      <c r="EE492" s="384"/>
      <c r="EF492" s="384"/>
      <c r="EG492" s="384"/>
      <c r="EH492" s="384"/>
      <c r="EI492" s="384"/>
      <c r="EJ492" s="384"/>
      <c r="EK492" s="384"/>
      <c r="EL492" s="384"/>
      <c r="EM492" s="384"/>
      <c r="EN492" s="384"/>
      <c r="EO492" s="384"/>
      <c r="EP492" s="384"/>
      <c r="EQ492" s="384"/>
      <c r="ER492" s="384"/>
      <c r="ES492" s="384"/>
      <c r="ET492" s="384"/>
      <c r="EU492" s="384"/>
      <c r="EV492" s="384"/>
      <c r="EW492" s="384"/>
      <c r="FT492" s="503"/>
      <c r="FU492" s="503"/>
      <c r="FV492" s="503"/>
      <c r="FW492" s="503"/>
      <c r="FX492" s="504"/>
      <c r="FY492" s="504"/>
      <c r="FZ492" s="384"/>
      <c r="GA492" s="384"/>
      <c r="GB492" s="426">
        <v>4656</v>
      </c>
      <c r="GC492" s="426">
        <v>8049</v>
      </c>
      <c r="GD492" s="426">
        <v>7837</v>
      </c>
      <c r="GE492" s="426">
        <v>8693</v>
      </c>
      <c r="GF492" s="426"/>
      <c r="GG492" s="384"/>
      <c r="GH492" s="384"/>
      <c r="GI492" s="384"/>
      <c r="GJ492" s="384"/>
      <c r="GK492" s="384"/>
      <c r="GN492" s="70"/>
    </row>
    <row r="493" spans="1:196" s="382" customFormat="1">
      <c r="A493" s="379" t="s">
        <v>327</v>
      </c>
      <c r="CD493" s="503"/>
      <c r="CE493" s="503"/>
      <c r="CF493" s="503"/>
      <c r="CG493" s="503"/>
      <c r="CH493" s="503"/>
      <c r="CI493" s="503"/>
      <c r="CJ493" s="503"/>
      <c r="CK493" s="503"/>
      <c r="CL493" s="503"/>
      <c r="CM493" s="503"/>
      <c r="CN493" s="503"/>
      <c r="CO493" s="503"/>
      <c r="CP493" s="503"/>
      <c r="CQ493" s="503"/>
      <c r="CR493" s="503"/>
      <c r="CS493" s="503"/>
      <c r="CT493" s="384"/>
      <c r="CU493" s="384"/>
      <c r="CV493" s="384"/>
      <c r="CW493" s="384"/>
      <c r="CX493" s="384"/>
      <c r="CY493" s="384"/>
      <c r="CZ493" s="384"/>
      <c r="DA493" s="384"/>
      <c r="DB493" s="384"/>
      <c r="DC493" s="384"/>
      <c r="DD493" s="384"/>
      <c r="DE493" s="384"/>
      <c r="DF493" s="384"/>
      <c r="DG493" s="384"/>
      <c r="DH493" s="384"/>
      <c r="DI493" s="384"/>
      <c r="DJ493" s="391"/>
      <c r="DK493" s="391"/>
      <c r="DL493" s="391"/>
      <c r="DM493" s="391"/>
      <c r="DN493" s="391"/>
      <c r="DO493" s="391"/>
      <c r="DP493" s="391"/>
      <c r="DQ493" s="391"/>
      <c r="DR493" s="391"/>
      <c r="DS493" s="391"/>
      <c r="DT493" s="391"/>
      <c r="DU493" s="391"/>
      <c r="DV493" s="391"/>
      <c r="DW493" s="391"/>
      <c r="DX493" s="384"/>
      <c r="DY493" s="384"/>
      <c r="DZ493" s="384"/>
      <c r="EA493" s="384"/>
      <c r="EB493" s="384"/>
      <c r="EC493" s="384"/>
      <c r="ED493" s="384"/>
      <c r="EE493" s="384"/>
      <c r="EF493" s="384"/>
      <c r="EG493" s="384"/>
      <c r="EH493" s="384"/>
      <c r="EI493" s="384"/>
      <c r="EJ493" s="384"/>
      <c r="EK493" s="384"/>
      <c r="EL493" s="384"/>
      <c r="EM493" s="384"/>
      <c r="EN493" s="384"/>
      <c r="EO493" s="384"/>
      <c r="EP493" s="384"/>
      <c r="EQ493" s="384"/>
      <c r="ER493" s="384"/>
      <c r="ES493" s="384"/>
      <c r="ET493" s="384"/>
      <c r="EU493" s="384"/>
      <c r="EV493" s="384"/>
      <c r="EW493" s="384"/>
      <c r="FT493" s="503"/>
      <c r="FU493" s="503"/>
      <c r="FV493" s="503"/>
      <c r="FW493" s="503"/>
      <c r="FX493" s="504"/>
      <c r="FY493" s="504"/>
      <c r="FZ493" s="384"/>
      <c r="GA493" s="384"/>
      <c r="GB493" s="426">
        <v>2381</v>
      </c>
      <c r="GC493" s="426">
        <v>4177</v>
      </c>
      <c r="GD493" s="426">
        <v>4629</v>
      </c>
      <c r="GE493" s="426">
        <v>1767</v>
      </c>
      <c r="GF493" s="426"/>
      <c r="GG493" s="384"/>
      <c r="GH493" s="384"/>
      <c r="GI493" s="384"/>
      <c r="GJ493" s="384"/>
      <c r="GK493" s="384"/>
      <c r="GN493" s="70"/>
    </row>
    <row r="494" spans="1:196" s="382" customFormat="1">
      <c r="A494" s="379" t="s">
        <v>328</v>
      </c>
      <c r="CD494" s="503"/>
      <c r="CE494" s="503"/>
      <c r="CF494" s="503"/>
      <c r="CG494" s="503"/>
      <c r="CH494" s="503"/>
      <c r="CI494" s="503"/>
      <c r="CJ494" s="503"/>
      <c r="CK494" s="503"/>
      <c r="CL494" s="503"/>
      <c r="CM494" s="503"/>
      <c r="CN494" s="503"/>
      <c r="CO494" s="503"/>
      <c r="CP494" s="503"/>
      <c r="CQ494" s="503"/>
      <c r="CR494" s="503"/>
      <c r="CS494" s="503"/>
      <c r="CT494" s="384"/>
      <c r="CU494" s="384"/>
      <c r="CV494" s="384"/>
      <c r="CW494" s="384"/>
      <c r="CX494" s="384"/>
      <c r="CY494" s="384"/>
      <c r="CZ494" s="384"/>
      <c r="DA494" s="384"/>
      <c r="DB494" s="384"/>
      <c r="DC494" s="384"/>
      <c r="DD494" s="384"/>
      <c r="DE494" s="384"/>
      <c r="DF494" s="384"/>
      <c r="DG494" s="384"/>
      <c r="DH494" s="384"/>
      <c r="DI494" s="384"/>
      <c r="DJ494" s="391"/>
      <c r="DK494" s="391"/>
      <c r="DL494" s="391"/>
      <c r="DM494" s="391"/>
      <c r="DN494" s="391"/>
      <c r="DO494" s="391"/>
      <c r="DP494" s="391"/>
      <c r="DQ494" s="391"/>
      <c r="DR494" s="391"/>
      <c r="DS494" s="391"/>
      <c r="DT494" s="391"/>
      <c r="DU494" s="391"/>
      <c r="DV494" s="391"/>
      <c r="DW494" s="391"/>
      <c r="DX494" s="384"/>
      <c r="DY494" s="384"/>
      <c r="DZ494" s="384"/>
      <c r="EA494" s="384"/>
      <c r="EB494" s="384"/>
      <c r="EC494" s="384"/>
      <c r="ED494" s="384"/>
      <c r="EE494" s="384"/>
      <c r="EF494" s="384"/>
      <c r="EG494" s="384"/>
      <c r="EH494" s="384"/>
      <c r="EI494" s="384"/>
      <c r="EJ494" s="384"/>
      <c r="EK494" s="384"/>
      <c r="EL494" s="384"/>
      <c r="EM494" s="384"/>
      <c r="EN494" s="384"/>
      <c r="EO494" s="384"/>
      <c r="EP494" s="384"/>
      <c r="EQ494" s="384"/>
      <c r="ER494" s="384"/>
      <c r="ES494" s="384"/>
      <c r="ET494" s="384"/>
      <c r="EU494" s="384"/>
      <c r="EV494" s="384"/>
      <c r="EW494" s="384"/>
      <c r="FT494" s="503"/>
      <c r="FU494" s="503"/>
      <c r="FV494" s="503"/>
      <c r="FW494" s="503"/>
      <c r="FX494" s="504"/>
      <c r="FY494" s="504"/>
      <c r="FZ494" s="384"/>
      <c r="GA494" s="384"/>
      <c r="GB494" s="426">
        <v>4096</v>
      </c>
      <c r="GC494" s="426">
        <v>5207</v>
      </c>
      <c r="GD494" s="426">
        <v>3417</v>
      </c>
      <c r="GE494" s="426">
        <v>6231</v>
      </c>
      <c r="GF494" s="426"/>
      <c r="GG494" s="384"/>
      <c r="GH494" s="384"/>
      <c r="GI494" s="384"/>
      <c r="GJ494" s="384"/>
      <c r="GK494" s="384"/>
      <c r="GN494" s="70"/>
    </row>
    <row r="495" spans="1:196" s="382" customFormat="1">
      <c r="A495" s="379" t="s">
        <v>329</v>
      </c>
      <c r="CD495" s="503"/>
      <c r="CE495" s="503"/>
      <c r="CF495" s="503"/>
      <c r="CG495" s="503"/>
      <c r="CH495" s="503"/>
      <c r="CI495" s="503"/>
      <c r="CJ495" s="503"/>
      <c r="CK495" s="503"/>
      <c r="CL495" s="503"/>
      <c r="CM495" s="503"/>
      <c r="CN495" s="503"/>
      <c r="CO495" s="503"/>
      <c r="CP495" s="503"/>
      <c r="CQ495" s="503"/>
      <c r="CR495" s="503"/>
      <c r="CS495" s="503"/>
      <c r="CT495" s="384"/>
      <c r="CU495" s="384"/>
      <c r="CV495" s="384"/>
      <c r="CW495" s="384"/>
      <c r="CX495" s="384"/>
      <c r="CY495" s="384"/>
      <c r="CZ495" s="384"/>
      <c r="DA495" s="384"/>
      <c r="DB495" s="384"/>
      <c r="DC495" s="384"/>
      <c r="DD495" s="384"/>
      <c r="DE495" s="384"/>
      <c r="DF495" s="384"/>
      <c r="DG495" s="384"/>
      <c r="DH495" s="384"/>
      <c r="DI495" s="384"/>
      <c r="DJ495" s="391"/>
      <c r="DK495" s="391"/>
      <c r="DL495" s="391"/>
      <c r="DM495" s="391"/>
      <c r="DN495" s="391"/>
      <c r="DO495" s="391"/>
      <c r="DP495" s="391"/>
      <c r="DQ495" s="391"/>
      <c r="DR495" s="391"/>
      <c r="DS495" s="391"/>
      <c r="DT495" s="391"/>
      <c r="DU495" s="391"/>
      <c r="DV495" s="391"/>
      <c r="DW495" s="391"/>
      <c r="DX495" s="384"/>
      <c r="DY495" s="384"/>
      <c r="DZ495" s="384"/>
      <c r="EA495" s="384"/>
      <c r="EB495" s="384"/>
      <c r="EC495" s="384"/>
      <c r="ED495" s="384"/>
      <c r="EE495" s="384"/>
      <c r="EF495" s="384"/>
      <c r="EG495" s="384"/>
      <c r="EH495" s="384"/>
      <c r="EI495" s="384"/>
      <c r="EJ495" s="384"/>
      <c r="EK495" s="384"/>
      <c r="EL495" s="384"/>
      <c r="EM495" s="384"/>
      <c r="EN495" s="384"/>
      <c r="EO495" s="384"/>
      <c r="EP495" s="384"/>
      <c r="EQ495" s="384"/>
      <c r="ER495" s="384"/>
      <c r="ES495" s="384"/>
      <c r="ET495" s="384"/>
      <c r="EU495" s="384"/>
      <c r="EV495" s="384"/>
      <c r="EW495" s="384"/>
      <c r="FT495" s="503"/>
      <c r="FU495" s="503"/>
      <c r="FV495" s="503"/>
      <c r="FW495" s="503"/>
      <c r="FX495" s="504"/>
      <c r="FY495" s="504"/>
      <c r="FZ495" s="384"/>
      <c r="GA495" s="384"/>
      <c r="GB495" s="426">
        <v>1389</v>
      </c>
      <c r="GC495" s="426">
        <v>1380</v>
      </c>
      <c r="GD495" s="426">
        <v>2231</v>
      </c>
      <c r="GE495" s="426">
        <v>3614</v>
      </c>
      <c r="GF495" s="426"/>
      <c r="GG495" s="384"/>
      <c r="GH495" s="384"/>
      <c r="GI495" s="384"/>
      <c r="GJ495" s="384"/>
      <c r="GK495" s="384"/>
      <c r="GN495" s="70"/>
    </row>
    <row r="496" spans="1:196" s="382" customFormat="1">
      <c r="A496" s="379" t="s">
        <v>330</v>
      </c>
      <c r="CD496" s="503"/>
      <c r="CE496" s="503"/>
      <c r="CF496" s="503"/>
      <c r="CG496" s="503"/>
      <c r="CH496" s="503"/>
      <c r="CI496" s="503"/>
      <c r="CJ496" s="503"/>
      <c r="CK496" s="503"/>
      <c r="CL496" s="503"/>
      <c r="CM496" s="503"/>
      <c r="CN496" s="503"/>
      <c r="CO496" s="503"/>
      <c r="CP496" s="503"/>
      <c r="CQ496" s="503"/>
      <c r="CR496" s="503"/>
      <c r="CS496" s="503"/>
      <c r="CT496" s="384"/>
      <c r="CU496" s="384"/>
      <c r="CV496" s="384"/>
      <c r="CW496" s="384"/>
      <c r="CX496" s="384"/>
      <c r="CY496" s="384"/>
      <c r="CZ496" s="384"/>
      <c r="DA496" s="384"/>
      <c r="DB496" s="384"/>
      <c r="DC496" s="384"/>
      <c r="DD496" s="384"/>
      <c r="DE496" s="384"/>
      <c r="DF496" s="384"/>
      <c r="DG496" s="384"/>
      <c r="DH496" s="384"/>
      <c r="DI496" s="384"/>
      <c r="DJ496" s="391"/>
      <c r="DK496" s="391"/>
      <c r="DL496" s="391"/>
      <c r="DM496" s="391"/>
      <c r="DN496" s="391"/>
      <c r="DO496" s="391"/>
      <c r="DP496" s="391"/>
      <c r="DQ496" s="391"/>
      <c r="DR496" s="391"/>
      <c r="DS496" s="391"/>
      <c r="DT496" s="391"/>
      <c r="DU496" s="391"/>
      <c r="DV496" s="391"/>
      <c r="DW496" s="391"/>
      <c r="DX496" s="384"/>
      <c r="DY496" s="384"/>
      <c r="DZ496" s="384"/>
      <c r="EA496" s="384"/>
      <c r="EB496" s="384"/>
      <c r="EC496" s="384"/>
      <c r="ED496" s="384"/>
      <c r="EE496" s="384"/>
      <c r="EF496" s="384"/>
      <c r="EG496" s="384"/>
      <c r="EH496" s="384"/>
      <c r="EI496" s="384"/>
      <c r="EJ496" s="384"/>
      <c r="EK496" s="384"/>
      <c r="EL496" s="384"/>
      <c r="EM496" s="384"/>
      <c r="EN496" s="384"/>
      <c r="EO496" s="384"/>
      <c r="EP496" s="384"/>
      <c r="EQ496" s="384"/>
      <c r="ER496" s="384"/>
      <c r="ES496" s="384"/>
      <c r="ET496" s="384"/>
      <c r="EU496" s="384"/>
      <c r="EV496" s="384"/>
      <c r="EW496" s="384"/>
      <c r="FT496" s="503"/>
      <c r="FU496" s="503"/>
      <c r="FV496" s="503"/>
      <c r="FW496" s="503"/>
      <c r="FX496" s="504"/>
      <c r="FY496" s="504"/>
      <c r="FZ496" s="384"/>
      <c r="GA496" s="384"/>
      <c r="GB496" s="426">
        <v>1249</v>
      </c>
      <c r="GC496" s="426">
        <v>1773</v>
      </c>
      <c r="GD496" s="426">
        <v>2030</v>
      </c>
      <c r="GE496" s="426">
        <v>1625</v>
      </c>
      <c r="GF496" s="426"/>
      <c r="GG496" s="384"/>
      <c r="GH496" s="384"/>
      <c r="GI496" s="384"/>
      <c r="GJ496" s="384"/>
      <c r="GK496" s="384"/>
      <c r="GN496" s="70"/>
    </row>
    <row r="497" spans="1:196" s="382" customFormat="1">
      <c r="A497" s="379" t="s">
        <v>331</v>
      </c>
      <c r="CD497" s="503"/>
      <c r="CE497" s="503"/>
      <c r="CF497" s="503"/>
      <c r="CG497" s="503"/>
      <c r="CH497" s="503"/>
      <c r="CI497" s="503"/>
      <c r="CJ497" s="503"/>
      <c r="CK497" s="503"/>
      <c r="CL497" s="503"/>
      <c r="CM497" s="503"/>
      <c r="CN497" s="503"/>
      <c r="CO497" s="503"/>
      <c r="CP497" s="503"/>
      <c r="CQ497" s="503"/>
      <c r="CR497" s="503"/>
      <c r="CS497" s="503"/>
      <c r="CT497" s="384"/>
      <c r="CU497" s="384"/>
      <c r="CV497" s="384"/>
      <c r="CW497" s="384"/>
      <c r="CX497" s="384"/>
      <c r="CY497" s="384"/>
      <c r="CZ497" s="384"/>
      <c r="DA497" s="384"/>
      <c r="DB497" s="384"/>
      <c r="DC497" s="384"/>
      <c r="DD497" s="384"/>
      <c r="DE497" s="384"/>
      <c r="DF497" s="384"/>
      <c r="DG497" s="384"/>
      <c r="DH497" s="384"/>
      <c r="DI497" s="384"/>
      <c r="DJ497" s="391"/>
      <c r="DK497" s="391"/>
      <c r="DL497" s="391"/>
      <c r="DM497" s="391"/>
      <c r="DN497" s="391"/>
      <c r="DO497" s="391"/>
      <c r="DP497" s="391"/>
      <c r="DQ497" s="391"/>
      <c r="DR497" s="391"/>
      <c r="DS497" s="391"/>
      <c r="DT497" s="391"/>
      <c r="DU497" s="391"/>
      <c r="DV497" s="391"/>
      <c r="DW497" s="391"/>
      <c r="DX497" s="384"/>
      <c r="DY497" s="384"/>
      <c r="DZ497" s="384"/>
      <c r="EA497" s="384"/>
      <c r="EB497" s="384"/>
      <c r="EC497" s="384"/>
      <c r="ED497" s="384"/>
      <c r="EE497" s="384"/>
      <c r="EF497" s="384"/>
      <c r="EG497" s="384"/>
      <c r="EH497" s="384"/>
      <c r="EI497" s="384"/>
      <c r="EJ497" s="384"/>
      <c r="EK497" s="384"/>
      <c r="EL497" s="384"/>
      <c r="EM497" s="384"/>
      <c r="EN497" s="384"/>
      <c r="EO497" s="384"/>
      <c r="EP497" s="384"/>
      <c r="EQ497" s="384"/>
      <c r="ER497" s="384"/>
      <c r="ES497" s="384"/>
      <c r="ET497" s="384"/>
      <c r="EU497" s="384"/>
      <c r="EV497" s="384"/>
      <c r="EW497" s="384"/>
      <c r="FT497" s="503"/>
      <c r="FU497" s="503"/>
      <c r="FV497" s="503"/>
      <c r="FW497" s="503"/>
      <c r="FX497" s="504"/>
      <c r="FY497" s="504"/>
      <c r="FZ497" s="384"/>
      <c r="GA497" s="384"/>
      <c r="GB497" s="426">
        <v>2091</v>
      </c>
      <c r="GC497" s="426">
        <v>2369</v>
      </c>
      <c r="GD497" s="426">
        <v>1841</v>
      </c>
      <c r="GE497" s="426">
        <v>3301</v>
      </c>
      <c r="GF497" s="426"/>
      <c r="GG497" s="384"/>
      <c r="GH497" s="384"/>
      <c r="GI497" s="384"/>
      <c r="GJ497" s="384"/>
      <c r="GK497" s="384"/>
      <c r="GN497" s="70"/>
    </row>
    <row r="498" spans="1:196" s="382" customFormat="1">
      <c r="A498" s="379" t="s">
        <v>332</v>
      </c>
      <c r="CD498" s="503"/>
      <c r="CE498" s="503"/>
      <c r="CF498" s="503"/>
      <c r="CG498" s="503"/>
      <c r="CH498" s="503"/>
      <c r="CI498" s="503"/>
      <c r="CJ498" s="503"/>
      <c r="CK498" s="503"/>
      <c r="CL498" s="503"/>
      <c r="CM498" s="503"/>
      <c r="CN498" s="503"/>
      <c r="CO498" s="503"/>
      <c r="CP498" s="503"/>
      <c r="CQ498" s="503"/>
      <c r="CR498" s="503"/>
      <c r="CS498" s="503"/>
      <c r="CT498" s="384"/>
      <c r="CU498" s="384"/>
      <c r="CV498" s="384"/>
      <c r="CW498" s="384"/>
      <c r="CX498" s="384"/>
      <c r="CY498" s="384"/>
      <c r="CZ498" s="384"/>
      <c r="DA498" s="384"/>
      <c r="DB498" s="384"/>
      <c r="DC498" s="384"/>
      <c r="DD498" s="384"/>
      <c r="DE498" s="384"/>
      <c r="DF498" s="384"/>
      <c r="DG498" s="384"/>
      <c r="DH498" s="384"/>
      <c r="DI498" s="384"/>
      <c r="DJ498" s="391"/>
      <c r="DK498" s="391"/>
      <c r="DL498" s="391"/>
      <c r="DM498" s="391"/>
      <c r="DN498" s="391"/>
      <c r="DO498" s="391"/>
      <c r="DP498" s="391"/>
      <c r="DQ498" s="391"/>
      <c r="DR498" s="391"/>
      <c r="DS498" s="391"/>
      <c r="DT498" s="391"/>
      <c r="DU498" s="391"/>
      <c r="DV498" s="391"/>
      <c r="DW498" s="391"/>
      <c r="DX498" s="384"/>
      <c r="DY498" s="384"/>
      <c r="DZ498" s="384"/>
      <c r="EA498" s="384"/>
      <c r="EB498" s="384"/>
      <c r="EC498" s="384"/>
      <c r="ED498" s="384"/>
      <c r="EE498" s="384"/>
      <c r="EF498" s="384"/>
      <c r="EG498" s="384"/>
      <c r="EH498" s="384"/>
      <c r="EI498" s="384"/>
      <c r="EJ498" s="384"/>
      <c r="EK498" s="384"/>
      <c r="EL498" s="384"/>
      <c r="EM498" s="384"/>
      <c r="EN498" s="384"/>
      <c r="EO498" s="384"/>
      <c r="EP498" s="384"/>
      <c r="EQ498" s="384"/>
      <c r="ER498" s="384"/>
      <c r="ES498" s="384"/>
      <c r="ET498" s="384"/>
      <c r="EU498" s="384"/>
      <c r="EV498" s="384"/>
      <c r="EW498" s="384"/>
      <c r="FT498" s="503"/>
      <c r="FU498" s="503"/>
      <c r="FV498" s="503"/>
      <c r="FW498" s="503"/>
      <c r="FX498" s="504"/>
      <c r="FY498" s="504"/>
      <c r="FZ498" s="384"/>
      <c r="GA498" s="384"/>
      <c r="GB498" s="426">
        <v>572</v>
      </c>
      <c r="GC498" s="426">
        <v>646</v>
      </c>
      <c r="GD498" s="426">
        <v>695</v>
      </c>
      <c r="GE498" s="426">
        <v>554</v>
      </c>
      <c r="GF498" s="426"/>
      <c r="GG498" s="384"/>
      <c r="GH498" s="384"/>
      <c r="GI498" s="384"/>
      <c r="GJ498" s="384"/>
      <c r="GK498" s="384"/>
      <c r="GN498" s="70"/>
    </row>
    <row r="499" spans="1:196" s="382" customFormat="1">
      <c r="A499" s="379" t="s">
        <v>275</v>
      </c>
      <c r="CD499" s="503"/>
      <c r="CE499" s="503"/>
      <c r="CF499" s="503"/>
      <c r="CG499" s="503"/>
      <c r="CH499" s="503"/>
      <c r="CI499" s="503"/>
      <c r="CJ499" s="503"/>
      <c r="CK499" s="503"/>
      <c r="CL499" s="503"/>
      <c r="CM499" s="503"/>
      <c r="CN499" s="503"/>
      <c r="CO499" s="503"/>
      <c r="CP499" s="503"/>
      <c r="CQ499" s="503"/>
      <c r="CR499" s="503"/>
      <c r="CS499" s="503"/>
      <c r="CT499" s="384"/>
      <c r="CU499" s="384"/>
      <c r="CV499" s="384"/>
      <c r="CW499" s="384"/>
      <c r="CX499" s="384"/>
      <c r="CY499" s="384"/>
      <c r="CZ499" s="384"/>
      <c r="DA499" s="384"/>
      <c r="DB499" s="384"/>
      <c r="DC499" s="384"/>
      <c r="DD499" s="384"/>
      <c r="DE499" s="384"/>
      <c r="DF499" s="384"/>
      <c r="DG499" s="384"/>
      <c r="DH499" s="384"/>
      <c r="DI499" s="384"/>
      <c r="DJ499" s="391"/>
      <c r="DK499" s="391"/>
      <c r="DL499" s="391"/>
      <c r="DM499" s="391"/>
      <c r="DN499" s="391"/>
      <c r="DO499" s="391"/>
      <c r="DP499" s="391"/>
      <c r="DQ499" s="391"/>
      <c r="DR499" s="391"/>
      <c r="DS499" s="391"/>
      <c r="DT499" s="391"/>
      <c r="DU499" s="391"/>
      <c r="DV499" s="391"/>
      <c r="DW499" s="391"/>
      <c r="DX499" s="384"/>
      <c r="DY499" s="384"/>
      <c r="DZ499" s="384"/>
      <c r="EA499" s="384"/>
      <c r="EB499" s="384"/>
      <c r="EC499" s="384"/>
      <c r="ED499" s="384"/>
      <c r="EE499" s="384"/>
      <c r="EF499" s="384"/>
      <c r="EG499" s="384"/>
      <c r="EH499" s="384"/>
      <c r="EI499" s="384"/>
      <c r="EJ499" s="384"/>
      <c r="EK499" s="384"/>
      <c r="EL499" s="384"/>
      <c r="EM499" s="384"/>
      <c r="EN499" s="384"/>
      <c r="EO499" s="384"/>
      <c r="EP499" s="384"/>
      <c r="EQ499" s="384"/>
      <c r="ER499" s="384"/>
      <c r="ES499" s="384"/>
      <c r="ET499" s="384"/>
      <c r="EU499" s="384"/>
      <c r="EV499" s="384"/>
      <c r="EW499" s="384"/>
      <c r="FT499" s="503"/>
      <c r="FU499" s="503"/>
      <c r="FV499" s="503"/>
      <c r="FW499" s="503"/>
      <c r="FX499" s="504"/>
      <c r="FY499" s="504"/>
      <c r="FZ499" s="384"/>
      <c r="GA499" s="384"/>
      <c r="GB499" s="397">
        <f>SUM(GB492:GB498)</f>
        <v>16434</v>
      </c>
      <c r="GC499" s="397">
        <f>SUM(GC492:GC498)</f>
        <v>23601</v>
      </c>
      <c r="GD499" s="397">
        <f>SUM(GD492:GD498)</f>
        <v>22680</v>
      </c>
      <c r="GE499" s="397">
        <f>SUM(GE492:GE498)</f>
        <v>25785</v>
      </c>
      <c r="GF499" s="397"/>
      <c r="GG499" s="384"/>
      <c r="GH499" s="384"/>
      <c r="GI499" s="384"/>
      <c r="GJ499" s="384"/>
      <c r="GK499" s="384"/>
      <c r="GN499" s="70"/>
    </row>
    <row r="500" spans="1:196" s="382" customFormat="1">
      <c r="A500" s="379"/>
      <c r="CD500" s="503"/>
      <c r="CE500" s="503"/>
      <c r="CF500" s="503"/>
      <c r="CG500" s="503"/>
      <c r="CH500" s="503"/>
      <c r="CI500" s="503"/>
      <c r="CJ500" s="503"/>
      <c r="CK500" s="503"/>
      <c r="CL500" s="503"/>
      <c r="CM500" s="503"/>
      <c r="CN500" s="503"/>
      <c r="CO500" s="503"/>
      <c r="CP500" s="503"/>
      <c r="CQ500" s="503"/>
      <c r="CR500" s="503"/>
      <c r="CS500" s="503"/>
      <c r="CT500" s="384"/>
      <c r="CU500" s="384"/>
      <c r="CV500" s="384"/>
      <c r="CW500" s="384"/>
      <c r="CX500" s="384"/>
      <c r="CY500" s="384"/>
      <c r="CZ500" s="384"/>
      <c r="DA500" s="384"/>
      <c r="DB500" s="384"/>
      <c r="DC500" s="384"/>
      <c r="DD500" s="384"/>
      <c r="DE500" s="384"/>
      <c r="DF500" s="384"/>
      <c r="DG500" s="384"/>
      <c r="DH500" s="384"/>
      <c r="DI500" s="384"/>
      <c r="DJ500" s="391"/>
      <c r="DK500" s="391"/>
      <c r="DL500" s="391"/>
      <c r="DM500" s="391"/>
      <c r="DN500" s="391"/>
      <c r="DO500" s="391"/>
      <c r="DP500" s="391"/>
      <c r="DQ500" s="391"/>
      <c r="DR500" s="391"/>
      <c r="DS500" s="391"/>
      <c r="DT500" s="391"/>
      <c r="DU500" s="391"/>
      <c r="DV500" s="391"/>
      <c r="DW500" s="391"/>
      <c r="DX500" s="384"/>
      <c r="DY500" s="384"/>
      <c r="DZ500" s="384"/>
      <c r="EA500" s="384"/>
      <c r="EB500" s="384"/>
      <c r="EC500" s="384"/>
      <c r="ED500" s="384"/>
      <c r="EE500" s="384"/>
      <c r="EF500" s="384"/>
      <c r="EG500" s="384"/>
      <c r="EH500" s="384"/>
      <c r="EI500" s="384"/>
      <c r="EJ500" s="384"/>
      <c r="EK500" s="384"/>
      <c r="EL500" s="384"/>
      <c r="EM500" s="384"/>
      <c r="EN500" s="384"/>
      <c r="EO500" s="384"/>
      <c r="EP500" s="384"/>
      <c r="EQ500" s="384"/>
      <c r="ER500" s="384"/>
      <c r="ES500" s="384"/>
      <c r="ET500" s="384"/>
      <c r="EU500" s="384"/>
      <c r="EV500" s="384"/>
      <c r="EW500" s="384"/>
      <c r="FT500" s="503"/>
      <c r="FU500" s="503"/>
      <c r="FV500" s="503"/>
      <c r="FW500" s="503"/>
      <c r="FX500" s="504"/>
      <c r="FY500" s="504"/>
      <c r="FZ500" s="384"/>
      <c r="GA500" s="384"/>
      <c r="GB500" s="384"/>
      <c r="GC500" s="384"/>
      <c r="GD500" s="384"/>
      <c r="GE500" s="384"/>
      <c r="GF500" s="384"/>
      <c r="GG500" s="384"/>
      <c r="GH500" s="384"/>
      <c r="GI500" s="384"/>
      <c r="GJ500" s="384"/>
      <c r="GK500" s="384"/>
      <c r="GN500" s="70"/>
    </row>
    <row r="501" spans="1:196" s="382" customFormat="1">
      <c r="A501" s="507" t="s">
        <v>333</v>
      </c>
      <c r="CD501" s="503"/>
      <c r="CE501" s="503"/>
      <c r="CF501" s="503"/>
      <c r="CG501" s="503"/>
      <c r="CH501" s="503"/>
      <c r="CI501" s="503"/>
      <c r="CJ501" s="503"/>
      <c r="CK501" s="503"/>
      <c r="CL501" s="503"/>
      <c r="CM501" s="503"/>
      <c r="CN501" s="503"/>
      <c r="CO501" s="503"/>
      <c r="CP501" s="503"/>
      <c r="CQ501" s="503"/>
      <c r="CR501" s="503"/>
      <c r="CS501" s="503"/>
      <c r="CT501" s="384"/>
      <c r="CU501" s="384"/>
      <c r="CV501" s="384"/>
      <c r="CW501" s="384"/>
      <c r="CX501" s="384"/>
      <c r="CY501" s="384"/>
      <c r="CZ501" s="384"/>
      <c r="DA501" s="384"/>
      <c r="DB501" s="384"/>
      <c r="DC501" s="384"/>
      <c r="DD501" s="384"/>
      <c r="DE501" s="384"/>
      <c r="DF501" s="384"/>
      <c r="DG501" s="384"/>
      <c r="DH501" s="384"/>
      <c r="DI501" s="384"/>
      <c r="DJ501" s="391"/>
      <c r="DK501" s="391"/>
      <c r="DL501" s="391"/>
      <c r="DM501" s="391"/>
      <c r="DN501" s="391"/>
      <c r="DO501" s="391"/>
      <c r="DP501" s="391"/>
      <c r="DQ501" s="391"/>
      <c r="DR501" s="391"/>
      <c r="DS501" s="391"/>
      <c r="DT501" s="391"/>
      <c r="DU501" s="391"/>
      <c r="DV501" s="391"/>
      <c r="DW501" s="391"/>
      <c r="DX501" s="384"/>
      <c r="DY501" s="384"/>
      <c r="DZ501" s="384"/>
      <c r="EA501" s="384"/>
      <c r="EB501" s="384"/>
      <c r="EC501" s="384"/>
      <c r="ED501" s="384"/>
      <c r="EE501" s="384"/>
      <c r="EF501" s="384"/>
      <c r="EG501" s="384"/>
      <c r="EH501" s="384"/>
      <c r="EI501" s="384"/>
      <c r="EJ501" s="384"/>
      <c r="EK501" s="384"/>
      <c r="EL501" s="384"/>
      <c r="EM501" s="384"/>
      <c r="EN501" s="384"/>
      <c r="EO501" s="384"/>
      <c r="EP501" s="384"/>
      <c r="EQ501" s="384"/>
      <c r="ER501" s="384"/>
      <c r="ES501" s="384"/>
      <c r="ET501" s="384"/>
      <c r="EU501" s="384"/>
      <c r="EV501" s="384"/>
      <c r="EW501" s="384"/>
      <c r="FT501" s="503"/>
      <c r="FU501" s="503"/>
      <c r="FV501" s="503"/>
      <c r="FW501" s="503"/>
      <c r="FX501" s="504"/>
      <c r="FY501" s="504"/>
      <c r="FZ501" s="384"/>
      <c r="GA501" s="384"/>
      <c r="GB501" s="384"/>
      <c r="GC501" s="384"/>
      <c r="GD501" s="384"/>
      <c r="GE501" s="384"/>
      <c r="GF501" s="384"/>
      <c r="GG501" s="384"/>
      <c r="GH501" s="384"/>
      <c r="GI501" s="384"/>
      <c r="GJ501" s="384"/>
      <c r="GK501" s="384"/>
      <c r="GN501" s="70"/>
    </row>
    <row r="502" spans="1:196" s="382" customFormat="1">
      <c r="A502" s="379" t="s">
        <v>326</v>
      </c>
      <c r="CD502" s="503"/>
      <c r="CE502" s="503"/>
      <c r="CF502" s="503"/>
      <c r="CG502" s="503"/>
      <c r="CH502" s="503"/>
      <c r="CI502" s="503"/>
      <c r="CJ502" s="503"/>
      <c r="CK502" s="503"/>
      <c r="CL502" s="503"/>
      <c r="CM502" s="503"/>
      <c r="CN502" s="503"/>
      <c r="CO502" s="503"/>
      <c r="CP502" s="503"/>
      <c r="CQ502" s="503"/>
      <c r="CR502" s="503"/>
      <c r="CS502" s="503"/>
      <c r="CT502" s="384"/>
      <c r="CU502" s="384"/>
      <c r="CV502" s="384"/>
      <c r="CW502" s="384"/>
      <c r="CX502" s="384"/>
      <c r="CY502" s="384"/>
      <c r="CZ502" s="384"/>
      <c r="DA502" s="384"/>
      <c r="DB502" s="384"/>
      <c r="DC502" s="384"/>
      <c r="DD502" s="384"/>
      <c r="DE502" s="384"/>
      <c r="DF502" s="384"/>
      <c r="DG502" s="384"/>
      <c r="DH502" s="384"/>
      <c r="DI502" s="384"/>
      <c r="DJ502" s="391"/>
      <c r="DK502" s="391"/>
      <c r="DL502" s="391"/>
      <c r="DM502" s="391"/>
      <c r="DN502" s="391"/>
      <c r="DO502" s="391"/>
      <c r="DP502" s="391"/>
      <c r="DQ502" s="391"/>
      <c r="DR502" s="391"/>
      <c r="DS502" s="391"/>
      <c r="DT502" s="391"/>
      <c r="DU502" s="391"/>
      <c r="DV502" s="391"/>
      <c r="DW502" s="391"/>
      <c r="DX502" s="384"/>
      <c r="DY502" s="384"/>
      <c r="DZ502" s="384"/>
      <c r="EA502" s="384"/>
      <c r="EB502" s="384"/>
      <c r="EC502" s="384"/>
      <c r="ED502" s="384"/>
      <c r="EE502" s="384"/>
      <c r="EF502" s="384"/>
      <c r="EG502" s="384"/>
      <c r="EH502" s="384"/>
      <c r="EI502" s="384"/>
      <c r="EJ502" s="384"/>
      <c r="EK502" s="384"/>
      <c r="EL502" s="384"/>
      <c r="EM502" s="384"/>
      <c r="EN502" s="384"/>
      <c r="EO502" s="384"/>
      <c r="EP502" s="384"/>
      <c r="EQ502" s="384"/>
      <c r="ER502" s="384"/>
      <c r="ES502" s="384"/>
      <c r="ET502" s="384"/>
      <c r="EU502" s="384"/>
      <c r="EV502" s="384"/>
      <c r="EW502" s="384"/>
      <c r="FT502" s="503"/>
      <c r="FU502" s="503"/>
      <c r="FV502" s="503"/>
      <c r="FW502" s="503"/>
      <c r="FX502" s="504"/>
      <c r="FY502" s="504"/>
      <c r="FZ502" s="384"/>
      <c r="GA502" s="384"/>
      <c r="GB502" s="382">
        <f t="shared" ref="GB502:GE508" si="889">GB492/GB$499</f>
        <v>0.2833150784958014</v>
      </c>
      <c r="GC502" s="382">
        <f t="shared" si="889"/>
        <v>0.34104487098004321</v>
      </c>
      <c r="GD502" s="382">
        <f t="shared" si="889"/>
        <v>0.3455467372134039</v>
      </c>
      <c r="GE502" s="382">
        <f t="shared" si="889"/>
        <v>0.33713399263137483</v>
      </c>
      <c r="GG502" s="384"/>
      <c r="GH502" s="384"/>
      <c r="GI502" s="384"/>
      <c r="GJ502" s="384"/>
      <c r="GK502" s="384"/>
      <c r="GN502" s="70"/>
    </row>
    <row r="503" spans="1:196" s="382" customFormat="1">
      <c r="A503" s="379" t="s">
        <v>327</v>
      </c>
      <c r="CD503" s="503"/>
      <c r="CE503" s="503"/>
      <c r="CF503" s="503"/>
      <c r="CG503" s="503"/>
      <c r="CH503" s="503"/>
      <c r="CI503" s="503"/>
      <c r="CJ503" s="503"/>
      <c r="CK503" s="503"/>
      <c r="CL503" s="503"/>
      <c r="CM503" s="503"/>
      <c r="CN503" s="503"/>
      <c r="CO503" s="503"/>
      <c r="CP503" s="503"/>
      <c r="CQ503" s="503"/>
      <c r="CR503" s="503"/>
      <c r="CS503" s="503"/>
      <c r="CT503" s="384"/>
      <c r="CU503" s="384"/>
      <c r="CV503" s="384"/>
      <c r="CW503" s="384"/>
      <c r="CX503" s="384"/>
      <c r="CY503" s="384"/>
      <c r="CZ503" s="384"/>
      <c r="DA503" s="384"/>
      <c r="DB503" s="384"/>
      <c r="DC503" s="384"/>
      <c r="DD503" s="384"/>
      <c r="DE503" s="384"/>
      <c r="DF503" s="384"/>
      <c r="DG503" s="384"/>
      <c r="DH503" s="384"/>
      <c r="DI503" s="384"/>
      <c r="DJ503" s="391"/>
      <c r="DK503" s="391"/>
      <c r="DL503" s="391"/>
      <c r="DM503" s="391"/>
      <c r="DN503" s="391"/>
      <c r="DO503" s="391"/>
      <c r="DP503" s="391"/>
      <c r="DQ503" s="391"/>
      <c r="DR503" s="391"/>
      <c r="DS503" s="391"/>
      <c r="DT503" s="391"/>
      <c r="DU503" s="391"/>
      <c r="DV503" s="391"/>
      <c r="DW503" s="391"/>
      <c r="DX503" s="384"/>
      <c r="DY503" s="384"/>
      <c r="DZ503" s="384"/>
      <c r="EA503" s="384"/>
      <c r="EB503" s="384"/>
      <c r="EC503" s="384"/>
      <c r="ED503" s="384"/>
      <c r="EE503" s="384"/>
      <c r="EF503" s="384"/>
      <c r="EG503" s="384"/>
      <c r="EH503" s="384"/>
      <c r="EI503" s="384"/>
      <c r="EJ503" s="384"/>
      <c r="EK503" s="384"/>
      <c r="EL503" s="384"/>
      <c r="EM503" s="384"/>
      <c r="EN503" s="384"/>
      <c r="EO503" s="384"/>
      <c r="EP503" s="384"/>
      <c r="EQ503" s="384"/>
      <c r="ER503" s="384"/>
      <c r="ES503" s="384"/>
      <c r="ET503" s="384"/>
      <c r="EU503" s="384"/>
      <c r="EV503" s="384"/>
      <c r="EW503" s="384"/>
      <c r="FT503" s="503"/>
      <c r="FU503" s="503"/>
      <c r="FV503" s="503"/>
      <c r="FW503" s="503"/>
      <c r="FX503" s="504"/>
      <c r="FY503" s="504"/>
      <c r="FZ503" s="384"/>
      <c r="GA503" s="384"/>
      <c r="GB503" s="382">
        <f t="shared" si="889"/>
        <v>0.14488256054521115</v>
      </c>
      <c r="GC503" s="382">
        <f t="shared" si="889"/>
        <v>0.17698402610058897</v>
      </c>
      <c r="GD503" s="382">
        <f t="shared" si="889"/>
        <v>0.20410052910052909</v>
      </c>
      <c r="GE503" s="382">
        <f t="shared" si="889"/>
        <v>6.8528214077952301E-2</v>
      </c>
      <c r="GG503" s="384"/>
      <c r="GH503" s="384"/>
      <c r="GI503" s="384"/>
      <c r="GJ503" s="384"/>
      <c r="GK503" s="384"/>
      <c r="GN503" s="70"/>
    </row>
    <row r="504" spans="1:196" s="382" customFormat="1">
      <c r="A504" s="379" t="s">
        <v>328</v>
      </c>
      <c r="CD504" s="503"/>
      <c r="CE504" s="503"/>
      <c r="CF504" s="503"/>
      <c r="CG504" s="503"/>
      <c r="CH504" s="503"/>
      <c r="CI504" s="503"/>
      <c r="CJ504" s="503"/>
      <c r="CK504" s="503"/>
      <c r="CL504" s="503"/>
      <c r="CM504" s="503"/>
      <c r="CN504" s="503"/>
      <c r="CO504" s="503"/>
      <c r="CP504" s="503"/>
      <c r="CQ504" s="503"/>
      <c r="CR504" s="503"/>
      <c r="CS504" s="503"/>
      <c r="CT504" s="384"/>
      <c r="CU504" s="384"/>
      <c r="CV504" s="384"/>
      <c r="CW504" s="384"/>
      <c r="CX504" s="384"/>
      <c r="CY504" s="384"/>
      <c r="CZ504" s="384"/>
      <c r="DA504" s="384"/>
      <c r="DB504" s="384"/>
      <c r="DC504" s="384"/>
      <c r="DD504" s="384"/>
      <c r="DE504" s="384"/>
      <c r="DF504" s="384"/>
      <c r="DG504" s="384"/>
      <c r="DH504" s="384"/>
      <c r="DI504" s="384"/>
      <c r="DJ504" s="391"/>
      <c r="DK504" s="391"/>
      <c r="DL504" s="391"/>
      <c r="DM504" s="391"/>
      <c r="DN504" s="391"/>
      <c r="DO504" s="391"/>
      <c r="DP504" s="391"/>
      <c r="DQ504" s="391"/>
      <c r="DR504" s="391"/>
      <c r="DS504" s="391"/>
      <c r="DT504" s="391"/>
      <c r="DU504" s="391"/>
      <c r="DV504" s="391"/>
      <c r="DW504" s="391"/>
      <c r="DX504" s="384"/>
      <c r="DY504" s="384"/>
      <c r="DZ504" s="384"/>
      <c r="EA504" s="384"/>
      <c r="EB504" s="384"/>
      <c r="EC504" s="384"/>
      <c r="ED504" s="384"/>
      <c r="EE504" s="384"/>
      <c r="EF504" s="384"/>
      <c r="EG504" s="384"/>
      <c r="EH504" s="384"/>
      <c r="EI504" s="384"/>
      <c r="EJ504" s="384"/>
      <c r="EK504" s="384"/>
      <c r="EL504" s="384"/>
      <c r="EM504" s="384"/>
      <c r="EN504" s="384"/>
      <c r="EO504" s="384"/>
      <c r="EP504" s="384"/>
      <c r="EQ504" s="384"/>
      <c r="ER504" s="384"/>
      <c r="ES504" s="384"/>
      <c r="ET504" s="384"/>
      <c r="EU504" s="384"/>
      <c r="EV504" s="384"/>
      <c r="EW504" s="384"/>
      <c r="FT504" s="503"/>
      <c r="FU504" s="503"/>
      <c r="FV504" s="503"/>
      <c r="FW504" s="503"/>
      <c r="FX504" s="504"/>
      <c r="FY504" s="504"/>
      <c r="FZ504" s="384"/>
      <c r="GA504" s="384"/>
      <c r="GB504" s="382">
        <f t="shared" si="889"/>
        <v>0.24923938176950225</v>
      </c>
      <c r="GC504" s="382">
        <f t="shared" si="889"/>
        <v>0.22062624465065039</v>
      </c>
      <c r="GD504" s="382">
        <f t="shared" si="889"/>
        <v>0.15066137566137566</v>
      </c>
      <c r="GE504" s="382">
        <f t="shared" si="889"/>
        <v>0.24165212332751601</v>
      </c>
      <c r="GG504" s="384"/>
      <c r="GH504" s="384"/>
      <c r="GI504" s="384"/>
      <c r="GJ504" s="384"/>
      <c r="GK504" s="384"/>
      <c r="GN504" s="70"/>
    </row>
    <row r="505" spans="1:196" s="382" customFormat="1">
      <c r="A505" s="379" t="s">
        <v>329</v>
      </c>
      <c r="CD505" s="503"/>
      <c r="CE505" s="503"/>
      <c r="CF505" s="503"/>
      <c r="CG505" s="503"/>
      <c r="CH505" s="503"/>
      <c r="CI505" s="503"/>
      <c r="CJ505" s="503"/>
      <c r="CK505" s="503"/>
      <c r="CL505" s="503"/>
      <c r="CM505" s="503"/>
      <c r="CN505" s="503"/>
      <c r="CO505" s="503"/>
      <c r="CP505" s="503"/>
      <c r="CQ505" s="503"/>
      <c r="CR505" s="503"/>
      <c r="CS505" s="503"/>
      <c r="CT505" s="384"/>
      <c r="CU505" s="384"/>
      <c r="CV505" s="384"/>
      <c r="CW505" s="384"/>
      <c r="CX505" s="384"/>
      <c r="CY505" s="384"/>
      <c r="CZ505" s="384"/>
      <c r="DA505" s="384"/>
      <c r="DB505" s="384"/>
      <c r="DC505" s="384"/>
      <c r="DD505" s="384"/>
      <c r="DE505" s="384"/>
      <c r="DF505" s="384"/>
      <c r="DG505" s="384"/>
      <c r="DH505" s="384"/>
      <c r="DI505" s="384"/>
      <c r="DJ505" s="391"/>
      <c r="DK505" s="391"/>
      <c r="DL505" s="391"/>
      <c r="DM505" s="391"/>
      <c r="DN505" s="391"/>
      <c r="DO505" s="391"/>
      <c r="DP505" s="391"/>
      <c r="DQ505" s="391"/>
      <c r="DR505" s="391"/>
      <c r="DS505" s="391"/>
      <c r="DT505" s="391"/>
      <c r="DU505" s="391"/>
      <c r="DV505" s="391"/>
      <c r="DW505" s="391"/>
      <c r="DX505" s="384"/>
      <c r="DY505" s="384"/>
      <c r="DZ505" s="384"/>
      <c r="EA505" s="384"/>
      <c r="EB505" s="384"/>
      <c r="EC505" s="384"/>
      <c r="ED505" s="384"/>
      <c r="EE505" s="384"/>
      <c r="EF505" s="384"/>
      <c r="EG505" s="384"/>
      <c r="EH505" s="384"/>
      <c r="EI505" s="384"/>
      <c r="EJ505" s="384"/>
      <c r="EK505" s="384"/>
      <c r="EL505" s="384"/>
      <c r="EM505" s="384"/>
      <c r="EN505" s="384"/>
      <c r="EO505" s="384"/>
      <c r="EP505" s="384"/>
      <c r="EQ505" s="384"/>
      <c r="ER505" s="384"/>
      <c r="ES505" s="384"/>
      <c r="ET505" s="384"/>
      <c r="EU505" s="384"/>
      <c r="EV505" s="384"/>
      <c r="EW505" s="384"/>
      <c r="FT505" s="503"/>
      <c r="FU505" s="503"/>
      <c r="FV505" s="503"/>
      <c r="FW505" s="503"/>
      <c r="FX505" s="504"/>
      <c r="FY505" s="504"/>
      <c r="FZ505" s="384"/>
      <c r="GA505" s="384"/>
      <c r="GB505" s="382">
        <f t="shared" si="889"/>
        <v>8.4519897772909816E-2</v>
      </c>
      <c r="GC505" s="382">
        <f t="shared" si="889"/>
        <v>5.8472098639888143E-2</v>
      </c>
      <c r="GD505" s="382">
        <f t="shared" si="889"/>
        <v>9.8368606701940031E-2</v>
      </c>
      <c r="GE505" s="382">
        <f t="shared" si="889"/>
        <v>0.14015900717471397</v>
      </c>
      <c r="GG505" s="384"/>
      <c r="GH505" s="384"/>
      <c r="GI505" s="384"/>
      <c r="GJ505" s="384"/>
      <c r="GK505" s="384"/>
      <c r="GN505" s="70"/>
    </row>
    <row r="506" spans="1:196" s="382" customFormat="1">
      <c r="A506" s="379" t="s">
        <v>330</v>
      </c>
      <c r="CD506" s="503"/>
      <c r="CE506" s="503"/>
      <c r="CF506" s="503"/>
      <c r="CG506" s="503"/>
      <c r="CH506" s="503"/>
      <c r="CI506" s="503"/>
      <c r="CJ506" s="503"/>
      <c r="CK506" s="503"/>
      <c r="CL506" s="503"/>
      <c r="CM506" s="503"/>
      <c r="CN506" s="503"/>
      <c r="CO506" s="503"/>
      <c r="CP506" s="503"/>
      <c r="CQ506" s="503"/>
      <c r="CR506" s="503"/>
      <c r="CS506" s="503"/>
      <c r="CT506" s="384"/>
      <c r="CU506" s="384"/>
      <c r="CV506" s="384"/>
      <c r="CW506" s="384"/>
      <c r="CX506" s="384"/>
      <c r="CY506" s="384"/>
      <c r="CZ506" s="384"/>
      <c r="DA506" s="384"/>
      <c r="DB506" s="384"/>
      <c r="DC506" s="384"/>
      <c r="DD506" s="384"/>
      <c r="DE506" s="384"/>
      <c r="DF506" s="384"/>
      <c r="DG506" s="384"/>
      <c r="DH506" s="384"/>
      <c r="DI506" s="384"/>
      <c r="DJ506" s="391"/>
      <c r="DK506" s="391"/>
      <c r="DL506" s="391"/>
      <c r="DM506" s="391"/>
      <c r="DN506" s="391"/>
      <c r="DO506" s="391"/>
      <c r="DP506" s="391"/>
      <c r="DQ506" s="391"/>
      <c r="DR506" s="391"/>
      <c r="DS506" s="391"/>
      <c r="DT506" s="391"/>
      <c r="DU506" s="391"/>
      <c r="DV506" s="391"/>
      <c r="DW506" s="391"/>
      <c r="DX506" s="384"/>
      <c r="DY506" s="384"/>
      <c r="DZ506" s="384"/>
      <c r="EA506" s="384"/>
      <c r="EB506" s="384"/>
      <c r="EC506" s="384"/>
      <c r="ED506" s="384"/>
      <c r="EE506" s="384"/>
      <c r="EF506" s="384"/>
      <c r="EG506" s="384"/>
      <c r="EH506" s="384"/>
      <c r="EI506" s="384"/>
      <c r="EJ506" s="384"/>
      <c r="EK506" s="384"/>
      <c r="EL506" s="384"/>
      <c r="EM506" s="384"/>
      <c r="EN506" s="384"/>
      <c r="EO506" s="384"/>
      <c r="EP506" s="384"/>
      <c r="EQ506" s="384"/>
      <c r="ER506" s="384"/>
      <c r="ES506" s="384"/>
      <c r="ET506" s="384"/>
      <c r="EU506" s="384"/>
      <c r="EV506" s="384"/>
      <c r="EW506" s="384"/>
      <c r="FT506" s="503"/>
      <c r="FU506" s="503"/>
      <c r="FV506" s="503"/>
      <c r="FW506" s="503"/>
      <c r="FX506" s="504"/>
      <c r="FY506" s="504"/>
      <c r="FZ506" s="384"/>
      <c r="GA506" s="384"/>
      <c r="GB506" s="382">
        <f t="shared" si="889"/>
        <v>7.6000973591335036E-2</v>
      </c>
      <c r="GC506" s="382">
        <f t="shared" si="889"/>
        <v>7.5123935426464977E-2</v>
      </c>
      <c r="GD506" s="382">
        <f t="shared" si="889"/>
        <v>8.9506172839506168E-2</v>
      </c>
      <c r="GE506" s="382">
        <f t="shared" si="889"/>
        <v>6.3021136319565643E-2</v>
      </c>
      <c r="GG506" s="384"/>
      <c r="GH506" s="384"/>
      <c r="GI506" s="384"/>
      <c r="GJ506" s="384"/>
      <c r="GK506" s="384"/>
      <c r="GN506" s="70"/>
    </row>
    <row r="507" spans="1:196" s="382" customFormat="1">
      <c r="A507" s="379" t="s">
        <v>331</v>
      </c>
      <c r="CD507" s="503"/>
      <c r="CE507" s="503"/>
      <c r="CF507" s="503"/>
      <c r="CG507" s="503"/>
      <c r="CH507" s="503"/>
      <c r="CI507" s="503"/>
      <c r="CJ507" s="503"/>
      <c r="CK507" s="503"/>
      <c r="CL507" s="503"/>
      <c r="CM507" s="503"/>
      <c r="CN507" s="503"/>
      <c r="CO507" s="503"/>
      <c r="CP507" s="503"/>
      <c r="CQ507" s="503"/>
      <c r="CR507" s="503"/>
      <c r="CS507" s="503"/>
      <c r="CT507" s="384"/>
      <c r="CU507" s="384"/>
      <c r="CV507" s="384"/>
      <c r="CW507" s="384"/>
      <c r="CX507" s="384"/>
      <c r="CY507" s="384"/>
      <c r="CZ507" s="384"/>
      <c r="DA507" s="384"/>
      <c r="DB507" s="384"/>
      <c r="DC507" s="384"/>
      <c r="DD507" s="384"/>
      <c r="DE507" s="384"/>
      <c r="DF507" s="384"/>
      <c r="DG507" s="384"/>
      <c r="DH507" s="384"/>
      <c r="DI507" s="384"/>
      <c r="DJ507" s="391"/>
      <c r="DK507" s="391"/>
      <c r="DL507" s="391"/>
      <c r="DM507" s="391"/>
      <c r="DN507" s="391"/>
      <c r="DO507" s="391"/>
      <c r="DP507" s="391"/>
      <c r="DQ507" s="391"/>
      <c r="DR507" s="391"/>
      <c r="DS507" s="391"/>
      <c r="DT507" s="391"/>
      <c r="DU507" s="391"/>
      <c r="DV507" s="391"/>
      <c r="DW507" s="391"/>
      <c r="DX507" s="384"/>
      <c r="DY507" s="384"/>
      <c r="DZ507" s="384"/>
      <c r="EA507" s="384"/>
      <c r="EB507" s="384"/>
      <c r="EC507" s="384"/>
      <c r="ED507" s="384"/>
      <c r="EE507" s="384"/>
      <c r="EF507" s="384"/>
      <c r="EG507" s="384"/>
      <c r="EH507" s="384"/>
      <c r="EI507" s="384"/>
      <c r="EJ507" s="384"/>
      <c r="EK507" s="384"/>
      <c r="EL507" s="384"/>
      <c r="EM507" s="384"/>
      <c r="EN507" s="384"/>
      <c r="EO507" s="384"/>
      <c r="EP507" s="384"/>
      <c r="EQ507" s="384"/>
      <c r="ER507" s="384"/>
      <c r="ES507" s="384"/>
      <c r="ET507" s="384"/>
      <c r="EU507" s="384"/>
      <c r="EV507" s="384"/>
      <c r="EW507" s="384"/>
      <c r="FT507" s="503"/>
      <c r="FU507" s="503"/>
      <c r="FV507" s="503"/>
      <c r="FW507" s="503"/>
      <c r="FX507" s="504"/>
      <c r="FY507" s="504"/>
      <c r="FZ507" s="384"/>
      <c r="GA507" s="384"/>
      <c r="GB507" s="382">
        <f t="shared" si="889"/>
        <v>0.12723621759766338</v>
      </c>
      <c r="GC507" s="382">
        <f t="shared" si="889"/>
        <v>0.10037710266514131</v>
      </c>
      <c r="GD507" s="382">
        <f t="shared" si="889"/>
        <v>8.1172839506172836E-2</v>
      </c>
      <c r="GE507" s="382">
        <f t="shared" si="889"/>
        <v>0.12802016676362227</v>
      </c>
      <c r="GG507" s="384"/>
      <c r="GH507" s="384"/>
      <c r="GI507" s="384"/>
      <c r="GJ507" s="384"/>
      <c r="GK507" s="384"/>
      <c r="GN507" s="70"/>
    </row>
    <row r="508" spans="1:196" s="382" customFormat="1">
      <c r="A508" s="379" t="s">
        <v>332</v>
      </c>
      <c r="CD508" s="503"/>
      <c r="CE508" s="503"/>
      <c r="CF508" s="503"/>
      <c r="CG508" s="503"/>
      <c r="CH508" s="503"/>
      <c r="CI508" s="503"/>
      <c r="CJ508" s="503"/>
      <c r="CK508" s="503"/>
      <c r="CL508" s="503"/>
      <c r="CM508" s="503"/>
      <c r="CN508" s="503"/>
      <c r="CO508" s="503"/>
      <c r="CP508" s="503"/>
      <c r="CQ508" s="503"/>
      <c r="CR508" s="503"/>
      <c r="CS508" s="503"/>
      <c r="CT508" s="384"/>
      <c r="CU508" s="384"/>
      <c r="CV508" s="384"/>
      <c r="CW508" s="384"/>
      <c r="CX508" s="384"/>
      <c r="CY508" s="384"/>
      <c r="CZ508" s="384"/>
      <c r="DA508" s="384"/>
      <c r="DB508" s="384"/>
      <c r="DC508" s="384"/>
      <c r="DD508" s="384"/>
      <c r="DE508" s="384"/>
      <c r="DF508" s="384"/>
      <c r="DG508" s="384"/>
      <c r="DH508" s="384"/>
      <c r="DI508" s="384"/>
      <c r="DJ508" s="391"/>
      <c r="DK508" s="391"/>
      <c r="DL508" s="391"/>
      <c r="DM508" s="391"/>
      <c r="DN508" s="391"/>
      <c r="DO508" s="391"/>
      <c r="DP508" s="391"/>
      <c r="DQ508" s="391"/>
      <c r="DR508" s="391"/>
      <c r="DS508" s="391"/>
      <c r="DT508" s="391"/>
      <c r="DU508" s="391"/>
      <c r="DV508" s="391"/>
      <c r="DW508" s="391"/>
      <c r="DX508" s="384"/>
      <c r="DY508" s="384"/>
      <c r="DZ508" s="384"/>
      <c r="EA508" s="384"/>
      <c r="EB508" s="384"/>
      <c r="EC508" s="384"/>
      <c r="ED508" s="384"/>
      <c r="EE508" s="384"/>
      <c r="EF508" s="384"/>
      <c r="EG508" s="384"/>
      <c r="EH508" s="384"/>
      <c r="EI508" s="384"/>
      <c r="EJ508" s="384"/>
      <c r="EK508" s="384"/>
      <c r="EL508" s="384"/>
      <c r="EM508" s="384"/>
      <c r="EN508" s="384"/>
      <c r="EO508" s="384"/>
      <c r="EP508" s="384"/>
      <c r="EQ508" s="384"/>
      <c r="ER508" s="384"/>
      <c r="ES508" s="384"/>
      <c r="ET508" s="384"/>
      <c r="EU508" s="384"/>
      <c r="EV508" s="384"/>
      <c r="EW508" s="384"/>
      <c r="FT508" s="503"/>
      <c r="FU508" s="503"/>
      <c r="FV508" s="503"/>
      <c r="FW508" s="503"/>
      <c r="FX508" s="504"/>
      <c r="FY508" s="504"/>
      <c r="FZ508" s="384"/>
      <c r="GA508" s="384"/>
      <c r="GB508" s="382">
        <f t="shared" si="889"/>
        <v>3.4805890227576977E-2</v>
      </c>
      <c r="GC508" s="382">
        <f t="shared" si="889"/>
        <v>2.7371721537223E-2</v>
      </c>
      <c r="GD508" s="382">
        <f t="shared" si="889"/>
        <v>3.0643738977072309E-2</v>
      </c>
      <c r="GE508" s="382">
        <f t="shared" si="889"/>
        <v>2.1485359705254992E-2</v>
      </c>
      <c r="GG508" s="384"/>
      <c r="GH508" s="384"/>
      <c r="GI508" s="384"/>
      <c r="GJ508" s="384"/>
      <c r="GK508" s="384"/>
      <c r="GN508" s="70"/>
    </row>
    <row r="509" spans="1:196" s="382" customFormat="1">
      <c r="A509" s="379"/>
      <c r="CD509" s="503"/>
      <c r="CE509" s="503"/>
      <c r="CF509" s="503"/>
      <c r="CG509" s="503"/>
      <c r="CH509" s="503"/>
      <c r="CI509" s="503"/>
      <c r="CJ509" s="503"/>
      <c r="CK509" s="503"/>
      <c r="CL509" s="503"/>
      <c r="CM509" s="503"/>
      <c r="CN509" s="503"/>
      <c r="CO509" s="503"/>
      <c r="CP509" s="503"/>
      <c r="CQ509" s="503"/>
      <c r="CR509" s="503"/>
      <c r="CS509" s="503"/>
      <c r="CT509" s="384"/>
      <c r="CU509" s="384"/>
      <c r="CV509" s="384"/>
      <c r="CW509" s="384"/>
      <c r="CX509" s="384"/>
      <c r="CY509" s="384"/>
      <c r="CZ509" s="384"/>
      <c r="DA509" s="384"/>
      <c r="DB509" s="384"/>
      <c r="DC509" s="384"/>
      <c r="DD509" s="384"/>
      <c r="DE509" s="384"/>
      <c r="DF509" s="384"/>
      <c r="DG509" s="384"/>
      <c r="DH509" s="384"/>
      <c r="DI509" s="384"/>
      <c r="DJ509" s="391"/>
      <c r="DK509" s="391"/>
      <c r="DL509" s="391"/>
      <c r="DM509" s="391"/>
      <c r="DN509" s="391"/>
      <c r="DO509" s="391"/>
      <c r="DP509" s="391"/>
      <c r="DQ509" s="391"/>
      <c r="DR509" s="391"/>
      <c r="DS509" s="391"/>
      <c r="DT509" s="391"/>
      <c r="DU509" s="391"/>
      <c r="DV509" s="391"/>
      <c r="DW509" s="391"/>
      <c r="DX509" s="384"/>
      <c r="DY509" s="384"/>
      <c r="DZ509" s="384"/>
      <c r="EA509" s="384"/>
      <c r="EB509" s="384"/>
      <c r="EC509" s="384"/>
      <c r="ED509" s="384"/>
      <c r="EE509" s="384"/>
      <c r="EF509" s="384"/>
      <c r="EG509" s="384"/>
      <c r="EH509" s="384"/>
      <c r="EI509" s="384"/>
      <c r="EJ509" s="384"/>
      <c r="EK509" s="384"/>
      <c r="EL509" s="384"/>
      <c r="EM509" s="384"/>
      <c r="EN509" s="384"/>
      <c r="EO509" s="384"/>
      <c r="EP509" s="384"/>
      <c r="EQ509" s="384"/>
      <c r="ER509" s="384"/>
      <c r="ES509" s="384"/>
      <c r="ET509" s="384"/>
      <c r="EU509" s="384"/>
      <c r="EV509" s="384"/>
      <c r="EW509" s="384"/>
      <c r="FT509" s="503"/>
      <c r="FU509" s="503"/>
      <c r="FV509" s="503"/>
      <c r="FW509" s="503"/>
      <c r="FX509" s="504"/>
      <c r="FY509" s="504"/>
      <c r="FZ509" s="384"/>
      <c r="GA509" s="384"/>
      <c r="GG509" s="384"/>
      <c r="GH509" s="384"/>
      <c r="GI509" s="384"/>
      <c r="GJ509" s="384"/>
      <c r="GK509" s="384"/>
      <c r="GN509" s="70"/>
    </row>
    <row r="510" spans="1:196" s="382" customFormat="1" ht="12.75">
      <c r="A510" s="379" t="s">
        <v>334</v>
      </c>
      <c r="CD510" s="503"/>
      <c r="CE510" s="503"/>
      <c r="CF510" s="503"/>
      <c r="CG510" s="503"/>
      <c r="CH510" s="503"/>
      <c r="CI510" s="503"/>
      <c r="CJ510" s="503"/>
      <c r="CK510" s="503"/>
      <c r="CL510" s="503"/>
      <c r="CM510" s="503"/>
      <c r="CN510" s="503"/>
      <c r="CO510" s="503"/>
      <c r="CP510" s="503"/>
      <c r="CQ510" s="503"/>
      <c r="CR510" s="503"/>
      <c r="CS510" s="503"/>
      <c r="CT510" s="384"/>
      <c r="CU510" s="384"/>
      <c r="CV510" s="384"/>
      <c r="CW510" s="384"/>
      <c r="CX510" s="384"/>
      <c r="CY510" s="384"/>
      <c r="CZ510" s="384"/>
      <c r="DA510" s="384"/>
      <c r="DB510" s="384"/>
      <c r="DC510" s="384"/>
      <c r="DD510" s="384"/>
      <c r="DE510" s="384"/>
      <c r="DF510" s="384"/>
      <c r="DG510" s="384"/>
      <c r="DH510" s="384"/>
      <c r="DI510" s="384"/>
      <c r="DJ510" s="426" t="s">
        <v>335</v>
      </c>
      <c r="DK510" s="426" t="s">
        <v>335</v>
      </c>
      <c r="DL510" s="426">
        <v>355</v>
      </c>
      <c r="DM510" s="426">
        <v>74</v>
      </c>
      <c r="DN510" s="426">
        <v>449</v>
      </c>
      <c r="DO510" s="426">
        <v>400</v>
      </c>
      <c r="DP510" s="426">
        <v>719</v>
      </c>
      <c r="DQ510" s="426">
        <v>673</v>
      </c>
      <c r="DR510" s="426">
        <v>867</v>
      </c>
      <c r="DS510" s="426">
        <v>842</v>
      </c>
      <c r="DT510" s="426">
        <v>913</v>
      </c>
      <c r="DU510" s="509"/>
      <c r="DV510" s="509"/>
      <c r="DW510" s="509"/>
      <c r="DX510" s="509"/>
      <c r="DY510" s="384"/>
      <c r="DZ510" s="384"/>
      <c r="EA510" s="384"/>
      <c r="EB510" s="384"/>
      <c r="EC510" s="384"/>
      <c r="ED510" s="384"/>
      <c r="EE510" s="384"/>
      <c r="EF510" s="384"/>
      <c r="EG510" s="384"/>
      <c r="EH510" s="384"/>
      <c r="EI510" s="384"/>
      <c r="EJ510" s="384"/>
      <c r="EK510" s="384"/>
      <c r="EL510" s="384"/>
      <c r="EM510" s="384"/>
      <c r="EN510" s="384"/>
      <c r="EO510" s="384"/>
      <c r="EP510" s="384"/>
      <c r="EQ510" s="384"/>
      <c r="ER510" s="384"/>
      <c r="ES510" s="384"/>
      <c r="ET510" s="384"/>
      <c r="EU510" s="384"/>
      <c r="EV510" s="384"/>
      <c r="EW510" s="384"/>
      <c r="FT510" s="503"/>
      <c r="FU510" s="503"/>
      <c r="FV510" s="503"/>
      <c r="FW510" s="503"/>
      <c r="FX510" s="504"/>
      <c r="FY510" s="504"/>
      <c r="FZ510" s="384"/>
      <c r="GA510" s="384"/>
      <c r="GG510" s="384"/>
      <c r="GH510" s="384"/>
      <c r="GI510" s="384"/>
      <c r="GJ510" s="384"/>
      <c r="GK510" s="384"/>
      <c r="GN510" s="70"/>
    </row>
    <row r="511" spans="1:196" s="382" customFormat="1">
      <c r="A511" s="379" t="s">
        <v>336</v>
      </c>
      <c r="CD511" s="503"/>
      <c r="CE511" s="503"/>
      <c r="CF511" s="503"/>
      <c r="CG511" s="503"/>
      <c r="CH511" s="503"/>
      <c r="CI511" s="503"/>
      <c r="CJ511" s="503"/>
      <c r="CK511" s="503"/>
      <c r="CL511" s="503"/>
      <c r="CM511" s="503"/>
      <c r="CN511" s="503"/>
      <c r="CO511" s="503"/>
      <c r="CP511" s="503"/>
      <c r="CQ511" s="503"/>
      <c r="CR511" s="503"/>
      <c r="CS511" s="503"/>
      <c r="CT511" s="384"/>
      <c r="CU511" s="384"/>
      <c r="CV511" s="384"/>
      <c r="CW511" s="384"/>
      <c r="CX511" s="384"/>
      <c r="CY511" s="384"/>
      <c r="CZ511" s="384"/>
      <c r="DA511" s="384"/>
      <c r="DB511" s="384"/>
      <c r="DC511" s="384"/>
      <c r="DD511" s="384"/>
      <c r="DE511" s="384"/>
      <c r="DF511" s="384"/>
      <c r="DG511" s="384"/>
      <c r="DH511" s="384"/>
      <c r="DI511" s="384"/>
      <c r="DJ511" s="383">
        <v>0.76</v>
      </c>
      <c r="DK511" s="383">
        <v>0.74</v>
      </c>
      <c r="DL511" s="383">
        <v>0.67</v>
      </c>
      <c r="DM511" s="383"/>
      <c r="DN511" s="383">
        <v>0.69</v>
      </c>
      <c r="DO511" s="383">
        <v>0.7</v>
      </c>
      <c r="DP511" s="383">
        <v>0.62</v>
      </c>
      <c r="DQ511" s="383"/>
      <c r="DR511" s="383">
        <v>0.68</v>
      </c>
      <c r="DS511" s="383">
        <v>0.66</v>
      </c>
      <c r="DT511" s="383">
        <v>0.68</v>
      </c>
      <c r="DU511" s="383"/>
      <c r="DV511" s="383">
        <v>0.6</v>
      </c>
      <c r="DW511" s="383">
        <v>0.6</v>
      </c>
      <c r="DX511" s="383">
        <v>0.72</v>
      </c>
      <c r="DY511" s="384"/>
      <c r="DZ511" s="384"/>
      <c r="EA511" s="384"/>
      <c r="EB511" s="384"/>
      <c r="EC511" s="384"/>
      <c r="ED511" s="384"/>
      <c r="EE511" s="384"/>
      <c r="EF511" s="384"/>
      <c r="EG511" s="384"/>
      <c r="EH511" s="384"/>
      <c r="EI511" s="384"/>
      <c r="EJ511" s="384"/>
      <c r="EK511" s="384"/>
      <c r="EL511" s="384"/>
      <c r="EM511" s="384"/>
      <c r="EN511" s="384"/>
      <c r="EO511" s="384"/>
      <c r="EP511" s="384"/>
      <c r="EQ511" s="384"/>
      <c r="ER511" s="384"/>
      <c r="ES511" s="384"/>
      <c r="ET511" s="384"/>
      <c r="EU511" s="384"/>
      <c r="EV511" s="384"/>
      <c r="EW511" s="384"/>
      <c r="FT511" s="503"/>
      <c r="FU511" s="503"/>
      <c r="FV511" s="503"/>
      <c r="FW511" s="503"/>
      <c r="FX511" s="504"/>
      <c r="FY511" s="504"/>
      <c r="FZ511" s="384"/>
      <c r="GA511" s="384"/>
      <c r="GB511" s="382">
        <v>0.72</v>
      </c>
      <c r="GC511" s="382">
        <v>0.66</v>
      </c>
      <c r="GD511" s="382">
        <v>0.65</v>
      </c>
      <c r="GE511" s="382">
        <v>0.66</v>
      </c>
      <c r="GG511" s="384"/>
      <c r="GH511" s="384"/>
      <c r="GI511" s="384"/>
      <c r="GJ511" s="384"/>
      <c r="GK511" s="384"/>
      <c r="GN511" s="70"/>
    </row>
    <row r="512" spans="1:196" s="382" customFormat="1">
      <c r="A512" s="381"/>
      <c r="CD512" s="503"/>
      <c r="CE512" s="503"/>
      <c r="CF512" s="503"/>
      <c r="CG512" s="503"/>
      <c r="CH512" s="503"/>
      <c r="CI512" s="503"/>
      <c r="CJ512" s="503"/>
      <c r="CK512" s="503"/>
      <c r="CL512" s="503"/>
      <c r="CM512" s="503"/>
      <c r="CN512" s="503"/>
      <c r="CO512" s="503"/>
      <c r="CP512" s="503"/>
      <c r="CQ512" s="503"/>
      <c r="CR512" s="503"/>
      <c r="CS512" s="503"/>
      <c r="CT512" s="384"/>
      <c r="CU512" s="384"/>
      <c r="CV512" s="384"/>
      <c r="CW512" s="384"/>
      <c r="CX512" s="384"/>
      <c r="CY512" s="384"/>
      <c r="CZ512" s="384"/>
      <c r="DA512" s="384"/>
      <c r="DB512" s="384"/>
      <c r="DC512" s="384"/>
      <c r="DD512" s="384"/>
      <c r="DE512" s="384"/>
      <c r="DF512" s="384"/>
      <c r="DG512" s="384"/>
      <c r="DH512" s="384"/>
      <c r="DI512" s="384"/>
      <c r="DJ512" s="391"/>
      <c r="DK512" s="391"/>
      <c r="DL512" s="391"/>
      <c r="DM512" s="391"/>
      <c r="DN512" s="391"/>
      <c r="DO512" s="391"/>
      <c r="DP512" s="391"/>
      <c r="DQ512" s="391"/>
      <c r="DR512" s="391"/>
      <c r="DS512" s="391"/>
      <c r="DT512" s="391"/>
      <c r="DU512" s="391"/>
      <c r="DV512" s="391"/>
      <c r="DW512" s="391"/>
      <c r="DX512" s="384"/>
      <c r="DY512" s="384"/>
      <c r="DZ512" s="384"/>
      <c r="EA512" s="384"/>
      <c r="EB512" s="384"/>
      <c r="EC512" s="384"/>
      <c r="ED512" s="384"/>
      <c r="EE512" s="384"/>
      <c r="EF512" s="384"/>
      <c r="EG512" s="384"/>
      <c r="EH512" s="384"/>
      <c r="EI512" s="384"/>
      <c r="EJ512" s="384"/>
      <c r="EK512" s="384"/>
      <c r="EL512" s="384"/>
      <c r="EM512" s="384"/>
      <c r="EN512" s="384"/>
      <c r="EO512" s="384"/>
      <c r="EP512" s="384"/>
      <c r="EQ512" s="384"/>
      <c r="ER512" s="384"/>
      <c r="ES512" s="384"/>
      <c r="ET512" s="384"/>
      <c r="EU512" s="384"/>
      <c r="EV512" s="384"/>
      <c r="EW512" s="384"/>
      <c r="FT512" s="503"/>
      <c r="FU512" s="503"/>
      <c r="FV512" s="503"/>
      <c r="FW512" s="503"/>
      <c r="FX512" s="504"/>
      <c r="FY512" s="504"/>
      <c r="FZ512" s="384"/>
      <c r="GA512" s="384"/>
      <c r="GB512" s="384"/>
      <c r="GC512" s="384"/>
      <c r="GD512" s="384"/>
      <c r="GE512" s="384"/>
      <c r="GF512" s="384"/>
      <c r="GG512" s="384"/>
      <c r="GH512" s="384"/>
      <c r="GI512" s="384"/>
      <c r="GJ512" s="384"/>
      <c r="GK512" s="384"/>
      <c r="GN512" s="70"/>
    </row>
    <row r="513" spans="1:196">
      <c r="A513" s="167"/>
      <c r="B513" s="167"/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67"/>
      <c r="AN513" s="167"/>
      <c r="AO513" s="167"/>
      <c r="AP513" s="167"/>
      <c r="AQ513" s="167"/>
      <c r="AR513" s="167"/>
      <c r="AS513" s="167"/>
      <c r="AT513" s="167"/>
      <c r="AU513" s="167"/>
      <c r="AV513" s="167"/>
      <c r="AW513" s="167"/>
      <c r="AX513" s="167"/>
      <c r="AY513" s="167"/>
      <c r="AZ513" s="167"/>
      <c r="BA513" s="167"/>
      <c r="BB513" s="167"/>
      <c r="BC513" s="167"/>
      <c r="BD513" s="167"/>
      <c r="BE513" s="167"/>
      <c r="BF513" s="167"/>
      <c r="BG513" s="167"/>
      <c r="BH513" s="167"/>
      <c r="BI513" s="167"/>
      <c r="BJ513" s="167"/>
      <c r="BK513" s="167"/>
      <c r="BL513" s="167"/>
      <c r="BM513" s="167"/>
      <c r="BN513" s="167"/>
      <c r="BO513" s="167"/>
      <c r="BP513" s="167"/>
      <c r="BQ513" s="167"/>
      <c r="BR513" s="167"/>
      <c r="BS513" s="167"/>
      <c r="BT513" s="167"/>
      <c r="BU513" s="167"/>
      <c r="BV513" s="167"/>
      <c r="BW513" s="167"/>
      <c r="BX513" s="167"/>
      <c r="BY513" s="167"/>
      <c r="BZ513" s="167"/>
      <c r="CA513" s="167"/>
      <c r="CB513" s="167"/>
      <c r="CC513" s="167"/>
      <c r="CD513" s="167"/>
      <c r="CE513" s="167"/>
      <c r="CF513" s="167"/>
      <c r="CG513" s="167"/>
      <c r="CH513" s="167"/>
      <c r="CI513" s="167"/>
      <c r="CJ513" s="167"/>
      <c r="CK513" s="167"/>
      <c r="CL513" s="167"/>
      <c r="CM513" s="167"/>
      <c r="CN513" s="167"/>
      <c r="CO513" s="167"/>
      <c r="CP513" s="167"/>
      <c r="CQ513" s="167"/>
      <c r="CR513" s="167"/>
      <c r="CS513" s="167"/>
      <c r="CT513" s="167"/>
      <c r="CU513" s="167"/>
      <c r="CV513" s="167"/>
      <c r="CW513" s="167"/>
      <c r="CX513" s="167"/>
      <c r="CY513" s="167"/>
      <c r="CZ513" s="167"/>
      <c r="DA513" s="167"/>
      <c r="DB513" s="167"/>
      <c r="DC513" s="167"/>
      <c r="DD513" s="167"/>
      <c r="DE513" s="167"/>
      <c r="DF513" s="167"/>
      <c r="DG513" s="167"/>
      <c r="DH513" s="167"/>
      <c r="DI513" s="167"/>
      <c r="DJ513" s="168"/>
      <c r="DK513" s="168"/>
      <c r="DL513" s="168"/>
      <c r="DM513" s="168"/>
      <c r="DN513" s="168"/>
      <c r="DO513" s="168"/>
      <c r="DP513" s="168"/>
      <c r="DQ513" s="168"/>
      <c r="DR513" s="168"/>
      <c r="DS513" s="168"/>
      <c r="DT513" s="168"/>
      <c r="DU513" s="168"/>
      <c r="DV513" s="168"/>
      <c r="DW513" s="168"/>
      <c r="DX513" s="167"/>
      <c r="DY513" s="167"/>
      <c r="DZ513" s="167"/>
      <c r="EA513" s="167"/>
      <c r="EB513" s="167"/>
      <c r="EC513" s="167"/>
      <c r="ED513" s="167"/>
      <c r="EE513" s="167"/>
      <c r="EF513" s="167"/>
      <c r="EG513" s="167"/>
      <c r="EH513" s="167"/>
      <c r="EI513" s="167"/>
      <c r="EJ513" s="167"/>
      <c r="EK513" s="167"/>
      <c r="EL513" s="167"/>
      <c r="EM513" s="167"/>
      <c r="EN513" s="167"/>
      <c r="EO513" s="167"/>
      <c r="EP513" s="167"/>
      <c r="EQ513" s="167"/>
      <c r="ER513" s="167"/>
      <c r="ES513" s="167"/>
      <c r="ET513" s="167"/>
      <c r="EU513" s="167"/>
      <c r="EV513" s="167"/>
      <c r="EW513" s="167"/>
      <c r="EZ513" s="167"/>
      <c r="FA513" s="167"/>
      <c r="FB513" s="167"/>
      <c r="FC513" s="167"/>
      <c r="FD513" s="167"/>
      <c r="FE513" s="167"/>
      <c r="FF513" s="167"/>
      <c r="FG513" s="167"/>
      <c r="FH513" s="167"/>
      <c r="FI513" s="167"/>
      <c r="FJ513" s="167"/>
      <c r="FK513" s="167"/>
      <c r="FL513" s="167"/>
      <c r="FM513" s="167"/>
      <c r="FN513" s="167"/>
      <c r="FO513" s="167"/>
      <c r="FP513" s="167"/>
      <c r="FQ513" s="167"/>
      <c r="FR513" s="167"/>
      <c r="FS513" s="167"/>
      <c r="FT513" s="167"/>
      <c r="FU513" s="167"/>
      <c r="FV513" s="167"/>
      <c r="FW513" s="167"/>
      <c r="FX513" s="167"/>
      <c r="FY513" s="167"/>
      <c r="FZ513" s="167"/>
      <c r="GA513" s="167"/>
      <c r="GB513" s="167"/>
      <c r="GC513" s="167"/>
      <c r="GD513" s="167"/>
      <c r="GE513" s="167"/>
      <c r="GF513" s="167"/>
      <c r="GG513" s="167"/>
      <c r="GH513" s="167"/>
      <c r="GI513" s="167"/>
      <c r="GJ513" s="167"/>
      <c r="GK513" s="167"/>
      <c r="GN513" s="48"/>
    </row>
    <row r="514" spans="1:196">
      <c r="A514" s="155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  <c r="AS514" s="155"/>
      <c r="AT514" s="155"/>
      <c r="AU514" s="155"/>
      <c r="AV514" s="155"/>
      <c r="AW514" s="155"/>
      <c r="AX514" s="155"/>
      <c r="AY514" s="155"/>
      <c r="AZ514" s="155"/>
      <c r="BA514" s="155"/>
      <c r="BB514" s="155"/>
      <c r="BC514" s="155"/>
      <c r="BD514" s="155"/>
      <c r="BE514" s="155"/>
      <c r="BF514" s="155"/>
      <c r="BG514" s="155"/>
      <c r="BH514" s="155"/>
      <c r="BI514" s="155"/>
      <c r="BJ514" s="155"/>
      <c r="BK514" s="155"/>
      <c r="BL514" s="155"/>
      <c r="BM514" s="155"/>
      <c r="BN514" s="155"/>
      <c r="BO514" s="155"/>
      <c r="BP514" s="155"/>
      <c r="BQ514" s="155"/>
      <c r="BR514" s="155"/>
      <c r="BS514" s="155"/>
      <c r="BT514" s="155"/>
      <c r="BU514" s="155"/>
      <c r="BV514" s="155"/>
      <c r="BW514" s="155"/>
      <c r="BX514" s="155"/>
      <c r="BY514" s="155"/>
      <c r="BZ514" s="155"/>
      <c r="CA514" s="155"/>
      <c r="CB514" s="155"/>
      <c r="CC514" s="155"/>
      <c r="CD514" s="155"/>
      <c r="CE514" s="155"/>
      <c r="CF514" s="155"/>
      <c r="CG514" s="155"/>
      <c r="CH514" s="155"/>
      <c r="CI514" s="155"/>
      <c r="CJ514" s="155"/>
      <c r="CK514" s="155"/>
      <c r="CL514" s="155"/>
      <c r="CM514" s="155"/>
      <c r="CN514" s="155"/>
      <c r="CO514" s="155"/>
      <c r="CP514" s="155"/>
      <c r="CQ514" s="155"/>
      <c r="CR514" s="155"/>
      <c r="CS514" s="155"/>
      <c r="CT514" s="156"/>
      <c r="CU514" s="156"/>
      <c r="CV514" s="156"/>
      <c r="CW514" s="156"/>
      <c r="CX514" s="156"/>
      <c r="CY514" s="156"/>
      <c r="CZ514" s="156"/>
      <c r="DA514" s="156"/>
      <c r="DB514" s="156"/>
      <c r="DC514" s="156"/>
      <c r="DD514" s="156"/>
      <c r="DE514" s="156"/>
      <c r="DF514" s="156"/>
      <c r="DG514" s="156"/>
      <c r="DH514" s="156"/>
      <c r="DI514" s="156"/>
      <c r="DJ514" s="157"/>
      <c r="DK514" s="157"/>
      <c r="DL514" s="157"/>
      <c r="DM514" s="157"/>
      <c r="DN514" s="157"/>
      <c r="DO514" s="157"/>
      <c r="DP514" s="157"/>
      <c r="DQ514" s="157"/>
      <c r="DR514" s="157"/>
      <c r="DS514" s="157"/>
      <c r="DT514" s="157"/>
      <c r="DU514" s="157"/>
      <c r="DV514" s="157"/>
      <c r="DW514" s="157"/>
      <c r="DX514" s="156"/>
      <c r="DY514" s="156"/>
      <c r="DZ514" s="156"/>
      <c r="EA514" s="156"/>
      <c r="EB514" s="156"/>
      <c r="EC514" s="156"/>
      <c r="ED514" s="156"/>
      <c r="EE514" s="156"/>
      <c r="EF514" s="156"/>
      <c r="EG514" s="156"/>
      <c r="EH514" s="156"/>
      <c r="EI514" s="156"/>
      <c r="EJ514" s="156"/>
      <c r="EK514" s="156"/>
      <c r="EL514" s="156"/>
      <c r="EM514" s="156"/>
      <c r="EN514" s="156"/>
      <c r="EO514" s="156"/>
      <c r="EP514" s="156"/>
      <c r="EQ514" s="156"/>
      <c r="ER514" s="156"/>
      <c r="ES514" s="156"/>
      <c r="ET514" s="156"/>
      <c r="EU514" s="156"/>
      <c r="EV514" s="156"/>
      <c r="EW514" s="156"/>
      <c r="EZ514" s="155"/>
      <c r="FA514" s="155"/>
      <c r="FB514" s="155"/>
      <c r="FC514" s="155"/>
      <c r="FD514" s="155"/>
      <c r="FE514" s="155"/>
      <c r="FF514" s="155"/>
      <c r="FG514" s="155"/>
      <c r="FH514" s="155"/>
      <c r="FI514" s="155"/>
      <c r="FJ514" s="155"/>
      <c r="FK514" s="155"/>
      <c r="FL514" s="155"/>
      <c r="FM514" s="155"/>
      <c r="FN514" s="155"/>
      <c r="FO514" s="155"/>
      <c r="FP514" s="155"/>
      <c r="FQ514" s="155"/>
      <c r="FR514" s="155"/>
      <c r="FS514" s="155"/>
      <c r="FT514" s="155"/>
      <c r="FU514" s="155"/>
      <c r="FV514" s="155"/>
      <c r="FW514" s="155"/>
      <c r="FX514" s="155"/>
      <c r="FY514" s="155"/>
      <c r="FZ514" s="155"/>
      <c r="GA514" s="155"/>
      <c r="GB514" s="155"/>
      <c r="GC514" s="155"/>
      <c r="GD514" s="155"/>
      <c r="GE514" s="155"/>
      <c r="GF514" s="155"/>
      <c r="GG514" s="155"/>
      <c r="GH514" s="155"/>
      <c r="GI514" s="155"/>
      <c r="GJ514" s="155"/>
      <c r="GK514" s="155"/>
      <c r="GN514" s="48"/>
    </row>
    <row r="515" spans="1:196" s="418" customFormat="1">
      <c r="A515" s="510" t="s">
        <v>337</v>
      </c>
      <c r="CT515" s="483"/>
      <c r="CU515" s="483"/>
      <c r="CV515" s="483"/>
      <c r="CW515" s="483"/>
      <c r="CX515" s="483"/>
      <c r="CY515" s="483"/>
      <c r="CZ515" s="483"/>
      <c r="DA515" s="483"/>
      <c r="DB515" s="483"/>
      <c r="DC515" s="483"/>
      <c r="DD515" s="483"/>
      <c r="DE515" s="483"/>
      <c r="DF515" s="483"/>
      <c r="DG515" s="483"/>
      <c r="DH515" s="483"/>
      <c r="DI515" s="483"/>
      <c r="DJ515" s="485"/>
      <c r="DK515" s="485"/>
      <c r="DL515" s="485"/>
      <c r="DM515" s="485"/>
      <c r="DN515" s="485"/>
      <c r="DO515" s="485"/>
      <c r="DP515" s="485"/>
      <c r="DQ515" s="485"/>
      <c r="DR515" s="485"/>
      <c r="DS515" s="485"/>
      <c r="DT515" s="485"/>
      <c r="DU515" s="485"/>
      <c r="DV515" s="485"/>
      <c r="DW515" s="485"/>
      <c r="DX515" s="483"/>
      <c r="DY515" s="483"/>
      <c r="DZ515" s="483"/>
      <c r="EA515" s="483"/>
      <c r="EB515" s="483"/>
      <c r="EC515" s="483"/>
      <c r="ED515" s="483"/>
      <c r="EE515" s="483"/>
      <c r="EF515" s="483"/>
      <c r="EG515" s="483"/>
      <c r="EH515" s="483"/>
      <c r="EI515" s="483"/>
      <c r="EJ515" s="483"/>
      <c r="EK515" s="483"/>
      <c r="EL515" s="483"/>
      <c r="EM515" s="483"/>
      <c r="EN515" s="483"/>
      <c r="EO515" s="483"/>
      <c r="EP515" s="483"/>
      <c r="EQ515" s="483"/>
      <c r="ER515" s="483"/>
      <c r="ES515" s="483"/>
      <c r="ET515" s="483"/>
      <c r="EU515" s="483"/>
      <c r="EV515" s="483"/>
      <c r="EW515" s="483"/>
      <c r="FS515" s="394"/>
      <c r="FT515" s="394"/>
      <c r="GN515" s="70"/>
    </row>
    <row r="516" spans="1:196" s="418" customFormat="1" hidden="1" outlineLevel="1">
      <c r="A516" s="510" t="s">
        <v>338</v>
      </c>
      <c r="B516" s="511"/>
      <c r="C516" s="511"/>
      <c r="D516" s="511"/>
      <c r="E516" s="511"/>
      <c r="F516" s="511"/>
      <c r="G516" s="511"/>
      <c r="H516" s="511"/>
      <c r="I516" s="511"/>
      <c r="J516" s="511"/>
      <c r="K516" s="511"/>
      <c r="L516" s="511"/>
      <c r="M516" s="511"/>
      <c r="N516" s="511"/>
      <c r="O516" s="511"/>
      <c r="P516" s="511"/>
      <c r="Q516" s="511"/>
      <c r="R516" s="511"/>
      <c r="S516" s="511"/>
      <c r="T516" s="511"/>
      <c r="U516" s="511"/>
      <c r="V516" s="511"/>
      <c r="W516" s="511"/>
      <c r="X516" s="511"/>
      <c r="Y516" s="511"/>
      <c r="Z516" s="511"/>
      <c r="AA516" s="511"/>
      <c r="AB516" s="511"/>
      <c r="AC516" s="511"/>
      <c r="AD516" s="511"/>
      <c r="AE516" s="511"/>
      <c r="AF516" s="511"/>
      <c r="AG516" s="511"/>
      <c r="AH516" s="511"/>
      <c r="AI516" s="511"/>
      <c r="AJ516" s="511"/>
      <c r="AK516" s="511"/>
      <c r="AL516" s="511"/>
      <c r="AM516" s="511"/>
      <c r="AN516" s="511"/>
      <c r="AO516" s="511"/>
      <c r="AP516" s="511"/>
      <c r="AQ516" s="511"/>
      <c r="AR516" s="511"/>
      <c r="AS516" s="511"/>
      <c r="AT516" s="511"/>
      <c r="AU516" s="511"/>
      <c r="AV516" s="511"/>
      <c r="AW516" s="511"/>
      <c r="AX516" s="511"/>
      <c r="AY516" s="511"/>
      <c r="AZ516" s="511"/>
      <c r="BA516" s="511"/>
      <c r="BB516" s="511"/>
      <c r="BC516" s="511"/>
      <c r="BD516" s="511"/>
      <c r="BE516" s="511"/>
      <c r="BF516" s="511"/>
      <c r="BG516" s="511"/>
      <c r="BH516" s="511"/>
      <c r="BI516" s="511"/>
      <c r="BJ516" s="511"/>
      <c r="BK516" s="511"/>
      <c r="BL516" s="511"/>
      <c r="BM516" s="511"/>
      <c r="BN516" s="511"/>
      <c r="BO516" s="511"/>
      <c r="BP516" s="511"/>
      <c r="BQ516" s="511"/>
      <c r="BR516" s="511"/>
      <c r="BS516" s="511"/>
      <c r="BT516" s="511"/>
      <c r="BU516" s="511"/>
      <c r="BV516" s="511"/>
      <c r="BW516" s="511"/>
      <c r="BX516" s="511"/>
      <c r="BY516" s="511"/>
      <c r="BZ516" s="511"/>
      <c r="CA516" s="511"/>
      <c r="CB516" s="511"/>
      <c r="CC516" s="511"/>
      <c r="CD516" s="511"/>
      <c r="CE516" s="511"/>
      <c r="CF516" s="511"/>
      <c r="CG516" s="511"/>
      <c r="CH516" s="511"/>
      <c r="CI516" s="511"/>
      <c r="CJ516" s="511"/>
      <c r="CK516" s="511"/>
      <c r="CL516" s="511"/>
      <c r="CM516" s="511"/>
      <c r="CN516" s="511"/>
      <c r="CO516" s="511"/>
      <c r="CP516" s="511"/>
      <c r="CQ516" s="511"/>
      <c r="CR516" s="511"/>
      <c r="CS516" s="511"/>
      <c r="CT516" s="512"/>
      <c r="CU516" s="512"/>
      <c r="CV516" s="512"/>
      <c r="CW516" s="512"/>
      <c r="CX516" s="512"/>
      <c r="CY516" s="512"/>
      <c r="CZ516" s="512"/>
      <c r="DA516" s="512"/>
      <c r="DB516" s="512"/>
      <c r="DC516" s="512"/>
      <c r="DD516" s="512"/>
      <c r="DE516" s="512"/>
      <c r="DF516" s="512"/>
      <c r="DG516" s="512"/>
      <c r="DH516" s="512"/>
      <c r="DI516" s="512"/>
      <c r="DJ516" s="513"/>
      <c r="DK516" s="513"/>
      <c r="DL516" s="513"/>
      <c r="DM516" s="513"/>
      <c r="DN516" s="513"/>
      <c r="DO516" s="513"/>
      <c r="DP516" s="513"/>
      <c r="DQ516" s="513"/>
      <c r="DR516" s="513"/>
      <c r="DS516" s="513"/>
      <c r="DT516" s="513"/>
      <c r="DU516" s="513"/>
      <c r="DV516" s="513"/>
      <c r="DW516" s="513"/>
      <c r="DX516" s="512"/>
      <c r="DY516" s="512"/>
      <c r="DZ516" s="512"/>
      <c r="EA516" s="512"/>
      <c r="EB516" s="512"/>
      <c r="EC516" s="512"/>
      <c r="ED516" s="512"/>
      <c r="EE516" s="512"/>
      <c r="EF516" s="512"/>
      <c r="EG516" s="512"/>
      <c r="EH516" s="512"/>
      <c r="EI516" s="512"/>
      <c r="EJ516" s="512"/>
      <c r="EK516" s="512"/>
      <c r="EL516" s="512"/>
      <c r="EM516" s="512"/>
      <c r="EN516" s="512"/>
      <c r="EO516" s="512"/>
      <c r="EP516" s="512"/>
      <c r="EQ516" s="512"/>
      <c r="ER516" s="512"/>
      <c r="ES516" s="512"/>
      <c r="ET516" s="512"/>
      <c r="EU516" s="512"/>
      <c r="EV516" s="512"/>
      <c r="EW516" s="512"/>
      <c r="EZ516" s="465"/>
      <c r="FA516" s="465"/>
      <c r="FB516" s="465"/>
      <c r="FC516" s="465"/>
      <c r="FD516" s="465"/>
      <c r="FE516" s="465"/>
      <c r="FF516" s="465"/>
      <c r="FG516" s="465"/>
      <c r="FH516" s="465"/>
      <c r="FI516" s="465"/>
      <c r="FJ516" s="465"/>
      <c r="FK516" s="465"/>
      <c r="FL516" s="465"/>
      <c r="FM516" s="465"/>
      <c r="FN516" s="465"/>
      <c r="FO516" s="465"/>
      <c r="FP516" s="465"/>
      <c r="FQ516" s="465"/>
      <c r="FR516" s="465"/>
      <c r="FS516" s="465"/>
      <c r="FT516" s="465"/>
      <c r="FU516" s="465"/>
      <c r="FV516" s="465"/>
      <c r="FW516" s="465"/>
      <c r="FX516" s="512"/>
      <c r="FY516" s="512"/>
      <c r="FZ516" s="512"/>
      <c r="GA516" s="512"/>
      <c r="GB516" s="512"/>
      <c r="GC516" s="512"/>
      <c r="GD516" s="512"/>
      <c r="GE516" s="512"/>
      <c r="GF516" s="512"/>
      <c r="GG516" s="512"/>
      <c r="GH516" s="512"/>
      <c r="GI516" s="512"/>
      <c r="GJ516" s="512"/>
      <c r="GK516" s="512"/>
      <c r="GN516" s="70"/>
    </row>
    <row r="517" spans="1:196" s="418" customFormat="1" hidden="1" outlineLevel="1">
      <c r="A517" s="505" t="s">
        <v>197</v>
      </c>
      <c r="B517" s="514"/>
      <c r="C517" s="514"/>
      <c r="D517" s="514"/>
      <c r="E517" s="514"/>
      <c r="F517" s="514"/>
      <c r="G517" s="514"/>
      <c r="H517" s="514"/>
      <c r="I517" s="514"/>
      <c r="J517" s="514"/>
      <c r="K517" s="514"/>
      <c r="L517" s="514"/>
      <c r="M517" s="514"/>
      <c r="N517" s="514"/>
      <c r="O517" s="514"/>
      <c r="P517" s="514"/>
      <c r="Q517" s="514"/>
      <c r="R517" s="514"/>
      <c r="S517" s="514"/>
      <c r="T517" s="514"/>
      <c r="U517" s="514"/>
      <c r="V517" s="514"/>
      <c r="W517" s="514"/>
      <c r="X517" s="514"/>
      <c r="Y517" s="514"/>
      <c r="Z517" s="514"/>
      <c r="AA517" s="514"/>
      <c r="AB517" s="514"/>
      <c r="AC517" s="514"/>
      <c r="AD517" s="514"/>
      <c r="AE517" s="514"/>
      <c r="AF517" s="514"/>
      <c r="AG517" s="514"/>
      <c r="AH517" s="514"/>
      <c r="AI517" s="514"/>
      <c r="AJ517" s="514"/>
      <c r="AK517" s="514"/>
      <c r="AL517" s="514"/>
      <c r="AM517" s="514"/>
      <c r="AN517" s="514"/>
      <c r="AO517" s="514"/>
      <c r="AP517" s="514"/>
      <c r="AQ517" s="514"/>
      <c r="AR517" s="514"/>
      <c r="AS517" s="514"/>
      <c r="AT517" s="514"/>
      <c r="AU517" s="514"/>
      <c r="AV517" s="514"/>
      <c r="AW517" s="514"/>
      <c r="AX517" s="514"/>
      <c r="AY517" s="514"/>
      <c r="AZ517" s="514"/>
      <c r="BA517" s="514"/>
      <c r="BB517" s="514"/>
      <c r="BC517" s="514"/>
      <c r="BD517" s="514"/>
      <c r="BE517" s="514"/>
      <c r="BF517" s="514"/>
      <c r="BG517" s="514"/>
      <c r="BH517" s="514"/>
      <c r="BI517" s="514"/>
      <c r="BJ517" s="514"/>
      <c r="BK517" s="514"/>
      <c r="BL517" s="514"/>
      <c r="BM517" s="514"/>
      <c r="BN517" s="514"/>
      <c r="BO517" s="514"/>
      <c r="BP517" s="514"/>
      <c r="BQ517" s="514"/>
      <c r="BR517" s="514">
        <v>1160</v>
      </c>
      <c r="BS517" s="514">
        <v>1212</v>
      </c>
      <c r="BT517" s="514">
        <v>1226</v>
      </c>
      <c r="BU517" s="514">
        <v>1219</v>
      </c>
      <c r="BV517" s="514">
        <v>1200</v>
      </c>
      <c r="BW517" s="514">
        <v>1207</v>
      </c>
      <c r="BX517" s="514">
        <v>1286</v>
      </c>
      <c r="BY517" s="514">
        <v>1309</v>
      </c>
      <c r="BZ517" s="514">
        <v>1203</v>
      </c>
      <c r="CA517" s="514">
        <v>1046</v>
      </c>
      <c r="CB517" s="514">
        <v>927</v>
      </c>
      <c r="CC517" s="514">
        <v>829</v>
      </c>
      <c r="CD517" s="514">
        <v>751</v>
      </c>
      <c r="CE517" s="514">
        <v>841</v>
      </c>
      <c r="CF517" s="514">
        <v>790</v>
      </c>
      <c r="CG517" s="514">
        <v>722</v>
      </c>
      <c r="CH517" s="514">
        <v>663</v>
      </c>
      <c r="CI517" s="514">
        <v>669</v>
      </c>
      <c r="CT517" s="483"/>
      <c r="CU517" s="483"/>
      <c r="CV517" s="483"/>
      <c r="CW517" s="483"/>
      <c r="CX517" s="483"/>
      <c r="CY517" s="483"/>
      <c r="CZ517" s="483"/>
      <c r="DA517" s="483"/>
      <c r="DB517" s="483"/>
      <c r="DC517" s="483"/>
      <c r="DD517" s="483"/>
      <c r="DE517" s="483"/>
      <c r="DF517" s="483"/>
      <c r="DG517" s="483"/>
      <c r="DH517" s="483"/>
      <c r="DI517" s="483"/>
      <c r="DJ517" s="485"/>
      <c r="DK517" s="485"/>
      <c r="DL517" s="485"/>
      <c r="DM517" s="485"/>
      <c r="DN517" s="485"/>
      <c r="DO517" s="485"/>
      <c r="DP517" s="485"/>
      <c r="DQ517" s="485"/>
      <c r="DR517" s="485"/>
      <c r="DS517" s="485"/>
      <c r="DT517" s="485"/>
      <c r="DU517" s="485"/>
      <c r="DV517" s="485"/>
      <c r="DW517" s="485"/>
      <c r="DX517" s="483"/>
      <c r="DY517" s="483"/>
      <c r="DZ517" s="483"/>
      <c r="EA517" s="483"/>
      <c r="EB517" s="483"/>
      <c r="EC517" s="483"/>
      <c r="ED517" s="483"/>
      <c r="EE517" s="483"/>
      <c r="EF517" s="483"/>
      <c r="EG517" s="483"/>
      <c r="EH517" s="483"/>
      <c r="EI517" s="483"/>
      <c r="EJ517" s="483"/>
      <c r="EK517" s="483"/>
      <c r="EL517" s="483"/>
      <c r="EM517" s="483"/>
      <c r="EN517" s="483"/>
      <c r="EO517" s="483"/>
      <c r="EP517" s="483"/>
      <c r="EQ517" s="483"/>
      <c r="ER517" s="483"/>
      <c r="ES517" s="483"/>
      <c r="ET517" s="483"/>
      <c r="EU517" s="483"/>
      <c r="EV517" s="483"/>
      <c r="EW517" s="483"/>
      <c r="FH517" s="465"/>
      <c r="FI517" s="465"/>
      <c r="FJ517" s="465"/>
      <c r="FK517" s="465"/>
      <c r="FL517" s="465"/>
      <c r="FM517" s="465"/>
      <c r="FN517" s="465"/>
      <c r="FO517" s="465"/>
      <c r="FP517" s="465"/>
      <c r="FQ517" s="465">
        <f>BR517+BS517+BT517+BU517</f>
        <v>4817</v>
      </c>
      <c r="FR517" s="465">
        <f>BV517+BW517+BX517+BY517</f>
        <v>5002</v>
      </c>
      <c r="FS517" s="465">
        <f>BZ517+CA517+CB517+CC517</f>
        <v>4005</v>
      </c>
      <c r="FT517" s="465">
        <f>CD517+CE517+CF517+CG517</f>
        <v>3104</v>
      </c>
      <c r="FU517" s="465"/>
      <c r="FV517" s="465"/>
      <c r="FW517" s="465"/>
      <c r="FX517" s="515"/>
      <c r="FY517" s="515"/>
      <c r="FZ517" s="515"/>
      <c r="GA517" s="515"/>
      <c r="GB517" s="515"/>
      <c r="GC517" s="515"/>
      <c r="GD517" s="515"/>
      <c r="GE517" s="515"/>
      <c r="GF517" s="515"/>
      <c r="GG517" s="515"/>
      <c r="GH517" s="515"/>
      <c r="GI517" s="515"/>
      <c r="GJ517" s="515"/>
      <c r="GK517" s="515"/>
      <c r="GN517" s="70"/>
    </row>
    <row r="518" spans="1:196" s="418" customFormat="1" hidden="1" outlineLevel="1">
      <c r="A518" s="516" t="s">
        <v>198</v>
      </c>
      <c r="BS518" s="449">
        <f>BS517/BR517-1</f>
        <v>4.482758620689653E-2</v>
      </c>
      <c r="BT518" s="449">
        <f t="shared" ref="BT518:CI518" si="890">BT517/BS517-1</f>
        <v>1.1551155115511635E-2</v>
      </c>
      <c r="BU518" s="449">
        <f t="shared" si="890"/>
        <v>-5.7096247960848334E-3</v>
      </c>
      <c r="BV518" s="449">
        <f t="shared" si="890"/>
        <v>-1.5586546349466768E-2</v>
      </c>
      <c r="BW518" s="449">
        <f t="shared" si="890"/>
        <v>5.833333333333357E-3</v>
      </c>
      <c r="BX518" s="449">
        <f t="shared" si="890"/>
        <v>6.5451532725766315E-2</v>
      </c>
      <c r="BY518" s="449">
        <f t="shared" si="890"/>
        <v>1.7884914463452528E-2</v>
      </c>
      <c r="BZ518" s="449">
        <f t="shared" si="890"/>
        <v>-8.0977845683728011E-2</v>
      </c>
      <c r="CA518" s="449">
        <f t="shared" si="890"/>
        <v>-0.13050706566916048</v>
      </c>
      <c r="CB518" s="449">
        <f t="shared" si="890"/>
        <v>-0.11376673040152963</v>
      </c>
      <c r="CC518" s="449">
        <f t="shared" si="890"/>
        <v>-0.10571736785329022</v>
      </c>
      <c r="CD518" s="449">
        <f t="shared" si="890"/>
        <v>-9.4089264173703224E-2</v>
      </c>
      <c r="CE518" s="449">
        <f t="shared" si="890"/>
        <v>0.11984021304926773</v>
      </c>
      <c r="CF518" s="449">
        <f t="shared" si="890"/>
        <v>-6.0642092746730047E-2</v>
      </c>
      <c r="CG518" s="449">
        <f t="shared" si="890"/>
        <v>-8.6075949367088622E-2</v>
      </c>
      <c r="CH518" s="449">
        <f t="shared" si="890"/>
        <v>-8.1717451523545703E-2</v>
      </c>
      <c r="CI518" s="449">
        <f t="shared" si="890"/>
        <v>9.0497737556560764E-3</v>
      </c>
      <c r="CT518" s="483"/>
      <c r="CU518" s="483"/>
      <c r="CV518" s="483"/>
      <c r="CW518" s="483"/>
      <c r="CX518" s="483"/>
      <c r="CY518" s="483"/>
      <c r="CZ518" s="483"/>
      <c r="DA518" s="483"/>
      <c r="DB518" s="483"/>
      <c r="DC518" s="483"/>
      <c r="DD518" s="483"/>
      <c r="DE518" s="483"/>
      <c r="DF518" s="483"/>
      <c r="DG518" s="483"/>
      <c r="DH518" s="483"/>
      <c r="DI518" s="483"/>
      <c r="DJ518" s="485"/>
      <c r="DK518" s="485"/>
      <c r="DL518" s="485"/>
      <c r="DM518" s="485"/>
      <c r="DN518" s="485"/>
      <c r="DO518" s="485"/>
      <c r="DP518" s="485"/>
      <c r="DQ518" s="485"/>
      <c r="DR518" s="485"/>
      <c r="DS518" s="485"/>
      <c r="DT518" s="485"/>
      <c r="DU518" s="485"/>
      <c r="DV518" s="485"/>
      <c r="DW518" s="485"/>
      <c r="DX518" s="483"/>
      <c r="DY518" s="483"/>
      <c r="DZ518" s="483"/>
      <c r="EA518" s="483"/>
      <c r="EB518" s="483"/>
      <c r="EC518" s="483"/>
      <c r="ED518" s="483"/>
      <c r="EE518" s="483"/>
      <c r="EF518" s="483"/>
      <c r="EG518" s="483"/>
      <c r="EH518" s="483"/>
      <c r="EI518" s="483"/>
      <c r="EJ518" s="483"/>
      <c r="EK518" s="483"/>
      <c r="EL518" s="483"/>
      <c r="EM518" s="483"/>
      <c r="EN518" s="483"/>
      <c r="EO518" s="483"/>
      <c r="EP518" s="483"/>
      <c r="EQ518" s="483"/>
      <c r="ER518" s="483"/>
      <c r="ES518" s="483"/>
      <c r="ET518" s="483"/>
      <c r="EU518" s="483"/>
      <c r="EV518" s="483"/>
      <c r="EW518" s="483"/>
      <c r="GN518" s="70"/>
    </row>
    <row r="519" spans="1:196" s="418" customFormat="1" hidden="1" outlineLevel="1">
      <c r="A519" s="516" t="s">
        <v>200</v>
      </c>
      <c r="BV519" s="449">
        <f>BV517/BR517-1</f>
        <v>3.4482758620689724E-2</v>
      </c>
      <c r="BW519" s="449">
        <f t="shared" ref="BW519:CI519" si="891">BW517/BS517-1</f>
        <v>-4.1254125412540921E-3</v>
      </c>
      <c r="BX519" s="449">
        <f t="shared" si="891"/>
        <v>4.8939641109298604E-2</v>
      </c>
      <c r="BY519" s="449">
        <f t="shared" si="891"/>
        <v>7.3831009023789917E-2</v>
      </c>
      <c r="BZ519" s="449">
        <f t="shared" si="891"/>
        <v>2.4999999999999467E-3</v>
      </c>
      <c r="CA519" s="449">
        <f t="shared" si="891"/>
        <v>-0.13338856669428334</v>
      </c>
      <c r="CB519" s="449">
        <f t="shared" si="891"/>
        <v>-0.27916018662519437</v>
      </c>
      <c r="CC519" s="449">
        <f t="shared" si="891"/>
        <v>-0.36669213139801371</v>
      </c>
      <c r="CD519" s="449">
        <f t="shared" si="891"/>
        <v>-0.3757273482959268</v>
      </c>
      <c r="CE519" s="449">
        <f t="shared" si="891"/>
        <v>-0.19598470363288722</v>
      </c>
      <c r="CF519" s="449">
        <f t="shared" si="891"/>
        <v>-0.1477885652642934</v>
      </c>
      <c r="CG519" s="449">
        <f t="shared" si="891"/>
        <v>-0.12907117008443914</v>
      </c>
      <c r="CH519" s="449">
        <f t="shared" si="891"/>
        <v>-0.11717709720372838</v>
      </c>
      <c r="CI519" s="449">
        <f t="shared" si="891"/>
        <v>-0.20451843043995244</v>
      </c>
      <c r="CT519" s="483"/>
      <c r="CU519" s="483"/>
      <c r="CV519" s="483"/>
      <c r="CW519" s="483"/>
      <c r="CX519" s="483"/>
      <c r="CY519" s="483"/>
      <c r="CZ519" s="483"/>
      <c r="DA519" s="483"/>
      <c r="DB519" s="483"/>
      <c r="DC519" s="483"/>
      <c r="DD519" s="483"/>
      <c r="DE519" s="483"/>
      <c r="DF519" s="483"/>
      <c r="DG519" s="483"/>
      <c r="DH519" s="483"/>
      <c r="DI519" s="483"/>
      <c r="DJ519" s="485"/>
      <c r="DK519" s="485"/>
      <c r="DL519" s="485"/>
      <c r="DM519" s="485"/>
      <c r="DN519" s="485"/>
      <c r="DO519" s="485"/>
      <c r="DP519" s="485"/>
      <c r="DQ519" s="485"/>
      <c r="DR519" s="485"/>
      <c r="DS519" s="485"/>
      <c r="DT519" s="485"/>
      <c r="DU519" s="485"/>
      <c r="DV519" s="485"/>
      <c r="DW519" s="485"/>
      <c r="DX519" s="483"/>
      <c r="DY519" s="483"/>
      <c r="DZ519" s="483"/>
      <c r="EA519" s="483"/>
      <c r="EB519" s="483"/>
      <c r="EC519" s="483"/>
      <c r="ED519" s="483"/>
      <c r="EE519" s="483"/>
      <c r="EF519" s="483"/>
      <c r="EG519" s="483"/>
      <c r="EH519" s="483"/>
      <c r="EI519" s="483"/>
      <c r="EJ519" s="483"/>
      <c r="EK519" s="483"/>
      <c r="EL519" s="483"/>
      <c r="EM519" s="483"/>
      <c r="EN519" s="483"/>
      <c r="EO519" s="483"/>
      <c r="EP519" s="483"/>
      <c r="EQ519" s="483"/>
      <c r="ER519" s="483"/>
      <c r="ES519" s="483"/>
      <c r="ET519" s="483"/>
      <c r="EU519" s="483"/>
      <c r="EV519" s="483"/>
      <c r="EW519" s="483"/>
      <c r="FR519" s="449">
        <f>FR517/FQ517-1</f>
        <v>3.8405646668050686E-2</v>
      </c>
      <c r="FS519" s="449">
        <f>FS517/FR517-1</f>
        <v>-0.19932027189124346</v>
      </c>
      <c r="FT519" s="449">
        <f>FT517/FS517-1</f>
        <v>-0.22496878901373285</v>
      </c>
      <c r="GN519" s="70"/>
    </row>
    <row r="520" spans="1:196" s="418" customFormat="1" hidden="1" outlineLevel="1">
      <c r="A520" s="505" t="s">
        <v>314</v>
      </c>
      <c r="B520" s="514"/>
      <c r="C520" s="514"/>
      <c r="D520" s="514"/>
      <c r="E520" s="514"/>
      <c r="F520" s="514"/>
      <c r="G520" s="514"/>
      <c r="H520" s="514"/>
      <c r="I520" s="514"/>
      <c r="J520" s="514"/>
      <c r="K520" s="514"/>
      <c r="L520" s="514"/>
      <c r="M520" s="514"/>
      <c r="N520" s="514"/>
      <c r="O520" s="514"/>
      <c r="P520" s="514"/>
      <c r="Q520" s="514"/>
      <c r="R520" s="514"/>
      <c r="S520" s="514"/>
      <c r="T520" s="514"/>
      <c r="U520" s="514"/>
      <c r="V520" s="514"/>
      <c r="W520" s="514"/>
      <c r="X520" s="514"/>
      <c r="Y520" s="514"/>
      <c r="Z520" s="514"/>
      <c r="AA520" s="514"/>
      <c r="AB520" s="514"/>
      <c r="AC520" s="514"/>
      <c r="AD520" s="514"/>
      <c r="AE520" s="514"/>
      <c r="AF520" s="514"/>
      <c r="AG520" s="514"/>
      <c r="AH520" s="514"/>
      <c r="AI520" s="514"/>
      <c r="AJ520" s="514"/>
      <c r="AK520" s="514"/>
      <c r="AL520" s="514"/>
      <c r="AM520" s="514"/>
      <c r="AN520" s="514"/>
      <c r="AO520" s="514"/>
      <c r="AP520" s="514"/>
      <c r="AQ520" s="514"/>
      <c r="AR520" s="514"/>
      <c r="AS520" s="514"/>
      <c r="AT520" s="514"/>
      <c r="AU520" s="514"/>
      <c r="AV520" s="514"/>
      <c r="AW520" s="514"/>
      <c r="AX520" s="514"/>
      <c r="AY520" s="514"/>
      <c r="AZ520" s="514"/>
      <c r="BA520" s="514"/>
      <c r="BB520" s="514"/>
      <c r="BC520" s="514"/>
      <c r="BD520" s="514"/>
      <c r="BE520" s="514"/>
      <c r="BF520" s="514"/>
      <c r="BG520" s="514"/>
      <c r="BH520" s="514"/>
      <c r="BI520" s="514"/>
      <c r="BJ520" s="514"/>
      <c r="BK520" s="514"/>
      <c r="BL520" s="514"/>
      <c r="BM520" s="514"/>
      <c r="BN520" s="514"/>
      <c r="BO520" s="514"/>
      <c r="BP520" s="514"/>
      <c r="BQ520" s="514"/>
      <c r="BR520" s="514">
        <v>146</v>
      </c>
      <c r="BS520" s="514">
        <v>128</v>
      </c>
      <c r="BT520" s="514">
        <v>164</v>
      </c>
      <c r="BU520" s="514">
        <v>91</v>
      </c>
      <c r="BV520" s="514">
        <v>100</v>
      </c>
      <c r="BW520" s="514">
        <v>142</v>
      </c>
      <c r="BX520" s="514">
        <v>149</v>
      </c>
      <c r="BY520" s="514">
        <v>165</v>
      </c>
      <c r="BZ520" s="514">
        <v>124</v>
      </c>
      <c r="CA520" s="514">
        <v>82</v>
      </c>
      <c r="CB520" s="514">
        <v>-114</v>
      </c>
      <c r="CC520" s="514">
        <v>-323</v>
      </c>
      <c r="CD520" s="514">
        <v>-39</v>
      </c>
      <c r="CE520" s="514">
        <v>2</v>
      </c>
      <c r="CF520" s="514">
        <v>22</v>
      </c>
      <c r="CG520" s="514">
        <v>-7</v>
      </c>
      <c r="CH520" s="514">
        <v>-3</v>
      </c>
      <c r="CI520" s="514">
        <v>9</v>
      </c>
      <c r="CT520" s="483"/>
      <c r="CU520" s="483"/>
      <c r="CV520" s="483"/>
      <c r="CW520" s="483"/>
      <c r="CX520" s="483"/>
      <c r="CY520" s="483"/>
      <c r="CZ520" s="483"/>
      <c r="DA520" s="483"/>
      <c r="DB520" s="483"/>
      <c r="DC520" s="483"/>
      <c r="DD520" s="483"/>
      <c r="DE520" s="483"/>
      <c r="DF520" s="483"/>
      <c r="DG520" s="483"/>
      <c r="DH520" s="483"/>
      <c r="DI520" s="483"/>
      <c r="DJ520" s="485"/>
      <c r="DK520" s="485"/>
      <c r="DL520" s="485"/>
      <c r="DM520" s="485"/>
      <c r="DN520" s="485"/>
      <c r="DO520" s="485"/>
      <c r="DP520" s="485"/>
      <c r="DQ520" s="485"/>
      <c r="DR520" s="485"/>
      <c r="DS520" s="485"/>
      <c r="DT520" s="485"/>
      <c r="DU520" s="485"/>
      <c r="DV520" s="485"/>
      <c r="DW520" s="485"/>
      <c r="DX520" s="483"/>
      <c r="DY520" s="483"/>
      <c r="DZ520" s="483"/>
      <c r="EA520" s="483"/>
      <c r="EB520" s="483"/>
      <c r="EC520" s="483"/>
      <c r="ED520" s="483"/>
      <c r="EE520" s="483"/>
      <c r="EF520" s="483"/>
      <c r="EG520" s="483"/>
      <c r="EH520" s="483"/>
      <c r="EI520" s="483"/>
      <c r="EJ520" s="483"/>
      <c r="EK520" s="483"/>
      <c r="EL520" s="483"/>
      <c r="EM520" s="483"/>
      <c r="EN520" s="483"/>
      <c r="EO520" s="483"/>
      <c r="EP520" s="483"/>
      <c r="EQ520" s="483"/>
      <c r="ER520" s="483"/>
      <c r="ES520" s="483"/>
      <c r="ET520" s="483"/>
      <c r="EU520" s="483"/>
      <c r="EV520" s="483"/>
      <c r="EW520" s="483"/>
      <c r="FH520" s="465"/>
      <c r="FI520" s="465"/>
      <c r="FJ520" s="465"/>
      <c r="FK520" s="465"/>
      <c r="FL520" s="465"/>
      <c r="FM520" s="465"/>
      <c r="FN520" s="465"/>
      <c r="FO520" s="465"/>
      <c r="FP520" s="465"/>
      <c r="FQ520" s="465">
        <f>BR520+BS520+BT520+BU520</f>
        <v>529</v>
      </c>
      <c r="FR520" s="465">
        <f>BV520+BW520+BX520+BY520</f>
        <v>556</v>
      </c>
      <c r="FS520" s="465">
        <f>BZ520+CA520+CB520+CC520</f>
        <v>-231</v>
      </c>
      <c r="FT520" s="465">
        <f>CD520+CE520+CF520+CG520</f>
        <v>-22</v>
      </c>
      <c r="FU520" s="465"/>
      <c r="FV520" s="465"/>
      <c r="FW520" s="465"/>
      <c r="FX520" s="515"/>
      <c r="FY520" s="515"/>
      <c r="FZ520" s="515"/>
      <c r="GA520" s="515"/>
      <c r="GB520" s="515"/>
      <c r="GC520" s="515"/>
      <c r="GD520" s="515"/>
      <c r="GE520" s="515"/>
      <c r="GF520" s="515"/>
      <c r="GG520" s="515"/>
      <c r="GH520" s="515"/>
      <c r="GI520" s="515"/>
      <c r="GJ520" s="515"/>
      <c r="GK520" s="515"/>
      <c r="GN520" s="70"/>
    </row>
    <row r="521" spans="1:196" s="418" customFormat="1" hidden="1" outlineLevel="1">
      <c r="A521" s="516" t="s">
        <v>198</v>
      </c>
      <c r="BS521" s="449">
        <f t="shared" ref="BS521:CI521" si="892">BS520/BR520-1</f>
        <v>-0.12328767123287676</v>
      </c>
      <c r="BT521" s="449">
        <f t="shared" si="892"/>
        <v>0.28125</v>
      </c>
      <c r="BU521" s="449">
        <f t="shared" si="892"/>
        <v>-0.44512195121951215</v>
      </c>
      <c r="BV521" s="449">
        <f t="shared" si="892"/>
        <v>9.8901098901098994E-2</v>
      </c>
      <c r="BW521" s="449">
        <f t="shared" si="892"/>
        <v>0.41999999999999993</v>
      </c>
      <c r="BX521" s="449">
        <f t="shared" si="892"/>
        <v>4.9295774647887258E-2</v>
      </c>
      <c r="BY521" s="449">
        <f t="shared" si="892"/>
        <v>0.10738255033557054</v>
      </c>
      <c r="BZ521" s="449">
        <f t="shared" si="892"/>
        <v>-0.24848484848484853</v>
      </c>
      <c r="CA521" s="449">
        <f t="shared" si="892"/>
        <v>-0.33870967741935487</v>
      </c>
      <c r="CB521" s="449">
        <f t="shared" si="892"/>
        <v>-2.3902439024390243</v>
      </c>
      <c r="CC521" s="449">
        <f t="shared" si="892"/>
        <v>1.8333333333333335</v>
      </c>
      <c r="CD521" s="449">
        <f t="shared" si="892"/>
        <v>-0.87925696594427238</v>
      </c>
      <c r="CE521" s="449">
        <f t="shared" si="892"/>
        <v>-1.0512820512820513</v>
      </c>
      <c r="CF521" s="449">
        <f t="shared" si="892"/>
        <v>10</v>
      </c>
      <c r="CG521" s="449">
        <f t="shared" si="892"/>
        <v>-1.3181818181818181</v>
      </c>
      <c r="CH521" s="449">
        <f t="shared" si="892"/>
        <v>-0.5714285714285714</v>
      </c>
      <c r="CI521" s="449">
        <f t="shared" si="892"/>
        <v>-4</v>
      </c>
      <c r="CT521" s="483"/>
      <c r="CU521" s="483"/>
      <c r="CV521" s="483"/>
      <c r="CW521" s="483"/>
      <c r="CX521" s="483"/>
      <c r="CY521" s="483"/>
      <c r="CZ521" s="483"/>
      <c r="DA521" s="483"/>
      <c r="DB521" s="483"/>
      <c r="DC521" s="483"/>
      <c r="DD521" s="483"/>
      <c r="DE521" s="483"/>
      <c r="DF521" s="483"/>
      <c r="DG521" s="483"/>
      <c r="DH521" s="483"/>
      <c r="DI521" s="483"/>
      <c r="DJ521" s="485"/>
      <c r="DK521" s="485"/>
      <c r="DL521" s="485"/>
      <c r="DM521" s="485"/>
      <c r="DN521" s="485"/>
      <c r="DO521" s="485"/>
      <c r="DP521" s="485"/>
      <c r="DQ521" s="485"/>
      <c r="DR521" s="485"/>
      <c r="DS521" s="485"/>
      <c r="DT521" s="485"/>
      <c r="DU521" s="485"/>
      <c r="DV521" s="485"/>
      <c r="DW521" s="485"/>
      <c r="DX521" s="483"/>
      <c r="DY521" s="483"/>
      <c r="DZ521" s="483"/>
      <c r="EA521" s="483"/>
      <c r="EB521" s="483"/>
      <c r="EC521" s="483"/>
      <c r="ED521" s="483"/>
      <c r="EE521" s="483"/>
      <c r="EF521" s="483"/>
      <c r="EG521" s="483"/>
      <c r="EH521" s="483"/>
      <c r="EI521" s="483"/>
      <c r="EJ521" s="483"/>
      <c r="EK521" s="483"/>
      <c r="EL521" s="483"/>
      <c r="EM521" s="483"/>
      <c r="EN521" s="483"/>
      <c r="EO521" s="483"/>
      <c r="EP521" s="483"/>
      <c r="EQ521" s="483"/>
      <c r="ER521" s="483"/>
      <c r="ES521" s="483"/>
      <c r="ET521" s="483"/>
      <c r="EU521" s="483"/>
      <c r="EV521" s="483"/>
      <c r="EW521" s="483"/>
      <c r="GN521" s="70"/>
    </row>
    <row r="522" spans="1:196" s="418" customFormat="1" hidden="1" outlineLevel="1">
      <c r="A522" s="516" t="s">
        <v>200</v>
      </c>
      <c r="BV522" s="449">
        <f t="shared" ref="BV522:CI522" si="893">BV520/BR520-1</f>
        <v>-0.31506849315068497</v>
      </c>
      <c r="BW522" s="449">
        <f t="shared" si="893"/>
        <v>0.109375</v>
      </c>
      <c r="BX522" s="449">
        <f t="shared" si="893"/>
        <v>-9.1463414634146312E-2</v>
      </c>
      <c r="BY522" s="449">
        <f t="shared" si="893"/>
        <v>0.81318681318681318</v>
      </c>
      <c r="BZ522" s="449">
        <f t="shared" si="893"/>
        <v>0.24</v>
      </c>
      <c r="CA522" s="449">
        <f t="shared" si="893"/>
        <v>-0.42253521126760563</v>
      </c>
      <c r="CB522" s="449">
        <f t="shared" si="893"/>
        <v>-1.7651006711409396</v>
      </c>
      <c r="CC522" s="449">
        <f t="shared" si="893"/>
        <v>-2.9575757575757575</v>
      </c>
      <c r="CD522" s="449">
        <f t="shared" si="893"/>
        <v>-1.314516129032258</v>
      </c>
      <c r="CE522" s="449">
        <f t="shared" si="893"/>
        <v>-0.97560975609756095</v>
      </c>
      <c r="CF522" s="449">
        <f t="shared" si="893"/>
        <v>-1.1929824561403508</v>
      </c>
      <c r="CG522" s="449">
        <f t="shared" si="893"/>
        <v>-0.97832817337461297</v>
      </c>
      <c r="CH522" s="449">
        <f t="shared" si="893"/>
        <v>-0.92307692307692313</v>
      </c>
      <c r="CI522" s="449">
        <f t="shared" si="893"/>
        <v>3.5</v>
      </c>
      <c r="CT522" s="483"/>
      <c r="CU522" s="483"/>
      <c r="CV522" s="483"/>
      <c r="CW522" s="483"/>
      <c r="CX522" s="483"/>
      <c r="CY522" s="483"/>
      <c r="CZ522" s="483"/>
      <c r="DA522" s="483"/>
      <c r="DB522" s="483"/>
      <c r="DC522" s="483"/>
      <c r="DD522" s="483"/>
      <c r="DE522" s="483"/>
      <c r="DF522" s="483"/>
      <c r="DG522" s="483"/>
      <c r="DH522" s="483"/>
      <c r="DI522" s="483"/>
      <c r="DJ522" s="485"/>
      <c r="DK522" s="485"/>
      <c r="DL522" s="485"/>
      <c r="DM522" s="485"/>
      <c r="DN522" s="485"/>
      <c r="DO522" s="485"/>
      <c r="DP522" s="485"/>
      <c r="DQ522" s="485"/>
      <c r="DR522" s="485"/>
      <c r="DS522" s="485"/>
      <c r="DT522" s="485"/>
      <c r="DU522" s="485"/>
      <c r="DV522" s="485"/>
      <c r="DW522" s="485"/>
      <c r="DX522" s="483"/>
      <c r="DY522" s="483"/>
      <c r="DZ522" s="483"/>
      <c r="EA522" s="483"/>
      <c r="EB522" s="483"/>
      <c r="EC522" s="483"/>
      <c r="ED522" s="483"/>
      <c r="EE522" s="483"/>
      <c r="EF522" s="483"/>
      <c r="EG522" s="483"/>
      <c r="EH522" s="483"/>
      <c r="EI522" s="483"/>
      <c r="EJ522" s="483"/>
      <c r="EK522" s="483"/>
      <c r="EL522" s="483"/>
      <c r="EM522" s="483"/>
      <c r="EN522" s="483"/>
      <c r="EO522" s="483"/>
      <c r="EP522" s="483"/>
      <c r="EQ522" s="483"/>
      <c r="ER522" s="483"/>
      <c r="ES522" s="483"/>
      <c r="ET522" s="483"/>
      <c r="EU522" s="483"/>
      <c r="EV522" s="483"/>
      <c r="EW522" s="483"/>
      <c r="FR522" s="449">
        <f>FR520/FQ520-1</f>
        <v>5.1039697542533125E-2</v>
      </c>
      <c r="FS522" s="449">
        <f>FS520/FR520-1</f>
        <v>-1.4154676258992807</v>
      </c>
      <c r="FT522" s="449">
        <f>FT520/FS520-1</f>
        <v>-0.90476190476190477</v>
      </c>
      <c r="GN522" s="70"/>
    </row>
    <row r="523" spans="1:196" s="418" customFormat="1" hidden="1" outlineLevel="1">
      <c r="A523" s="516" t="s">
        <v>315</v>
      </c>
      <c r="BR523" s="449">
        <f>BR520/BR517</f>
        <v>0.12586206896551724</v>
      </c>
      <c r="BS523" s="449">
        <f t="shared" ref="BS523:CI523" si="894">BS520/BS517</f>
        <v>0.10561056105610561</v>
      </c>
      <c r="BT523" s="449">
        <f t="shared" si="894"/>
        <v>0.13376835236541598</v>
      </c>
      <c r="BU523" s="449">
        <f t="shared" si="894"/>
        <v>7.4651353568498766E-2</v>
      </c>
      <c r="BV523" s="449">
        <f t="shared" si="894"/>
        <v>8.3333333333333329E-2</v>
      </c>
      <c r="BW523" s="449">
        <f t="shared" si="894"/>
        <v>0.11764705882352941</v>
      </c>
      <c r="BX523" s="449">
        <f t="shared" si="894"/>
        <v>0.11586314152410575</v>
      </c>
      <c r="BY523" s="449">
        <f t="shared" si="894"/>
        <v>0.12605042016806722</v>
      </c>
      <c r="BZ523" s="449">
        <f t="shared" si="894"/>
        <v>0.10307564422277639</v>
      </c>
      <c r="CA523" s="449">
        <f t="shared" si="894"/>
        <v>7.8393881453154873E-2</v>
      </c>
      <c r="CB523" s="449">
        <f t="shared" si="894"/>
        <v>-0.12297734627831715</v>
      </c>
      <c r="CC523" s="449">
        <f t="shared" si="894"/>
        <v>-0.3896260554885404</v>
      </c>
      <c r="CD523" s="449">
        <f t="shared" si="894"/>
        <v>-5.1930758988015982E-2</v>
      </c>
      <c r="CE523" s="449">
        <f t="shared" si="894"/>
        <v>2.3781212841854932E-3</v>
      </c>
      <c r="CF523" s="449">
        <f t="shared" si="894"/>
        <v>2.7848101265822784E-2</v>
      </c>
      <c r="CG523" s="449">
        <f t="shared" si="894"/>
        <v>-9.6952908587257611E-3</v>
      </c>
      <c r="CH523" s="449">
        <f t="shared" si="894"/>
        <v>-4.5248868778280547E-3</v>
      </c>
      <c r="CI523" s="449">
        <f t="shared" si="894"/>
        <v>1.3452914798206279E-2</v>
      </c>
      <c r="CT523" s="483"/>
      <c r="CU523" s="483"/>
      <c r="CV523" s="483"/>
      <c r="CW523" s="483"/>
      <c r="CX523" s="483"/>
      <c r="CY523" s="483"/>
      <c r="CZ523" s="483"/>
      <c r="DA523" s="483"/>
      <c r="DB523" s="483"/>
      <c r="DC523" s="483"/>
      <c r="DD523" s="483"/>
      <c r="DE523" s="483"/>
      <c r="DF523" s="483"/>
      <c r="DG523" s="483"/>
      <c r="DH523" s="483"/>
      <c r="DI523" s="483"/>
      <c r="DJ523" s="485"/>
      <c r="DK523" s="485"/>
      <c r="DL523" s="485"/>
      <c r="DM523" s="485"/>
      <c r="DN523" s="485"/>
      <c r="DO523" s="485"/>
      <c r="DP523" s="485"/>
      <c r="DQ523" s="485"/>
      <c r="DR523" s="485"/>
      <c r="DS523" s="485"/>
      <c r="DT523" s="485"/>
      <c r="DU523" s="485"/>
      <c r="DV523" s="485"/>
      <c r="DW523" s="485"/>
      <c r="DX523" s="483"/>
      <c r="DY523" s="483"/>
      <c r="DZ523" s="483"/>
      <c r="EA523" s="483"/>
      <c r="EB523" s="483"/>
      <c r="EC523" s="483"/>
      <c r="ED523" s="483"/>
      <c r="EE523" s="483"/>
      <c r="EF523" s="483"/>
      <c r="EG523" s="483"/>
      <c r="EH523" s="483"/>
      <c r="EI523" s="483"/>
      <c r="EJ523" s="483"/>
      <c r="EK523" s="483"/>
      <c r="EL523" s="483"/>
      <c r="EM523" s="483"/>
      <c r="EN523" s="483"/>
      <c r="EO523" s="483"/>
      <c r="EP523" s="483"/>
      <c r="EQ523" s="483"/>
      <c r="ER523" s="483"/>
      <c r="ES523" s="483"/>
      <c r="ET523" s="483"/>
      <c r="EU523" s="483"/>
      <c r="EV523" s="483"/>
      <c r="EW523" s="483"/>
      <c r="FQ523" s="449">
        <f>FQ520/FQ517</f>
        <v>0.10981938966161511</v>
      </c>
      <c r="FR523" s="449">
        <f>FR520/FR517</f>
        <v>0.11115553778488604</v>
      </c>
      <c r="FS523" s="449">
        <f>FS520/FS517</f>
        <v>-5.7677902621722843E-2</v>
      </c>
      <c r="FT523" s="449">
        <f>FT520/FT517</f>
        <v>-7.0876288659793814E-3</v>
      </c>
      <c r="GN523" s="70"/>
    </row>
    <row r="524" spans="1:196" s="418" customFormat="1" hidden="1" outlineLevel="1">
      <c r="A524" s="510" t="s">
        <v>339</v>
      </c>
      <c r="B524" s="511"/>
      <c r="C524" s="511"/>
      <c r="D524" s="511"/>
      <c r="E524" s="511"/>
      <c r="F524" s="511"/>
      <c r="G524" s="511"/>
      <c r="H524" s="511"/>
      <c r="I524" s="511"/>
      <c r="J524" s="511"/>
      <c r="K524" s="511"/>
      <c r="L524" s="511"/>
      <c r="M524" s="511"/>
      <c r="N524" s="511"/>
      <c r="O524" s="511"/>
      <c r="P524" s="511"/>
      <c r="Q524" s="511"/>
      <c r="R524" s="511"/>
      <c r="S524" s="511"/>
      <c r="T524" s="511"/>
      <c r="U524" s="511"/>
      <c r="V524" s="511"/>
      <c r="W524" s="511"/>
      <c r="X524" s="511"/>
      <c r="Y524" s="511"/>
      <c r="Z524" s="511"/>
      <c r="AA524" s="511"/>
      <c r="AB524" s="511"/>
      <c r="AC524" s="511"/>
      <c r="AD524" s="511"/>
      <c r="AE524" s="511"/>
      <c r="AF524" s="511"/>
      <c r="AG524" s="511"/>
      <c r="AH524" s="511"/>
      <c r="AI524" s="511"/>
      <c r="AJ524" s="511"/>
      <c r="AK524" s="511"/>
      <c r="AL524" s="511"/>
      <c r="AM524" s="511"/>
      <c r="AN524" s="511"/>
      <c r="AO524" s="511"/>
      <c r="AP524" s="511"/>
      <c r="AQ524" s="511"/>
      <c r="AR524" s="511"/>
      <c r="AS524" s="511"/>
      <c r="AT524" s="511"/>
      <c r="AU524" s="511"/>
      <c r="AV524" s="511"/>
      <c r="AW524" s="511"/>
      <c r="AX524" s="511"/>
      <c r="AY524" s="511"/>
      <c r="AZ524" s="511"/>
      <c r="BA524" s="511"/>
      <c r="BB524" s="511"/>
      <c r="BC524" s="511"/>
      <c r="BD524" s="511"/>
      <c r="BE524" s="511"/>
      <c r="BF524" s="511"/>
      <c r="BG524" s="511"/>
      <c r="BH524" s="511"/>
      <c r="BI524" s="511"/>
      <c r="BJ524" s="511"/>
      <c r="BK524" s="511"/>
      <c r="BL524" s="511"/>
      <c r="BM524" s="511"/>
      <c r="BN524" s="511"/>
      <c r="BO524" s="511"/>
      <c r="BP524" s="511"/>
      <c r="BQ524" s="511"/>
      <c r="BR524" s="511"/>
      <c r="BS524" s="511"/>
      <c r="BT524" s="511"/>
      <c r="BU524" s="511"/>
      <c r="BV524" s="511"/>
      <c r="BW524" s="511"/>
      <c r="BX524" s="511"/>
      <c r="BY524" s="511"/>
      <c r="BZ524" s="511"/>
      <c r="CA524" s="511"/>
      <c r="CB524" s="511"/>
      <c r="CC524" s="511"/>
      <c r="CD524" s="511"/>
      <c r="CE524" s="511"/>
      <c r="CF524" s="511"/>
      <c r="CG524" s="511"/>
      <c r="CH524" s="511"/>
      <c r="CI524" s="511"/>
      <c r="CJ524" s="511"/>
      <c r="CK524" s="511"/>
      <c r="CL524" s="511"/>
      <c r="CM524" s="511"/>
      <c r="CN524" s="511"/>
      <c r="CO524" s="511"/>
      <c r="CP524" s="511"/>
      <c r="CQ524" s="511"/>
      <c r="CR524" s="511"/>
      <c r="CS524" s="511"/>
      <c r="CT524" s="512"/>
      <c r="CU524" s="512"/>
      <c r="CV524" s="512"/>
      <c r="CW524" s="512"/>
      <c r="CX524" s="512"/>
      <c r="CY524" s="512"/>
      <c r="CZ524" s="512"/>
      <c r="DA524" s="512"/>
      <c r="DB524" s="512"/>
      <c r="DC524" s="512"/>
      <c r="DD524" s="512"/>
      <c r="DE524" s="512"/>
      <c r="DF524" s="512"/>
      <c r="DG524" s="512"/>
      <c r="DH524" s="512"/>
      <c r="DI524" s="512"/>
      <c r="DJ524" s="513"/>
      <c r="DK524" s="513"/>
      <c r="DL524" s="513"/>
      <c r="DM524" s="513"/>
      <c r="DN524" s="513"/>
      <c r="DO524" s="513"/>
      <c r="DP524" s="513"/>
      <c r="DQ524" s="513"/>
      <c r="DR524" s="513"/>
      <c r="DS524" s="513"/>
      <c r="DT524" s="513"/>
      <c r="DU524" s="513"/>
      <c r="DV524" s="513"/>
      <c r="DW524" s="513"/>
      <c r="DX524" s="512"/>
      <c r="DY524" s="512"/>
      <c r="DZ524" s="512"/>
      <c r="EA524" s="512"/>
      <c r="EB524" s="512"/>
      <c r="EC524" s="512"/>
      <c r="ED524" s="512"/>
      <c r="EE524" s="512"/>
      <c r="EF524" s="512"/>
      <c r="EG524" s="512"/>
      <c r="EH524" s="512"/>
      <c r="EI524" s="512"/>
      <c r="EJ524" s="512"/>
      <c r="EK524" s="512"/>
      <c r="EL524" s="512"/>
      <c r="EM524" s="512"/>
      <c r="EN524" s="512"/>
      <c r="EO524" s="512"/>
      <c r="EP524" s="512"/>
      <c r="EQ524" s="512"/>
      <c r="ER524" s="512"/>
      <c r="ES524" s="512"/>
      <c r="ET524" s="512"/>
      <c r="EU524" s="512"/>
      <c r="EV524" s="512"/>
      <c r="EW524" s="512"/>
      <c r="EZ524" s="465"/>
      <c r="FA524" s="465"/>
      <c r="FB524" s="465"/>
      <c r="FC524" s="465"/>
      <c r="FD524" s="465"/>
      <c r="FE524" s="465"/>
      <c r="FF524" s="465"/>
      <c r="FG524" s="465"/>
      <c r="FH524" s="465"/>
      <c r="FI524" s="465"/>
      <c r="FJ524" s="465"/>
      <c r="FK524" s="465"/>
      <c r="FL524" s="465"/>
      <c r="FM524" s="465"/>
      <c r="FN524" s="465"/>
      <c r="FO524" s="465"/>
      <c r="FP524" s="465"/>
      <c r="FQ524" s="465"/>
      <c r="FR524" s="465"/>
      <c r="FS524" s="465"/>
      <c r="FT524" s="465"/>
      <c r="FU524" s="465"/>
      <c r="FV524" s="465"/>
      <c r="FW524" s="465"/>
      <c r="FX524" s="512"/>
      <c r="FY524" s="512"/>
      <c r="FZ524" s="512"/>
      <c r="GA524" s="512"/>
      <c r="GB524" s="512"/>
      <c r="GC524" s="512"/>
      <c r="GD524" s="512"/>
      <c r="GE524" s="512"/>
      <c r="GF524" s="512"/>
      <c r="GG524" s="512"/>
      <c r="GH524" s="512"/>
      <c r="GI524" s="512"/>
      <c r="GJ524" s="512"/>
      <c r="GK524" s="512"/>
      <c r="GN524" s="70"/>
    </row>
    <row r="525" spans="1:196" s="418" customFormat="1" hidden="1" outlineLevel="1">
      <c r="A525" s="505" t="s">
        <v>197</v>
      </c>
      <c r="B525" s="514"/>
      <c r="C525" s="514"/>
      <c r="D525" s="514"/>
      <c r="E525" s="514"/>
      <c r="F525" s="514"/>
      <c r="G525" s="514"/>
      <c r="H525" s="514"/>
      <c r="I525" s="514"/>
      <c r="J525" s="514"/>
      <c r="K525" s="514"/>
      <c r="L525" s="514"/>
      <c r="M525" s="514"/>
      <c r="N525" s="514"/>
      <c r="O525" s="514"/>
      <c r="P525" s="514"/>
      <c r="Q525" s="514"/>
      <c r="R525" s="514"/>
      <c r="S525" s="514"/>
      <c r="T525" s="514"/>
      <c r="U525" s="514"/>
      <c r="V525" s="514"/>
      <c r="W525" s="514"/>
      <c r="X525" s="514"/>
      <c r="Y525" s="514"/>
      <c r="Z525" s="514"/>
      <c r="AA525" s="514"/>
      <c r="AB525" s="514"/>
      <c r="AC525" s="514"/>
      <c r="AD525" s="514"/>
      <c r="AE525" s="514"/>
      <c r="AF525" s="514"/>
      <c r="AG525" s="514"/>
      <c r="AH525" s="514"/>
      <c r="AI525" s="514"/>
      <c r="AJ525" s="514"/>
      <c r="AK525" s="514"/>
      <c r="AL525" s="514"/>
      <c r="AM525" s="514"/>
      <c r="AN525" s="514"/>
      <c r="AO525" s="514"/>
      <c r="AP525" s="514"/>
      <c r="AQ525" s="514"/>
      <c r="AR525" s="514"/>
      <c r="AS525" s="514"/>
      <c r="AT525" s="514"/>
      <c r="AU525" s="514"/>
      <c r="AV525" s="514"/>
      <c r="AW525" s="514"/>
      <c r="AX525" s="514"/>
      <c r="AY525" s="514"/>
      <c r="AZ525" s="514"/>
      <c r="BA525" s="514"/>
      <c r="BB525" s="514"/>
      <c r="BC525" s="514"/>
      <c r="BD525" s="514"/>
      <c r="BE525" s="514"/>
      <c r="BF525" s="514"/>
      <c r="BG525" s="514"/>
      <c r="BH525" s="514"/>
      <c r="BI525" s="514"/>
      <c r="BJ525" s="514"/>
      <c r="BK525" s="514"/>
      <c r="BL525" s="514"/>
      <c r="BM525" s="514"/>
      <c r="BN525" s="514"/>
      <c r="BO525" s="514"/>
      <c r="BP525" s="514"/>
      <c r="BQ525" s="514"/>
      <c r="BR525" s="514">
        <v>409</v>
      </c>
      <c r="BS525" s="514">
        <v>440</v>
      </c>
      <c r="BT525" s="514">
        <v>390</v>
      </c>
      <c r="BU525" s="514">
        <v>424</v>
      </c>
      <c r="BV525" s="514">
        <v>413</v>
      </c>
      <c r="BW525" s="514">
        <v>367</v>
      </c>
      <c r="BX525" s="514">
        <v>403</v>
      </c>
      <c r="BY525" s="514">
        <v>382</v>
      </c>
      <c r="BZ525" s="514">
        <v>382</v>
      </c>
      <c r="CA525" s="514">
        <v>367</v>
      </c>
      <c r="CB525" s="514">
        <v>342</v>
      </c>
      <c r="CC525" s="514">
        <v>326</v>
      </c>
      <c r="CD525" s="514">
        <v>337</v>
      </c>
      <c r="CE525" s="514">
        <v>320</v>
      </c>
      <c r="CF525" s="514">
        <v>671</v>
      </c>
      <c r="CG525" s="514">
        <v>865</v>
      </c>
      <c r="CH525" s="514">
        <v>734</v>
      </c>
      <c r="CI525" s="514">
        <v>772</v>
      </c>
      <c r="CT525" s="483"/>
      <c r="CU525" s="483"/>
      <c r="CV525" s="483"/>
      <c r="CW525" s="483"/>
      <c r="CX525" s="483"/>
      <c r="CY525" s="483"/>
      <c r="CZ525" s="483"/>
      <c r="DA525" s="483"/>
      <c r="DB525" s="483"/>
      <c r="DC525" s="483"/>
      <c r="DD525" s="483"/>
      <c r="DE525" s="483"/>
      <c r="DF525" s="483"/>
      <c r="DG525" s="483"/>
      <c r="DH525" s="483"/>
      <c r="DI525" s="483"/>
      <c r="DJ525" s="485"/>
      <c r="DK525" s="485"/>
      <c r="DL525" s="485"/>
      <c r="DM525" s="485"/>
      <c r="DN525" s="485"/>
      <c r="DO525" s="485"/>
      <c r="DP525" s="485"/>
      <c r="DQ525" s="485"/>
      <c r="DR525" s="485"/>
      <c r="DS525" s="485"/>
      <c r="DT525" s="485"/>
      <c r="DU525" s="485"/>
      <c r="DV525" s="485"/>
      <c r="DW525" s="485"/>
      <c r="DX525" s="483"/>
      <c r="DY525" s="483"/>
      <c r="DZ525" s="483"/>
      <c r="EA525" s="483"/>
      <c r="EB525" s="483"/>
      <c r="EC525" s="483"/>
      <c r="ED525" s="483"/>
      <c r="EE525" s="483"/>
      <c r="EF525" s="483"/>
      <c r="EG525" s="483"/>
      <c r="EH525" s="483"/>
      <c r="EI525" s="483"/>
      <c r="EJ525" s="483"/>
      <c r="EK525" s="483"/>
      <c r="EL525" s="483"/>
      <c r="EM525" s="483"/>
      <c r="EN525" s="483"/>
      <c r="EO525" s="483"/>
      <c r="EP525" s="483"/>
      <c r="EQ525" s="483"/>
      <c r="ER525" s="483"/>
      <c r="ES525" s="483"/>
      <c r="ET525" s="483"/>
      <c r="EU525" s="483"/>
      <c r="EV525" s="483"/>
      <c r="EW525" s="483"/>
      <c r="FH525" s="465"/>
      <c r="FI525" s="465"/>
      <c r="FJ525" s="465"/>
      <c r="FK525" s="465"/>
      <c r="FL525" s="465"/>
      <c r="FM525" s="465"/>
      <c r="FN525" s="465"/>
      <c r="FO525" s="465"/>
      <c r="FP525" s="465"/>
      <c r="FQ525" s="465">
        <f>BR525+BS525+BT525+BU525</f>
        <v>1663</v>
      </c>
      <c r="FR525" s="465">
        <f>BV525+BW525+BX525+BY525</f>
        <v>1565</v>
      </c>
      <c r="FS525" s="465">
        <f>BZ525+CA525+CB525+CC525</f>
        <v>1417</v>
      </c>
      <c r="FT525" s="465">
        <f>CD525+CE525+CF525+CG525</f>
        <v>2193</v>
      </c>
      <c r="FU525" s="465"/>
      <c r="FV525" s="465"/>
      <c r="FW525" s="465"/>
      <c r="FX525" s="515"/>
      <c r="FY525" s="515"/>
      <c r="FZ525" s="515"/>
      <c r="GA525" s="515"/>
      <c r="GB525" s="515"/>
      <c r="GC525" s="515"/>
      <c r="GD525" s="515"/>
      <c r="GE525" s="515"/>
      <c r="GF525" s="515"/>
      <c r="GG525" s="515"/>
      <c r="GH525" s="515"/>
      <c r="GI525" s="515"/>
      <c r="GJ525" s="515"/>
      <c r="GK525" s="515"/>
      <c r="GN525" s="70"/>
    </row>
    <row r="526" spans="1:196" s="418" customFormat="1" hidden="1" outlineLevel="1">
      <c r="A526" s="516" t="s">
        <v>198</v>
      </c>
      <c r="BS526" s="449">
        <f t="shared" ref="BS526:CI526" si="895">BS525/BR525-1</f>
        <v>7.5794621026894937E-2</v>
      </c>
      <c r="BT526" s="449">
        <f t="shared" si="895"/>
        <v>-0.11363636363636365</v>
      </c>
      <c r="BU526" s="449">
        <f t="shared" si="895"/>
        <v>8.7179487179487092E-2</v>
      </c>
      <c r="BV526" s="449">
        <f t="shared" si="895"/>
        <v>-2.5943396226415061E-2</v>
      </c>
      <c r="BW526" s="449">
        <f t="shared" si="895"/>
        <v>-0.11138014527845042</v>
      </c>
      <c r="BX526" s="449">
        <f t="shared" si="895"/>
        <v>9.8092643051771011E-2</v>
      </c>
      <c r="BY526" s="449">
        <f t="shared" si="895"/>
        <v>-5.2109181141439254E-2</v>
      </c>
      <c r="BZ526" s="449">
        <f t="shared" si="895"/>
        <v>0</v>
      </c>
      <c r="CA526" s="449">
        <f t="shared" si="895"/>
        <v>-3.9267015706806241E-2</v>
      </c>
      <c r="CB526" s="449">
        <f t="shared" si="895"/>
        <v>-6.8119891008174394E-2</v>
      </c>
      <c r="CC526" s="449">
        <f t="shared" si="895"/>
        <v>-4.6783625730994149E-2</v>
      </c>
      <c r="CD526" s="449">
        <f t="shared" si="895"/>
        <v>3.3742331288343586E-2</v>
      </c>
      <c r="CE526" s="449">
        <f t="shared" si="895"/>
        <v>-5.0445103857566731E-2</v>
      </c>
      <c r="CF526" s="449">
        <f t="shared" si="895"/>
        <v>1.0968749999999998</v>
      </c>
      <c r="CG526" s="449">
        <f t="shared" si="895"/>
        <v>0.28912071535022354</v>
      </c>
      <c r="CH526" s="449">
        <f t="shared" si="895"/>
        <v>-0.15144508670520229</v>
      </c>
      <c r="CI526" s="449">
        <f t="shared" si="895"/>
        <v>5.1771117166212521E-2</v>
      </c>
      <c r="CT526" s="483"/>
      <c r="CU526" s="483"/>
      <c r="CV526" s="483"/>
      <c r="CW526" s="483"/>
      <c r="CX526" s="483"/>
      <c r="CY526" s="483"/>
      <c r="CZ526" s="483"/>
      <c r="DA526" s="483"/>
      <c r="DB526" s="483"/>
      <c r="DC526" s="483"/>
      <c r="DD526" s="483"/>
      <c r="DE526" s="483"/>
      <c r="DF526" s="483"/>
      <c r="DG526" s="483"/>
      <c r="DH526" s="483"/>
      <c r="DI526" s="483"/>
      <c r="DJ526" s="485"/>
      <c r="DK526" s="485"/>
      <c r="DL526" s="485"/>
      <c r="DM526" s="485"/>
      <c r="DN526" s="485"/>
      <c r="DO526" s="485"/>
      <c r="DP526" s="485"/>
      <c r="DQ526" s="485"/>
      <c r="DR526" s="485"/>
      <c r="DS526" s="485"/>
      <c r="DT526" s="485"/>
      <c r="DU526" s="485"/>
      <c r="DV526" s="485"/>
      <c r="DW526" s="485"/>
      <c r="DX526" s="483"/>
      <c r="DY526" s="483"/>
      <c r="DZ526" s="483"/>
      <c r="EA526" s="483"/>
      <c r="EB526" s="483"/>
      <c r="EC526" s="483"/>
      <c r="ED526" s="483"/>
      <c r="EE526" s="483"/>
      <c r="EF526" s="483"/>
      <c r="EG526" s="483"/>
      <c r="EH526" s="483"/>
      <c r="EI526" s="483"/>
      <c r="EJ526" s="483"/>
      <c r="EK526" s="483"/>
      <c r="EL526" s="483"/>
      <c r="EM526" s="483"/>
      <c r="EN526" s="483"/>
      <c r="EO526" s="483"/>
      <c r="EP526" s="483"/>
      <c r="EQ526" s="483"/>
      <c r="ER526" s="483"/>
      <c r="ES526" s="483"/>
      <c r="ET526" s="483"/>
      <c r="EU526" s="483"/>
      <c r="EV526" s="483"/>
      <c r="EW526" s="483"/>
      <c r="GN526" s="70"/>
    </row>
    <row r="527" spans="1:196" s="418" customFormat="1" hidden="1" outlineLevel="1">
      <c r="A527" s="516" t="s">
        <v>200</v>
      </c>
      <c r="BV527" s="449">
        <f t="shared" ref="BV527:CI527" si="896">BV525/BR525-1</f>
        <v>9.7799511002445438E-3</v>
      </c>
      <c r="BW527" s="449">
        <f t="shared" si="896"/>
        <v>-0.16590909090909089</v>
      </c>
      <c r="BX527" s="449">
        <f t="shared" si="896"/>
        <v>3.3333333333333437E-2</v>
      </c>
      <c r="BY527" s="449">
        <f t="shared" si="896"/>
        <v>-9.9056603773584939E-2</v>
      </c>
      <c r="BZ527" s="449">
        <f t="shared" si="896"/>
        <v>-7.5060532687651338E-2</v>
      </c>
      <c r="CA527" s="449">
        <f t="shared" si="896"/>
        <v>0</v>
      </c>
      <c r="CB527" s="449">
        <f t="shared" si="896"/>
        <v>-0.15136476426799006</v>
      </c>
      <c r="CC527" s="449">
        <f t="shared" si="896"/>
        <v>-0.1465968586387435</v>
      </c>
      <c r="CD527" s="449">
        <f t="shared" si="896"/>
        <v>-0.11780104712041883</v>
      </c>
      <c r="CE527" s="449">
        <f t="shared" si="896"/>
        <v>-0.12806539509536785</v>
      </c>
      <c r="CF527" s="449">
        <f t="shared" si="896"/>
        <v>0.96198830409356728</v>
      </c>
      <c r="CG527" s="449">
        <f t="shared" si="896"/>
        <v>1.6533742331288344</v>
      </c>
      <c r="CH527" s="449">
        <f t="shared" si="896"/>
        <v>1.1780415430267062</v>
      </c>
      <c r="CI527" s="449">
        <f t="shared" si="896"/>
        <v>1.4125000000000001</v>
      </c>
      <c r="CT527" s="483"/>
      <c r="CU527" s="483"/>
      <c r="CV527" s="483"/>
      <c r="CW527" s="483"/>
      <c r="CX527" s="483"/>
      <c r="CY527" s="483"/>
      <c r="CZ527" s="483"/>
      <c r="DA527" s="483"/>
      <c r="DB527" s="483"/>
      <c r="DC527" s="483"/>
      <c r="DD527" s="483"/>
      <c r="DE527" s="483"/>
      <c r="DF527" s="483"/>
      <c r="DG527" s="483"/>
      <c r="DH527" s="483"/>
      <c r="DI527" s="483"/>
      <c r="DJ527" s="485"/>
      <c r="DK527" s="485"/>
      <c r="DL527" s="485"/>
      <c r="DM527" s="485"/>
      <c r="DN527" s="485"/>
      <c r="DO527" s="485"/>
      <c r="DP527" s="485"/>
      <c r="DQ527" s="485"/>
      <c r="DR527" s="485"/>
      <c r="DS527" s="485"/>
      <c r="DT527" s="485"/>
      <c r="DU527" s="485"/>
      <c r="DV527" s="485"/>
      <c r="DW527" s="485"/>
      <c r="DX527" s="483"/>
      <c r="DY527" s="483"/>
      <c r="DZ527" s="483"/>
      <c r="EA527" s="483"/>
      <c r="EB527" s="483"/>
      <c r="EC527" s="483"/>
      <c r="ED527" s="483"/>
      <c r="EE527" s="483"/>
      <c r="EF527" s="483"/>
      <c r="EG527" s="483"/>
      <c r="EH527" s="483"/>
      <c r="EI527" s="483"/>
      <c r="EJ527" s="483"/>
      <c r="EK527" s="483"/>
      <c r="EL527" s="483"/>
      <c r="EM527" s="483"/>
      <c r="EN527" s="483"/>
      <c r="EO527" s="483"/>
      <c r="EP527" s="483"/>
      <c r="EQ527" s="483"/>
      <c r="ER527" s="483"/>
      <c r="ES527" s="483"/>
      <c r="ET527" s="483"/>
      <c r="EU527" s="483"/>
      <c r="EV527" s="483"/>
      <c r="EW527" s="483"/>
      <c r="FR527" s="449">
        <f>FR525/FQ525-1</f>
        <v>-5.8929645219482851E-2</v>
      </c>
      <c r="FS527" s="449">
        <f>FS525/FR525-1</f>
        <v>-9.4568690095846675E-2</v>
      </c>
      <c r="FT527" s="449">
        <f>FT525/FS525-1</f>
        <v>0.547635850388144</v>
      </c>
      <c r="GN527" s="70"/>
    </row>
    <row r="528" spans="1:196" s="418" customFormat="1" hidden="1" outlineLevel="1">
      <c r="A528" s="505" t="s">
        <v>314</v>
      </c>
      <c r="B528" s="514"/>
      <c r="C528" s="514"/>
      <c r="D528" s="514"/>
      <c r="E528" s="514"/>
      <c r="F528" s="514"/>
      <c r="G528" s="514"/>
      <c r="H528" s="514"/>
      <c r="I528" s="514"/>
      <c r="J528" s="514"/>
      <c r="K528" s="514"/>
      <c r="L528" s="514"/>
      <c r="M528" s="514"/>
      <c r="N528" s="514"/>
      <c r="O528" s="514"/>
      <c r="P528" s="514"/>
      <c r="Q528" s="514"/>
      <c r="R528" s="514"/>
      <c r="S528" s="514"/>
      <c r="T528" s="514"/>
      <c r="U528" s="514"/>
      <c r="V528" s="514"/>
      <c r="W528" s="514"/>
      <c r="X528" s="514"/>
      <c r="Y528" s="514"/>
      <c r="Z528" s="514"/>
      <c r="AA528" s="514"/>
      <c r="AB528" s="514"/>
      <c r="AC528" s="514"/>
      <c r="AD528" s="514"/>
      <c r="AE528" s="514"/>
      <c r="AF528" s="514"/>
      <c r="AG528" s="514"/>
      <c r="AH528" s="514"/>
      <c r="AI528" s="514"/>
      <c r="AJ528" s="514"/>
      <c r="AK528" s="514"/>
      <c r="AL528" s="514"/>
      <c r="AM528" s="514"/>
      <c r="AN528" s="514"/>
      <c r="AO528" s="514"/>
      <c r="AP528" s="514"/>
      <c r="AQ528" s="514"/>
      <c r="AR528" s="514"/>
      <c r="AS528" s="514"/>
      <c r="AT528" s="514"/>
      <c r="AU528" s="514"/>
      <c r="AV528" s="514"/>
      <c r="AW528" s="514"/>
      <c r="AX528" s="514"/>
      <c r="AY528" s="514"/>
      <c r="AZ528" s="514"/>
      <c r="BA528" s="514"/>
      <c r="BB528" s="514"/>
      <c r="BC528" s="514"/>
      <c r="BD528" s="514"/>
      <c r="BE528" s="514"/>
      <c r="BF528" s="514"/>
      <c r="BG528" s="514"/>
      <c r="BH528" s="514"/>
      <c r="BI528" s="514"/>
      <c r="BJ528" s="514"/>
      <c r="BK528" s="514"/>
      <c r="BL528" s="514"/>
      <c r="BM528" s="514"/>
      <c r="BN528" s="514"/>
      <c r="BO528" s="514"/>
      <c r="BP528" s="514"/>
      <c r="BQ528" s="514"/>
      <c r="BR528" s="514">
        <v>47</v>
      </c>
      <c r="BS528" s="514">
        <v>33</v>
      </c>
      <c r="BT528" s="514">
        <v>1</v>
      </c>
      <c r="BU528" s="514">
        <v>68</v>
      </c>
      <c r="BV528" s="514">
        <v>19</v>
      </c>
      <c r="BW528" s="514">
        <v>-7</v>
      </c>
      <c r="BX528" s="514">
        <v>12</v>
      </c>
      <c r="BY528" s="514">
        <v>27</v>
      </c>
      <c r="BZ528" s="514">
        <v>34</v>
      </c>
      <c r="CA528" s="514">
        <v>31</v>
      </c>
      <c r="CB528" s="514">
        <v>18</v>
      </c>
      <c r="CC528" s="514">
        <v>22</v>
      </c>
      <c r="CD528" s="514">
        <v>16</v>
      </c>
      <c r="CE528" s="514">
        <v>0</v>
      </c>
      <c r="CF528" s="514">
        <v>79</v>
      </c>
      <c r="CG528" s="514">
        <v>121</v>
      </c>
      <c r="CH528" s="514">
        <v>91</v>
      </c>
      <c r="CI528" s="514">
        <v>82</v>
      </c>
      <c r="CT528" s="483"/>
      <c r="CU528" s="483"/>
      <c r="CV528" s="483"/>
      <c r="CW528" s="483"/>
      <c r="CX528" s="483"/>
      <c r="CY528" s="483"/>
      <c r="CZ528" s="483"/>
      <c r="DA528" s="483"/>
      <c r="DB528" s="483"/>
      <c r="DC528" s="483"/>
      <c r="DD528" s="483"/>
      <c r="DE528" s="483"/>
      <c r="DF528" s="483"/>
      <c r="DG528" s="483"/>
      <c r="DH528" s="483"/>
      <c r="DI528" s="483"/>
      <c r="DJ528" s="485"/>
      <c r="DK528" s="485"/>
      <c r="DL528" s="485"/>
      <c r="DM528" s="485"/>
      <c r="DN528" s="485"/>
      <c r="DO528" s="485"/>
      <c r="DP528" s="485"/>
      <c r="DQ528" s="485"/>
      <c r="DR528" s="485"/>
      <c r="DS528" s="485"/>
      <c r="DT528" s="485"/>
      <c r="DU528" s="485"/>
      <c r="DV528" s="485"/>
      <c r="DW528" s="485"/>
      <c r="DX528" s="483"/>
      <c r="DY528" s="483"/>
      <c r="DZ528" s="483"/>
      <c r="EA528" s="483"/>
      <c r="EB528" s="483"/>
      <c r="EC528" s="483"/>
      <c r="ED528" s="483"/>
      <c r="EE528" s="483"/>
      <c r="EF528" s="483"/>
      <c r="EG528" s="483"/>
      <c r="EH528" s="483"/>
      <c r="EI528" s="483"/>
      <c r="EJ528" s="483"/>
      <c r="EK528" s="483"/>
      <c r="EL528" s="483"/>
      <c r="EM528" s="483"/>
      <c r="EN528" s="483"/>
      <c r="EO528" s="483"/>
      <c r="EP528" s="483"/>
      <c r="EQ528" s="483"/>
      <c r="ER528" s="483"/>
      <c r="ES528" s="483"/>
      <c r="ET528" s="483"/>
      <c r="EU528" s="483"/>
      <c r="EV528" s="483"/>
      <c r="EW528" s="483"/>
      <c r="FH528" s="465"/>
      <c r="FI528" s="465"/>
      <c r="FJ528" s="465"/>
      <c r="FK528" s="465"/>
      <c r="FL528" s="465"/>
      <c r="FM528" s="465"/>
      <c r="FN528" s="465"/>
      <c r="FO528" s="465"/>
      <c r="FP528" s="465"/>
      <c r="FQ528" s="465">
        <f>BR528+BS528+BT528+BU528</f>
        <v>149</v>
      </c>
      <c r="FR528" s="465">
        <f>BV528+BW528+BX528+BY528</f>
        <v>51</v>
      </c>
      <c r="FS528" s="465">
        <f>BZ528+CA528+CB528+CC528</f>
        <v>105</v>
      </c>
      <c r="FT528" s="465">
        <f>CD528+CE528+CF528+CG528</f>
        <v>216</v>
      </c>
      <c r="FU528" s="465"/>
      <c r="FV528" s="465"/>
      <c r="FW528" s="465"/>
      <c r="FX528" s="515"/>
      <c r="FY528" s="515"/>
      <c r="FZ528" s="515"/>
      <c r="GA528" s="515"/>
      <c r="GB528" s="515"/>
      <c r="GC528" s="515"/>
      <c r="GD528" s="515"/>
      <c r="GE528" s="515"/>
      <c r="GF528" s="515"/>
      <c r="GG528" s="515"/>
      <c r="GH528" s="515"/>
      <c r="GI528" s="515"/>
      <c r="GJ528" s="515"/>
      <c r="GK528" s="515"/>
      <c r="GN528" s="70"/>
    </row>
    <row r="529" spans="1:196" s="418" customFormat="1" hidden="1" outlineLevel="1">
      <c r="A529" s="516" t="s">
        <v>198</v>
      </c>
      <c r="BS529" s="449">
        <f t="shared" ref="BS529:CI529" si="897">BS528/BR528-1</f>
        <v>-0.2978723404255319</v>
      </c>
      <c r="BT529" s="449">
        <f t="shared" si="897"/>
        <v>-0.96969696969696972</v>
      </c>
      <c r="BU529" s="449">
        <f t="shared" si="897"/>
        <v>67</v>
      </c>
      <c r="BV529" s="449">
        <f t="shared" si="897"/>
        <v>-0.72058823529411764</v>
      </c>
      <c r="BW529" s="449">
        <f t="shared" si="897"/>
        <v>-1.368421052631579</v>
      </c>
      <c r="BX529" s="449">
        <f t="shared" si="897"/>
        <v>-2.7142857142857144</v>
      </c>
      <c r="BY529" s="449">
        <f t="shared" si="897"/>
        <v>1.25</v>
      </c>
      <c r="BZ529" s="449">
        <f t="shared" si="897"/>
        <v>0.2592592592592593</v>
      </c>
      <c r="CA529" s="449">
        <f t="shared" si="897"/>
        <v>-8.8235294117647078E-2</v>
      </c>
      <c r="CB529" s="449">
        <f t="shared" si="897"/>
        <v>-0.41935483870967738</v>
      </c>
      <c r="CC529" s="449">
        <f t="shared" si="897"/>
        <v>0.22222222222222232</v>
      </c>
      <c r="CD529" s="449">
        <f t="shared" si="897"/>
        <v>-0.27272727272727271</v>
      </c>
      <c r="CE529" s="449">
        <f t="shared" si="897"/>
        <v>-1</v>
      </c>
      <c r="CF529" s="449" t="e">
        <f t="shared" si="897"/>
        <v>#DIV/0!</v>
      </c>
      <c r="CG529" s="449">
        <f t="shared" si="897"/>
        <v>0.53164556962025311</v>
      </c>
      <c r="CH529" s="449">
        <f t="shared" si="897"/>
        <v>-0.24793388429752061</v>
      </c>
      <c r="CI529" s="449">
        <f t="shared" si="897"/>
        <v>-9.8901098901098883E-2</v>
      </c>
      <c r="CT529" s="483"/>
      <c r="CU529" s="483"/>
      <c r="CV529" s="483"/>
      <c r="CW529" s="483"/>
      <c r="CX529" s="483"/>
      <c r="CY529" s="483"/>
      <c r="CZ529" s="483"/>
      <c r="DA529" s="483"/>
      <c r="DB529" s="483"/>
      <c r="DC529" s="483"/>
      <c r="DD529" s="483"/>
      <c r="DE529" s="483"/>
      <c r="DF529" s="483"/>
      <c r="DG529" s="483"/>
      <c r="DH529" s="483"/>
      <c r="DI529" s="483"/>
      <c r="DJ529" s="485"/>
      <c r="DK529" s="485"/>
      <c r="DL529" s="485"/>
      <c r="DM529" s="485"/>
      <c r="DN529" s="485"/>
      <c r="DO529" s="485"/>
      <c r="DP529" s="485"/>
      <c r="DQ529" s="485"/>
      <c r="DR529" s="485"/>
      <c r="DS529" s="485"/>
      <c r="DT529" s="485"/>
      <c r="DU529" s="485"/>
      <c r="DV529" s="485"/>
      <c r="DW529" s="485"/>
      <c r="DX529" s="483"/>
      <c r="DY529" s="483"/>
      <c r="DZ529" s="483"/>
      <c r="EA529" s="483"/>
      <c r="EB529" s="483"/>
      <c r="EC529" s="483"/>
      <c r="ED529" s="483"/>
      <c r="EE529" s="483"/>
      <c r="EF529" s="483"/>
      <c r="EG529" s="483"/>
      <c r="EH529" s="483"/>
      <c r="EI529" s="483"/>
      <c r="EJ529" s="483"/>
      <c r="EK529" s="483"/>
      <c r="EL529" s="483"/>
      <c r="EM529" s="483"/>
      <c r="EN529" s="483"/>
      <c r="EO529" s="483"/>
      <c r="EP529" s="483"/>
      <c r="EQ529" s="483"/>
      <c r="ER529" s="483"/>
      <c r="ES529" s="483"/>
      <c r="ET529" s="483"/>
      <c r="EU529" s="483"/>
      <c r="EV529" s="483"/>
      <c r="EW529" s="483"/>
      <c r="GN529" s="70"/>
    </row>
    <row r="530" spans="1:196" s="418" customFormat="1" hidden="1" outlineLevel="1">
      <c r="A530" s="516" t="s">
        <v>200</v>
      </c>
      <c r="BV530" s="449">
        <f t="shared" ref="BV530:CI530" si="898">BV528/BR528-1</f>
        <v>-0.5957446808510638</v>
      </c>
      <c r="BW530" s="449">
        <f t="shared" si="898"/>
        <v>-1.2121212121212122</v>
      </c>
      <c r="BX530" s="449">
        <f t="shared" si="898"/>
        <v>11</v>
      </c>
      <c r="BY530" s="449">
        <f t="shared" si="898"/>
        <v>-0.60294117647058831</v>
      </c>
      <c r="BZ530" s="449">
        <f t="shared" si="898"/>
        <v>0.78947368421052633</v>
      </c>
      <c r="CA530" s="449">
        <f t="shared" si="898"/>
        <v>-5.4285714285714288</v>
      </c>
      <c r="CB530" s="449">
        <f t="shared" si="898"/>
        <v>0.5</v>
      </c>
      <c r="CC530" s="449">
        <f t="shared" si="898"/>
        <v>-0.18518518518518523</v>
      </c>
      <c r="CD530" s="449">
        <f t="shared" si="898"/>
        <v>-0.52941176470588236</v>
      </c>
      <c r="CE530" s="449">
        <f t="shared" si="898"/>
        <v>-1</v>
      </c>
      <c r="CF530" s="449">
        <f t="shared" si="898"/>
        <v>3.3888888888888893</v>
      </c>
      <c r="CG530" s="449">
        <f t="shared" si="898"/>
        <v>4.5</v>
      </c>
      <c r="CH530" s="449">
        <f t="shared" si="898"/>
        <v>4.6875</v>
      </c>
      <c r="CI530" s="449" t="e">
        <f t="shared" si="898"/>
        <v>#DIV/0!</v>
      </c>
      <c r="CT530" s="483"/>
      <c r="CU530" s="483"/>
      <c r="CV530" s="483"/>
      <c r="CW530" s="483"/>
      <c r="CX530" s="483"/>
      <c r="CY530" s="483"/>
      <c r="CZ530" s="483"/>
      <c r="DA530" s="483"/>
      <c r="DB530" s="483"/>
      <c r="DC530" s="483"/>
      <c r="DD530" s="483"/>
      <c r="DE530" s="483"/>
      <c r="DF530" s="483"/>
      <c r="DG530" s="483"/>
      <c r="DH530" s="483"/>
      <c r="DI530" s="483"/>
      <c r="DJ530" s="485"/>
      <c r="DK530" s="485"/>
      <c r="DL530" s="485"/>
      <c r="DM530" s="485"/>
      <c r="DN530" s="485"/>
      <c r="DO530" s="485"/>
      <c r="DP530" s="485"/>
      <c r="DQ530" s="485"/>
      <c r="DR530" s="485"/>
      <c r="DS530" s="485"/>
      <c r="DT530" s="485"/>
      <c r="DU530" s="485"/>
      <c r="DV530" s="485"/>
      <c r="DW530" s="485"/>
      <c r="DX530" s="483"/>
      <c r="DY530" s="483"/>
      <c r="DZ530" s="483"/>
      <c r="EA530" s="483"/>
      <c r="EB530" s="483"/>
      <c r="EC530" s="483"/>
      <c r="ED530" s="483"/>
      <c r="EE530" s="483"/>
      <c r="EF530" s="483"/>
      <c r="EG530" s="483"/>
      <c r="EH530" s="483"/>
      <c r="EI530" s="483"/>
      <c r="EJ530" s="483"/>
      <c r="EK530" s="483"/>
      <c r="EL530" s="483"/>
      <c r="EM530" s="483"/>
      <c r="EN530" s="483"/>
      <c r="EO530" s="483"/>
      <c r="EP530" s="483"/>
      <c r="EQ530" s="483"/>
      <c r="ER530" s="483"/>
      <c r="ES530" s="483"/>
      <c r="ET530" s="483"/>
      <c r="EU530" s="483"/>
      <c r="EV530" s="483"/>
      <c r="EW530" s="483"/>
      <c r="FR530" s="449">
        <f>FR528/FQ528-1</f>
        <v>-0.65771812080536907</v>
      </c>
      <c r="FS530" s="449">
        <f>FS528/FR528-1</f>
        <v>1.0588235294117645</v>
      </c>
      <c r="FT530" s="449">
        <f>FT528/FS528-1</f>
        <v>1.0571428571428569</v>
      </c>
      <c r="GN530" s="70"/>
    </row>
    <row r="531" spans="1:196" s="418" customFormat="1" hidden="1" outlineLevel="1">
      <c r="A531" s="516" t="s">
        <v>315</v>
      </c>
      <c r="BR531" s="449">
        <f>BR528/BR525</f>
        <v>0.11491442542787286</v>
      </c>
      <c r="BS531" s="449">
        <f t="shared" ref="BS531:CI531" si="899">BS528/BS525</f>
        <v>7.4999999999999997E-2</v>
      </c>
      <c r="BT531" s="449">
        <f t="shared" si="899"/>
        <v>2.5641025641025641E-3</v>
      </c>
      <c r="BU531" s="449">
        <f t="shared" si="899"/>
        <v>0.16037735849056603</v>
      </c>
      <c r="BV531" s="449">
        <f t="shared" si="899"/>
        <v>4.6004842615012108E-2</v>
      </c>
      <c r="BW531" s="449">
        <f t="shared" si="899"/>
        <v>-1.9073569482288829E-2</v>
      </c>
      <c r="BX531" s="449">
        <f t="shared" si="899"/>
        <v>2.9776674937965261E-2</v>
      </c>
      <c r="BY531" s="449">
        <f t="shared" si="899"/>
        <v>7.0680628272251314E-2</v>
      </c>
      <c r="BZ531" s="449">
        <f t="shared" si="899"/>
        <v>8.9005235602094238E-2</v>
      </c>
      <c r="CA531" s="449">
        <f t="shared" si="899"/>
        <v>8.4468664850136238E-2</v>
      </c>
      <c r="CB531" s="449">
        <f t="shared" si="899"/>
        <v>5.2631578947368418E-2</v>
      </c>
      <c r="CC531" s="449">
        <f t="shared" si="899"/>
        <v>6.7484662576687116E-2</v>
      </c>
      <c r="CD531" s="449">
        <f t="shared" si="899"/>
        <v>4.7477744807121663E-2</v>
      </c>
      <c r="CE531" s="449">
        <f t="shared" si="899"/>
        <v>0</v>
      </c>
      <c r="CF531" s="449">
        <f t="shared" si="899"/>
        <v>0.11773472429210134</v>
      </c>
      <c r="CG531" s="449">
        <f t="shared" si="899"/>
        <v>0.13988439306358383</v>
      </c>
      <c r="CH531" s="449">
        <f t="shared" si="899"/>
        <v>0.12397820163487738</v>
      </c>
      <c r="CI531" s="449">
        <f t="shared" si="899"/>
        <v>0.10621761658031088</v>
      </c>
      <c r="CT531" s="483"/>
      <c r="CU531" s="483"/>
      <c r="CV531" s="483"/>
      <c r="CW531" s="483"/>
      <c r="CX531" s="483"/>
      <c r="CY531" s="483"/>
      <c r="CZ531" s="483"/>
      <c r="DA531" s="483"/>
      <c r="DB531" s="483"/>
      <c r="DC531" s="483"/>
      <c r="DD531" s="483"/>
      <c r="DE531" s="483"/>
      <c r="DF531" s="483"/>
      <c r="DG531" s="483"/>
      <c r="DH531" s="483"/>
      <c r="DI531" s="483"/>
      <c r="DJ531" s="485"/>
      <c r="DK531" s="485"/>
      <c r="DL531" s="485"/>
      <c r="DM531" s="485"/>
      <c r="DN531" s="485"/>
      <c r="DO531" s="485"/>
      <c r="DP531" s="485"/>
      <c r="DQ531" s="485"/>
      <c r="DR531" s="485"/>
      <c r="DS531" s="485"/>
      <c r="DT531" s="485"/>
      <c r="DU531" s="485"/>
      <c r="DV531" s="485"/>
      <c r="DW531" s="485"/>
      <c r="DX531" s="483"/>
      <c r="DY531" s="483"/>
      <c r="DZ531" s="483"/>
      <c r="EA531" s="483"/>
      <c r="EB531" s="483"/>
      <c r="EC531" s="483"/>
      <c r="ED531" s="483"/>
      <c r="EE531" s="483"/>
      <c r="EF531" s="483"/>
      <c r="EG531" s="483"/>
      <c r="EH531" s="483"/>
      <c r="EI531" s="483"/>
      <c r="EJ531" s="483"/>
      <c r="EK531" s="483"/>
      <c r="EL531" s="483"/>
      <c r="EM531" s="483"/>
      <c r="EN531" s="483"/>
      <c r="EO531" s="483"/>
      <c r="EP531" s="483"/>
      <c r="EQ531" s="483"/>
      <c r="ER531" s="483"/>
      <c r="ES531" s="483"/>
      <c r="ET531" s="483"/>
      <c r="EU531" s="483"/>
      <c r="EV531" s="483"/>
      <c r="EW531" s="483"/>
      <c r="FQ531" s="449">
        <f>FQ528/FQ525</f>
        <v>8.9597113650030064E-2</v>
      </c>
      <c r="FR531" s="449">
        <f>FR528/FR525</f>
        <v>3.2587859424920131E-2</v>
      </c>
      <c r="FS531" s="449">
        <f>FS528/FS525</f>
        <v>7.4100211714890618E-2</v>
      </c>
      <c r="FT531" s="449">
        <f>FT528/FT525</f>
        <v>9.8495212038303692E-2</v>
      </c>
      <c r="GN531" s="70"/>
    </row>
    <row r="532" spans="1:196" s="418" customFormat="1" hidden="1" outlineLevel="1">
      <c r="A532" s="510" t="s">
        <v>316</v>
      </c>
      <c r="B532" s="511"/>
      <c r="C532" s="511"/>
      <c r="D532" s="511"/>
      <c r="E532" s="511"/>
      <c r="F532" s="511"/>
      <c r="G532" s="511"/>
      <c r="H532" s="511"/>
      <c r="I532" s="511"/>
      <c r="J532" s="511"/>
      <c r="K532" s="511"/>
      <c r="L532" s="511"/>
      <c r="M532" s="511"/>
      <c r="N532" s="511"/>
      <c r="O532" s="511"/>
      <c r="P532" s="511"/>
      <c r="Q532" s="511"/>
      <c r="R532" s="511"/>
      <c r="S532" s="511"/>
      <c r="T532" s="511"/>
      <c r="U532" s="511"/>
      <c r="V532" s="511"/>
      <c r="W532" s="511"/>
      <c r="X532" s="511"/>
      <c r="Y532" s="511"/>
      <c r="Z532" s="511"/>
      <c r="AA532" s="511"/>
      <c r="AB532" s="511"/>
      <c r="AC532" s="511"/>
      <c r="AD532" s="511"/>
      <c r="AE532" s="511"/>
      <c r="AF532" s="511"/>
      <c r="AG532" s="511"/>
      <c r="AH532" s="511"/>
      <c r="AI532" s="511"/>
      <c r="AJ532" s="511"/>
      <c r="AK532" s="511"/>
      <c r="AL532" s="511"/>
      <c r="AM532" s="511"/>
      <c r="AN532" s="511"/>
      <c r="AO532" s="511"/>
      <c r="AP532" s="511"/>
      <c r="AQ532" s="511"/>
      <c r="AR532" s="511"/>
      <c r="AS532" s="511"/>
      <c r="AT532" s="511"/>
      <c r="AU532" s="511"/>
      <c r="AV532" s="511"/>
      <c r="AW532" s="511"/>
      <c r="AX532" s="511"/>
      <c r="AY532" s="511"/>
      <c r="AZ532" s="511"/>
      <c r="BA532" s="511"/>
      <c r="BB532" s="511"/>
      <c r="BC532" s="511"/>
      <c r="BD532" s="511"/>
      <c r="BE532" s="511"/>
      <c r="BF532" s="511"/>
      <c r="BG532" s="511"/>
      <c r="BH532" s="511"/>
      <c r="BI532" s="511"/>
      <c r="BJ532" s="511"/>
      <c r="BK532" s="511"/>
      <c r="BL532" s="511"/>
      <c r="BM532" s="511"/>
      <c r="BN532" s="511"/>
      <c r="BO532" s="511"/>
      <c r="BP532" s="511"/>
      <c r="BQ532" s="511"/>
      <c r="BR532" s="511"/>
      <c r="BS532" s="511"/>
      <c r="BT532" s="511"/>
      <c r="BU532" s="511"/>
      <c r="BV532" s="511"/>
      <c r="BW532" s="511"/>
      <c r="BX532" s="511"/>
      <c r="BY532" s="511"/>
      <c r="BZ532" s="511"/>
      <c r="CA532" s="511"/>
      <c r="CB532" s="511"/>
      <c r="CC532" s="511"/>
      <c r="CD532" s="511"/>
      <c r="CE532" s="511"/>
      <c r="CF532" s="511"/>
      <c r="CG532" s="511"/>
      <c r="CH532" s="511"/>
      <c r="CI532" s="511"/>
      <c r="CJ532" s="511"/>
      <c r="CK532" s="511"/>
      <c r="CL532" s="511"/>
      <c r="CM532" s="511"/>
      <c r="CN532" s="511"/>
      <c r="CO532" s="511"/>
      <c r="CP532" s="511"/>
      <c r="CQ532" s="511"/>
      <c r="CR532" s="511"/>
      <c r="CS532" s="511"/>
      <c r="CT532" s="512"/>
      <c r="CU532" s="512"/>
      <c r="CV532" s="512"/>
      <c r="CW532" s="512"/>
      <c r="CX532" s="512"/>
      <c r="CY532" s="512"/>
      <c r="CZ532" s="512"/>
      <c r="DA532" s="512"/>
      <c r="DB532" s="512"/>
      <c r="DC532" s="512"/>
      <c r="DD532" s="512"/>
      <c r="DE532" s="512"/>
      <c r="DF532" s="512"/>
      <c r="DG532" s="512"/>
      <c r="DH532" s="512"/>
      <c r="DI532" s="512"/>
      <c r="DJ532" s="513"/>
      <c r="DK532" s="513"/>
      <c r="DL532" s="513"/>
      <c r="DM532" s="513"/>
      <c r="DN532" s="513"/>
      <c r="DO532" s="513"/>
      <c r="DP532" s="513"/>
      <c r="DQ532" s="513"/>
      <c r="DR532" s="513"/>
      <c r="DS532" s="513"/>
      <c r="DT532" s="513"/>
      <c r="DU532" s="513"/>
      <c r="DV532" s="513"/>
      <c r="DW532" s="513"/>
      <c r="DX532" s="512"/>
      <c r="DY532" s="512"/>
      <c r="DZ532" s="512"/>
      <c r="EA532" s="512"/>
      <c r="EB532" s="512"/>
      <c r="EC532" s="512"/>
      <c r="ED532" s="512"/>
      <c r="EE532" s="512"/>
      <c r="EF532" s="512"/>
      <c r="EG532" s="512"/>
      <c r="EH532" s="512"/>
      <c r="EI532" s="512"/>
      <c r="EJ532" s="512"/>
      <c r="EK532" s="512"/>
      <c r="EL532" s="512"/>
      <c r="EM532" s="512"/>
      <c r="EN532" s="512"/>
      <c r="EO532" s="512"/>
      <c r="EP532" s="512"/>
      <c r="EQ532" s="512"/>
      <c r="ER532" s="512"/>
      <c r="ES532" s="512"/>
      <c r="ET532" s="512"/>
      <c r="EU532" s="512"/>
      <c r="EV532" s="512"/>
      <c r="EW532" s="512"/>
      <c r="EZ532" s="465"/>
      <c r="FA532" s="465"/>
      <c r="FB532" s="465"/>
      <c r="FC532" s="465"/>
      <c r="FD532" s="465"/>
      <c r="FE532" s="465"/>
      <c r="FF532" s="465"/>
      <c r="FG532" s="465"/>
      <c r="FH532" s="465"/>
      <c r="FI532" s="465"/>
      <c r="FJ532" s="465"/>
      <c r="FK532" s="465"/>
      <c r="FL532" s="465"/>
      <c r="FM532" s="465"/>
      <c r="FN532" s="465"/>
      <c r="FO532" s="465"/>
      <c r="FP532" s="465"/>
      <c r="FQ532" s="465"/>
      <c r="FR532" s="465"/>
      <c r="FS532" s="465"/>
      <c r="FT532" s="465"/>
      <c r="FU532" s="465"/>
      <c r="FV532" s="465"/>
      <c r="FW532" s="465"/>
      <c r="FX532" s="512"/>
      <c r="FY532" s="512"/>
      <c r="FZ532" s="512"/>
      <c r="GA532" s="512"/>
      <c r="GB532" s="512"/>
      <c r="GC532" s="512"/>
      <c r="GD532" s="512"/>
      <c r="GE532" s="512"/>
      <c r="GF532" s="512"/>
      <c r="GG532" s="512"/>
      <c r="GH532" s="512"/>
      <c r="GI532" s="512"/>
      <c r="GJ532" s="512"/>
      <c r="GK532" s="512"/>
      <c r="GN532" s="70"/>
    </row>
    <row r="533" spans="1:196" s="418" customFormat="1" hidden="1" outlineLevel="1">
      <c r="A533" s="505" t="s">
        <v>197</v>
      </c>
      <c r="B533" s="514"/>
      <c r="C533" s="514"/>
      <c r="D533" s="514"/>
      <c r="E533" s="514"/>
      <c r="F533" s="514"/>
      <c r="G533" s="514"/>
      <c r="H533" s="514"/>
      <c r="I533" s="514"/>
      <c r="J533" s="514"/>
      <c r="K533" s="514"/>
      <c r="L533" s="514"/>
      <c r="M533" s="514"/>
      <c r="N533" s="514"/>
      <c r="O533" s="514"/>
      <c r="P533" s="514"/>
      <c r="Q533" s="514"/>
      <c r="R533" s="514"/>
      <c r="S533" s="514"/>
      <c r="T533" s="514"/>
      <c r="U533" s="514"/>
      <c r="V533" s="514"/>
      <c r="W533" s="514"/>
      <c r="X533" s="514"/>
      <c r="Y533" s="514"/>
      <c r="Z533" s="514"/>
      <c r="AA533" s="514"/>
      <c r="AB533" s="514"/>
      <c r="AC533" s="514"/>
      <c r="AD533" s="514"/>
      <c r="AE533" s="514"/>
      <c r="AF533" s="514"/>
      <c r="AG533" s="514"/>
      <c r="AH533" s="514"/>
      <c r="AI533" s="514"/>
      <c r="AJ533" s="514"/>
      <c r="AK533" s="514"/>
      <c r="AL533" s="514"/>
      <c r="AM533" s="514"/>
      <c r="AN533" s="514"/>
      <c r="AO533" s="514"/>
      <c r="AP533" s="514"/>
      <c r="AQ533" s="514"/>
      <c r="AR533" s="514"/>
      <c r="AS533" s="514"/>
      <c r="AT533" s="514"/>
      <c r="AU533" s="514"/>
      <c r="AV533" s="514"/>
      <c r="AW533" s="514"/>
      <c r="AX533" s="514"/>
      <c r="AY533" s="514"/>
      <c r="AZ533" s="514"/>
      <c r="BA533" s="514"/>
      <c r="BB533" s="514"/>
      <c r="BC533" s="514"/>
      <c r="BD533" s="514"/>
      <c r="BE533" s="514"/>
      <c r="BF533" s="514"/>
      <c r="BG533" s="514"/>
      <c r="BH533" s="514"/>
      <c r="BI533" s="514"/>
      <c r="BJ533" s="514"/>
      <c r="BK533" s="514"/>
      <c r="BL533" s="514"/>
      <c r="BM533" s="514"/>
      <c r="BN533" s="514"/>
      <c r="BO533" s="514"/>
      <c r="BP533" s="514"/>
      <c r="BQ533" s="514"/>
      <c r="BR533" s="514">
        <v>5</v>
      </c>
      <c r="BS533" s="514">
        <v>1</v>
      </c>
      <c r="BT533" s="514">
        <v>2</v>
      </c>
      <c r="BU533" s="514">
        <v>6</v>
      </c>
      <c r="BV533" s="514">
        <v>0</v>
      </c>
      <c r="BW533" s="514">
        <v>0</v>
      </c>
      <c r="BX533" s="514">
        <v>1</v>
      </c>
      <c r="BY533" s="514">
        <v>0</v>
      </c>
      <c r="BZ533" s="514">
        <v>0</v>
      </c>
      <c r="CA533" s="514">
        <v>0</v>
      </c>
      <c r="CB533" s="514">
        <v>0</v>
      </c>
      <c r="CC533" s="514">
        <v>0</v>
      </c>
      <c r="CD533" s="514">
        <v>0</v>
      </c>
      <c r="CE533" s="514">
        <v>0</v>
      </c>
      <c r="CF533" s="514">
        <v>0</v>
      </c>
      <c r="CG533" s="514">
        <v>2</v>
      </c>
      <c r="CH533" s="514">
        <v>0</v>
      </c>
      <c r="CI533" s="514">
        <v>0</v>
      </c>
      <c r="CT533" s="483"/>
      <c r="CU533" s="483"/>
      <c r="CV533" s="483"/>
      <c r="CW533" s="483"/>
      <c r="CX533" s="483"/>
      <c r="CY533" s="483"/>
      <c r="CZ533" s="483"/>
      <c r="DA533" s="483"/>
      <c r="DB533" s="483"/>
      <c r="DC533" s="483"/>
      <c r="DD533" s="483"/>
      <c r="DE533" s="483"/>
      <c r="DF533" s="483"/>
      <c r="DG533" s="483"/>
      <c r="DH533" s="483"/>
      <c r="DI533" s="483"/>
      <c r="DJ533" s="485"/>
      <c r="DK533" s="485"/>
      <c r="DL533" s="485"/>
      <c r="DM533" s="485"/>
      <c r="DN533" s="485"/>
      <c r="DO533" s="485"/>
      <c r="DP533" s="485"/>
      <c r="DQ533" s="485"/>
      <c r="DR533" s="485"/>
      <c r="DS533" s="485"/>
      <c r="DT533" s="485"/>
      <c r="DU533" s="485"/>
      <c r="DV533" s="485"/>
      <c r="DW533" s="485"/>
      <c r="DX533" s="483"/>
      <c r="DY533" s="483"/>
      <c r="DZ533" s="483"/>
      <c r="EA533" s="483"/>
      <c r="EB533" s="483"/>
      <c r="EC533" s="483"/>
      <c r="ED533" s="483"/>
      <c r="EE533" s="483"/>
      <c r="EF533" s="483"/>
      <c r="EG533" s="483"/>
      <c r="EH533" s="483"/>
      <c r="EI533" s="483"/>
      <c r="EJ533" s="483"/>
      <c r="EK533" s="483"/>
      <c r="EL533" s="483"/>
      <c r="EM533" s="483"/>
      <c r="EN533" s="483"/>
      <c r="EO533" s="483"/>
      <c r="EP533" s="483"/>
      <c r="EQ533" s="483"/>
      <c r="ER533" s="483"/>
      <c r="ES533" s="483"/>
      <c r="ET533" s="483"/>
      <c r="EU533" s="483"/>
      <c r="EV533" s="483"/>
      <c r="EW533" s="483"/>
      <c r="FH533" s="465"/>
      <c r="FI533" s="465"/>
      <c r="FJ533" s="465"/>
      <c r="FK533" s="465"/>
      <c r="FL533" s="465"/>
      <c r="FM533" s="465"/>
      <c r="FN533" s="465"/>
      <c r="FO533" s="465"/>
      <c r="FP533" s="465"/>
      <c r="FQ533" s="465">
        <f>BR533+BS533+BT533+BU533</f>
        <v>14</v>
      </c>
      <c r="FR533" s="465">
        <f>BV533+BW533+BX533+BY533</f>
        <v>1</v>
      </c>
      <c r="FS533" s="465">
        <f>BZ533+CA533+CB533+CC533</f>
        <v>0</v>
      </c>
      <c r="FT533" s="465">
        <f>CD533+CE533+CF533+CG533</f>
        <v>2</v>
      </c>
      <c r="FU533" s="465"/>
      <c r="FV533" s="465"/>
      <c r="FW533" s="465"/>
      <c r="FX533" s="515"/>
      <c r="FY533" s="515"/>
      <c r="FZ533" s="515"/>
      <c r="GA533" s="515"/>
      <c r="GB533" s="515"/>
      <c r="GC533" s="515"/>
      <c r="GD533" s="515"/>
      <c r="GE533" s="515"/>
      <c r="GF533" s="515"/>
      <c r="GG533" s="515"/>
      <c r="GH533" s="515"/>
      <c r="GI533" s="515"/>
      <c r="GJ533" s="515"/>
      <c r="GK533" s="515"/>
      <c r="GN533" s="70"/>
    </row>
    <row r="534" spans="1:196" s="418" customFormat="1" hidden="1" outlineLevel="1">
      <c r="A534" s="516" t="s">
        <v>198</v>
      </c>
      <c r="BS534" s="449">
        <f t="shared" ref="BS534:CI534" si="900">BS533/BR533-1</f>
        <v>-0.8</v>
      </c>
      <c r="BT534" s="449">
        <f t="shared" si="900"/>
        <v>1</v>
      </c>
      <c r="BU534" s="449">
        <f t="shared" si="900"/>
        <v>2</v>
      </c>
      <c r="BV534" s="449">
        <f t="shared" si="900"/>
        <v>-1</v>
      </c>
      <c r="BW534" s="449" t="e">
        <f t="shared" si="900"/>
        <v>#DIV/0!</v>
      </c>
      <c r="BX534" s="449" t="e">
        <f t="shared" si="900"/>
        <v>#DIV/0!</v>
      </c>
      <c r="BY534" s="449">
        <f t="shared" si="900"/>
        <v>-1</v>
      </c>
      <c r="BZ534" s="449" t="e">
        <f t="shared" si="900"/>
        <v>#DIV/0!</v>
      </c>
      <c r="CA534" s="449" t="e">
        <f t="shared" si="900"/>
        <v>#DIV/0!</v>
      </c>
      <c r="CB534" s="449" t="e">
        <f t="shared" si="900"/>
        <v>#DIV/0!</v>
      </c>
      <c r="CC534" s="449" t="e">
        <f t="shared" si="900"/>
        <v>#DIV/0!</v>
      </c>
      <c r="CD534" s="449" t="e">
        <f t="shared" si="900"/>
        <v>#DIV/0!</v>
      </c>
      <c r="CE534" s="449" t="e">
        <f t="shared" si="900"/>
        <v>#DIV/0!</v>
      </c>
      <c r="CF534" s="449" t="e">
        <f t="shared" si="900"/>
        <v>#DIV/0!</v>
      </c>
      <c r="CG534" s="449" t="e">
        <f t="shared" si="900"/>
        <v>#DIV/0!</v>
      </c>
      <c r="CH534" s="449">
        <f t="shared" si="900"/>
        <v>-1</v>
      </c>
      <c r="CI534" s="449" t="e">
        <f t="shared" si="900"/>
        <v>#DIV/0!</v>
      </c>
      <c r="CT534" s="483"/>
      <c r="CU534" s="483"/>
      <c r="CV534" s="483"/>
      <c r="CW534" s="483"/>
      <c r="CX534" s="483"/>
      <c r="CY534" s="483"/>
      <c r="CZ534" s="483"/>
      <c r="DA534" s="483"/>
      <c r="DB534" s="483"/>
      <c r="DC534" s="483"/>
      <c r="DD534" s="483"/>
      <c r="DE534" s="483"/>
      <c r="DF534" s="483"/>
      <c r="DG534" s="483"/>
      <c r="DH534" s="483"/>
      <c r="DI534" s="483"/>
      <c r="DJ534" s="485"/>
      <c r="DK534" s="485"/>
      <c r="DL534" s="485"/>
      <c r="DM534" s="485"/>
      <c r="DN534" s="485"/>
      <c r="DO534" s="485"/>
      <c r="DP534" s="485"/>
      <c r="DQ534" s="485"/>
      <c r="DR534" s="485"/>
      <c r="DS534" s="485"/>
      <c r="DT534" s="485"/>
      <c r="DU534" s="485"/>
      <c r="DV534" s="485"/>
      <c r="DW534" s="485"/>
      <c r="DX534" s="483"/>
      <c r="DY534" s="483"/>
      <c r="DZ534" s="483"/>
      <c r="EA534" s="483"/>
      <c r="EB534" s="483"/>
      <c r="EC534" s="483"/>
      <c r="ED534" s="483"/>
      <c r="EE534" s="483"/>
      <c r="EF534" s="483"/>
      <c r="EG534" s="483"/>
      <c r="EH534" s="483"/>
      <c r="EI534" s="483"/>
      <c r="EJ534" s="483"/>
      <c r="EK534" s="483"/>
      <c r="EL534" s="483"/>
      <c r="EM534" s="483"/>
      <c r="EN534" s="483"/>
      <c r="EO534" s="483"/>
      <c r="EP534" s="483"/>
      <c r="EQ534" s="483"/>
      <c r="ER534" s="483"/>
      <c r="ES534" s="483"/>
      <c r="ET534" s="483"/>
      <c r="EU534" s="483"/>
      <c r="EV534" s="483"/>
      <c r="EW534" s="483"/>
      <c r="GN534" s="70"/>
    </row>
    <row r="535" spans="1:196" s="418" customFormat="1" hidden="1" outlineLevel="1">
      <c r="A535" s="516" t="s">
        <v>200</v>
      </c>
      <c r="BV535" s="449">
        <f t="shared" ref="BV535:CI535" si="901">BV533/BR533-1</f>
        <v>-1</v>
      </c>
      <c r="BW535" s="449">
        <f t="shared" si="901"/>
        <v>-1</v>
      </c>
      <c r="BX535" s="449">
        <f t="shared" si="901"/>
        <v>-0.5</v>
      </c>
      <c r="BY535" s="449">
        <f t="shared" si="901"/>
        <v>-1</v>
      </c>
      <c r="BZ535" s="449" t="e">
        <f t="shared" si="901"/>
        <v>#DIV/0!</v>
      </c>
      <c r="CA535" s="449" t="e">
        <f t="shared" si="901"/>
        <v>#DIV/0!</v>
      </c>
      <c r="CB535" s="449">
        <f t="shared" si="901"/>
        <v>-1</v>
      </c>
      <c r="CC535" s="449" t="e">
        <f t="shared" si="901"/>
        <v>#DIV/0!</v>
      </c>
      <c r="CD535" s="449" t="e">
        <f t="shared" si="901"/>
        <v>#DIV/0!</v>
      </c>
      <c r="CE535" s="449" t="e">
        <f t="shared" si="901"/>
        <v>#DIV/0!</v>
      </c>
      <c r="CF535" s="449" t="e">
        <f t="shared" si="901"/>
        <v>#DIV/0!</v>
      </c>
      <c r="CG535" s="449" t="e">
        <f t="shared" si="901"/>
        <v>#DIV/0!</v>
      </c>
      <c r="CH535" s="449" t="e">
        <f t="shared" si="901"/>
        <v>#DIV/0!</v>
      </c>
      <c r="CI535" s="449" t="e">
        <f t="shared" si="901"/>
        <v>#DIV/0!</v>
      </c>
      <c r="CT535" s="483"/>
      <c r="CU535" s="483"/>
      <c r="CV535" s="483"/>
      <c r="CW535" s="483"/>
      <c r="CX535" s="483"/>
      <c r="CY535" s="483"/>
      <c r="CZ535" s="483"/>
      <c r="DA535" s="483"/>
      <c r="DB535" s="483"/>
      <c r="DC535" s="483"/>
      <c r="DD535" s="483"/>
      <c r="DE535" s="483"/>
      <c r="DF535" s="483"/>
      <c r="DG535" s="483"/>
      <c r="DH535" s="483"/>
      <c r="DI535" s="483"/>
      <c r="DJ535" s="485"/>
      <c r="DK535" s="485"/>
      <c r="DL535" s="485"/>
      <c r="DM535" s="485"/>
      <c r="DN535" s="485"/>
      <c r="DO535" s="485"/>
      <c r="DP535" s="485"/>
      <c r="DQ535" s="485"/>
      <c r="DR535" s="485"/>
      <c r="DS535" s="485"/>
      <c r="DT535" s="485"/>
      <c r="DU535" s="485"/>
      <c r="DV535" s="485"/>
      <c r="DW535" s="485"/>
      <c r="DX535" s="483"/>
      <c r="DY535" s="483"/>
      <c r="DZ535" s="483"/>
      <c r="EA535" s="483"/>
      <c r="EB535" s="483"/>
      <c r="EC535" s="483"/>
      <c r="ED535" s="483"/>
      <c r="EE535" s="483"/>
      <c r="EF535" s="483"/>
      <c r="EG535" s="483"/>
      <c r="EH535" s="483"/>
      <c r="EI535" s="483"/>
      <c r="EJ535" s="483"/>
      <c r="EK535" s="483"/>
      <c r="EL535" s="483"/>
      <c r="EM535" s="483"/>
      <c r="EN535" s="483"/>
      <c r="EO535" s="483"/>
      <c r="EP535" s="483"/>
      <c r="EQ535" s="483"/>
      <c r="ER535" s="483"/>
      <c r="ES535" s="483"/>
      <c r="ET535" s="483"/>
      <c r="EU535" s="483"/>
      <c r="EV535" s="483"/>
      <c r="EW535" s="483"/>
      <c r="FR535" s="449">
        <f>FR533/FQ533-1</f>
        <v>-0.9285714285714286</v>
      </c>
      <c r="FS535" s="449">
        <f>FS533/FR533-1</f>
        <v>-1</v>
      </c>
      <c r="FT535" s="449" t="e">
        <f>FT533/FS533-1</f>
        <v>#DIV/0!</v>
      </c>
      <c r="GN535" s="70"/>
    </row>
    <row r="536" spans="1:196" s="418" customFormat="1" hidden="1" outlineLevel="1">
      <c r="A536" s="505" t="s">
        <v>314</v>
      </c>
      <c r="B536" s="514"/>
      <c r="C536" s="514"/>
      <c r="D536" s="514"/>
      <c r="E536" s="514"/>
      <c r="F536" s="514"/>
      <c r="G536" s="514"/>
      <c r="H536" s="514"/>
      <c r="I536" s="514"/>
      <c r="J536" s="514"/>
      <c r="K536" s="514"/>
      <c r="L536" s="514"/>
      <c r="M536" s="514"/>
      <c r="N536" s="514"/>
      <c r="O536" s="514"/>
      <c r="P536" s="514"/>
      <c r="Q536" s="514"/>
      <c r="R536" s="514"/>
      <c r="S536" s="514"/>
      <c r="T536" s="514"/>
      <c r="U536" s="514"/>
      <c r="V536" s="514"/>
      <c r="W536" s="514"/>
      <c r="X536" s="514"/>
      <c r="Y536" s="514"/>
      <c r="Z536" s="514"/>
      <c r="AA536" s="514"/>
      <c r="AB536" s="514"/>
      <c r="AC536" s="514"/>
      <c r="AD536" s="514"/>
      <c r="AE536" s="514"/>
      <c r="AF536" s="514"/>
      <c r="AG536" s="514"/>
      <c r="AH536" s="514"/>
      <c r="AI536" s="514"/>
      <c r="AJ536" s="514"/>
      <c r="AK536" s="514"/>
      <c r="AL536" s="514"/>
      <c r="AM536" s="514"/>
      <c r="AN536" s="514"/>
      <c r="AO536" s="514"/>
      <c r="AP536" s="514"/>
      <c r="AQ536" s="514"/>
      <c r="AR536" s="514"/>
      <c r="AS536" s="514"/>
      <c r="AT536" s="514"/>
      <c r="AU536" s="514"/>
      <c r="AV536" s="514"/>
      <c r="AW536" s="514"/>
      <c r="AX536" s="514"/>
      <c r="AY536" s="514"/>
      <c r="AZ536" s="514"/>
      <c r="BA536" s="514"/>
      <c r="BB536" s="514"/>
      <c r="BC536" s="514"/>
      <c r="BD536" s="514"/>
      <c r="BE536" s="514"/>
      <c r="BF536" s="514"/>
      <c r="BG536" s="514"/>
      <c r="BH536" s="514"/>
      <c r="BI536" s="514"/>
      <c r="BJ536" s="514"/>
      <c r="BK536" s="514"/>
      <c r="BL536" s="514"/>
      <c r="BM536" s="514"/>
      <c r="BN536" s="514"/>
      <c r="BO536" s="514"/>
      <c r="BP536" s="514"/>
      <c r="BQ536" s="514"/>
      <c r="BR536" s="514">
        <v>-11</v>
      </c>
      <c r="BS536" s="514">
        <v>-36</v>
      </c>
      <c r="BT536" s="514">
        <v>-37</v>
      </c>
      <c r="BU536" s="514">
        <v>254</v>
      </c>
      <c r="BV536" s="514">
        <v>-65</v>
      </c>
      <c r="BW536" s="514">
        <v>-30</v>
      </c>
      <c r="BX536" s="514">
        <v>-23</v>
      </c>
      <c r="BY536" s="514">
        <v>-121</v>
      </c>
      <c r="BZ536" s="514">
        <v>-738</v>
      </c>
      <c r="CA536" s="514">
        <v>-36</v>
      </c>
      <c r="CB536" s="514">
        <v>-35</v>
      </c>
      <c r="CC536" s="514">
        <v>-121</v>
      </c>
      <c r="CD536" s="514">
        <v>-75</v>
      </c>
      <c r="CE536" s="514">
        <v>-31</v>
      </c>
      <c r="CF536" s="514">
        <v>-6</v>
      </c>
      <c r="CG536" s="514">
        <v>21</v>
      </c>
      <c r="CH536" s="514">
        <v>-39</v>
      </c>
      <c r="CI536" s="514">
        <v>-28</v>
      </c>
      <c r="CT536" s="483"/>
      <c r="CU536" s="483"/>
      <c r="CV536" s="483"/>
      <c r="CW536" s="483"/>
      <c r="CX536" s="483"/>
      <c r="CY536" s="483"/>
      <c r="CZ536" s="483"/>
      <c r="DA536" s="483"/>
      <c r="DB536" s="483"/>
      <c r="DC536" s="483"/>
      <c r="DD536" s="483"/>
      <c r="DE536" s="483"/>
      <c r="DF536" s="483"/>
      <c r="DG536" s="483"/>
      <c r="DH536" s="483"/>
      <c r="DI536" s="483"/>
      <c r="DJ536" s="485"/>
      <c r="DK536" s="485"/>
      <c r="DL536" s="485"/>
      <c r="DM536" s="485"/>
      <c r="DN536" s="485"/>
      <c r="DO536" s="485"/>
      <c r="DP536" s="485"/>
      <c r="DQ536" s="485"/>
      <c r="DR536" s="485"/>
      <c r="DS536" s="485"/>
      <c r="DT536" s="485"/>
      <c r="DU536" s="485"/>
      <c r="DV536" s="485"/>
      <c r="DW536" s="485"/>
      <c r="DX536" s="483"/>
      <c r="DY536" s="483"/>
      <c r="DZ536" s="483"/>
      <c r="EA536" s="483"/>
      <c r="EB536" s="483"/>
      <c r="EC536" s="483"/>
      <c r="ED536" s="483"/>
      <c r="EE536" s="483"/>
      <c r="EF536" s="483"/>
      <c r="EG536" s="483"/>
      <c r="EH536" s="483"/>
      <c r="EI536" s="483"/>
      <c r="EJ536" s="483"/>
      <c r="EK536" s="483"/>
      <c r="EL536" s="483"/>
      <c r="EM536" s="483"/>
      <c r="EN536" s="483"/>
      <c r="EO536" s="483"/>
      <c r="EP536" s="483"/>
      <c r="EQ536" s="483"/>
      <c r="ER536" s="483"/>
      <c r="ES536" s="483"/>
      <c r="ET536" s="483"/>
      <c r="EU536" s="483"/>
      <c r="EV536" s="483"/>
      <c r="EW536" s="483"/>
      <c r="FH536" s="465"/>
      <c r="FI536" s="465"/>
      <c r="FJ536" s="465"/>
      <c r="FK536" s="465"/>
      <c r="FL536" s="465"/>
      <c r="FM536" s="465"/>
      <c r="FN536" s="465"/>
      <c r="FO536" s="465"/>
      <c r="FP536" s="465"/>
      <c r="FQ536" s="465">
        <f>BR536+BS536+BT536+BU536</f>
        <v>170</v>
      </c>
      <c r="FR536" s="465">
        <f>BV536+BW536+BX536+BY536</f>
        <v>-239</v>
      </c>
      <c r="FS536" s="465">
        <f>BZ536+CA536+CB536+CC536</f>
        <v>-930</v>
      </c>
      <c r="FT536" s="465">
        <f>CD536+CE536+CF536+CG536</f>
        <v>-91</v>
      </c>
      <c r="FU536" s="465"/>
      <c r="FV536" s="465"/>
      <c r="FW536" s="465"/>
      <c r="FX536" s="515"/>
      <c r="FY536" s="515"/>
      <c r="FZ536" s="515"/>
      <c r="GA536" s="515"/>
      <c r="GB536" s="515"/>
      <c r="GC536" s="515"/>
      <c r="GD536" s="515"/>
      <c r="GE536" s="515"/>
      <c r="GF536" s="515"/>
      <c r="GG536" s="515"/>
      <c r="GH536" s="515"/>
      <c r="GI536" s="515"/>
      <c r="GJ536" s="515"/>
      <c r="GK536" s="515"/>
      <c r="GN536" s="70"/>
    </row>
    <row r="537" spans="1:196" s="418" customFormat="1" hidden="1" outlineLevel="1">
      <c r="A537" s="516" t="s">
        <v>198</v>
      </c>
      <c r="BS537" s="449">
        <f t="shared" ref="BS537:CI537" si="902">BS536/BR536-1</f>
        <v>2.2727272727272729</v>
      </c>
      <c r="BT537" s="449">
        <f t="shared" si="902"/>
        <v>2.7777777777777679E-2</v>
      </c>
      <c r="BU537" s="449">
        <f t="shared" si="902"/>
        <v>-7.8648648648648649</v>
      </c>
      <c r="BV537" s="449">
        <f t="shared" si="902"/>
        <v>-1.2559055118110236</v>
      </c>
      <c r="BW537" s="449">
        <f t="shared" si="902"/>
        <v>-0.53846153846153844</v>
      </c>
      <c r="BX537" s="449">
        <f t="shared" si="902"/>
        <v>-0.23333333333333328</v>
      </c>
      <c r="BY537" s="449">
        <f t="shared" si="902"/>
        <v>4.2608695652173916</v>
      </c>
      <c r="BZ537" s="449">
        <f t="shared" si="902"/>
        <v>5.0991735537190079</v>
      </c>
      <c r="CA537" s="449">
        <f t="shared" si="902"/>
        <v>-0.95121951219512191</v>
      </c>
      <c r="CB537" s="449">
        <f t="shared" si="902"/>
        <v>-2.777777777777779E-2</v>
      </c>
      <c r="CC537" s="449">
        <f t="shared" si="902"/>
        <v>2.4571428571428573</v>
      </c>
      <c r="CD537" s="449">
        <f t="shared" si="902"/>
        <v>-0.3801652892561983</v>
      </c>
      <c r="CE537" s="449">
        <f t="shared" si="902"/>
        <v>-0.58666666666666667</v>
      </c>
      <c r="CF537" s="449">
        <f t="shared" si="902"/>
        <v>-0.80645161290322576</v>
      </c>
      <c r="CG537" s="449">
        <f t="shared" si="902"/>
        <v>-4.5</v>
      </c>
      <c r="CH537" s="449">
        <f t="shared" si="902"/>
        <v>-2.8571428571428572</v>
      </c>
      <c r="CI537" s="449">
        <f t="shared" si="902"/>
        <v>-0.28205128205128205</v>
      </c>
      <c r="CT537" s="483"/>
      <c r="CU537" s="483"/>
      <c r="CV537" s="483"/>
      <c r="CW537" s="483"/>
      <c r="CX537" s="483"/>
      <c r="CY537" s="483"/>
      <c r="CZ537" s="483"/>
      <c r="DA537" s="483"/>
      <c r="DB537" s="483"/>
      <c r="DC537" s="483"/>
      <c r="DD537" s="483"/>
      <c r="DE537" s="483"/>
      <c r="DF537" s="483"/>
      <c r="DG537" s="483"/>
      <c r="DH537" s="483"/>
      <c r="DI537" s="483"/>
      <c r="DJ537" s="485"/>
      <c r="DK537" s="485"/>
      <c r="DL537" s="485"/>
      <c r="DM537" s="485"/>
      <c r="DN537" s="485"/>
      <c r="DO537" s="485"/>
      <c r="DP537" s="485"/>
      <c r="DQ537" s="485"/>
      <c r="DR537" s="485"/>
      <c r="DS537" s="485"/>
      <c r="DT537" s="485"/>
      <c r="DU537" s="485"/>
      <c r="DV537" s="485"/>
      <c r="DW537" s="485"/>
      <c r="DX537" s="483"/>
      <c r="DY537" s="483"/>
      <c r="DZ537" s="483"/>
      <c r="EA537" s="483"/>
      <c r="EB537" s="483"/>
      <c r="EC537" s="483"/>
      <c r="ED537" s="483"/>
      <c r="EE537" s="483"/>
      <c r="EF537" s="483"/>
      <c r="EG537" s="483"/>
      <c r="EH537" s="483"/>
      <c r="EI537" s="483"/>
      <c r="EJ537" s="483"/>
      <c r="EK537" s="483"/>
      <c r="EL537" s="483"/>
      <c r="EM537" s="483"/>
      <c r="EN537" s="483"/>
      <c r="EO537" s="483"/>
      <c r="EP537" s="483"/>
      <c r="EQ537" s="483"/>
      <c r="ER537" s="483"/>
      <c r="ES537" s="483"/>
      <c r="ET537" s="483"/>
      <c r="EU537" s="483"/>
      <c r="EV537" s="483"/>
      <c r="EW537" s="483"/>
      <c r="GN537" s="70"/>
    </row>
    <row r="538" spans="1:196" s="418" customFormat="1" hidden="1" outlineLevel="1">
      <c r="A538" s="516" t="s">
        <v>200</v>
      </c>
      <c r="BV538" s="449">
        <f t="shared" ref="BV538:CI538" si="903">BV536/BR536-1</f>
        <v>4.9090909090909092</v>
      </c>
      <c r="BW538" s="449">
        <f t="shared" si="903"/>
        <v>-0.16666666666666663</v>
      </c>
      <c r="BX538" s="449">
        <f t="shared" si="903"/>
        <v>-0.3783783783783784</v>
      </c>
      <c r="BY538" s="449">
        <f t="shared" si="903"/>
        <v>-1.4763779527559056</v>
      </c>
      <c r="BZ538" s="449">
        <f t="shared" si="903"/>
        <v>10.353846153846154</v>
      </c>
      <c r="CA538" s="449">
        <f t="shared" si="903"/>
        <v>0.19999999999999996</v>
      </c>
      <c r="CB538" s="449">
        <f t="shared" si="903"/>
        <v>0.52173913043478271</v>
      </c>
      <c r="CC538" s="449">
        <f t="shared" si="903"/>
        <v>0</v>
      </c>
      <c r="CD538" s="449">
        <f t="shared" si="903"/>
        <v>-0.89837398373983746</v>
      </c>
      <c r="CE538" s="449">
        <f t="shared" si="903"/>
        <v>-0.13888888888888884</v>
      </c>
      <c r="CF538" s="449">
        <f t="shared" si="903"/>
        <v>-0.82857142857142851</v>
      </c>
      <c r="CG538" s="449">
        <f t="shared" si="903"/>
        <v>-1.1735537190082646</v>
      </c>
      <c r="CH538" s="449">
        <f t="shared" si="903"/>
        <v>-0.48</v>
      </c>
      <c r="CI538" s="449">
        <f t="shared" si="903"/>
        <v>-9.6774193548387122E-2</v>
      </c>
      <c r="CT538" s="483"/>
      <c r="CU538" s="483"/>
      <c r="CV538" s="483"/>
      <c r="CW538" s="483"/>
      <c r="CX538" s="483"/>
      <c r="CY538" s="483"/>
      <c r="CZ538" s="483"/>
      <c r="DA538" s="483"/>
      <c r="DB538" s="483"/>
      <c r="DC538" s="483"/>
      <c r="DD538" s="483"/>
      <c r="DE538" s="483"/>
      <c r="DF538" s="483"/>
      <c r="DG538" s="483"/>
      <c r="DH538" s="483"/>
      <c r="DI538" s="483"/>
      <c r="DJ538" s="485"/>
      <c r="DK538" s="485"/>
      <c r="DL538" s="485"/>
      <c r="DM538" s="485"/>
      <c r="DN538" s="485"/>
      <c r="DO538" s="485"/>
      <c r="DP538" s="485"/>
      <c r="DQ538" s="485"/>
      <c r="DR538" s="485"/>
      <c r="DS538" s="485"/>
      <c r="DT538" s="485"/>
      <c r="DU538" s="485"/>
      <c r="DV538" s="485"/>
      <c r="DW538" s="485"/>
      <c r="DX538" s="483"/>
      <c r="DY538" s="483"/>
      <c r="DZ538" s="483"/>
      <c r="EA538" s="483"/>
      <c r="EB538" s="483"/>
      <c r="EC538" s="483"/>
      <c r="ED538" s="483"/>
      <c r="EE538" s="483"/>
      <c r="EF538" s="483"/>
      <c r="EG538" s="483"/>
      <c r="EH538" s="483"/>
      <c r="EI538" s="483"/>
      <c r="EJ538" s="483"/>
      <c r="EK538" s="483"/>
      <c r="EL538" s="483"/>
      <c r="EM538" s="483"/>
      <c r="EN538" s="483"/>
      <c r="EO538" s="483"/>
      <c r="EP538" s="483"/>
      <c r="EQ538" s="483"/>
      <c r="ER538" s="483"/>
      <c r="ES538" s="483"/>
      <c r="ET538" s="483"/>
      <c r="EU538" s="483"/>
      <c r="EV538" s="483"/>
      <c r="EW538" s="483"/>
      <c r="FR538" s="449">
        <f>FR536/FQ536-1</f>
        <v>-2.4058823529411764</v>
      </c>
      <c r="FS538" s="449">
        <f>FS536/FR536-1</f>
        <v>2.8912133891213387</v>
      </c>
      <c r="FT538" s="449">
        <f>FT536/FS536-1</f>
        <v>-0.90215053763440856</v>
      </c>
      <c r="GN538" s="70"/>
    </row>
    <row r="539" spans="1:196" s="418" customFormat="1" hidden="1" outlineLevel="1">
      <c r="A539" s="516" t="s">
        <v>315</v>
      </c>
      <c r="BR539" s="449">
        <f>BR536/BR533</f>
        <v>-2.2000000000000002</v>
      </c>
      <c r="BS539" s="449">
        <f t="shared" ref="BS539:CI539" si="904">BS536/BS533</f>
        <v>-36</v>
      </c>
      <c r="BT539" s="449">
        <f t="shared" si="904"/>
        <v>-18.5</v>
      </c>
      <c r="BU539" s="449">
        <f t="shared" si="904"/>
        <v>42.333333333333336</v>
      </c>
      <c r="BV539" s="449" t="e">
        <f t="shared" si="904"/>
        <v>#DIV/0!</v>
      </c>
      <c r="BW539" s="449" t="e">
        <f t="shared" si="904"/>
        <v>#DIV/0!</v>
      </c>
      <c r="BX539" s="449">
        <f t="shared" si="904"/>
        <v>-23</v>
      </c>
      <c r="BY539" s="449" t="e">
        <f t="shared" si="904"/>
        <v>#DIV/0!</v>
      </c>
      <c r="BZ539" s="449" t="e">
        <f t="shared" si="904"/>
        <v>#DIV/0!</v>
      </c>
      <c r="CA539" s="449" t="e">
        <f t="shared" si="904"/>
        <v>#DIV/0!</v>
      </c>
      <c r="CB539" s="449" t="e">
        <f t="shared" si="904"/>
        <v>#DIV/0!</v>
      </c>
      <c r="CC539" s="449" t="e">
        <f t="shared" si="904"/>
        <v>#DIV/0!</v>
      </c>
      <c r="CD539" s="449" t="e">
        <f t="shared" si="904"/>
        <v>#DIV/0!</v>
      </c>
      <c r="CE539" s="449" t="e">
        <f t="shared" si="904"/>
        <v>#DIV/0!</v>
      </c>
      <c r="CF539" s="449" t="e">
        <f t="shared" si="904"/>
        <v>#DIV/0!</v>
      </c>
      <c r="CG539" s="449">
        <f t="shared" si="904"/>
        <v>10.5</v>
      </c>
      <c r="CH539" s="449" t="e">
        <f t="shared" si="904"/>
        <v>#DIV/0!</v>
      </c>
      <c r="CI539" s="449" t="e">
        <f t="shared" si="904"/>
        <v>#DIV/0!</v>
      </c>
      <c r="CT539" s="483"/>
      <c r="CU539" s="483"/>
      <c r="CV539" s="483"/>
      <c r="CW539" s="483"/>
      <c r="CX539" s="483"/>
      <c r="CY539" s="483"/>
      <c r="CZ539" s="483"/>
      <c r="DA539" s="483"/>
      <c r="DB539" s="483"/>
      <c r="DC539" s="483"/>
      <c r="DD539" s="483"/>
      <c r="DE539" s="483"/>
      <c r="DF539" s="483"/>
      <c r="DG539" s="483"/>
      <c r="DH539" s="483"/>
      <c r="DI539" s="483"/>
      <c r="DJ539" s="485"/>
      <c r="DK539" s="485"/>
      <c r="DL539" s="485"/>
      <c r="DM539" s="485"/>
      <c r="DN539" s="485"/>
      <c r="DO539" s="485"/>
      <c r="DP539" s="485"/>
      <c r="DQ539" s="485"/>
      <c r="DR539" s="485"/>
      <c r="DS539" s="485"/>
      <c r="DT539" s="485"/>
      <c r="DU539" s="485"/>
      <c r="DV539" s="485"/>
      <c r="DW539" s="485"/>
      <c r="DX539" s="483"/>
      <c r="DY539" s="483"/>
      <c r="DZ539" s="483"/>
      <c r="EA539" s="483"/>
      <c r="EB539" s="483"/>
      <c r="EC539" s="483"/>
      <c r="ED539" s="483"/>
      <c r="EE539" s="483"/>
      <c r="EF539" s="483"/>
      <c r="EG539" s="483"/>
      <c r="EH539" s="483"/>
      <c r="EI539" s="483"/>
      <c r="EJ539" s="483"/>
      <c r="EK539" s="483"/>
      <c r="EL539" s="483"/>
      <c r="EM539" s="483"/>
      <c r="EN539" s="483"/>
      <c r="EO539" s="483"/>
      <c r="EP539" s="483"/>
      <c r="EQ539" s="483"/>
      <c r="ER539" s="483"/>
      <c r="ES539" s="483"/>
      <c r="ET539" s="483"/>
      <c r="EU539" s="483"/>
      <c r="EV539" s="483"/>
      <c r="EW539" s="483"/>
      <c r="FQ539" s="449"/>
      <c r="FR539" s="449"/>
      <c r="FS539" s="449"/>
      <c r="FT539" s="449"/>
      <c r="GN539" s="70"/>
    </row>
    <row r="540" spans="1:196" s="418" customFormat="1" collapsed="1">
      <c r="CT540" s="483"/>
      <c r="CU540" s="483"/>
      <c r="CV540" s="483"/>
      <c r="CW540" s="483"/>
      <c r="CX540" s="483"/>
      <c r="CY540" s="483"/>
      <c r="CZ540" s="483"/>
      <c r="DA540" s="483"/>
      <c r="DB540" s="483"/>
      <c r="DC540" s="483"/>
      <c r="DD540" s="483"/>
      <c r="DE540" s="483"/>
      <c r="DF540" s="483"/>
      <c r="DG540" s="483"/>
      <c r="DH540" s="483"/>
      <c r="DI540" s="483"/>
      <c r="DJ540" s="485"/>
      <c r="DK540" s="485"/>
      <c r="DL540" s="485"/>
      <c r="DM540" s="485"/>
      <c r="DN540" s="485"/>
      <c r="DO540" s="485"/>
      <c r="DP540" s="485"/>
      <c r="DQ540" s="485"/>
      <c r="DR540" s="485"/>
      <c r="DS540" s="485"/>
      <c r="DT540" s="485"/>
      <c r="DU540" s="485"/>
      <c r="DV540" s="485"/>
      <c r="DW540" s="485"/>
      <c r="DX540" s="483"/>
      <c r="DY540" s="483"/>
      <c r="DZ540" s="483"/>
      <c r="EA540" s="483"/>
      <c r="EB540" s="483"/>
      <c r="EC540" s="483"/>
      <c r="ED540" s="483"/>
      <c r="EE540" s="483"/>
      <c r="EF540" s="483"/>
      <c r="EG540" s="483"/>
      <c r="EH540" s="483"/>
      <c r="EI540" s="483"/>
      <c r="EJ540" s="483"/>
      <c r="EK540" s="483"/>
      <c r="EL540" s="483"/>
      <c r="EM540" s="483"/>
      <c r="EN540" s="483"/>
      <c r="EO540" s="483"/>
      <c r="EP540" s="483"/>
      <c r="EQ540" s="483"/>
      <c r="ER540" s="483"/>
      <c r="ES540" s="483"/>
      <c r="ET540" s="483"/>
      <c r="EU540" s="483"/>
      <c r="EV540" s="483"/>
      <c r="EW540" s="483"/>
      <c r="GN540" s="70"/>
    </row>
    <row r="541" spans="1:196" s="418" customFormat="1">
      <c r="CT541" s="483"/>
      <c r="CU541" s="483"/>
      <c r="CV541" s="483"/>
      <c r="CW541" s="483"/>
      <c r="CX541" s="483"/>
      <c r="CY541" s="483"/>
      <c r="CZ541" s="483"/>
      <c r="DA541" s="483"/>
      <c r="DB541" s="483"/>
      <c r="DC541" s="483"/>
      <c r="DD541" s="483"/>
      <c r="DE541" s="483"/>
      <c r="DF541" s="483"/>
      <c r="DG541" s="483"/>
      <c r="DH541" s="483"/>
      <c r="DI541" s="483"/>
      <c r="DJ541" s="485"/>
      <c r="DK541" s="485"/>
      <c r="DL541" s="485"/>
      <c r="DM541" s="485"/>
      <c r="DN541" s="485"/>
      <c r="DO541" s="485"/>
      <c r="DP541" s="485"/>
      <c r="DQ541" s="485"/>
      <c r="DR541" s="485"/>
      <c r="DS541" s="485"/>
      <c r="DT541" s="485"/>
      <c r="DU541" s="485"/>
      <c r="DV541" s="485"/>
      <c r="DW541" s="485"/>
      <c r="DX541" s="483"/>
      <c r="DY541" s="483"/>
      <c r="DZ541" s="483"/>
      <c r="EA541" s="483"/>
      <c r="EB541" s="483"/>
      <c r="EC541" s="483"/>
      <c r="ED541" s="483"/>
      <c r="EE541" s="483"/>
      <c r="EF541" s="483"/>
      <c r="EG541" s="483"/>
      <c r="EH541" s="483"/>
      <c r="EI541" s="483"/>
      <c r="EJ541" s="483"/>
      <c r="EK541" s="483"/>
      <c r="EL541" s="483"/>
      <c r="EM541" s="483"/>
      <c r="EN541" s="483"/>
      <c r="EO541" s="483"/>
      <c r="EP541" s="483"/>
      <c r="EQ541" s="483"/>
      <c r="ER541" s="483"/>
      <c r="ES541" s="483"/>
      <c r="ET541" s="483"/>
      <c r="EU541" s="483"/>
      <c r="EV541" s="483"/>
      <c r="EW541" s="483"/>
      <c r="GN541" s="70"/>
    </row>
    <row r="542" spans="1:196" s="418" customFormat="1">
      <c r="A542" s="514"/>
      <c r="CT542" s="483"/>
      <c r="CU542" s="483"/>
      <c r="CV542" s="483"/>
      <c r="CW542" s="483"/>
      <c r="CX542" s="483"/>
      <c r="CY542" s="483"/>
      <c r="CZ542" s="483"/>
      <c r="DA542" s="483"/>
      <c r="DB542" s="483"/>
      <c r="DC542" s="483"/>
      <c r="DD542" s="483"/>
      <c r="DE542" s="483"/>
      <c r="DF542" s="483"/>
      <c r="DG542" s="483"/>
      <c r="DH542" s="483"/>
      <c r="DI542" s="483"/>
      <c r="DJ542" s="485"/>
      <c r="DK542" s="485"/>
      <c r="DL542" s="485"/>
      <c r="DM542" s="485"/>
      <c r="DN542" s="485"/>
      <c r="DO542" s="485"/>
      <c r="DP542" s="485"/>
      <c r="DQ542" s="485"/>
      <c r="DR542" s="485"/>
      <c r="DS542" s="485"/>
      <c r="DT542" s="485"/>
      <c r="DU542" s="485"/>
      <c r="DV542" s="485"/>
      <c r="DW542" s="485"/>
      <c r="DX542" s="483"/>
      <c r="DY542" s="483"/>
      <c r="DZ542" s="483"/>
      <c r="EA542" s="483"/>
      <c r="EB542" s="483"/>
      <c r="EC542" s="483"/>
      <c r="ED542" s="483"/>
      <c r="EE542" s="483"/>
      <c r="EF542" s="483"/>
      <c r="EG542" s="483"/>
      <c r="EH542" s="483"/>
      <c r="EI542" s="483"/>
      <c r="EJ542" s="483"/>
      <c r="EK542" s="483"/>
      <c r="EL542" s="483"/>
      <c r="EM542" s="483"/>
      <c r="EN542" s="483"/>
      <c r="EO542" s="483"/>
      <c r="EP542" s="483"/>
      <c r="EQ542" s="483"/>
      <c r="ER542" s="483"/>
      <c r="ES542" s="483"/>
      <c r="ET542" s="483"/>
      <c r="EU542" s="483"/>
      <c r="EV542" s="483"/>
      <c r="EW542" s="483"/>
      <c r="GN542" s="70"/>
    </row>
    <row r="543" spans="1:196">
      <c r="GN543" s="48"/>
    </row>
    <row r="544" spans="1:196">
      <c r="GN544" s="48"/>
    </row>
    <row r="545" spans="196:196">
      <c r="GN545" s="48"/>
    </row>
    <row r="546" spans="196:196">
      <c r="GN546" s="48"/>
    </row>
    <row r="547" spans="196:196">
      <c r="GN547" s="48"/>
    </row>
    <row r="548" spans="196:196">
      <c r="GN548" s="48"/>
    </row>
    <row r="549" spans="196:196">
      <c r="GN549" s="48"/>
    </row>
    <row r="550" spans="196:196">
      <c r="GN550" s="48"/>
    </row>
    <row r="551" spans="196:196">
      <c r="GN551" s="48"/>
    </row>
    <row r="552" spans="196:196">
      <c r="GN552" s="48"/>
    </row>
    <row r="553" spans="196:196">
      <c r="GN553" s="48"/>
    </row>
    <row r="554" spans="196:196">
      <c r="GN554" s="48"/>
    </row>
    <row r="555" spans="196:196">
      <c r="GN555" s="48"/>
    </row>
    <row r="556" spans="196:196">
      <c r="GN556" s="48"/>
    </row>
    <row r="557" spans="196:196">
      <c r="GN557" s="48"/>
    </row>
    <row r="558" spans="196:196">
      <c r="GN558" s="48"/>
    </row>
    <row r="559" spans="196:196">
      <c r="GN559" s="48"/>
    </row>
    <row r="560" spans="196:196">
      <c r="GN560" s="48"/>
    </row>
    <row r="561" spans="196:196">
      <c r="GN561" s="48"/>
    </row>
    <row r="562" spans="196:196">
      <c r="GN562" s="48"/>
    </row>
    <row r="563" spans="196:196">
      <c r="GN563" s="48"/>
    </row>
    <row r="564" spans="196:196">
      <c r="GN564" s="48"/>
    </row>
    <row r="565" spans="196:196">
      <c r="GN565" s="48"/>
    </row>
    <row r="566" spans="196:196">
      <c r="GN566" s="48"/>
    </row>
    <row r="567" spans="196:196">
      <c r="GN567" s="48"/>
    </row>
    <row r="568" spans="196:196">
      <c r="GN568" s="48"/>
    </row>
    <row r="569" spans="196:196">
      <c r="GN569" s="48"/>
    </row>
    <row r="570" spans="196:196">
      <c r="GN570" s="48"/>
    </row>
    <row r="571" spans="196:196">
      <c r="GN571" s="48"/>
    </row>
    <row r="572" spans="196:196">
      <c r="GN572" s="48"/>
    </row>
    <row r="573" spans="196:196">
      <c r="GN573" s="48"/>
    </row>
    <row r="574" spans="196:196">
      <c r="GN574" s="48"/>
    </row>
    <row r="575" spans="196:196">
      <c r="GN575" s="48"/>
    </row>
    <row r="576" spans="196:196">
      <c r="GN576" s="48"/>
    </row>
    <row r="577" spans="196:196">
      <c r="GN577" s="48"/>
    </row>
    <row r="578" spans="196:196">
      <c r="GN578" s="48"/>
    </row>
    <row r="579" spans="196:196">
      <c r="GN579" s="48"/>
    </row>
  </sheetData>
  <printOptions horizontalCentered="1" verticalCentered="1"/>
  <pageMargins left="0.25" right="0.25" top="0.75" bottom="0.75" header="0.3" footer="0.3"/>
  <pageSetup scale="10" orientation="landscape" r:id="rId1"/>
  <customProperties>
    <customPr name="Qube.Worksheet.Visibility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C245-FC90-48A1-B48E-04B7412833AC}">
  <sheetPr codeName="Sheet2">
    <tabColor theme="1"/>
    <pageSetUpPr fitToPage="1"/>
  </sheetPr>
  <dimension ref="A1:IB429"/>
  <sheetViews>
    <sheetView zoomScaleNormal="100" zoomScaleSheetLayoutView="85" workbookViewId="0">
      <pane xSplit="1" ySplit="5" topLeftCell="FJ6" activePane="bottomRight" state="frozen"/>
      <selection activeCell="F32" sqref="F32"/>
      <selection pane="topRight" activeCell="F32" sqref="F32"/>
      <selection pane="bottomLeft" activeCell="F32" sqref="F32"/>
      <selection pane="bottomRight" activeCell="GI9" sqref="GI9"/>
    </sheetView>
  </sheetViews>
  <sheetFormatPr defaultColWidth="9.1640625" defaultRowHeight="12.75" outlineLevelRow="3" outlineLevelCol="1"/>
  <cols>
    <col min="1" max="1" width="41.83203125" style="166" customWidth="1"/>
    <col min="2" max="2" width="10.6640625" style="166" hidden="1" customWidth="1" outlineLevel="1"/>
    <col min="3" max="5" width="9.1640625" style="166" hidden="1" customWidth="1" outlineLevel="1"/>
    <col min="6" max="6" width="9.1640625" style="166" customWidth="1" collapsed="1"/>
    <col min="7" max="7" width="10.6640625" style="166" hidden="1" customWidth="1" outlineLevel="1"/>
    <col min="8" max="10" width="9.1640625" style="166" hidden="1" customWidth="1" outlineLevel="1"/>
    <col min="11" max="11" width="9.1640625" style="166" customWidth="1" collapsed="1"/>
    <col min="12" max="12" width="10.6640625" style="166" hidden="1" customWidth="1" outlineLevel="1"/>
    <col min="13" max="15" width="9.1640625" style="166" hidden="1" customWidth="1" outlineLevel="1"/>
    <col min="16" max="16" width="9.1640625" style="166" customWidth="1" collapsed="1"/>
    <col min="17" max="17" width="10.6640625" style="166" hidden="1" customWidth="1" outlineLevel="1"/>
    <col min="18" max="20" width="9.1640625" style="166" hidden="1" customWidth="1" outlineLevel="1"/>
    <col min="21" max="21" width="9.1640625" style="166" customWidth="1" collapsed="1"/>
    <col min="22" max="25" width="9.1640625" style="166" hidden="1" customWidth="1" outlineLevel="1"/>
    <col min="26" max="26" width="9.1640625" style="166" customWidth="1" collapsed="1"/>
    <col min="27" max="30" width="9.1640625" style="166" hidden="1" customWidth="1" outlineLevel="1"/>
    <col min="31" max="31" width="6.1640625" style="166" customWidth="1" collapsed="1"/>
    <col min="32" max="35" width="10.6640625" style="166" hidden="1" customWidth="1" outlineLevel="1"/>
    <col min="36" max="36" width="10.6640625" style="166" customWidth="1" collapsed="1"/>
    <col min="37" max="40" width="10.6640625" style="166" hidden="1" customWidth="1" outlineLevel="1"/>
    <col min="41" max="41" width="10.6640625" style="169" customWidth="1" collapsed="1"/>
    <col min="42" max="45" width="10.6640625" style="166" hidden="1" customWidth="1" outlineLevel="1"/>
    <col min="46" max="46" width="10.6640625" style="169" customWidth="1" collapsed="1"/>
    <col min="47" max="50" width="10.6640625" style="166" hidden="1" customWidth="1" outlineLevel="1"/>
    <col min="51" max="51" width="10.6640625" style="169" customWidth="1" collapsed="1"/>
    <col min="52" max="55" width="10.6640625" style="166" hidden="1" customWidth="1" outlineLevel="1"/>
    <col min="56" max="56" width="10.6640625" style="169" customWidth="1" collapsed="1"/>
    <col min="57" max="60" width="10.6640625" style="166" hidden="1" customWidth="1" outlineLevel="1"/>
    <col min="61" max="61" width="10.6640625" style="169" customWidth="1" collapsed="1"/>
    <col min="62" max="65" width="10.6640625" style="166" hidden="1" customWidth="1" outlineLevel="1"/>
    <col min="66" max="66" width="10.6640625" style="169" customWidth="1" collapsed="1"/>
    <col min="67" max="70" width="10.6640625" style="166" hidden="1" customWidth="1" outlineLevel="1"/>
    <col min="71" max="71" width="10.6640625" style="169" customWidth="1" collapsed="1"/>
    <col min="72" max="75" width="10.6640625" style="166" hidden="1" customWidth="1" outlineLevel="1"/>
    <col min="76" max="76" width="10.6640625" style="169" customWidth="1" collapsed="1"/>
    <col min="77" max="80" width="10.6640625" style="166" hidden="1" customWidth="1" outlineLevel="1"/>
    <col min="81" max="81" width="10.6640625" style="169" customWidth="1" collapsed="1"/>
    <col min="82" max="85" width="10.6640625" style="166" hidden="1" customWidth="1" outlineLevel="1"/>
    <col min="86" max="86" width="10.6640625" style="169" customWidth="1" collapsed="1"/>
    <col min="87" max="90" width="10.6640625" style="166" hidden="1" customWidth="1" outlineLevel="1"/>
    <col min="91" max="91" width="10.6640625" style="169" customWidth="1" collapsed="1"/>
    <col min="92" max="95" width="10.6640625" style="166" hidden="1" customWidth="1" outlineLevel="1"/>
    <col min="96" max="96" width="10.6640625" style="166" customWidth="1" collapsed="1"/>
    <col min="97" max="100" width="10.6640625" style="166" hidden="1" customWidth="1" outlineLevel="1"/>
    <col min="101" max="101" width="10.6640625" style="166" customWidth="1" collapsed="1"/>
    <col min="102" max="105" width="10.6640625" style="166" hidden="1" customWidth="1" outlineLevel="1"/>
    <col min="106" max="106" width="10.6640625" style="169" customWidth="1" collapsed="1"/>
    <col min="107" max="110" width="10.6640625" style="166" hidden="1" customWidth="1" outlineLevel="1"/>
    <col min="111" max="111" width="10.6640625" style="169" customWidth="1" collapsed="1"/>
    <col min="112" max="115" width="10.6640625" style="166" hidden="1" customWidth="1" outlineLevel="1"/>
    <col min="116" max="116" width="10.6640625" style="169" customWidth="1" collapsed="1"/>
    <col min="117" max="120" width="10.6640625" style="166" hidden="1" customWidth="1" outlineLevel="1"/>
    <col min="121" max="121" width="10.6640625" style="169" customWidth="1" collapsed="1"/>
    <col min="122" max="125" width="10.6640625" style="166" hidden="1" customWidth="1" outlineLevel="1"/>
    <col min="126" max="126" width="10.6640625" style="169" customWidth="1" collapsed="1"/>
    <col min="127" max="130" width="10.6640625" style="166" hidden="1" customWidth="1" outlineLevel="1"/>
    <col min="131" max="131" width="10.6640625" style="169" customWidth="1" collapsed="1"/>
    <col min="132" max="135" width="10.6640625" style="166" hidden="1" customWidth="1" outlineLevel="1"/>
    <col min="136" max="136" width="10.6640625" style="169" customWidth="1" collapsed="1"/>
    <col min="137" max="140" width="10.6640625" style="166" hidden="1" customWidth="1" outlineLevel="1"/>
    <col min="141" max="141" width="10.6640625" style="169" customWidth="1" collapsed="1"/>
    <col min="142" max="145" width="10.6640625" style="166" hidden="1" customWidth="1" outlineLevel="1"/>
    <col min="146" max="146" width="10.6640625" style="169" customWidth="1" collapsed="1"/>
    <col min="147" max="150" width="10.6640625" style="169" hidden="1" customWidth="1" outlineLevel="1"/>
    <col min="151" max="151" width="10.6640625" style="169" customWidth="1" collapsed="1"/>
    <col min="152" max="155" width="10.83203125" style="169" hidden="1" customWidth="1" outlineLevel="1"/>
    <col min="156" max="156" width="10.6640625" style="169" customWidth="1" collapsed="1"/>
    <col min="157" max="160" width="10.6640625" style="169" hidden="1" customWidth="1" outlineLevel="1"/>
    <col min="161" max="161" width="9" style="169" bestFit="1" customWidth="1" collapsed="1"/>
    <col min="162" max="162" width="9.1640625" style="169" hidden="1" customWidth="1" outlineLevel="1"/>
    <col min="163" max="164" width="9" style="169" hidden="1" customWidth="1" outlineLevel="1"/>
    <col min="165" max="165" width="9.6640625" style="169" hidden="1" customWidth="1" outlineLevel="1"/>
    <col min="166" max="166" width="9.6640625" style="169" bestFit="1" customWidth="1" collapsed="1"/>
    <col min="167" max="167" width="9" style="169" hidden="1" customWidth="1" outlineLevel="1"/>
    <col min="168" max="170" width="9.6640625" style="169" hidden="1" customWidth="1" outlineLevel="1"/>
    <col min="171" max="171" width="9.6640625" style="169" bestFit="1" customWidth="1" collapsed="1"/>
    <col min="172" max="173" width="10.1640625" style="169" hidden="1" customWidth="1" outlineLevel="1"/>
    <col min="174" max="175" width="10.33203125" style="169" hidden="1" customWidth="1" outlineLevel="1"/>
    <col min="176" max="176" width="10.1640625" style="169" bestFit="1" customWidth="1" collapsed="1"/>
    <col min="177" max="178" width="10.1640625" style="169" hidden="1" customWidth="1" outlineLevel="1"/>
    <col min="179" max="180" width="10.33203125" style="169" hidden="1" customWidth="1" outlineLevel="1"/>
    <col min="181" max="181" width="10.1640625" style="169" bestFit="1" customWidth="1" collapsed="1"/>
    <col min="182" max="182" width="10.1640625" style="169" hidden="1" customWidth="1" outlineLevel="1"/>
    <col min="183" max="184" width="10.33203125" style="169" hidden="1" customWidth="1" outlineLevel="1"/>
    <col min="185" max="185" width="10.1640625" style="169" hidden="1" customWidth="1" outlineLevel="1"/>
    <col min="186" max="186" width="10.1640625" style="169" bestFit="1" customWidth="1" collapsed="1"/>
    <col min="187" max="190" width="10.1640625" style="169" customWidth="1" outlineLevel="1"/>
    <col min="191" max="191" width="10.1640625" style="169" bestFit="1" customWidth="1"/>
    <col min="192" max="192" width="10.1640625" style="169" customWidth="1" outlineLevel="1"/>
    <col min="193" max="193" width="11.5" style="169" customWidth="1" outlineLevel="1"/>
    <col min="194" max="202" width="10.1640625" style="169" bestFit="1" customWidth="1"/>
    <col min="203" max="206" width="11.5" style="169" bestFit="1" customWidth="1"/>
    <col min="207" max="207" width="11.33203125" style="169" bestFit="1" customWidth="1"/>
    <col min="208" max="211" width="11.5" style="169" bestFit="1" customWidth="1"/>
    <col min="212" max="212" width="11.33203125" style="169" bestFit="1" customWidth="1"/>
    <col min="213" max="216" width="11.5" style="169" bestFit="1" customWidth="1"/>
    <col min="217" max="217" width="11.33203125" style="169" bestFit="1" customWidth="1"/>
    <col min="218" max="221" width="11.5" style="169" bestFit="1" customWidth="1"/>
    <col min="222" max="222" width="10.1640625" style="169" customWidth="1"/>
    <col min="223" max="223" width="9.1640625" style="169" customWidth="1"/>
    <col min="224" max="224" width="9.1640625" style="174"/>
    <col min="225" max="225" width="39.1640625" style="166" customWidth="1"/>
    <col min="226" max="226" width="11.5" style="174" bestFit="1" customWidth="1"/>
    <col min="227" max="227" width="11.6640625" style="174" bestFit="1" customWidth="1"/>
    <col min="228" max="228" width="12.33203125" style="174" bestFit="1" customWidth="1"/>
    <col min="229" max="229" width="10.33203125" style="174" customWidth="1"/>
    <col min="230" max="230" width="9.6640625" style="174" bestFit="1" customWidth="1"/>
    <col min="231" max="232" width="14.6640625" style="174" customWidth="1"/>
    <col min="233" max="234" width="9.1640625" style="166"/>
    <col min="235" max="235" width="22" style="166" bestFit="1" customWidth="1"/>
    <col min="236" max="16384" width="9.1640625" style="166"/>
  </cols>
  <sheetData>
    <row r="1" spans="1:236">
      <c r="A1" s="166" t="s">
        <v>340</v>
      </c>
      <c r="EK1" s="170"/>
      <c r="EL1" s="171"/>
      <c r="EM1" s="171"/>
      <c r="EN1" s="171"/>
      <c r="EO1" s="171"/>
      <c r="EP1" s="170"/>
      <c r="EQ1" s="171"/>
      <c r="ER1" s="171"/>
      <c r="ES1" s="171"/>
      <c r="ET1" s="171"/>
      <c r="EV1" s="171"/>
      <c r="EW1" s="171"/>
      <c r="EX1" s="171"/>
      <c r="EY1" s="171"/>
      <c r="FA1" s="171"/>
      <c r="FB1" s="171"/>
      <c r="FC1" s="171"/>
      <c r="FD1" s="171"/>
      <c r="FF1" s="171"/>
      <c r="FG1" s="171"/>
      <c r="FH1" s="171"/>
      <c r="FI1" s="171"/>
      <c r="FW1" s="172"/>
      <c r="FX1" s="172"/>
      <c r="HP1" s="173"/>
    </row>
    <row r="2" spans="1:236">
      <c r="A2" s="166" t="s">
        <v>2</v>
      </c>
      <c r="DZ2" s="169"/>
      <c r="EC2" s="175"/>
      <c r="ED2" s="171"/>
      <c r="EE2" s="171"/>
      <c r="EF2" s="176"/>
      <c r="EG2" s="177"/>
      <c r="EH2" s="178"/>
      <c r="EI2" s="179"/>
      <c r="EJ2" s="178"/>
      <c r="EK2" s="176"/>
      <c r="EL2" s="180"/>
      <c r="EM2" s="180"/>
      <c r="EN2" s="180"/>
      <c r="EO2" s="180"/>
      <c r="EP2" s="180"/>
      <c r="EQ2" s="180"/>
      <c r="ER2" s="180"/>
      <c r="ES2" s="180"/>
      <c r="ET2" s="180"/>
      <c r="EU2" s="180"/>
      <c r="EV2" s="180"/>
      <c r="EW2" s="180"/>
      <c r="EX2" s="180"/>
      <c r="EY2" s="180"/>
      <c r="EZ2" s="180"/>
      <c r="FA2" s="180"/>
      <c r="FB2" s="180"/>
      <c r="FC2" s="180"/>
      <c r="FD2" s="180"/>
      <c r="FE2" s="180"/>
      <c r="FF2" s="180"/>
      <c r="FG2" s="180"/>
      <c r="FH2" s="180"/>
      <c r="FI2" s="180"/>
      <c r="FJ2" s="180"/>
      <c r="FK2" s="180"/>
      <c r="FL2" s="180"/>
      <c r="FM2" s="180"/>
      <c r="FN2" s="180"/>
      <c r="FO2" s="180"/>
      <c r="FP2" s="180"/>
      <c r="FQ2" s="180"/>
      <c r="FR2" s="180"/>
      <c r="FS2" s="181"/>
      <c r="FT2" s="180"/>
      <c r="FU2" s="180"/>
      <c r="FV2" s="180"/>
      <c r="FW2" s="182"/>
      <c r="FX2" s="182"/>
      <c r="FY2" s="180"/>
      <c r="FZ2" s="180"/>
      <c r="GA2" s="180"/>
      <c r="GB2" s="180"/>
      <c r="GC2" s="180"/>
      <c r="GD2" s="180"/>
      <c r="GE2" s="180"/>
      <c r="GF2" s="180"/>
      <c r="GG2" s="180"/>
      <c r="GH2" s="180"/>
      <c r="GI2" s="180"/>
      <c r="GJ2" s="180"/>
      <c r="GK2" s="180"/>
      <c r="GL2" s="180"/>
      <c r="GM2" s="180"/>
      <c r="GN2" s="180"/>
      <c r="GO2" s="180"/>
      <c r="GP2" s="180"/>
      <c r="GQ2" s="180"/>
      <c r="GR2" s="180"/>
      <c r="GS2" s="180"/>
      <c r="GT2" s="180"/>
      <c r="GU2" s="180"/>
      <c r="GV2" s="180"/>
      <c r="GW2" s="180"/>
      <c r="GX2" s="180"/>
      <c r="GY2" s="180"/>
      <c r="GZ2" s="180"/>
      <c r="HA2" s="180"/>
      <c r="HB2" s="180"/>
      <c r="HC2" s="180"/>
      <c r="HD2" s="180"/>
      <c r="HE2" s="180"/>
      <c r="HF2" s="180"/>
      <c r="HG2" s="180"/>
      <c r="HH2" s="180"/>
      <c r="HI2" s="180"/>
      <c r="HJ2" s="180"/>
      <c r="HK2" s="180"/>
      <c r="HL2" s="180"/>
      <c r="HM2" s="180"/>
      <c r="HN2" s="183"/>
    </row>
    <row r="3" spans="1:236">
      <c r="DK3" s="184"/>
      <c r="DW3" s="175"/>
      <c r="DZ3" s="175"/>
      <c r="EB3" s="175"/>
      <c r="EC3" s="175"/>
      <c r="ED3" s="185"/>
      <c r="EE3" s="185"/>
      <c r="EF3" s="186"/>
      <c r="EG3" s="171"/>
      <c r="EH3" s="171"/>
      <c r="EI3" s="171"/>
      <c r="EJ3" s="171"/>
      <c r="EK3" s="186"/>
      <c r="EL3" s="180"/>
      <c r="EM3" s="187"/>
      <c r="EN3" s="187"/>
      <c r="EO3" s="187"/>
      <c r="EP3" s="172"/>
      <c r="EQ3" s="187"/>
      <c r="ER3" s="187"/>
      <c r="ES3" s="187"/>
      <c r="ET3" s="187"/>
      <c r="EV3" s="187"/>
      <c r="EW3" s="187"/>
      <c r="EX3" s="187"/>
      <c r="EY3" s="187"/>
      <c r="FA3" s="187"/>
      <c r="FB3" s="187"/>
      <c r="FC3" s="187"/>
      <c r="FD3" s="187"/>
      <c r="FF3" s="187"/>
      <c r="FG3" s="187"/>
      <c r="FH3" s="187"/>
      <c r="FI3" s="187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P3" s="188"/>
    </row>
    <row r="4" spans="1:236">
      <c r="A4" s="189" t="s">
        <v>14</v>
      </c>
      <c r="AO4" s="166"/>
      <c r="AT4" s="166"/>
      <c r="AY4" s="166"/>
      <c r="BD4" s="166"/>
      <c r="BI4" s="166"/>
      <c r="BN4" s="166"/>
      <c r="BS4" s="166"/>
      <c r="BX4" s="166"/>
      <c r="CC4" s="166"/>
      <c r="CH4" s="166"/>
      <c r="CM4" s="166"/>
      <c r="DB4" s="166"/>
      <c r="DG4" s="166"/>
      <c r="DH4" s="190"/>
      <c r="DI4" s="190"/>
      <c r="DJ4" s="191"/>
      <c r="DK4" s="192"/>
      <c r="DL4" s="193"/>
      <c r="DM4" s="190"/>
      <c r="DN4" s="194"/>
      <c r="DO4" s="191"/>
      <c r="DP4" s="192"/>
      <c r="DQ4" s="193"/>
      <c r="DR4" s="195"/>
      <c r="DS4" s="191"/>
      <c r="DT4" s="196"/>
      <c r="DU4" s="192"/>
      <c r="DV4" s="193"/>
      <c r="DW4" s="191"/>
      <c r="DX4" s="191"/>
      <c r="DY4" s="197"/>
      <c r="DZ4" s="192"/>
      <c r="EA4" s="193"/>
      <c r="EB4" s="190"/>
      <c r="EC4" s="198"/>
      <c r="ED4" s="190"/>
      <c r="EE4" s="192"/>
      <c r="EF4" s="193"/>
      <c r="EG4" s="190"/>
      <c r="EH4" s="190"/>
      <c r="EI4" s="190"/>
      <c r="EJ4" s="192"/>
      <c r="EK4" s="199"/>
      <c r="EL4" s="190"/>
      <c r="EM4" s="190"/>
      <c r="EN4" s="190"/>
      <c r="EO4" s="192"/>
      <c r="EP4" s="193"/>
      <c r="EQ4" s="190"/>
      <c r="ER4" s="200"/>
      <c r="ES4" s="190"/>
      <c r="ET4" s="190"/>
      <c r="EU4" s="193"/>
      <c r="EV4" s="190"/>
      <c r="EW4" s="190"/>
      <c r="EX4" s="190"/>
      <c r="EY4" s="190"/>
      <c r="EZ4" s="193"/>
      <c r="FA4" s="200"/>
      <c r="FB4" s="190"/>
      <c r="FC4" s="200"/>
      <c r="FD4" s="200"/>
      <c r="FE4" s="193"/>
      <c r="FF4" s="190"/>
      <c r="FG4" s="190"/>
      <c r="FH4" s="190"/>
      <c r="FI4" s="190"/>
      <c r="FJ4" s="193"/>
      <c r="FK4" s="193"/>
      <c r="FL4" s="193"/>
      <c r="FM4" s="193"/>
      <c r="FN4" s="193"/>
      <c r="FO4" s="193"/>
      <c r="FP4" s="193"/>
      <c r="FQ4" s="193"/>
      <c r="FR4" s="193"/>
      <c r="FS4" s="193"/>
      <c r="FT4" s="193"/>
      <c r="FU4" s="193"/>
      <c r="FV4" s="193"/>
      <c r="FW4" s="193"/>
      <c r="FX4" s="193"/>
      <c r="FY4" s="193"/>
      <c r="FZ4" s="193"/>
      <c r="GA4" s="193"/>
      <c r="GB4" s="193"/>
      <c r="GC4" s="193"/>
      <c r="GD4" s="193"/>
      <c r="GE4" s="193"/>
      <c r="GF4" s="193"/>
      <c r="GG4" s="193"/>
      <c r="GH4" s="193"/>
      <c r="GI4" s="193"/>
      <c r="GJ4" s="193"/>
      <c r="GK4" s="193"/>
      <c r="GL4" s="193"/>
      <c r="GM4" s="193"/>
      <c r="GN4" s="193"/>
      <c r="GO4" s="193"/>
      <c r="GP4" s="193"/>
      <c r="GQ4" s="193"/>
      <c r="GR4" s="193"/>
      <c r="GS4" s="193"/>
      <c r="GT4" s="193"/>
      <c r="GU4" s="193"/>
      <c r="GV4" s="193"/>
      <c r="GW4" s="193"/>
      <c r="GX4" s="193"/>
      <c r="GY4" s="193"/>
      <c r="GZ4" s="193"/>
      <c r="HA4" s="193"/>
      <c r="HB4" s="193"/>
      <c r="HC4" s="193"/>
      <c r="HD4" s="193"/>
      <c r="HE4" s="193"/>
      <c r="HF4" s="193"/>
      <c r="HG4" s="193"/>
      <c r="HH4" s="193"/>
      <c r="HI4" s="193"/>
      <c r="HJ4" s="193"/>
      <c r="HK4" s="193"/>
      <c r="HL4" s="193"/>
      <c r="HM4" s="193"/>
      <c r="HN4" s="193"/>
      <c r="HO4" s="193"/>
      <c r="HP4" s="188"/>
      <c r="HQ4" s="201"/>
    </row>
    <row r="5" spans="1:236">
      <c r="A5" s="202" t="s">
        <v>341</v>
      </c>
      <c r="B5" s="203" t="s">
        <v>342</v>
      </c>
      <c r="C5" s="203" t="s">
        <v>343</v>
      </c>
      <c r="D5" s="203" t="s">
        <v>344</v>
      </c>
      <c r="E5" s="203" t="s">
        <v>345</v>
      </c>
      <c r="F5" s="204">
        <v>1987</v>
      </c>
      <c r="G5" s="203" t="s">
        <v>342</v>
      </c>
      <c r="H5" s="203" t="s">
        <v>343</v>
      </c>
      <c r="I5" s="203" t="s">
        <v>344</v>
      </c>
      <c r="J5" s="203" t="s">
        <v>345</v>
      </c>
      <c r="K5" s="204" t="s">
        <v>346</v>
      </c>
      <c r="L5" s="203" t="s">
        <v>342</v>
      </c>
      <c r="M5" s="203" t="s">
        <v>343</v>
      </c>
      <c r="N5" s="203" t="s">
        <v>344</v>
      </c>
      <c r="O5" s="203" t="s">
        <v>345</v>
      </c>
      <c r="P5" s="204" t="s">
        <v>347</v>
      </c>
      <c r="Q5" s="203" t="s">
        <v>342</v>
      </c>
      <c r="R5" s="203" t="s">
        <v>343</v>
      </c>
      <c r="S5" s="203" t="s">
        <v>344</v>
      </c>
      <c r="T5" s="203" t="s">
        <v>345</v>
      </c>
      <c r="U5" s="204" t="s">
        <v>348</v>
      </c>
      <c r="V5" s="203" t="s">
        <v>342</v>
      </c>
      <c r="W5" s="203" t="s">
        <v>343</v>
      </c>
      <c r="X5" s="203" t="s">
        <v>344</v>
      </c>
      <c r="Y5" s="203" t="s">
        <v>345</v>
      </c>
      <c r="Z5" s="204" t="s">
        <v>349</v>
      </c>
      <c r="AA5" s="203" t="s">
        <v>342</v>
      </c>
      <c r="AB5" s="203" t="s">
        <v>343</v>
      </c>
      <c r="AC5" s="203" t="s">
        <v>344</v>
      </c>
      <c r="AD5" s="203" t="s">
        <v>345</v>
      </c>
      <c r="AE5" s="205" t="s">
        <v>350</v>
      </c>
      <c r="AF5" s="203" t="s">
        <v>342</v>
      </c>
      <c r="AG5" s="203" t="s">
        <v>343</v>
      </c>
      <c r="AH5" s="203" t="s">
        <v>344</v>
      </c>
      <c r="AI5" s="203" t="s">
        <v>345</v>
      </c>
      <c r="AJ5" s="205" t="s">
        <v>167</v>
      </c>
      <c r="AK5" s="203" t="s">
        <v>342</v>
      </c>
      <c r="AL5" s="203" t="s">
        <v>343</v>
      </c>
      <c r="AM5" s="203" t="s">
        <v>344</v>
      </c>
      <c r="AN5" s="203" t="s">
        <v>345</v>
      </c>
      <c r="AO5" s="205" t="s">
        <v>168</v>
      </c>
      <c r="AP5" s="203" t="s">
        <v>342</v>
      </c>
      <c r="AQ5" s="203" t="s">
        <v>343</v>
      </c>
      <c r="AR5" s="203" t="s">
        <v>344</v>
      </c>
      <c r="AS5" s="203" t="s">
        <v>345</v>
      </c>
      <c r="AT5" s="205" t="s">
        <v>169</v>
      </c>
      <c r="AU5" s="203" t="s">
        <v>342</v>
      </c>
      <c r="AV5" s="203" t="s">
        <v>343</v>
      </c>
      <c r="AW5" s="203" t="s">
        <v>344</v>
      </c>
      <c r="AX5" s="203" t="s">
        <v>345</v>
      </c>
      <c r="AY5" s="205" t="s">
        <v>170</v>
      </c>
      <c r="AZ5" s="203" t="s">
        <v>342</v>
      </c>
      <c r="BA5" s="203" t="s">
        <v>343</v>
      </c>
      <c r="BB5" s="203" t="s">
        <v>344</v>
      </c>
      <c r="BC5" s="203" t="s">
        <v>345</v>
      </c>
      <c r="BD5" s="205" t="s">
        <v>171</v>
      </c>
      <c r="BE5" s="203" t="s">
        <v>342</v>
      </c>
      <c r="BF5" s="203" t="s">
        <v>343</v>
      </c>
      <c r="BG5" s="203" t="s">
        <v>344</v>
      </c>
      <c r="BH5" s="203" t="s">
        <v>345</v>
      </c>
      <c r="BI5" s="205" t="s">
        <v>172</v>
      </c>
      <c r="BJ5" s="203" t="s">
        <v>342</v>
      </c>
      <c r="BK5" s="203" t="s">
        <v>343</v>
      </c>
      <c r="BL5" s="203" t="s">
        <v>344</v>
      </c>
      <c r="BM5" s="203" t="s">
        <v>345</v>
      </c>
      <c r="BN5" s="205" t="s">
        <v>173</v>
      </c>
      <c r="BO5" s="203" t="s">
        <v>342</v>
      </c>
      <c r="BP5" s="203" t="s">
        <v>343</v>
      </c>
      <c r="BQ5" s="203" t="s">
        <v>344</v>
      </c>
      <c r="BR5" s="203" t="s">
        <v>345</v>
      </c>
      <c r="BS5" s="205" t="s">
        <v>174</v>
      </c>
      <c r="BT5" s="203" t="s">
        <v>342</v>
      </c>
      <c r="BU5" s="203" t="s">
        <v>343</v>
      </c>
      <c r="BV5" s="203" t="s">
        <v>344</v>
      </c>
      <c r="BW5" s="203" t="s">
        <v>345</v>
      </c>
      <c r="BX5" s="205" t="s">
        <v>175</v>
      </c>
      <c r="BY5" s="203" t="s">
        <v>342</v>
      </c>
      <c r="BZ5" s="203" t="s">
        <v>343</v>
      </c>
      <c r="CA5" s="203" t="s">
        <v>344</v>
      </c>
      <c r="CB5" s="203" t="s">
        <v>345</v>
      </c>
      <c r="CC5" s="205" t="s">
        <v>176</v>
      </c>
      <c r="CD5" s="203" t="s">
        <v>342</v>
      </c>
      <c r="CE5" s="203" t="s">
        <v>343</v>
      </c>
      <c r="CF5" s="203" t="s">
        <v>344</v>
      </c>
      <c r="CG5" s="203" t="s">
        <v>345</v>
      </c>
      <c r="CH5" s="205" t="s">
        <v>177</v>
      </c>
      <c r="CI5" s="203" t="s">
        <v>342</v>
      </c>
      <c r="CJ5" s="203" t="s">
        <v>343</v>
      </c>
      <c r="CK5" s="203" t="s">
        <v>344</v>
      </c>
      <c r="CL5" s="203" t="s">
        <v>345</v>
      </c>
      <c r="CM5" s="205" t="s">
        <v>178</v>
      </c>
      <c r="CN5" s="203" t="s">
        <v>342</v>
      </c>
      <c r="CO5" s="203" t="s">
        <v>343</v>
      </c>
      <c r="CP5" s="203" t="s">
        <v>344</v>
      </c>
      <c r="CQ5" s="203" t="s">
        <v>345</v>
      </c>
      <c r="CR5" s="205" t="s">
        <v>179</v>
      </c>
      <c r="CS5" s="203" t="s">
        <v>342</v>
      </c>
      <c r="CT5" s="203" t="s">
        <v>343</v>
      </c>
      <c r="CU5" s="203" t="s">
        <v>344</v>
      </c>
      <c r="CV5" s="203" t="s">
        <v>345</v>
      </c>
      <c r="CW5" s="205" t="s">
        <v>180</v>
      </c>
      <c r="CX5" s="203" t="s">
        <v>342</v>
      </c>
      <c r="CY5" s="203" t="s">
        <v>343</v>
      </c>
      <c r="CZ5" s="203" t="s">
        <v>344</v>
      </c>
      <c r="DA5" s="203" t="s">
        <v>345</v>
      </c>
      <c r="DB5" s="205" t="s">
        <v>181</v>
      </c>
      <c r="DC5" s="203" t="s">
        <v>342</v>
      </c>
      <c r="DD5" s="203" t="s">
        <v>343</v>
      </c>
      <c r="DE5" s="203" t="s">
        <v>344</v>
      </c>
      <c r="DF5" s="203" t="s">
        <v>345</v>
      </c>
      <c r="DG5" s="205" t="s">
        <v>182</v>
      </c>
      <c r="DH5" s="203" t="s">
        <v>342</v>
      </c>
      <c r="DI5" s="203" t="s">
        <v>343</v>
      </c>
      <c r="DJ5" s="203" t="s">
        <v>344</v>
      </c>
      <c r="DK5" s="203" t="s">
        <v>345</v>
      </c>
      <c r="DL5" s="205" t="s">
        <v>183</v>
      </c>
      <c r="DM5" s="203" t="s">
        <v>342</v>
      </c>
      <c r="DN5" s="203" t="s">
        <v>343</v>
      </c>
      <c r="DO5" s="203" t="s">
        <v>344</v>
      </c>
      <c r="DP5" s="203" t="s">
        <v>345</v>
      </c>
      <c r="DQ5" s="205" t="s">
        <v>184</v>
      </c>
      <c r="DR5" s="203" t="s">
        <v>342</v>
      </c>
      <c r="DS5" s="203" t="s">
        <v>343</v>
      </c>
      <c r="DT5" s="203" t="s">
        <v>344</v>
      </c>
      <c r="DU5" s="203" t="s">
        <v>345</v>
      </c>
      <c r="DV5" s="205" t="s">
        <v>185</v>
      </c>
      <c r="DW5" s="203" t="s">
        <v>342</v>
      </c>
      <c r="DX5" s="203" t="s">
        <v>343</v>
      </c>
      <c r="DY5" s="203" t="s">
        <v>344</v>
      </c>
      <c r="DZ5" s="203" t="s">
        <v>345</v>
      </c>
      <c r="EA5" s="205" t="s">
        <v>186</v>
      </c>
      <c r="EB5" s="203" t="s">
        <v>342</v>
      </c>
      <c r="EC5" s="203" t="s">
        <v>343</v>
      </c>
      <c r="ED5" s="203" t="s">
        <v>344</v>
      </c>
      <c r="EE5" s="203" t="s">
        <v>345</v>
      </c>
      <c r="EF5" s="205" t="s">
        <v>187</v>
      </c>
      <c r="EG5" s="203" t="s">
        <v>342</v>
      </c>
      <c r="EH5" s="203" t="s">
        <v>343</v>
      </c>
      <c r="EI5" s="203" t="s">
        <v>344</v>
      </c>
      <c r="EJ5" s="203" t="s">
        <v>345</v>
      </c>
      <c r="EK5" s="205" t="s">
        <v>188</v>
      </c>
      <c r="EL5" s="203" t="s">
        <v>342</v>
      </c>
      <c r="EM5" s="203" t="s">
        <v>343</v>
      </c>
      <c r="EN5" s="203" t="s">
        <v>344</v>
      </c>
      <c r="EO5" s="203" t="s">
        <v>345</v>
      </c>
      <c r="EP5" s="205" t="s">
        <v>189</v>
      </c>
      <c r="EQ5" s="203" t="s">
        <v>342</v>
      </c>
      <c r="ER5" s="203" t="s">
        <v>343</v>
      </c>
      <c r="ES5" s="203" t="s">
        <v>344</v>
      </c>
      <c r="ET5" s="203" t="s">
        <v>345</v>
      </c>
      <c r="EU5" s="205" t="s">
        <v>190</v>
      </c>
      <c r="EV5" s="203" t="s">
        <v>342</v>
      </c>
      <c r="EW5" s="203" t="s">
        <v>343</v>
      </c>
      <c r="EX5" s="203" t="s">
        <v>344</v>
      </c>
      <c r="EY5" s="203" t="s">
        <v>345</v>
      </c>
      <c r="EZ5" s="205" t="s">
        <v>351</v>
      </c>
      <c r="FA5" s="203" t="s">
        <v>342</v>
      </c>
      <c r="FB5" s="203" t="s">
        <v>343</v>
      </c>
      <c r="FC5" s="203" t="s">
        <v>344</v>
      </c>
      <c r="FD5" s="203" t="s">
        <v>345</v>
      </c>
      <c r="FE5" s="205" t="s">
        <v>352</v>
      </c>
      <c r="FF5" s="203" t="s">
        <v>342</v>
      </c>
      <c r="FG5" s="203" t="s">
        <v>343</v>
      </c>
      <c r="FH5" s="203" t="s">
        <v>344</v>
      </c>
      <c r="FI5" s="203" t="s">
        <v>345</v>
      </c>
      <c r="FJ5" s="205" t="s">
        <v>353</v>
      </c>
      <c r="FK5" s="203" t="s">
        <v>342</v>
      </c>
      <c r="FL5" s="203" t="s">
        <v>343</v>
      </c>
      <c r="FM5" s="203" t="s">
        <v>344</v>
      </c>
      <c r="FN5" s="203" t="s">
        <v>345</v>
      </c>
      <c r="FO5" s="205" t="s">
        <v>191</v>
      </c>
      <c r="FP5" s="203" t="s">
        <v>342</v>
      </c>
      <c r="FQ5" s="203" t="s">
        <v>343</v>
      </c>
      <c r="FR5" s="203" t="s">
        <v>344</v>
      </c>
      <c r="FS5" s="203" t="s">
        <v>345</v>
      </c>
      <c r="FT5" s="205" t="s">
        <v>354</v>
      </c>
      <c r="FU5" s="203" t="s">
        <v>342</v>
      </c>
      <c r="FV5" s="203" t="s">
        <v>343</v>
      </c>
      <c r="FW5" s="203" t="s">
        <v>344</v>
      </c>
      <c r="FX5" s="203" t="s">
        <v>345</v>
      </c>
      <c r="FY5" s="205" t="s">
        <v>355</v>
      </c>
      <c r="FZ5" s="203" t="s">
        <v>342</v>
      </c>
      <c r="GA5" s="203" t="s">
        <v>343</v>
      </c>
      <c r="GB5" s="203" t="s">
        <v>344</v>
      </c>
      <c r="GC5" s="203" t="s">
        <v>345</v>
      </c>
      <c r="GD5" s="205" t="s">
        <v>356</v>
      </c>
      <c r="GE5" s="203" t="s">
        <v>342</v>
      </c>
      <c r="GF5" s="203" t="s">
        <v>343</v>
      </c>
      <c r="GG5" s="203" t="s">
        <v>344</v>
      </c>
      <c r="GH5" s="203" t="s">
        <v>345</v>
      </c>
      <c r="GI5" s="205" t="s">
        <v>357</v>
      </c>
      <c r="GJ5" s="203" t="s">
        <v>342</v>
      </c>
      <c r="GK5" s="203" t="s">
        <v>343</v>
      </c>
      <c r="GL5" s="203" t="s">
        <v>344</v>
      </c>
      <c r="GM5" s="203" t="s">
        <v>345</v>
      </c>
      <c r="GN5" s="205" t="s">
        <v>358</v>
      </c>
      <c r="GO5" s="203" t="s">
        <v>342</v>
      </c>
      <c r="GP5" s="203" t="s">
        <v>359</v>
      </c>
      <c r="GQ5" s="203" t="s">
        <v>360</v>
      </c>
      <c r="GR5" s="203" t="s">
        <v>361</v>
      </c>
      <c r="GS5" s="205" t="s">
        <v>192</v>
      </c>
      <c r="GT5" s="203" t="s">
        <v>362</v>
      </c>
      <c r="GU5" s="203" t="s">
        <v>359</v>
      </c>
      <c r="GV5" s="203" t="s">
        <v>360</v>
      </c>
      <c r="GW5" s="203" t="s">
        <v>361</v>
      </c>
      <c r="GX5" s="205" t="s">
        <v>193</v>
      </c>
      <c r="GY5" s="203" t="s">
        <v>362</v>
      </c>
      <c r="GZ5" s="203" t="s">
        <v>359</v>
      </c>
      <c r="HA5" s="203" t="s">
        <v>360</v>
      </c>
      <c r="HB5" s="203" t="s">
        <v>361</v>
      </c>
      <c r="HC5" s="205" t="s">
        <v>194</v>
      </c>
      <c r="HD5" s="203" t="s">
        <v>362</v>
      </c>
      <c r="HE5" s="203" t="s">
        <v>359</v>
      </c>
      <c r="HF5" s="203" t="s">
        <v>360</v>
      </c>
      <c r="HG5" s="203" t="s">
        <v>361</v>
      </c>
      <c r="HH5" s="205" t="s">
        <v>195</v>
      </c>
      <c r="HI5" s="203" t="s">
        <v>362</v>
      </c>
      <c r="HJ5" s="203" t="s">
        <v>359</v>
      </c>
      <c r="HK5" s="203" t="s">
        <v>360</v>
      </c>
      <c r="HL5" s="203" t="s">
        <v>361</v>
      </c>
      <c r="HM5" s="205" t="s">
        <v>196</v>
      </c>
      <c r="HN5" s="206"/>
      <c r="HO5" s="207"/>
      <c r="HP5" s="208"/>
    </row>
    <row r="6" spans="1:236">
      <c r="A6" s="209" t="s">
        <v>363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1"/>
      <c r="M6" s="211"/>
      <c r="N6" s="211"/>
      <c r="O6" s="211"/>
      <c r="P6" s="212"/>
      <c r="Q6" s="211"/>
      <c r="R6" s="211"/>
      <c r="S6" s="211"/>
      <c r="T6" s="211"/>
      <c r="U6" s="212"/>
      <c r="V6" s="211"/>
      <c r="W6" s="211"/>
      <c r="X6" s="211"/>
      <c r="Y6" s="211"/>
      <c r="Z6" s="212"/>
      <c r="AA6" s="211"/>
      <c r="AB6" s="211"/>
      <c r="AC6" s="211"/>
      <c r="AD6" s="211"/>
      <c r="AE6" s="212"/>
      <c r="AF6" s="211"/>
      <c r="AG6" s="211"/>
      <c r="AH6" s="211"/>
      <c r="AI6" s="211"/>
      <c r="AJ6" s="212"/>
      <c r="AK6" s="213"/>
      <c r="AL6" s="211"/>
      <c r="AM6" s="211"/>
      <c r="AN6" s="211"/>
      <c r="AO6" s="214"/>
      <c r="AP6" s="211"/>
      <c r="AQ6" s="211"/>
      <c r="AR6" s="211"/>
      <c r="AS6" s="211"/>
      <c r="AT6" s="215"/>
      <c r="AU6" s="211"/>
      <c r="AV6" s="211"/>
      <c r="AW6" s="211"/>
      <c r="AX6" s="211"/>
      <c r="AY6" s="215"/>
      <c r="AZ6" s="211"/>
      <c r="BA6" s="211"/>
      <c r="BB6" s="211"/>
      <c r="BC6" s="211"/>
      <c r="BD6" s="215"/>
      <c r="BE6" s="211"/>
      <c r="BF6" s="211"/>
      <c r="BG6" s="211"/>
      <c r="BH6" s="211"/>
      <c r="BI6" s="215"/>
      <c r="BJ6" s="216"/>
      <c r="BK6" s="210"/>
      <c r="BL6" s="210"/>
      <c r="BM6" s="217"/>
      <c r="BN6" s="218"/>
      <c r="BO6" s="219"/>
      <c r="BP6" s="210"/>
      <c r="BQ6" s="210"/>
      <c r="BR6" s="210"/>
      <c r="BS6" s="220"/>
      <c r="BT6" s="219"/>
      <c r="BU6" s="210"/>
      <c r="BV6" s="221"/>
      <c r="BW6" s="210"/>
      <c r="BX6" s="218"/>
      <c r="BY6" s="222"/>
      <c r="BZ6" s="210"/>
      <c r="CA6" s="222"/>
      <c r="CB6" s="222"/>
      <c r="CC6" s="218"/>
      <c r="CD6" s="222"/>
      <c r="CE6" s="222"/>
      <c r="CF6" s="210"/>
      <c r="CG6" s="222"/>
      <c r="CH6" s="218"/>
      <c r="CI6" s="222"/>
      <c r="CJ6" s="210"/>
      <c r="CK6" s="222"/>
      <c r="CL6" s="222"/>
      <c r="CM6" s="218"/>
      <c r="CN6" s="222"/>
      <c r="CO6" s="223"/>
      <c r="CP6" s="210"/>
      <c r="CQ6" s="224"/>
      <c r="CR6" s="223"/>
      <c r="CS6" s="223"/>
      <c r="CT6" s="223"/>
      <c r="CU6" s="222"/>
      <c r="CV6" s="222"/>
      <c r="CW6" s="219"/>
      <c r="CX6" s="210"/>
      <c r="CY6" s="210"/>
      <c r="CZ6" s="210"/>
      <c r="DA6" s="221"/>
      <c r="DB6" s="218"/>
      <c r="DC6" s="224"/>
      <c r="DD6" s="210"/>
      <c r="DE6" s="222"/>
      <c r="DF6" s="222"/>
      <c r="DG6" s="218"/>
      <c r="DH6" s="222"/>
      <c r="DI6" s="222"/>
      <c r="DJ6" s="222"/>
      <c r="DK6" s="222"/>
      <c r="DL6" s="218"/>
      <c r="DM6" s="222"/>
      <c r="DN6" s="210"/>
      <c r="DO6" s="210"/>
      <c r="DP6" s="219"/>
      <c r="DQ6" s="218"/>
      <c r="DR6" s="210"/>
      <c r="DS6" s="210"/>
      <c r="DT6" s="219"/>
      <c r="DU6" s="222"/>
      <c r="DV6" s="221"/>
      <c r="DW6" s="225"/>
      <c r="DX6" s="210"/>
      <c r="DY6" s="210"/>
      <c r="DZ6" s="210"/>
      <c r="EA6" s="226"/>
      <c r="EB6" s="210"/>
      <c r="EC6" s="222"/>
      <c r="ED6" s="227"/>
      <c r="EE6" s="210"/>
      <c r="EF6" s="226"/>
      <c r="EG6" s="228"/>
      <c r="EH6" s="228"/>
      <c r="EI6" s="210"/>
      <c r="EJ6" s="210"/>
      <c r="EK6" s="218"/>
      <c r="EL6" s="228"/>
      <c r="EM6" s="225"/>
      <c r="EN6" s="210"/>
      <c r="EO6" s="210"/>
      <c r="EP6" s="218"/>
      <c r="EQ6" s="228"/>
      <c r="ER6" s="225"/>
      <c r="ES6" s="210"/>
      <c r="ET6" s="210"/>
      <c r="EU6" s="229"/>
      <c r="EV6" s="228"/>
      <c r="EW6" s="225"/>
      <c r="EX6" s="210"/>
      <c r="EY6" s="210"/>
      <c r="EZ6" s="218"/>
      <c r="FA6" s="228"/>
      <c r="FB6" s="225"/>
      <c r="FC6" s="210"/>
      <c r="FD6" s="210"/>
      <c r="FE6" s="218"/>
      <c r="FF6" s="228"/>
      <c r="FG6" s="225"/>
      <c r="FH6" s="210"/>
      <c r="FI6" s="210"/>
      <c r="FJ6" s="218"/>
      <c r="FK6" s="228"/>
      <c r="FL6" s="225"/>
      <c r="FM6" s="225"/>
      <c r="FN6" s="210"/>
      <c r="FO6" s="218"/>
      <c r="FP6" s="228"/>
      <c r="FQ6" s="225"/>
      <c r="FR6" s="210"/>
      <c r="FS6" s="210"/>
      <c r="FT6" s="218"/>
      <c r="FU6" s="228"/>
      <c r="FV6" s="228"/>
      <c r="FW6" s="210"/>
      <c r="FX6" s="210"/>
      <c r="FY6" s="218"/>
      <c r="FZ6" s="218"/>
      <c r="GA6" s="218"/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218"/>
      <c r="GP6" s="218"/>
      <c r="GQ6" s="218"/>
      <c r="GR6" s="218"/>
      <c r="GS6" s="218"/>
      <c r="GT6" s="218"/>
      <c r="GU6" s="218"/>
      <c r="GV6" s="218"/>
      <c r="GW6" s="218"/>
      <c r="GX6" s="218"/>
      <c r="GY6" s="218"/>
      <c r="GZ6" s="218"/>
      <c r="HA6" s="218"/>
      <c r="HB6" s="218"/>
      <c r="HC6" s="218"/>
      <c r="HD6" s="218"/>
      <c r="HE6" s="218"/>
      <c r="HF6" s="218"/>
      <c r="HG6" s="218"/>
      <c r="HH6" s="218"/>
      <c r="HI6" s="218"/>
      <c r="HJ6" s="218"/>
      <c r="HK6" s="218"/>
      <c r="HL6" s="218"/>
      <c r="HM6" s="218"/>
      <c r="HN6" s="230"/>
      <c r="HO6" s="207"/>
      <c r="HP6" s="208"/>
      <c r="HR6" s="231"/>
    </row>
    <row r="7" spans="1:236" s="509" customFormat="1">
      <c r="A7" s="884" t="s">
        <v>364</v>
      </c>
      <c r="B7" s="589"/>
      <c r="C7" s="589"/>
      <c r="D7" s="589"/>
      <c r="E7" s="589"/>
      <c r="F7" s="519"/>
      <c r="G7" s="589"/>
      <c r="H7" s="589"/>
      <c r="I7" s="589"/>
      <c r="J7" s="589"/>
      <c r="K7" s="519"/>
      <c r="L7" s="589"/>
      <c r="M7" s="589"/>
      <c r="N7" s="589"/>
      <c r="O7" s="589"/>
      <c r="P7" s="519"/>
      <c r="Q7" s="589"/>
      <c r="R7" s="589"/>
      <c r="S7" s="589"/>
      <c r="T7" s="589"/>
      <c r="U7" s="519"/>
      <c r="V7" s="589"/>
      <c r="W7" s="589"/>
      <c r="X7" s="589"/>
      <c r="Y7" s="589"/>
      <c r="Z7" s="519"/>
      <c r="AA7" s="589"/>
      <c r="AB7" s="589"/>
      <c r="AC7" s="589"/>
      <c r="AD7" s="589"/>
      <c r="AE7" s="519"/>
      <c r="AF7" s="589"/>
      <c r="AG7" s="589"/>
      <c r="AH7" s="589"/>
      <c r="AI7" s="589"/>
      <c r="AJ7" s="519"/>
      <c r="AK7" s="589"/>
      <c r="AL7" s="589"/>
      <c r="AM7" s="589"/>
      <c r="AN7" s="589"/>
      <c r="AO7" s="519"/>
      <c r="AP7" s="589"/>
      <c r="AQ7" s="589"/>
      <c r="AR7" s="589"/>
      <c r="AS7" s="589"/>
      <c r="AT7" s="519"/>
      <c r="AU7" s="589"/>
      <c r="AV7" s="589"/>
      <c r="AW7" s="589"/>
      <c r="AX7" s="589"/>
      <c r="AY7" s="519"/>
      <c r="AZ7" s="589"/>
      <c r="BA7" s="589"/>
      <c r="BB7" s="589"/>
      <c r="BC7" s="589"/>
      <c r="BD7" s="519"/>
      <c r="BE7" s="589"/>
      <c r="BF7" s="589"/>
      <c r="BG7" s="589"/>
      <c r="BH7" s="589"/>
      <c r="BI7" s="519"/>
      <c r="BJ7" s="589"/>
      <c r="BK7" s="597"/>
      <c r="BL7" s="589"/>
      <c r="BN7" s="538"/>
      <c r="BO7" s="589"/>
      <c r="BP7" s="589"/>
      <c r="BQ7" s="589"/>
      <c r="BS7" s="538"/>
      <c r="BX7" s="538"/>
      <c r="CC7" s="538"/>
      <c r="CE7" s="885"/>
      <c r="CG7" s="509" t="s">
        <v>365</v>
      </c>
      <c r="CH7" s="339"/>
      <c r="CI7" s="539"/>
      <c r="CJ7" s="539"/>
      <c r="CK7" s="539"/>
      <c r="CL7" s="539"/>
      <c r="CM7" s="538"/>
      <c r="CN7" s="539"/>
      <c r="CO7" s="599"/>
      <c r="CS7" s="539"/>
      <c r="CT7" s="539"/>
      <c r="CU7" s="539"/>
      <c r="CX7" s="348"/>
      <c r="CY7" s="602"/>
      <c r="CZ7" s="602"/>
      <c r="DA7" s="602"/>
      <c r="DB7" s="538"/>
      <c r="DC7" s="348"/>
      <c r="DD7" s="348"/>
      <c r="DE7" s="348"/>
      <c r="DF7" s="321"/>
      <c r="DG7" s="321"/>
      <c r="DH7" s="348"/>
      <c r="DI7" s="348"/>
      <c r="DJ7" s="348"/>
      <c r="DK7" s="348"/>
      <c r="DL7" s="538"/>
      <c r="DM7" s="539"/>
      <c r="DN7" s="602"/>
      <c r="DO7" s="348"/>
      <c r="DP7" s="348"/>
      <c r="DQ7" s="538"/>
      <c r="DR7" s="602"/>
      <c r="DS7" s="233"/>
      <c r="DT7" s="886"/>
      <c r="DU7" s="886"/>
      <c r="DV7" s="538"/>
      <c r="DW7" s="233"/>
      <c r="DX7" s="233"/>
      <c r="DY7" s="233"/>
      <c r="DZ7" s="233"/>
      <c r="EA7" s="591"/>
      <c r="EF7" s="233"/>
      <c r="EG7" s="566"/>
      <c r="EH7" s="233"/>
      <c r="EJ7" s="233"/>
      <c r="EK7" s="233"/>
      <c r="EL7" s="233"/>
      <c r="EM7" s="233"/>
      <c r="EN7" s="233"/>
      <c r="EO7" s="348"/>
      <c r="EP7" s="233"/>
      <c r="EQ7" s="233"/>
      <c r="ER7" s="233"/>
      <c r="ES7" s="233"/>
      <c r="ET7" s="233"/>
      <c r="EU7" s="233"/>
      <c r="EV7" s="233"/>
      <c r="EW7" s="233"/>
      <c r="EX7" s="233"/>
      <c r="EY7" s="233"/>
      <c r="EZ7" s="887"/>
      <c r="FA7" s="888"/>
      <c r="FB7" s="233"/>
      <c r="FC7" s="233"/>
      <c r="FD7" s="233"/>
      <c r="FE7" s="233"/>
      <c r="FF7" s="233"/>
      <c r="FG7" s="233"/>
      <c r="FH7" s="233"/>
      <c r="FI7" s="233"/>
      <c r="FJ7" s="233"/>
      <c r="FK7" s="233"/>
      <c r="FL7" s="233"/>
      <c r="FM7" s="233"/>
      <c r="FN7" s="233"/>
      <c r="FO7" s="233"/>
      <c r="FP7" s="233"/>
      <c r="FQ7" s="233"/>
      <c r="FR7" s="233"/>
      <c r="FS7" s="889"/>
      <c r="FT7" s="233"/>
      <c r="FU7" s="233"/>
      <c r="FV7" s="233"/>
      <c r="FW7" s="233"/>
      <c r="FX7" s="233"/>
      <c r="FY7" s="233"/>
      <c r="FZ7" s="233"/>
      <c r="GA7" s="233"/>
      <c r="GB7" s="233"/>
      <c r="GC7" s="233"/>
      <c r="GD7" s="233"/>
      <c r="GE7" s="233"/>
      <c r="GF7" s="233"/>
      <c r="GG7" s="233"/>
      <c r="GH7" s="233"/>
      <c r="GI7" s="233"/>
      <c r="GJ7" s="233"/>
      <c r="GK7" s="233"/>
      <c r="GL7" s="233"/>
      <c r="GM7" s="233"/>
      <c r="GN7" s="233"/>
      <c r="GO7" s="233"/>
      <c r="GP7" s="233"/>
      <c r="GQ7" s="233"/>
      <c r="GR7" s="233"/>
      <c r="GS7" s="233"/>
      <c r="GT7" s="233"/>
      <c r="GU7" s="233"/>
      <c r="GV7" s="233"/>
      <c r="GW7" s="233"/>
      <c r="GX7" s="233"/>
      <c r="GY7" s="233"/>
      <c r="GZ7" s="233"/>
      <c r="HA7" s="233"/>
      <c r="HB7" s="233"/>
      <c r="HC7" s="233"/>
      <c r="HD7" s="233"/>
      <c r="HE7" s="233"/>
      <c r="HF7" s="233"/>
      <c r="HG7" s="233"/>
      <c r="HH7" s="233"/>
      <c r="HI7" s="233"/>
      <c r="HJ7" s="233"/>
      <c r="HK7" s="233"/>
      <c r="HL7" s="233"/>
      <c r="HM7" s="233"/>
      <c r="HN7" s="233"/>
      <c r="HO7" s="234"/>
      <c r="HP7" s="890"/>
      <c r="HR7" s="563"/>
      <c r="HS7" s="563"/>
      <c r="HT7" s="563"/>
      <c r="HU7" s="563"/>
      <c r="HV7" s="563"/>
      <c r="HW7" s="563"/>
      <c r="HX7" s="563"/>
    </row>
    <row r="8" spans="1:236" s="509" customFormat="1">
      <c r="A8" s="891" t="s">
        <v>366</v>
      </c>
      <c r="B8" s="523"/>
      <c r="C8" s="523"/>
      <c r="D8" s="523"/>
      <c r="E8" s="523"/>
      <c r="F8" s="523"/>
      <c r="G8" s="523"/>
      <c r="H8" s="523"/>
      <c r="I8" s="523"/>
      <c r="J8" s="523"/>
      <c r="K8" s="523"/>
      <c r="L8" s="523"/>
      <c r="M8" s="523"/>
      <c r="N8" s="523"/>
      <c r="O8" s="523"/>
      <c r="P8" s="523"/>
      <c r="Q8" s="523"/>
      <c r="R8" s="523"/>
      <c r="S8" s="523"/>
      <c r="T8" s="523"/>
      <c r="U8" s="523"/>
      <c r="V8" s="523"/>
      <c r="W8" s="523"/>
      <c r="X8" s="523"/>
      <c r="Y8" s="523"/>
      <c r="Z8" s="523"/>
      <c r="AA8" s="523"/>
      <c r="AB8" s="523"/>
      <c r="AC8" s="523"/>
      <c r="AD8" s="523"/>
      <c r="AE8" s="523"/>
      <c r="AF8" s="523"/>
      <c r="AG8" s="523"/>
      <c r="AH8" s="523"/>
      <c r="AI8" s="523"/>
      <c r="AJ8" s="523"/>
      <c r="AK8" s="523"/>
      <c r="AL8" s="523"/>
      <c r="AM8" s="523"/>
      <c r="AN8" s="892"/>
      <c r="AO8" s="892"/>
      <c r="AP8" s="523"/>
      <c r="AQ8" s="523"/>
      <c r="AR8" s="589"/>
      <c r="AS8" s="589"/>
      <c r="AT8" s="519"/>
      <c r="AU8" s="589"/>
      <c r="AV8" s="523"/>
      <c r="AW8" s="571"/>
      <c r="AX8" s="578"/>
      <c r="AY8" s="541"/>
      <c r="AZ8" s="589"/>
      <c r="BA8" s="589"/>
      <c r="BB8" s="589"/>
      <c r="BC8" s="589"/>
      <c r="BD8" s="519"/>
      <c r="BE8" s="571"/>
      <c r="BF8" s="589"/>
      <c r="BG8" s="589"/>
      <c r="BH8" s="589"/>
      <c r="BI8" s="519"/>
      <c r="BJ8" s="621"/>
      <c r="BK8" s="621"/>
      <c r="BL8" s="621"/>
      <c r="BM8" s="621"/>
      <c r="BN8" s="538"/>
      <c r="BO8" s="589"/>
      <c r="BP8" s="589"/>
      <c r="BQ8" s="589"/>
      <c r="BS8" s="538"/>
      <c r="BX8" s="538"/>
      <c r="CC8" s="538"/>
      <c r="CE8" s="885"/>
      <c r="CG8" s="539"/>
      <c r="CH8" s="893"/>
      <c r="CI8" s="539"/>
      <c r="CK8" s="539"/>
      <c r="CL8" s="539"/>
      <c r="CM8" s="538"/>
      <c r="CN8" s="539"/>
      <c r="CO8" s="599"/>
      <c r="CP8" s="539"/>
      <c r="CS8" s="539"/>
      <c r="CT8" s="539"/>
      <c r="CU8" s="894"/>
      <c r="CV8" s="624"/>
      <c r="CW8" s="895"/>
      <c r="CX8" s="539"/>
      <c r="CY8" s="539"/>
      <c r="CZ8" s="539"/>
      <c r="DA8" s="539"/>
      <c r="DB8" s="538"/>
      <c r="DC8" s="539"/>
      <c r="DD8" s="539"/>
      <c r="DE8" s="539"/>
      <c r="DF8" s="539"/>
      <c r="DG8" s="538"/>
      <c r="DH8" s="539"/>
      <c r="DI8" s="602"/>
      <c r="DJ8" s="348"/>
      <c r="DK8" s="348"/>
      <c r="DL8" s="542"/>
      <c r="DM8" s="602"/>
      <c r="DN8" s="602"/>
      <c r="DO8" s="602"/>
      <c r="DP8" s="602"/>
      <c r="DQ8" s="538"/>
      <c r="DR8" s="602"/>
      <c r="DT8" s="602"/>
      <c r="DU8" s="602"/>
      <c r="DV8" s="849"/>
      <c r="DW8" s="879"/>
      <c r="DX8" s="879"/>
      <c r="DY8" s="896"/>
      <c r="DZ8" s="879"/>
      <c r="EA8" s="722"/>
      <c r="EF8" s="887"/>
      <c r="EG8" s="897"/>
      <c r="EH8" s="897"/>
      <c r="EI8" s="897"/>
      <c r="EJ8" s="897"/>
      <c r="EK8" s="887"/>
      <c r="EL8" s="898"/>
      <c r="EM8" s="879"/>
      <c r="EN8" s="879"/>
      <c r="EO8" s="898"/>
      <c r="EP8" s="520"/>
      <c r="EQ8" s="879"/>
      <c r="ER8" s="879"/>
      <c r="ES8" s="879"/>
      <c r="ET8" s="879"/>
      <c r="EU8" s="520"/>
      <c r="EV8" s="899"/>
      <c r="EW8" s="899"/>
      <c r="EX8" s="899"/>
      <c r="EY8" s="899"/>
      <c r="EZ8" s="887"/>
      <c r="FA8" s="897"/>
      <c r="FB8" s="879"/>
      <c r="FC8" s="879"/>
      <c r="FD8" s="879"/>
      <c r="FE8" s="887"/>
      <c r="FF8" s="879"/>
      <c r="FG8" s="879"/>
      <c r="FH8" s="879"/>
      <c r="FI8" s="879"/>
      <c r="FJ8" s="887"/>
      <c r="FK8" s="879"/>
      <c r="FL8" s="879"/>
      <c r="FM8" s="879"/>
      <c r="FN8" s="879"/>
      <c r="FO8" s="887"/>
      <c r="FP8" s="879"/>
      <c r="FQ8" s="879"/>
      <c r="FR8" s="879"/>
      <c r="FS8" s="879"/>
      <c r="FT8" s="887"/>
      <c r="FU8" s="879"/>
      <c r="FV8" s="879"/>
      <c r="FW8" s="879"/>
      <c r="FX8" s="879"/>
      <c r="FY8" s="887"/>
      <c r="FZ8" s="887"/>
      <c r="GA8" s="887"/>
      <c r="GB8" s="887"/>
      <c r="GC8" s="887"/>
      <c r="GD8" s="867"/>
      <c r="GE8" s="867"/>
      <c r="GF8" s="867"/>
      <c r="GG8" s="867"/>
      <c r="GH8" s="867"/>
      <c r="GI8" s="867"/>
      <c r="GJ8" s="867"/>
      <c r="GK8" s="867"/>
      <c r="GL8" s="867"/>
      <c r="GM8" s="867"/>
      <c r="GN8" s="867"/>
      <c r="GO8" s="887"/>
      <c r="GP8" s="887"/>
      <c r="GQ8" s="887"/>
      <c r="GR8" s="887"/>
      <c r="GS8" s="887"/>
      <c r="GT8" s="887"/>
      <c r="GU8" s="887"/>
      <c r="GV8" s="887"/>
      <c r="GW8" s="887"/>
      <c r="GX8" s="887"/>
      <c r="GY8" s="887"/>
      <c r="GZ8" s="887"/>
      <c r="HA8" s="887"/>
      <c r="HB8" s="887"/>
      <c r="HC8" s="887"/>
      <c r="HD8" s="887"/>
      <c r="HE8" s="887"/>
      <c r="HF8" s="887"/>
      <c r="HG8" s="887"/>
      <c r="HH8" s="887"/>
      <c r="HI8" s="887"/>
      <c r="HJ8" s="887"/>
      <c r="HK8" s="887"/>
      <c r="HL8" s="887"/>
      <c r="HM8" s="887"/>
      <c r="HN8" s="887"/>
      <c r="HO8" s="520"/>
      <c r="HP8" s="900"/>
      <c r="HR8" s="901"/>
      <c r="HS8" s="902"/>
      <c r="HT8" s="563"/>
      <c r="HU8" s="563"/>
      <c r="HV8" s="563"/>
      <c r="HW8" s="563"/>
      <c r="HX8" s="563"/>
    </row>
    <row r="9" spans="1:236" s="247" customFormat="1" ht="15" customHeight="1">
      <c r="A9" s="236" t="s">
        <v>367</v>
      </c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8"/>
      <c r="M9" s="238"/>
      <c r="N9" s="238"/>
      <c r="O9" s="238"/>
      <c r="P9" s="239"/>
      <c r="Q9" s="238"/>
      <c r="R9" s="238"/>
      <c r="S9" s="238"/>
      <c r="T9" s="238"/>
      <c r="U9" s="239"/>
      <c r="V9" s="240"/>
      <c r="W9" s="240"/>
      <c r="X9" s="240"/>
      <c r="Y9" s="241"/>
      <c r="Z9" s="239"/>
      <c r="AA9" s="242"/>
      <c r="AB9" s="242"/>
      <c r="AC9" s="242"/>
      <c r="AD9" s="242"/>
      <c r="AE9" s="239"/>
      <c r="AF9" s="243">
        <v>407.43299999999999</v>
      </c>
      <c r="AG9" s="243">
        <v>409.09199999999998</v>
      </c>
      <c r="AH9" s="243">
        <v>418.351</v>
      </c>
      <c r="AI9" s="243">
        <v>413.404</v>
      </c>
      <c r="AJ9" s="239">
        <f>SUM(AF9:AI9)</f>
        <v>1648.28</v>
      </c>
      <c r="AK9" s="243">
        <v>513.08000000000004</v>
      </c>
      <c r="AL9" s="243">
        <v>533.29700000000003</v>
      </c>
      <c r="AM9" s="243">
        <v>543.11400000000003</v>
      </c>
      <c r="AN9" s="243">
        <v>545.16800000000001</v>
      </c>
      <c r="AO9" s="239">
        <f>SUM(AK9:AN9)</f>
        <v>2134.6590000000001</v>
      </c>
      <c r="AP9" s="243">
        <v>620.096</v>
      </c>
      <c r="AQ9" s="243">
        <v>626.21400000000006</v>
      </c>
      <c r="AR9" s="243">
        <v>590.38499999999999</v>
      </c>
      <c r="AS9" s="243">
        <v>593.029</v>
      </c>
      <c r="AT9" s="239">
        <f>SUM(AP9:AS9)</f>
        <v>2429.7240000000002</v>
      </c>
      <c r="AU9" s="243">
        <v>544.21199999999999</v>
      </c>
      <c r="AV9" s="243">
        <v>455.077</v>
      </c>
      <c r="AW9" s="243">
        <v>456.86200000000002</v>
      </c>
      <c r="AX9" s="243">
        <v>496.86799999999999</v>
      </c>
      <c r="AY9" s="239">
        <f>SUM(AU9:AX9)</f>
        <v>1953.019</v>
      </c>
      <c r="AZ9" s="243">
        <v>551.99900000000002</v>
      </c>
      <c r="BA9" s="243">
        <v>594.56100000000004</v>
      </c>
      <c r="BB9" s="243">
        <v>596.64400000000001</v>
      </c>
      <c r="BC9" s="243">
        <v>613.17100000000005</v>
      </c>
      <c r="BD9" s="239">
        <f>SUM(AZ9:BC9)</f>
        <v>2356.375</v>
      </c>
      <c r="BE9" s="243">
        <v>540.85599999999999</v>
      </c>
      <c r="BF9" s="243">
        <v>526.53800000000001</v>
      </c>
      <c r="BG9" s="243">
        <v>685.92700000000002</v>
      </c>
      <c r="BH9" s="243">
        <v>788.82</v>
      </c>
      <c r="BI9" s="239">
        <f>SUM(BE9:BH9)</f>
        <v>2542.1410000000001</v>
      </c>
      <c r="BJ9" s="243">
        <v>631.59299999999996</v>
      </c>
      <c r="BK9" s="243">
        <v>595.10900000000004</v>
      </c>
      <c r="BL9" s="243">
        <v>662.19200000000001</v>
      </c>
      <c r="BM9" s="243">
        <v>968.71</v>
      </c>
      <c r="BN9" s="239">
        <f>SUM(BJ9:BM9)</f>
        <v>2857.6040000000003</v>
      </c>
      <c r="BO9" s="243">
        <v>1092.029</v>
      </c>
      <c r="BP9" s="243">
        <v>1170.4369999999999</v>
      </c>
      <c r="BQ9" s="243">
        <v>1206.549</v>
      </c>
      <c r="BR9" s="243">
        <v>1175.172</v>
      </c>
      <c r="BS9" s="239">
        <f>SUM(BO9:BR9)</f>
        <v>4644.1869999999999</v>
      </c>
      <c r="BT9" s="243">
        <v>1188.7470000000001</v>
      </c>
      <c r="BU9" s="243">
        <v>985.26400000000001</v>
      </c>
      <c r="BV9" s="243">
        <v>765.87</v>
      </c>
      <c r="BW9" s="243">
        <v>951.87300000000005</v>
      </c>
      <c r="BX9" s="239">
        <f>SUM(BT9:BW9)</f>
        <v>3891.7539999999999</v>
      </c>
      <c r="BY9" s="243">
        <v>902.07299999999998</v>
      </c>
      <c r="BZ9" s="243">
        <v>600.29899999999998</v>
      </c>
      <c r="CA9" s="243">
        <v>508.22699999999998</v>
      </c>
      <c r="CB9" s="243">
        <v>686.43</v>
      </c>
      <c r="CC9" s="239">
        <f>SUM(BY9:CB9)</f>
        <v>2697.0289999999995</v>
      </c>
      <c r="CD9" s="243">
        <v>714.55499999999995</v>
      </c>
      <c r="CE9" s="243">
        <v>645.26099999999997</v>
      </c>
      <c r="CF9" s="243">
        <v>953.75900000000001</v>
      </c>
      <c r="CG9" s="243">
        <v>1205.5930000000001</v>
      </c>
      <c r="CH9" s="239">
        <f>SUM(CD9:CG9)</f>
        <v>3519.1679999999997</v>
      </c>
      <c r="CI9" s="243">
        <v>1236.433</v>
      </c>
      <c r="CJ9" s="243">
        <v>1261.837</v>
      </c>
      <c r="CK9" s="243">
        <v>1239.4590000000001</v>
      </c>
      <c r="CL9" s="243">
        <v>1263.7059999999999</v>
      </c>
      <c r="CM9" s="239">
        <f>SUM(CI9:CL9)</f>
        <v>5001.4350000000004</v>
      </c>
      <c r="CN9" s="243">
        <v>1226.6279999999999</v>
      </c>
      <c r="CO9" s="243">
        <v>1259.9179999999999</v>
      </c>
      <c r="CP9" s="244">
        <v>1522.7550000000001</v>
      </c>
      <c r="CQ9" s="244">
        <v>1838.2760000000001</v>
      </c>
      <c r="CR9" s="239">
        <f>SUM(CN9:CQ9)</f>
        <v>5847.5770000000002</v>
      </c>
      <c r="CS9" s="244">
        <v>1332.1579999999999</v>
      </c>
      <c r="CT9" s="244">
        <v>1216.367</v>
      </c>
      <c r="CU9" s="244">
        <v>1327.6220000000001</v>
      </c>
      <c r="CV9" s="244">
        <v>1773</v>
      </c>
      <c r="CW9" s="239">
        <f>SUM(CS9:CV9)</f>
        <v>5649.1469999999999</v>
      </c>
      <c r="CX9" s="244">
        <v>1233</v>
      </c>
      <c r="CY9" s="244">
        <v>1378</v>
      </c>
      <c r="CZ9" s="244">
        <v>1632</v>
      </c>
      <c r="DA9" s="244">
        <v>1770</v>
      </c>
      <c r="DB9" s="239">
        <f>SUM(CX9:DA9)</f>
        <v>6013</v>
      </c>
      <c r="DC9" s="244">
        <v>1505</v>
      </c>
      <c r="DD9" s="244">
        <v>1349</v>
      </c>
      <c r="DE9" s="244">
        <f>1797-191</f>
        <v>1606</v>
      </c>
      <c r="DF9" s="244">
        <v>1162</v>
      </c>
      <c r="DG9" s="239">
        <f>SUM(DC9:DF9)</f>
        <v>5622</v>
      </c>
      <c r="DH9" s="244">
        <v>1177</v>
      </c>
      <c r="DI9" s="244">
        <v>1184</v>
      </c>
      <c r="DJ9" s="244">
        <v>1396</v>
      </c>
      <c r="DK9" s="244">
        <v>1646</v>
      </c>
      <c r="DL9" s="239">
        <f>SUM(DH9:DK9)</f>
        <v>5403</v>
      </c>
      <c r="DM9" s="244">
        <v>1574</v>
      </c>
      <c r="DN9" s="244">
        <v>1653</v>
      </c>
      <c r="DO9" s="244">
        <v>1618</v>
      </c>
      <c r="DP9" s="244">
        <v>1649</v>
      </c>
      <c r="DQ9" s="239">
        <f>SUM(DM9:DP9)</f>
        <v>6494</v>
      </c>
      <c r="DR9" s="244">
        <v>1613</v>
      </c>
      <c r="DS9" s="244">
        <v>1574</v>
      </c>
      <c r="DT9" s="244">
        <v>1690</v>
      </c>
      <c r="DU9" s="244">
        <v>1691</v>
      </c>
      <c r="DV9" s="239">
        <f>SUM(DR9:DU9)</f>
        <v>6568</v>
      </c>
      <c r="DW9" s="244">
        <v>1585</v>
      </c>
      <c r="DX9" s="244">
        <v>1413</v>
      </c>
      <c r="DY9" s="244">
        <v>1269</v>
      </c>
      <c r="DZ9" s="244">
        <v>1155</v>
      </c>
      <c r="EA9" s="239">
        <f>SUM(DW9:DZ9)</f>
        <v>5422</v>
      </c>
      <c r="EB9" s="244">
        <v>1088</v>
      </c>
      <c r="EC9" s="244">
        <v>1161</v>
      </c>
      <c r="ED9" s="244">
        <v>1461</v>
      </c>
      <c r="EE9" s="244">
        <v>1589</v>
      </c>
      <c r="EF9" s="239">
        <f>SUM(EB9:EE9)</f>
        <v>5299</v>
      </c>
      <c r="EG9" s="244">
        <v>1397</v>
      </c>
      <c r="EH9" s="244">
        <v>1441</v>
      </c>
      <c r="EI9" s="244">
        <v>1429</v>
      </c>
      <c r="EJ9" s="244">
        <v>1239</v>
      </c>
      <c r="EK9" s="239">
        <f>SUM(EG9:EJ9)</f>
        <v>5506</v>
      </c>
      <c r="EL9" s="244">
        <v>1030</v>
      </c>
      <c r="EM9" s="244">
        <v>942</v>
      </c>
      <c r="EN9" s="244">
        <v>1061</v>
      </c>
      <c r="EO9" s="244">
        <f>958</f>
        <v>958</v>
      </c>
      <c r="EP9" s="239">
        <f>SUM(EL9:EO9)</f>
        <v>3991</v>
      </c>
      <c r="EQ9" s="244">
        <f>832</f>
        <v>832</v>
      </c>
      <c r="ER9" s="244">
        <v>1027</v>
      </c>
      <c r="ES9" s="244">
        <v>1307</v>
      </c>
      <c r="ET9" s="244">
        <v>1106</v>
      </c>
      <c r="EU9" s="239">
        <f>SUM(EQ9:ET9)</f>
        <v>4272</v>
      </c>
      <c r="EV9" s="244">
        <v>984</v>
      </c>
      <c r="EW9" s="244">
        <v>1222</v>
      </c>
      <c r="EX9" s="244">
        <v>1643</v>
      </c>
      <c r="EY9" s="244">
        <v>1480</v>
      </c>
      <c r="EZ9" s="239">
        <f>SUM(EV9:EY9)</f>
        <v>5329</v>
      </c>
      <c r="FA9" s="244">
        <v>1647</v>
      </c>
      <c r="FB9" s="244">
        <v>1756</v>
      </c>
      <c r="FC9" s="244">
        <v>1653</v>
      </c>
      <c r="FD9" s="244">
        <v>1419</v>
      </c>
      <c r="FE9" s="239">
        <f>SUM(FA9:FD9)</f>
        <v>6475</v>
      </c>
      <c r="FF9" s="244">
        <v>1272</v>
      </c>
      <c r="FG9" s="244">
        <v>1531</v>
      </c>
      <c r="FH9" s="244">
        <v>1801</v>
      </c>
      <c r="FI9" s="244">
        <v>2127</v>
      </c>
      <c r="FJ9" s="239">
        <f>SUM(FF9:FI9)</f>
        <v>6731</v>
      </c>
      <c r="FK9" s="244">
        <v>1786</v>
      </c>
      <c r="FL9" s="244">
        <v>1932</v>
      </c>
      <c r="FM9" s="244">
        <v>2801</v>
      </c>
      <c r="FN9" s="244">
        <v>3244</v>
      </c>
      <c r="FO9" s="239">
        <f>SUM(FK9:FN9)</f>
        <v>9763</v>
      </c>
      <c r="FP9" s="244">
        <v>3445</v>
      </c>
      <c r="FQ9" s="244">
        <v>3850</v>
      </c>
      <c r="FR9" s="244">
        <v>4313</v>
      </c>
      <c r="FS9" s="244">
        <v>4826</v>
      </c>
      <c r="FT9" s="239">
        <f>SUM(FP9:FS9)</f>
        <v>16434</v>
      </c>
      <c r="FU9" s="244">
        <v>5887</v>
      </c>
      <c r="FV9" s="244">
        <v>6550</v>
      </c>
      <c r="FW9" s="244">
        <v>5565</v>
      </c>
      <c r="FX9" s="244">
        <v>5599</v>
      </c>
      <c r="FY9" s="239">
        <f>SUM(FU9:FX9)</f>
        <v>23601</v>
      </c>
      <c r="FZ9" s="244">
        <v>5353</v>
      </c>
      <c r="GA9" s="244">
        <v>5359</v>
      </c>
      <c r="GB9" s="244">
        <v>5800</v>
      </c>
      <c r="GC9" s="244">
        <v>6168</v>
      </c>
      <c r="GD9" s="239">
        <f>SUM(FZ9:GC9)</f>
        <v>22680</v>
      </c>
      <c r="GE9" s="244">
        <v>5473</v>
      </c>
      <c r="GF9" s="244">
        <v>5835</v>
      </c>
      <c r="GG9" s="244">
        <v>6819</v>
      </c>
      <c r="GH9" s="244">
        <v>7658</v>
      </c>
      <c r="GI9" s="239">
        <f>SUM(GE9:GH9)</f>
        <v>25785</v>
      </c>
      <c r="GJ9" s="244">
        <v>7438</v>
      </c>
      <c r="GK9" s="244">
        <v>7685</v>
      </c>
      <c r="GL9" s="244">
        <v>9246</v>
      </c>
      <c r="GM9" s="244">
        <v>10270</v>
      </c>
      <c r="GN9" s="239">
        <f>SUM(GJ9:GM9)</f>
        <v>34639</v>
      </c>
      <c r="GO9" s="244">
        <v>10253</v>
      </c>
      <c r="GP9" s="245">
        <f>Worksheet!EE4</f>
        <v>11222.514309366818</v>
      </c>
      <c r="GQ9" s="245">
        <f>Worksheet!EF4</f>
        <v>11993.620034003765</v>
      </c>
      <c r="GR9" s="245">
        <f>Worksheet!EG4</f>
        <v>16191.575655349377</v>
      </c>
      <c r="GS9" s="239">
        <f>SUM(GO9:GR9)</f>
        <v>49660.709998719954</v>
      </c>
      <c r="GT9" s="245">
        <f>Worksheet!EH4</f>
        <v>17434.835157895457</v>
      </c>
      <c r="GU9" s="245">
        <f>Worksheet!EI4</f>
        <v>19211.519433229434</v>
      </c>
      <c r="GV9" s="245">
        <f>Worksheet!EJ4</f>
        <v>22135.831183491169</v>
      </c>
      <c r="GW9" s="245">
        <f>Worksheet!EK4</f>
        <v>24518.507856484532</v>
      </c>
      <c r="GX9" s="239">
        <f>SUM(GT9:GW9)</f>
        <v>83300.693631100599</v>
      </c>
      <c r="GY9" s="245">
        <f>Worksheet!EL4</f>
        <v>23941.468119764104</v>
      </c>
      <c r="GZ9" s="245">
        <f>Worksheet!EM4</f>
        <v>25033.087624722979</v>
      </c>
      <c r="HA9" s="245">
        <f>Worksheet!EN4</f>
        <v>26871.929306270456</v>
      </c>
      <c r="HB9" s="245">
        <f>Worksheet!EO4</f>
        <v>28752.085059580812</v>
      </c>
      <c r="HC9" s="239">
        <f>SUM(GY9:HB9)</f>
        <v>104598.57011033835</v>
      </c>
      <c r="HD9" s="245">
        <f>Worksheet!EP4</f>
        <v>28176.564740319147</v>
      </c>
      <c r="HE9" s="245">
        <f>Worksheet!EQ4</f>
        <v>29378.280866986392</v>
      </c>
      <c r="HF9" s="245">
        <f>Worksheet!ER4</f>
        <v>31716.128567077441</v>
      </c>
      <c r="HG9" s="245">
        <f>Worksheet!ES4</f>
        <v>33114.22682619554</v>
      </c>
      <c r="HH9" s="239">
        <f>SUM(HD9:HG9)</f>
        <v>122385.20100057853</v>
      </c>
      <c r="HI9" s="245">
        <f>Worksheet!ET4</f>
        <v>31713.601397150269</v>
      </c>
      <c r="HJ9" s="245">
        <f>Worksheet!EU4</f>
        <v>33054.938213667039</v>
      </c>
      <c r="HK9" s="245">
        <f>Worksheet!EV4</f>
        <v>36321.560050308944</v>
      </c>
      <c r="HL9" s="245">
        <f>Worksheet!EW4</f>
        <v>37997.208681636912</v>
      </c>
      <c r="HM9" s="239">
        <f>SUM(HI9:HL9)</f>
        <v>139087.30834276316</v>
      </c>
      <c r="HN9" s="246"/>
      <c r="HO9" s="246"/>
      <c r="HP9"/>
      <c r="HQ9"/>
      <c r="HR9"/>
      <c r="HS9"/>
      <c r="HT9"/>
      <c r="HU9"/>
      <c r="HV9"/>
      <c r="HW9"/>
      <c r="HX9"/>
      <c r="HY9"/>
      <c r="HZ9"/>
      <c r="IA9"/>
      <c r="IB9"/>
    </row>
    <row r="10" spans="1:236" s="509" customFormat="1" ht="15" customHeight="1">
      <c r="A10" s="517" t="s">
        <v>198</v>
      </c>
      <c r="L10" s="518"/>
      <c r="M10" s="518"/>
      <c r="N10" s="518"/>
      <c r="O10" s="518"/>
      <c r="P10" s="519"/>
      <c r="Q10" s="518"/>
      <c r="R10" s="518"/>
      <c r="S10" s="518"/>
      <c r="T10" s="518"/>
      <c r="U10" s="519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>
        <f>(AG9/AF9)-1</f>
        <v>4.0718351238118178E-3</v>
      </c>
      <c r="AH10" s="518">
        <f>(AH9/AG9)-1</f>
        <v>2.2633050756309059E-2</v>
      </c>
      <c r="AI10" s="518">
        <f>(AI9/AH9)-1</f>
        <v>-1.1824998625556082E-2</v>
      </c>
      <c r="AJ10" s="520" t="s">
        <v>199</v>
      </c>
      <c r="AK10" s="518">
        <f>(AK9/AI9)-1</f>
        <v>0.24111039080415297</v>
      </c>
      <c r="AL10" s="518">
        <f>(AL9/AK9)-1</f>
        <v>3.9403211974740726E-2</v>
      </c>
      <c r="AM10" s="518">
        <f>(AM9/AL9)-1</f>
        <v>1.8408129053791855E-2</v>
      </c>
      <c r="AN10" s="518">
        <f>(AN9/AM9)-1</f>
        <v>3.7818947771552924E-3</v>
      </c>
      <c r="AO10" s="520" t="s">
        <v>199</v>
      </c>
      <c r="AP10" s="518">
        <f>(AP9/AN9)-1</f>
        <v>0.13744020191940831</v>
      </c>
      <c r="AQ10" s="518">
        <f>(AQ9/AP9)-1</f>
        <v>9.8662142635979055E-3</v>
      </c>
      <c r="AR10" s="518">
        <f>(AR9/AQ9)-1</f>
        <v>-5.7215265069129773E-2</v>
      </c>
      <c r="AS10" s="518">
        <f>(AS9/AR9)-1</f>
        <v>4.4784335645384754E-3</v>
      </c>
      <c r="AT10" s="520" t="s">
        <v>199</v>
      </c>
      <c r="AU10" s="518">
        <f>(AU9/AS9)-1</f>
        <v>-8.231806538971953E-2</v>
      </c>
      <c r="AV10" s="518">
        <f>(AV9/AU9)-1</f>
        <v>-0.1637872740770141</v>
      </c>
      <c r="AW10" s="518">
        <f>(AW9/AV9)-1</f>
        <v>3.9224131300856779E-3</v>
      </c>
      <c r="AX10" s="518">
        <f>(AX9/AW9)-1</f>
        <v>8.7566923928888762E-2</v>
      </c>
      <c r="AY10" s="520" t="s">
        <v>199</v>
      </c>
      <c r="AZ10" s="518">
        <f>(AZ9/AX9)-1</f>
        <v>0.11095703486640329</v>
      </c>
      <c r="BA10" s="518">
        <f>(BA9/AZ9)-1</f>
        <v>7.7105212147123403E-2</v>
      </c>
      <c r="BB10" s="518">
        <f>(BB9/BA9)-1</f>
        <v>3.5034252162520207E-3</v>
      </c>
      <c r="BC10" s="518">
        <f>(BC9/BB9)-1</f>
        <v>2.7699934969596773E-2</v>
      </c>
      <c r="BD10" s="520" t="s">
        <v>199</v>
      </c>
      <c r="BE10" s="518">
        <f>(BE9/BC9)-1</f>
        <v>-0.11793610591498949</v>
      </c>
      <c r="BF10" s="518">
        <f>(BF9/BE9)-1</f>
        <v>-2.6472850444480556E-2</v>
      </c>
      <c r="BG10" s="518">
        <f>(BG9/BF9)-1</f>
        <v>0.30271129529112817</v>
      </c>
      <c r="BH10" s="518">
        <f>(BH9/BG9)-1</f>
        <v>0.15000575863029164</v>
      </c>
      <c r="BI10" s="520" t="s">
        <v>199</v>
      </c>
      <c r="BJ10" s="518">
        <f>(BJ9/BH9)-1</f>
        <v>-0.19931923632767945</v>
      </c>
      <c r="BK10" s="518">
        <f>(BK9/BJ9)-1</f>
        <v>-5.7765048061013902E-2</v>
      </c>
      <c r="BL10" s="518">
        <f>(BL9/BK9)-1</f>
        <v>0.11272388755673335</v>
      </c>
      <c r="BM10" s="518">
        <f>(BM9/BL9)-1</f>
        <v>0.46288387657960239</v>
      </c>
      <c r="BN10" s="520" t="s">
        <v>199</v>
      </c>
      <c r="BO10" s="518">
        <f>(BO9/BM9)-1</f>
        <v>0.12730228861062654</v>
      </c>
      <c r="BP10" s="518">
        <f>(BP9/BO9)-1</f>
        <v>7.1800291017912521E-2</v>
      </c>
      <c r="BQ10" s="518">
        <f>(BQ9/BP9)-1</f>
        <v>3.0853433375739314E-2</v>
      </c>
      <c r="BR10" s="518">
        <f>(BR9/BQ9)-1</f>
        <v>-2.6005574576747348E-2</v>
      </c>
      <c r="BS10" s="520" t="s">
        <v>199</v>
      </c>
      <c r="BT10" s="518">
        <f>(BT9/BR9)-1</f>
        <v>1.155150054630294E-2</v>
      </c>
      <c r="BU10" s="518">
        <f>(BU9/BT9)-1</f>
        <v>-0.17117435417292326</v>
      </c>
      <c r="BV10" s="518">
        <f>(BV9/BU9)-1</f>
        <v>-0.22267534386722743</v>
      </c>
      <c r="BW10" s="518">
        <f>(BW9/BV9)-1</f>
        <v>0.24286497708488386</v>
      </c>
      <c r="BX10" s="520" t="s">
        <v>199</v>
      </c>
      <c r="BY10" s="518">
        <f>(BY9/BW9)-1</f>
        <v>-5.2317903753967276E-2</v>
      </c>
      <c r="BZ10" s="518">
        <f>(BZ9/BY9)-1</f>
        <v>-0.33453390135831584</v>
      </c>
      <c r="CA10" s="518">
        <f>(CA9/BZ9)-1</f>
        <v>-0.1533769005112452</v>
      </c>
      <c r="CB10" s="518">
        <f>(CB9/CA9)-1</f>
        <v>0.3506366249726991</v>
      </c>
      <c r="CC10" s="520" t="s">
        <v>199</v>
      </c>
      <c r="CD10" s="518">
        <f>(CD9/CB9)-1</f>
        <v>4.0972859577815601E-2</v>
      </c>
      <c r="CE10" s="518">
        <f>(CE9/CD9)-1</f>
        <v>-9.6975040409765456E-2</v>
      </c>
      <c r="CF10" s="518">
        <f>(CF9/CE9)-1</f>
        <v>0.47809800995256202</v>
      </c>
      <c r="CG10" s="518">
        <f>(CG9/CF9)-1</f>
        <v>0.26404364205213282</v>
      </c>
      <c r="CH10" s="520" t="s">
        <v>199</v>
      </c>
      <c r="CI10" s="518">
        <f>(CI9/CG9)-1</f>
        <v>2.5580772283847031E-2</v>
      </c>
      <c r="CJ10" s="518">
        <f>(CJ9/CI9)-1</f>
        <v>2.0546200238912959E-2</v>
      </c>
      <c r="CK10" s="518">
        <f>(CK9/CJ9)-1</f>
        <v>-1.7734461741096497E-2</v>
      </c>
      <c r="CL10" s="518">
        <f>(CL9/CK9)-1</f>
        <v>1.9562567216826032E-2</v>
      </c>
      <c r="CM10" s="520" t="s">
        <v>199</v>
      </c>
      <c r="CN10" s="518">
        <f>(CN9/CL9)-1</f>
        <v>-2.9340685254323429E-2</v>
      </c>
      <c r="CO10" s="518">
        <f>(CO9/CN9)-1</f>
        <v>2.7139442438946393E-2</v>
      </c>
      <c r="CP10" s="518">
        <f>(CP9/CO9)-1</f>
        <v>0.20861437014154904</v>
      </c>
      <c r="CQ10" s="518">
        <f>(CQ9/CP9)-1</f>
        <v>0.20720404792629155</v>
      </c>
      <c r="CR10" s="520" t="s">
        <v>199</v>
      </c>
      <c r="CS10" s="518">
        <f>(CS9/CQ9)-1</f>
        <v>-0.27532209526752249</v>
      </c>
      <c r="CT10" s="518">
        <f>(CT9/CS9)-1</f>
        <v>-8.6919869865286215E-2</v>
      </c>
      <c r="CU10" s="518">
        <f>(CU9/CT9)-1</f>
        <v>9.1464993706669162E-2</v>
      </c>
      <c r="CV10" s="518">
        <f>(CV9/CU9)-1</f>
        <v>0.33547048783463951</v>
      </c>
      <c r="CW10" s="520" t="s">
        <v>199</v>
      </c>
      <c r="CX10" s="518">
        <f>(CX9/CV9)-1</f>
        <v>-0.30456852791878175</v>
      </c>
      <c r="CY10" s="518">
        <f>(CY9/CX9)-1</f>
        <v>0.11759935117599341</v>
      </c>
      <c r="CZ10" s="518">
        <f>(CZ9/CY9)-1</f>
        <v>0.1843251088534108</v>
      </c>
      <c r="DA10" s="518">
        <f>(DA9/CZ9)-1</f>
        <v>8.4558823529411686E-2</v>
      </c>
      <c r="DB10" s="520" t="s">
        <v>199</v>
      </c>
      <c r="DC10" s="518">
        <f>(DC9/DA9)-1</f>
        <v>-0.14971751412429379</v>
      </c>
      <c r="DD10" s="518">
        <f>(DD9/DC9)-1</f>
        <v>-0.10365448504983388</v>
      </c>
      <c r="DE10" s="518">
        <f>(DE9/DD9)-1</f>
        <v>0.19051148999258705</v>
      </c>
      <c r="DF10" s="518">
        <f>(DF9/DE9)-1</f>
        <v>-0.27646326276463262</v>
      </c>
      <c r="DG10" s="520" t="s">
        <v>199</v>
      </c>
      <c r="DH10" s="518">
        <f>(DH9/DF9)-1</f>
        <v>1.2908777969018903E-2</v>
      </c>
      <c r="DI10" s="518">
        <f>(DI9/DH9)-1</f>
        <v>5.9473237043330407E-3</v>
      </c>
      <c r="DJ10" s="518">
        <f>(DJ9/DI9)-1</f>
        <v>0.17905405405405395</v>
      </c>
      <c r="DK10" s="518">
        <f>(DK9/DJ9)-1</f>
        <v>0.1790830945558739</v>
      </c>
      <c r="DL10" s="520" t="s">
        <v>199</v>
      </c>
      <c r="DM10" s="518">
        <f>(DM9/DK9)-1</f>
        <v>-4.3742405832320808E-2</v>
      </c>
      <c r="DN10" s="518">
        <f>(DN9/DM9)-1</f>
        <v>5.0190597204574416E-2</v>
      </c>
      <c r="DO10" s="518">
        <f>(DO9/DN9)-1</f>
        <v>-2.1173623714458523E-2</v>
      </c>
      <c r="DP10" s="518">
        <f>(DP9/DO9)-1</f>
        <v>1.9159456118664986E-2</v>
      </c>
      <c r="DQ10" s="520" t="s">
        <v>199</v>
      </c>
      <c r="DR10" s="518">
        <f>(DR9/DP9)-1</f>
        <v>-2.1831412977562192E-2</v>
      </c>
      <c r="DS10" s="518">
        <f>(DS9/DR9)-1</f>
        <v>-2.4178549287042772E-2</v>
      </c>
      <c r="DT10" s="518">
        <f>(DT9/DS9)-1</f>
        <v>7.369758576874208E-2</v>
      </c>
      <c r="DU10" s="518">
        <f>(DU9/DT9)-1</f>
        <v>5.9171597633134176E-4</v>
      </c>
      <c r="DV10" s="520" t="s">
        <v>199</v>
      </c>
      <c r="DW10" s="518">
        <f>(DW9/DU9)-1</f>
        <v>-6.2684801892371356E-2</v>
      </c>
      <c r="DX10" s="518">
        <f>(DX9/DW9)-1</f>
        <v>-0.10851735015772868</v>
      </c>
      <c r="DY10" s="518">
        <f>(DY9/DX9)-1</f>
        <v>-0.10191082802547768</v>
      </c>
      <c r="DZ10" s="518">
        <f>(DZ9/DY9)-1</f>
        <v>-8.9834515366430279E-2</v>
      </c>
      <c r="EA10" s="520" t="s">
        <v>199</v>
      </c>
      <c r="EB10" s="518">
        <f>(EB9/DZ9)-1</f>
        <v>-5.8008658008657954E-2</v>
      </c>
      <c r="EC10" s="518">
        <f>(EC9/EB9)-1</f>
        <v>6.7095588235294157E-2</v>
      </c>
      <c r="ED10" s="518">
        <f>(ED9/EC9)-1</f>
        <v>0.25839793281653756</v>
      </c>
      <c r="EE10" s="518">
        <f>(EE9/ED9)-1</f>
        <v>8.7611225188227282E-2</v>
      </c>
      <c r="EF10" s="520" t="s">
        <v>199</v>
      </c>
      <c r="EG10" s="518">
        <f>(EG9/EE9)-1</f>
        <v>-0.12083071113908117</v>
      </c>
      <c r="EH10" s="518">
        <f>(EH9/EG9)-1</f>
        <v>3.1496062992125928E-2</v>
      </c>
      <c r="EI10" s="518">
        <f>(EI9/EH9)-1</f>
        <v>-8.3275503122831607E-3</v>
      </c>
      <c r="EJ10" s="518">
        <f>(EJ9/EI9)-1</f>
        <v>-0.13296011196641011</v>
      </c>
      <c r="EK10" s="520" t="s">
        <v>199</v>
      </c>
      <c r="EL10" s="518">
        <f>(EL9/EJ9)-1</f>
        <v>-0.16868442292171104</v>
      </c>
      <c r="EM10" s="518">
        <f>(EM9/EL9)-1</f>
        <v>-8.5436893203883479E-2</v>
      </c>
      <c r="EN10" s="518">
        <f>(EN9/EM9)-1</f>
        <v>0.12632696390658182</v>
      </c>
      <c r="EO10" s="518">
        <f>(EO9/EN9)-1</f>
        <v>-9.7078228086710627E-2</v>
      </c>
      <c r="EP10" s="520" t="s">
        <v>199</v>
      </c>
      <c r="EQ10" s="518">
        <f>(EQ9/EO9)-1</f>
        <v>-0.13152400835073064</v>
      </c>
      <c r="ER10" s="518">
        <f>(ER9/EQ9)-1</f>
        <v>0.234375</v>
      </c>
      <c r="ES10" s="518">
        <f>(ES9/ER9)-1</f>
        <v>0.27263875365141188</v>
      </c>
      <c r="ET10" s="518">
        <f>(ET9/ES9)-1</f>
        <v>-0.15378729915837797</v>
      </c>
      <c r="EU10" s="520" t="s">
        <v>199</v>
      </c>
      <c r="EV10" s="518">
        <f>(EV9/ET9)-1</f>
        <v>-0.11030741410488243</v>
      </c>
      <c r="EW10" s="518">
        <f>(EW9/EV9)-1</f>
        <v>0.24186991869918706</v>
      </c>
      <c r="EX10" s="518">
        <f>(EX9/EW9)-1</f>
        <v>0.34451718494271688</v>
      </c>
      <c r="EY10" s="518">
        <f>(EY9/EX9)-1</f>
        <v>-9.920876445526472E-2</v>
      </c>
      <c r="EZ10" s="520" t="s">
        <v>199</v>
      </c>
      <c r="FA10" s="518">
        <f>(FA9/EY9)-1</f>
        <v>0.11283783783783785</v>
      </c>
      <c r="FB10" s="518">
        <f>(FB9/FA9)-1</f>
        <v>6.6180935033393951E-2</v>
      </c>
      <c r="FC10" s="518">
        <f>(FC9/FB9)-1</f>
        <v>-5.8656036446469217E-2</v>
      </c>
      <c r="FD10" s="518">
        <f>(FD9/FC9)-1</f>
        <v>-0.14156079854809434</v>
      </c>
      <c r="FE10" s="520" t="s">
        <v>199</v>
      </c>
      <c r="FF10" s="518">
        <f>(FF9/FD9)-1</f>
        <v>-0.10359408033826634</v>
      </c>
      <c r="FG10" s="518">
        <f>(FG9/FF9)-1</f>
        <v>0.20361635220125796</v>
      </c>
      <c r="FH10" s="518">
        <f>(FH9/FG9)-1</f>
        <v>0.17635532331809278</v>
      </c>
      <c r="FI10" s="518">
        <f>(FI9/FH9)-1</f>
        <v>0.18101054969461416</v>
      </c>
      <c r="FJ10" s="520" t="s">
        <v>199</v>
      </c>
      <c r="FK10" s="518">
        <f>(FK9/FI9)-1</f>
        <v>-0.16031969910672306</v>
      </c>
      <c r="FL10" s="518">
        <f>(FL9/FK9)-1</f>
        <v>8.1746920492721253E-2</v>
      </c>
      <c r="FM10" s="518">
        <f>(FM9/FL9)-1</f>
        <v>0.44979296066252594</v>
      </c>
      <c r="FN10" s="518">
        <f>(FN9/FM9)-1</f>
        <v>0.15815780078543384</v>
      </c>
      <c r="FO10" s="520" t="s">
        <v>199</v>
      </c>
      <c r="FP10" s="518">
        <f>(FP9/FN9)-1</f>
        <v>6.1960542540073993E-2</v>
      </c>
      <c r="FQ10" s="518">
        <f>(FQ9/FP9)-1</f>
        <v>0.11756168359941954</v>
      </c>
      <c r="FR10" s="518">
        <f>(FR9/FQ9)-1</f>
        <v>0.12025974025974029</v>
      </c>
      <c r="FS10" s="518">
        <f>(FS9/FR9)-1</f>
        <v>0.11894273127753308</v>
      </c>
      <c r="FT10" s="520" t="s">
        <v>199</v>
      </c>
      <c r="FU10" s="518">
        <f>(FU9/FS9)-1</f>
        <v>0.21985080812266888</v>
      </c>
      <c r="FV10" s="518">
        <f>(FV9/FU9)-1</f>
        <v>0.11262102938678442</v>
      </c>
      <c r="FW10" s="518">
        <f>(FW9/FV9)-1</f>
        <v>-0.15038167938931302</v>
      </c>
      <c r="FX10" s="518">
        <f>(FX9/FW9)-1</f>
        <v>6.1096136567835302E-3</v>
      </c>
      <c r="FY10" s="520" t="s">
        <v>199</v>
      </c>
      <c r="FZ10" s="518">
        <f>(FZ9/FX9)-1</f>
        <v>-4.3936417217360191E-2</v>
      </c>
      <c r="GA10" s="518">
        <f>(GA9/FZ9)-1</f>
        <v>1.1208668036615244E-3</v>
      </c>
      <c r="GB10" s="518">
        <f>(GB9/GA9)-1</f>
        <v>8.2291472289606205E-2</v>
      </c>
      <c r="GC10" s="518">
        <f>(GC9/GB9)-1</f>
        <v>6.3448275862068915E-2</v>
      </c>
      <c r="GD10" s="520" t="s">
        <v>199</v>
      </c>
      <c r="GE10" s="518">
        <f>(GE9/GC9)-1</f>
        <v>-0.11267833981841768</v>
      </c>
      <c r="GF10" s="518">
        <f>(GF9/GE9)-1</f>
        <v>6.6142883245021045E-2</v>
      </c>
      <c r="GG10" s="518">
        <f>(GG9/GF9)-1</f>
        <v>0.16863753213367616</v>
      </c>
      <c r="GH10" s="518">
        <f>(GH9/GG9)-1</f>
        <v>0.12303856870508878</v>
      </c>
      <c r="GI10" s="520" t="s">
        <v>199</v>
      </c>
      <c r="GJ10" s="518">
        <f>(GJ9/GH9)-1</f>
        <v>-2.8728127448419905E-2</v>
      </c>
      <c r="GK10" s="518">
        <f>(GK9/GJ9)-1</f>
        <v>3.3207851573003433E-2</v>
      </c>
      <c r="GL10" s="518">
        <f>(GL9/GK9)-1</f>
        <v>0.20312296681847752</v>
      </c>
      <c r="GM10" s="518">
        <f>(GM9/GL9)-1</f>
        <v>0.11075059485182792</v>
      </c>
      <c r="GN10" s="520" t="s">
        <v>199</v>
      </c>
      <c r="GO10" s="518">
        <f>(GO9/GM9)-1</f>
        <v>-1.6553067185978154E-3</v>
      </c>
      <c r="GP10" s="518">
        <f>(GP9/GO9)-1</f>
        <v>9.455908605937946E-2</v>
      </c>
      <c r="GQ10" s="518">
        <f>(GQ9/GP9)-1</f>
        <v>6.8710602934437537E-2</v>
      </c>
      <c r="GR10" s="518">
        <f>(GR9/GQ9)-1</f>
        <v>0.35001572581453799</v>
      </c>
      <c r="GS10" s="520" t="s">
        <v>199</v>
      </c>
      <c r="GT10" s="518">
        <f>(GT9/GR9)-1</f>
        <v>7.6784343229457708E-2</v>
      </c>
      <c r="GU10" s="518">
        <f>(GU9/GT9)-1</f>
        <v>0.10190427722681372</v>
      </c>
      <c r="GV10" s="518">
        <f>(GV9/GU9)-1</f>
        <v>0.15221657820586865</v>
      </c>
      <c r="GW10" s="518">
        <f>(GW9/GV9)-1</f>
        <v>0.10763890694876443</v>
      </c>
      <c r="GX10" s="520" t="s">
        <v>199</v>
      </c>
      <c r="GY10" s="518">
        <f>(GY9/GW9)-1</f>
        <v>-2.3534863544635076E-2</v>
      </c>
      <c r="GZ10" s="518">
        <f>(GZ9/GY9)-1</f>
        <v>4.5595345260290188E-2</v>
      </c>
      <c r="HA10" s="518">
        <f>(HA9/GZ9)-1</f>
        <v>7.3456447287445936E-2</v>
      </c>
      <c r="HB10" s="518">
        <f>(HB9/HA9)-1</f>
        <v>6.996727819135895E-2</v>
      </c>
      <c r="HC10" s="520" t="s">
        <v>199</v>
      </c>
      <c r="HD10" s="518">
        <f>(HD9/HB9)-1</f>
        <v>-2.001664637778644E-2</v>
      </c>
      <c r="HE10" s="518">
        <f>(HE9/HD9)-1</f>
        <v>4.2649490374092824E-2</v>
      </c>
      <c r="HF10" s="518">
        <f>(HF9/HE9)-1</f>
        <v>7.9577416754776475E-2</v>
      </c>
      <c r="HG10" s="518">
        <f>(HG9/HF9)-1</f>
        <v>4.4081617848193977E-2</v>
      </c>
      <c r="HH10" s="520" t="s">
        <v>199</v>
      </c>
      <c r="HI10" s="518">
        <f>(HI9/HG9)-1</f>
        <v>-4.2296787915255929E-2</v>
      </c>
      <c r="HJ10" s="518">
        <f>(HJ9/HI9)-1</f>
        <v>4.2295316754447754E-2</v>
      </c>
      <c r="HK10" s="518">
        <f>(HK9/HJ9)-1</f>
        <v>9.8824018835747651E-2</v>
      </c>
      <c r="HL10" s="518">
        <f>(HL9/HK9)-1</f>
        <v>4.6133718623512454E-2</v>
      </c>
      <c r="HM10" s="520" t="s">
        <v>199</v>
      </c>
      <c r="HN10" s="520"/>
      <c r="HO10" s="520"/>
      <c r="HP10" s="453"/>
      <c r="HQ10" s="453"/>
      <c r="HR10" s="453"/>
      <c r="HS10" s="453"/>
      <c r="HT10" s="453"/>
      <c r="HU10" s="453"/>
      <c r="HV10" s="453"/>
      <c r="HW10" s="453"/>
      <c r="HX10" s="453"/>
      <c r="HY10" s="453"/>
      <c r="HZ10" s="453"/>
      <c r="IA10" s="453"/>
      <c r="IB10" s="453"/>
    </row>
    <row r="11" spans="1:236" s="509" customFormat="1" ht="15" customHeight="1">
      <c r="A11" s="517" t="s">
        <v>200</v>
      </c>
      <c r="L11" s="518"/>
      <c r="M11" s="518"/>
      <c r="N11" s="518"/>
      <c r="O11" s="518"/>
      <c r="P11" s="521"/>
      <c r="Q11" s="518"/>
      <c r="R11" s="518"/>
      <c r="S11" s="518"/>
      <c r="T11" s="518"/>
      <c r="U11" s="521"/>
      <c r="V11" s="518"/>
      <c r="W11" s="518"/>
      <c r="X11" s="518"/>
      <c r="Y11" s="518"/>
      <c r="Z11" s="518"/>
      <c r="AA11" s="518"/>
      <c r="AB11" s="518"/>
      <c r="AC11" s="518"/>
      <c r="AD11" s="518"/>
      <c r="AE11" s="521"/>
      <c r="AF11" s="518"/>
      <c r="AG11" s="520" t="s">
        <v>199</v>
      </c>
      <c r="AH11" s="520" t="s">
        <v>199</v>
      </c>
      <c r="AI11" s="520" t="s">
        <v>199</v>
      </c>
      <c r="AJ11" s="520" t="s">
        <v>199</v>
      </c>
      <c r="AK11" s="518">
        <f t="shared" ref="AK11:CV11" si="0">(AK9/AF9)-1</f>
        <v>0.25929907493992888</v>
      </c>
      <c r="AL11" s="518">
        <f t="shared" si="0"/>
        <v>0.30361141259178881</v>
      </c>
      <c r="AM11" s="518">
        <f t="shared" si="0"/>
        <v>0.29822565262184164</v>
      </c>
      <c r="AN11" s="518">
        <f t="shared" si="0"/>
        <v>0.3187293785256069</v>
      </c>
      <c r="AO11" s="521">
        <f t="shared" si="0"/>
        <v>0.29508275293032749</v>
      </c>
      <c r="AP11" s="518">
        <f t="shared" si="0"/>
        <v>0.20857566071567768</v>
      </c>
      <c r="AQ11" s="518">
        <f t="shared" si="0"/>
        <v>0.17423124450353189</v>
      </c>
      <c r="AR11" s="518">
        <f t="shared" si="0"/>
        <v>8.7036975662567961E-2</v>
      </c>
      <c r="AS11" s="518">
        <f t="shared" si="0"/>
        <v>8.7791286355765497E-2</v>
      </c>
      <c r="AT11" s="521">
        <f t="shared" si="0"/>
        <v>0.13822582435883213</v>
      </c>
      <c r="AU11" s="518">
        <f t="shared" si="0"/>
        <v>-0.12237460006192591</v>
      </c>
      <c r="AV11" s="518">
        <f t="shared" si="0"/>
        <v>-0.27328836468044482</v>
      </c>
      <c r="AW11" s="518">
        <f t="shared" si="0"/>
        <v>-0.22616258881916029</v>
      </c>
      <c r="AX11" s="518">
        <f t="shared" si="0"/>
        <v>-0.16215227248583119</v>
      </c>
      <c r="AY11" s="521">
        <f t="shared" si="0"/>
        <v>-0.19619718124363106</v>
      </c>
      <c r="AZ11" s="518">
        <f t="shared" si="0"/>
        <v>1.4308762026563171E-2</v>
      </c>
      <c r="BA11" s="518">
        <f t="shared" si="0"/>
        <v>0.30650637144922732</v>
      </c>
      <c r="BB11" s="518">
        <f t="shared" si="0"/>
        <v>0.30596109985072073</v>
      </c>
      <c r="BC11" s="518">
        <f t="shared" si="0"/>
        <v>0.2340722284389416</v>
      </c>
      <c r="BD11" s="521">
        <f t="shared" si="0"/>
        <v>0.20652948076798028</v>
      </c>
      <c r="BE11" s="518">
        <f t="shared" si="0"/>
        <v>-2.0186630772881853E-2</v>
      </c>
      <c r="BF11" s="518">
        <f t="shared" si="0"/>
        <v>-0.11440878227801687</v>
      </c>
      <c r="BG11" s="518">
        <f t="shared" si="0"/>
        <v>0.14964199757309227</v>
      </c>
      <c r="BH11" s="518">
        <f t="shared" si="0"/>
        <v>0.28646005763481952</v>
      </c>
      <c r="BI11" s="521">
        <f t="shared" si="0"/>
        <v>7.8835499443000501E-2</v>
      </c>
      <c r="BJ11" s="518">
        <f t="shared" si="0"/>
        <v>0.16776554202967153</v>
      </c>
      <c r="BK11" s="518">
        <f t="shared" si="0"/>
        <v>0.1302299169290726</v>
      </c>
      <c r="BL11" s="518">
        <f t="shared" si="0"/>
        <v>-3.4602807587396311E-2</v>
      </c>
      <c r="BM11" s="518">
        <f t="shared" si="0"/>
        <v>0.22804949164574939</v>
      </c>
      <c r="BN11" s="521">
        <f t="shared" si="0"/>
        <v>0.12409343148157403</v>
      </c>
      <c r="BO11" s="518">
        <f t="shared" si="0"/>
        <v>0.72900744625098768</v>
      </c>
      <c r="BP11" s="518">
        <f t="shared" si="0"/>
        <v>0.96676071106301498</v>
      </c>
      <c r="BQ11" s="518">
        <f t="shared" si="0"/>
        <v>0.82205312054509871</v>
      </c>
      <c r="BR11" s="518">
        <f t="shared" si="0"/>
        <v>0.2131308647582868</v>
      </c>
      <c r="BS11" s="521">
        <f t="shared" si="0"/>
        <v>0.62520314221284656</v>
      </c>
      <c r="BT11" s="518">
        <f t="shared" si="0"/>
        <v>8.8567245009061102E-2</v>
      </c>
      <c r="BU11" s="518">
        <f t="shared" si="0"/>
        <v>-0.15820842984287053</v>
      </c>
      <c r="BV11" s="518">
        <f t="shared" si="0"/>
        <v>-0.36523920702764656</v>
      </c>
      <c r="BW11" s="518">
        <f t="shared" si="0"/>
        <v>-0.19001388732883351</v>
      </c>
      <c r="BX11" s="521">
        <f t="shared" si="0"/>
        <v>-0.1620160859155757</v>
      </c>
      <c r="BY11" s="518">
        <f t="shared" si="0"/>
        <v>-0.24115644455885066</v>
      </c>
      <c r="BZ11" s="518">
        <f t="shared" si="0"/>
        <v>-0.39072268955325684</v>
      </c>
      <c r="CA11" s="518">
        <f t="shared" si="0"/>
        <v>-0.33640565631242902</v>
      </c>
      <c r="CB11" s="518">
        <f t="shared" si="0"/>
        <v>-0.27886388205149226</v>
      </c>
      <c r="CC11" s="521">
        <f t="shared" si="0"/>
        <v>-0.3069888281736205</v>
      </c>
      <c r="CD11" s="518">
        <f t="shared" si="0"/>
        <v>-0.20787452900153314</v>
      </c>
      <c r="CE11" s="518">
        <f t="shared" si="0"/>
        <v>7.4899341827989074E-2</v>
      </c>
      <c r="CF11" s="518">
        <f t="shared" si="0"/>
        <v>0.87663976923697495</v>
      </c>
      <c r="CG11" s="518">
        <f t="shared" si="0"/>
        <v>0.7563232958932451</v>
      </c>
      <c r="CH11" s="521">
        <f t="shared" si="0"/>
        <v>0.30483135331507394</v>
      </c>
      <c r="CI11" s="518">
        <f t="shared" si="0"/>
        <v>0.73035385659606344</v>
      </c>
      <c r="CJ11" s="518">
        <f t="shared" si="0"/>
        <v>0.95554512050162654</v>
      </c>
      <c r="CK11" s="518">
        <f t="shared" si="0"/>
        <v>0.29955156386466597</v>
      </c>
      <c r="CL11" s="518">
        <f t="shared" si="0"/>
        <v>4.8202834621634105E-2</v>
      </c>
      <c r="CM11" s="521">
        <f t="shared" si="0"/>
        <v>0.42119813546838358</v>
      </c>
      <c r="CN11" s="518">
        <f t="shared" si="0"/>
        <v>-7.9300698056425922E-3</v>
      </c>
      <c r="CO11" s="518">
        <f t="shared" si="0"/>
        <v>-1.5207986451499789E-3</v>
      </c>
      <c r="CP11" s="518">
        <f t="shared" si="0"/>
        <v>0.22856423649350233</v>
      </c>
      <c r="CQ11" s="518">
        <f t="shared" si="0"/>
        <v>0.45467062750354925</v>
      </c>
      <c r="CR11" s="521">
        <f t="shared" si="0"/>
        <v>0.16917984538437469</v>
      </c>
      <c r="CS11" s="518">
        <f t="shared" si="0"/>
        <v>8.6032603201622537E-2</v>
      </c>
      <c r="CT11" s="518">
        <f t="shared" si="0"/>
        <v>-3.4566535282454791E-2</v>
      </c>
      <c r="CU11" s="518">
        <f t="shared" si="0"/>
        <v>-0.12814471139480743</v>
      </c>
      <c r="CV11" s="518">
        <f t="shared" si="0"/>
        <v>-3.550935768078356E-2</v>
      </c>
      <c r="CW11" s="521">
        <f t="shared" ref="CW11:FH11" si="1">(CW9/CR9)-1</f>
        <v>-3.3933713057562209E-2</v>
      </c>
      <c r="CX11" s="518">
        <f t="shared" si="1"/>
        <v>-7.4434113671201119E-2</v>
      </c>
      <c r="CY11" s="518">
        <f t="shared" si="1"/>
        <v>0.13288177005788548</v>
      </c>
      <c r="CZ11" s="518">
        <f t="shared" si="1"/>
        <v>0.22926555902207091</v>
      </c>
      <c r="DA11" s="518">
        <f t="shared" si="1"/>
        <v>-1.6920473773265332E-3</v>
      </c>
      <c r="DB11" s="521">
        <f t="shared" si="1"/>
        <v>6.4408485033227159E-2</v>
      </c>
      <c r="DC11" s="518">
        <f t="shared" si="1"/>
        <v>0.22060016220600165</v>
      </c>
      <c r="DD11" s="518">
        <f t="shared" si="1"/>
        <v>-2.1044992743106006E-2</v>
      </c>
      <c r="DE11" s="518">
        <f t="shared" si="1"/>
        <v>-1.5931372549019662E-2</v>
      </c>
      <c r="DF11" s="518">
        <f t="shared" si="1"/>
        <v>-0.34350282485875705</v>
      </c>
      <c r="DG11" s="521">
        <f t="shared" si="1"/>
        <v>-6.5025777482122016E-2</v>
      </c>
      <c r="DH11" s="518">
        <f t="shared" si="1"/>
        <v>-0.2179401993355482</v>
      </c>
      <c r="DI11" s="518">
        <f t="shared" si="1"/>
        <v>-0.1223128243143069</v>
      </c>
      <c r="DJ11" s="518">
        <f t="shared" si="1"/>
        <v>-0.13075965130759648</v>
      </c>
      <c r="DK11" s="518">
        <f t="shared" si="1"/>
        <v>0.41652323580034434</v>
      </c>
      <c r="DL11" s="521">
        <f t="shared" si="1"/>
        <v>-3.8954108858057612E-2</v>
      </c>
      <c r="DM11" s="518">
        <f t="shared" si="1"/>
        <v>0.33729821580288877</v>
      </c>
      <c r="DN11" s="518">
        <f t="shared" si="1"/>
        <v>0.39611486486486491</v>
      </c>
      <c r="DO11" s="518">
        <f t="shared" si="1"/>
        <v>0.15902578796561606</v>
      </c>
      <c r="DP11" s="518">
        <f t="shared" si="1"/>
        <v>1.8226002430132837E-3</v>
      </c>
      <c r="DQ11" s="521">
        <f t="shared" si="1"/>
        <v>0.20192485656116976</v>
      </c>
      <c r="DR11" s="518">
        <f>(DR9/DM9)-1</f>
        <v>2.4777636594663255E-2</v>
      </c>
      <c r="DS11" s="518">
        <f t="shared" si="1"/>
        <v>-4.7791893526920703E-2</v>
      </c>
      <c r="DT11" s="518">
        <f t="shared" si="1"/>
        <v>4.4499381953028383E-2</v>
      </c>
      <c r="DU11" s="518">
        <f t="shared" si="1"/>
        <v>2.5469981807155762E-2</v>
      </c>
      <c r="DV11" s="521">
        <f t="shared" si="1"/>
        <v>1.1395133969818394E-2</v>
      </c>
      <c r="DW11" s="518">
        <f t="shared" si="1"/>
        <v>-1.7358958462492247E-2</v>
      </c>
      <c r="DX11" s="518">
        <f t="shared" si="1"/>
        <v>-0.102287166454892</v>
      </c>
      <c r="DY11" s="518">
        <f t="shared" si="1"/>
        <v>-0.24911242603550299</v>
      </c>
      <c r="DZ11" s="518">
        <f t="shared" si="1"/>
        <v>-0.31697220579538732</v>
      </c>
      <c r="EA11" s="521">
        <f t="shared" si="1"/>
        <v>-0.17448233861144946</v>
      </c>
      <c r="EB11" s="518">
        <f t="shared" si="1"/>
        <v>-0.31356466876971612</v>
      </c>
      <c r="EC11" s="518">
        <f t="shared" si="1"/>
        <v>-0.17834394904458595</v>
      </c>
      <c r="ED11" s="518">
        <f t="shared" si="1"/>
        <v>0.15130023640661938</v>
      </c>
      <c r="EE11" s="518">
        <f t="shared" si="1"/>
        <v>0.37575757575757573</v>
      </c>
      <c r="EF11" s="521">
        <f t="shared" si="1"/>
        <v>-2.2685355957211328E-2</v>
      </c>
      <c r="EG11" s="518">
        <f t="shared" si="1"/>
        <v>0.28400735294117641</v>
      </c>
      <c r="EH11" s="518">
        <f t="shared" si="1"/>
        <v>0.24117140396210157</v>
      </c>
      <c r="EI11" s="518">
        <f t="shared" si="1"/>
        <v>-2.1902806297056765E-2</v>
      </c>
      <c r="EJ11" s="518">
        <f t="shared" si="1"/>
        <v>-0.22026431718061679</v>
      </c>
      <c r="EK11" s="521">
        <f t="shared" si="1"/>
        <v>3.9063974334780038E-2</v>
      </c>
      <c r="EL11" s="518">
        <f t="shared" si="1"/>
        <v>-0.26270579813886896</v>
      </c>
      <c r="EM11" s="518">
        <f t="shared" si="1"/>
        <v>-0.34628730048577372</v>
      </c>
      <c r="EN11" s="518">
        <f t="shared" si="1"/>
        <v>-0.25752274317704693</v>
      </c>
      <c r="EO11" s="518">
        <f t="shared" si="1"/>
        <v>-0.22679580306698954</v>
      </c>
      <c r="EP11" s="521">
        <f t="shared" si="1"/>
        <v>-0.27515437704322554</v>
      </c>
      <c r="EQ11" s="518">
        <f t="shared" si="1"/>
        <v>-0.19223300970873791</v>
      </c>
      <c r="ER11" s="518">
        <f t="shared" si="1"/>
        <v>9.0233545647558477E-2</v>
      </c>
      <c r="ES11" s="518">
        <f t="shared" si="1"/>
        <v>0.23185673892554193</v>
      </c>
      <c r="ET11" s="518">
        <f t="shared" si="1"/>
        <v>0.15448851774530281</v>
      </c>
      <c r="EU11" s="521">
        <f t="shared" si="1"/>
        <v>7.0408418942620843E-2</v>
      </c>
      <c r="EV11" s="518">
        <f t="shared" si="1"/>
        <v>0.18269230769230771</v>
      </c>
      <c r="EW11" s="518">
        <f t="shared" si="1"/>
        <v>0.18987341772151889</v>
      </c>
      <c r="EX11" s="518">
        <f t="shared" si="1"/>
        <v>0.25707727620504972</v>
      </c>
      <c r="EY11" s="518">
        <f t="shared" si="1"/>
        <v>0.33815551537070521</v>
      </c>
      <c r="EZ11" s="521">
        <f t="shared" si="1"/>
        <v>0.24742509363295873</v>
      </c>
      <c r="FA11" s="518">
        <f t="shared" si="1"/>
        <v>0.67378048780487809</v>
      </c>
      <c r="FB11" s="518">
        <f t="shared" si="1"/>
        <v>0.43698854337152215</v>
      </c>
      <c r="FC11" s="518">
        <f t="shared" si="1"/>
        <v>6.0864272671941055E-3</v>
      </c>
      <c r="FD11" s="518">
        <f t="shared" si="1"/>
        <v>-4.1216216216216184E-2</v>
      </c>
      <c r="FE11" s="521">
        <f t="shared" si="1"/>
        <v>0.21504972790392185</v>
      </c>
      <c r="FF11" s="518">
        <f t="shared" si="1"/>
        <v>-0.22768670309653916</v>
      </c>
      <c r="FG11" s="518">
        <f t="shared" si="1"/>
        <v>-0.12813211845102501</v>
      </c>
      <c r="FH11" s="518">
        <f t="shared" si="1"/>
        <v>8.9534180278281861E-2</v>
      </c>
      <c r="FI11" s="518">
        <f t="shared" ref="FI11:FX11" si="2">(FI9/FD9)-1</f>
        <v>0.49894291754756881</v>
      </c>
      <c r="FJ11" s="521">
        <f t="shared" si="2"/>
        <v>3.9536679536679609E-2</v>
      </c>
      <c r="FK11" s="518">
        <f t="shared" si="2"/>
        <v>0.40408805031446549</v>
      </c>
      <c r="FL11" s="518">
        <f t="shared" si="2"/>
        <v>0.26192031352057477</v>
      </c>
      <c r="FM11" s="518">
        <f t="shared" si="2"/>
        <v>0.55524708495280395</v>
      </c>
      <c r="FN11" s="518">
        <f t="shared" si="2"/>
        <v>0.5251527973671839</v>
      </c>
      <c r="FO11" s="521">
        <f t="shared" si="2"/>
        <v>0.45045312732134901</v>
      </c>
      <c r="FP11" s="518">
        <f t="shared" si="2"/>
        <v>0.92889137737961924</v>
      </c>
      <c r="FQ11" s="518">
        <f t="shared" si="2"/>
        <v>0.99275362318840576</v>
      </c>
      <c r="FR11" s="518">
        <f t="shared" si="2"/>
        <v>0.5398072117101036</v>
      </c>
      <c r="FS11" s="518">
        <f t="shared" si="2"/>
        <v>0.48766954377311955</v>
      </c>
      <c r="FT11" s="521">
        <f>(FT9/FO9)-1</f>
        <v>0.68329406944586712</v>
      </c>
      <c r="FU11" s="518">
        <f t="shared" si="2"/>
        <v>0.70885341074020314</v>
      </c>
      <c r="FV11" s="518">
        <f t="shared" si="2"/>
        <v>0.70129870129870131</v>
      </c>
      <c r="FW11" s="518">
        <f t="shared" si="2"/>
        <v>0.29028518432645489</v>
      </c>
      <c r="FX11" s="518">
        <f t="shared" si="2"/>
        <v>0.16017405719021971</v>
      </c>
      <c r="FY11" s="521">
        <f>(FY9/FT9)-1</f>
        <v>0.43610806863818907</v>
      </c>
      <c r="FZ11" s="518">
        <f t="shared" ref="FZ11:GT11" si="3">(FZ9/FU9)-1</f>
        <v>-9.0708340411075228E-2</v>
      </c>
      <c r="GA11" s="518">
        <f t="shared" si="3"/>
        <v>-0.18183206106870231</v>
      </c>
      <c r="GB11" s="518">
        <f t="shared" si="3"/>
        <v>4.2228212039532753E-2</v>
      </c>
      <c r="GC11" s="518">
        <f t="shared" si="3"/>
        <v>0.10162529023039824</v>
      </c>
      <c r="GD11" s="521">
        <f t="shared" si="3"/>
        <v>-3.9023770179229644E-2</v>
      </c>
      <c r="GE11" s="518">
        <f t="shared" si="3"/>
        <v>2.2417336073230043E-2</v>
      </c>
      <c r="GF11" s="518">
        <f t="shared" si="3"/>
        <v>8.882254151894009E-2</v>
      </c>
      <c r="GG11" s="518">
        <f t="shared" si="3"/>
        <v>0.17568965517241386</v>
      </c>
      <c r="GH11" s="518">
        <f t="shared" si="3"/>
        <v>0.24156939040207526</v>
      </c>
      <c r="GI11" s="521">
        <f t="shared" si="3"/>
        <v>0.13690476190476186</v>
      </c>
      <c r="GJ11" s="518">
        <f t="shared" si="3"/>
        <v>0.35903526402338759</v>
      </c>
      <c r="GK11" s="518">
        <f t="shared" si="3"/>
        <v>0.31705227077977716</v>
      </c>
      <c r="GL11" s="518">
        <f t="shared" si="3"/>
        <v>0.35591728992520899</v>
      </c>
      <c r="GM11" s="518">
        <f t="shared" si="3"/>
        <v>0.34108122225124049</v>
      </c>
      <c r="GN11" s="521">
        <f t="shared" si="3"/>
        <v>0.3433779329067288</v>
      </c>
      <c r="GO11" s="518">
        <f t="shared" si="3"/>
        <v>0.37846195213767131</v>
      </c>
      <c r="GP11" s="518">
        <f t="shared" si="3"/>
        <v>0.46031415866842118</v>
      </c>
      <c r="GQ11" s="518">
        <f t="shared" si="3"/>
        <v>0.29716850897726199</v>
      </c>
      <c r="GR11" s="518">
        <f t="shared" si="3"/>
        <v>0.57658964511678445</v>
      </c>
      <c r="GS11" s="521">
        <f t="shared" si="3"/>
        <v>0.43366465540921961</v>
      </c>
      <c r="GT11" s="518">
        <f t="shared" si="3"/>
        <v>0.70046183145376539</v>
      </c>
      <c r="GU11" s="518">
        <f>(GU9/GP9)-1</f>
        <v>0.71187301736783093</v>
      </c>
      <c r="GV11" s="518">
        <f>(GV9/GQ9)-1</f>
        <v>0.84563385539417379</v>
      </c>
      <c r="GW11" s="518">
        <f>(GW9/GR9)-1</f>
        <v>0.51427559481427609</v>
      </c>
      <c r="GX11" s="521">
        <f>(GX9/GS9)-1</f>
        <v>0.67739634880870092</v>
      </c>
      <c r="GY11" s="518">
        <f t="shared" ref="GY11" si="4">(GY9/GT9)-1</f>
        <v>0.37319727447621354</v>
      </c>
      <c r="GZ11" s="518">
        <f>(GZ9/GU9)-1</f>
        <v>0.30302487066297323</v>
      </c>
      <c r="HA11" s="518">
        <f>(HA9/GV9)-1</f>
        <v>0.21395619091599571</v>
      </c>
      <c r="HB11" s="518">
        <f>(HB9/GW9)-1</f>
        <v>0.17266863170780611</v>
      </c>
      <c r="HC11" s="521">
        <f>(HC9/GX9)-1</f>
        <v>0.25567465948790269</v>
      </c>
      <c r="HD11" s="518">
        <f t="shared" ref="HD11" si="5">(HD9/GY9)-1</f>
        <v>0.17689377273647211</v>
      </c>
      <c r="HE11" s="518">
        <f>(HE9/GZ9)-1</f>
        <v>0.17357799834376197</v>
      </c>
      <c r="HF11" s="518">
        <f>(HF9/HA9)-1</f>
        <v>0.1802698721627185</v>
      </c>
      <c r="HG11" s="518">
        <f>(HG9/HB9)-1</f>
        <v>0.15171566714467444</v>
      </c>
      <c r="HH11" s="521">
        <f>(HH9/HC9)-1</f>
        <v>0.17004659692266855</v>
      </c>
      <c r="HI11" s="518">
        <f t="shared" ref="HI11" si="6">(HI9/HD9)-1</f>
        <v>0.12553115290771455</v>
      </c>
      <c r="HJ11" s="518">
        <f>(HJ9/HE9)-1</f>
        <v>0.12514882553295559</v>
      </c>
      <c r="HK11" s="518">
        <f>(HK9/HF9)-1</f>
        <v>0.14520787029511917</v>
      </c>
      <c r="HL11" s="518">
        <f>(HL9/HG9)-1</f>
        <v>0.14745873068606907</v>
      </c>
      <c r="HM11" s="521">
        <f>(HM9/HH9)-1</f>
        <v>0.13647162570011773</v>
      </c>
      <c r="HN11" s="521"/>
      <c r="HO11" s="521"/>
      <c r="HP11" s="453"/>
      <c r="HQ11" s="453"/>
      <c r="HR11" s="453"/>
      <c r="HS11" s="453"/>
      <c r="HT11" s="453"/>
      <c r="HU11" s="453"/>
      <c r="HV11" s="453"/>
      <c r="HW11" s="453"/>
      <c r="HX11" s="453"/>
      <c r="HY11" s="453"/>
      <c r="HZ11" s="453"/>
      <c r="IA11" s="453"/>
      <c r="IB11" s="453"/>
    </row>
    <row r="12" spans="1:236" s="509" customFormat="1" ht="15" customHeight="1">
      <c r="A12" s="522" t="s">
        <v>368</v>
      </c>
      <c r="L12" s="523"/>
      <c r="M12" s="523"/>
      <c r="N12" s="523"/>
      <c r="O12" s="523"/>
      <c r="P12" s="524"/>
      <c r="Q12" s="523"/>
      <c r="R12" s="523"/>
      <c r="S12" s="523"/>
      <c r="T12" s="523"/>
      <c r="U12" s="524"/>
      <c r="V12" s="525"/>
      <c r="W12" s="525"/>
      <c r="X12" s="525"/>
      <c r="Y12" s="526"/>
      <c r="Z12" s="524"/>
      <c r="AA12" s="527"/>
      <c r="AB12" s="527"/>
      <c r="AC12" s="527"/>
      <c r="AD12" s="527"/>
      <c r="AE12" s="524"/>
      <c r="AF12" s="526">
        <v>153.30699999999999</v>
      </c>
      <c r="AG12" s="526">
        <v>136.26300000000001</v>
      </c>
      <c r="AH12" s="526">
        <v>157.65600000000001</v>
      </c>
      <c r="AI12" s="526">
        <v>167.27099999999999</v>
      </c>
      <c r="AJ12" s="524">
        <f>SUM(AF12:AI12)</f>
        <v>614.49699999999996</v>
      </c>
      <c r="AK12" s="528">
        <v>179.465</v>
      </c>
      <c r="AL12" s="528">
        <v>182.00700000000001</v>
      </c>
      <c r="AM12" s="528">
        <v>197.96899999999999</v>
      </c>
      <c r="AN12" s="528">
        <v>206.88099999999997</v>
      </c>
      <c r="AO12" s="524">
        <f>SUM(AK12:AN12)</f>
        <v>766.322</v>
      </c>
      <c r="AP12" s="526">
        <v>233.28899999999999</v>
      </c>
      <c r="AQ12" s="526">
        <v>245.22900000000001</v>
      </c>
      <c r="AR12" s="526">
        <v>278.44499999999999</v>
      </c>
      <c r="AS12" s="526">
        <v>279.41200000000003</v>
      </c>
      <c r="AT12" s="524">
        <f>SUM(AP12:AS12)</f>
        <v>1036.375</v>
      </c>
      <c r="AU12" s="261">
        <v>292.928</v>
      </c>
      <c r="AV12" s="261">
        <v>291.78100000000001</v>
      </c>
      <c r="AW12" s="261">
        <v>253.04</v>
      </c>
      <c r="AX12" s="261">
        <v>270.43900000000002</v>
      </c>
      <c r="AY12" s="524">
        <f>SUM(AU12:AX12)</f>
        <v>1108.1880000000001</v>
      </c>
      <c r="AZ12" s="261">
        <v>260.255</v>
      </c>
      <c r="BA12" s="261">
        <v>278.26200000000006</v>
      </c>
      <c r="BB12" s="261">
        <v>324.27499999999998</v>
      </c>
      <c r="BC12" s="261">
        <v>321.18099999999998</v>
      </c>
      <c r="BD12" s="524">
        <f>SUM(AZ12:BC12)</f>
        <v>1183.973</v>
      </c>
      <c r="BE12" s="261">
        <v>311.43100000000004</v>
      </c>
      <c r="BF12" s="261">
        <v>276.96600000000001</v>
      </c>
      <c r="BG12" s="261">
        <v>305.899</v>
      </c>
      <c r="BH12" s="261">
        <v>356.88600000000002</v>
      </c>
      <c r="BI12" s="524">
        <f>SUM(BE12:BH12)</f>
        <v>1251.182</v>
      </c>
      <c r="BJ12" s="261">
        <v>322.94399999999996</v>
      </c>
      <c r="BK12" s="261">
        <v>330.45499999999998</v>
      </c>
      <c r="BL12" s="261">
        <v>343.9</v>
      </c>
      <c r="BM12" s="261">
        <v>451.61500000000001</v>
      </c>
      <c r="BN12" s="524">
        <f>SUM(BJ12:BM12)</f>
        <v>1448.9139999999998</v>
      </c>
      <c r="BO12" s="261">
        <v>477.86500000000001</v>
      </c>
      <c r="BP12" s="261">
        <v>464.75600000000003</v>
      </c>
      <c r="BQ12" s="261">
        <v>485.25199999999995</v>
      </c>
      <c r="BR12" s="261">
        <v>507.69399999999996</v>
      </c>
      <c r="BS12" s="524">
        <f>SUM(BO12:BR12)</f>
        <v>1935.567</v>
      </c>
      <c r="BT12" s="261">
        <v>561.89700000000005</v>
      </c>
      <c r="BU12" s="261">
        <v>476.75599999999997</v>
      </c>
      <c r="BV12" s="261">
        <f>434.043-6.901</f>
        <v>427.142</v>
      </c>
      <c r="BW12" s="261">
        <v>494.18400000000008</v>
      </c>
      <c r="BX12" s="524">
        <f>SUM(BT12:BW12)</f>
        <v>1959.9790000000003</v>
      </c>
      <c r="BY12" s="261">
        <v>412.76700000000005</v>
      </c>
      <c r="BZ12" s="261">
        <v>375.18200000000002</v>
      </c>
      <c r="CA12" s="261">
        <v>254.79699999999997</v>
      </c>
      <c r="CB12" s="261">
        <v>306.74599999999998</v>
      </c>
      <c r="CC12" s="524">
        <f>SUM(BY12:CB12)</f>
        <v>1349.4920000000002</v>
      </c>
      <c r="CD12" s="261">
        <v>286.83799999999997</v>
      </c>
      <c r="CE12" s="261">
        <v>211.51699999999997</v>
      </c>
      <c r="CF12" s="261">
        <v>341.85</v>
      </c>
      <c r="CG12" s="261">
        <v>491.19700000000012</v>
      </c>
      <c r="CH12" s="524">
        <f>SUM(CD12:CG12)</f>
        <v>1331.402</v>
      </c>
      <c r="CI12" s="261">
        <v>470.86</v>
      </c>
      <c r="CJ12" s="261">
        <v>490.67599999999999</v>
      </c>
      <c r="CK12" s="261">
        <v>433.29500000000002</v>
      </c>
      <c r="CL12" s="261">
        <v>413.50199999999995</v>
      </c>
      <c r="CM12" s="524">
        <f>SUM(CI12:CL12)</f>
        <v>1808.3330000000001</v>
      </c>
      <c r="CN12" s="261">
        <v>474.56799999999998</v>
      </c>
      <c r="CO12" s="261">
        <f>CO16-CO14</f>
        <v>447.49899999999997</v>
      </c>
      <c r="CP12" s="523">
        <f>CP16-CP14</f>
        <v>605.51099999999997</v>
      </c>
      <c r="CQ12" s="523">
        <f>986.148-CQ14</f>
        <v>708.8900000000001</v>
      </c>
      <c r="CR12" s="524">
        <f>SUM(CN12:CQ12)</f>
        <v>2236.4679999999998</v>
      </c>
      <c r="CS12" s="523">
        <f>553.34-CS14</f>
        <v>379.34000000000003</v>
      </c>
      <c r="CT12" s="523">
        <f>526.059-CT14</f>
        <v>333.05899999999997</v>
      </c>
      <c r="CU12" s="523">
        <f>645.264-CU14</f>
        <v>445.26400000000001</v>
      </c>
      <c r="CV12" s="523">
        <f>1132-62-CV14</f>
        <v>847</v>
      </c>
      <c r="CW12" s="524">
        <f>SUM(CS12:CV12)</f>
        <v>2004.663</v>
      </c>
      <c r="CX12" s="523">
        <f>886-29-CX14</f>
        <v>614</v>
      </c>
      <c r="CY12" s="523">
        <f>917-2-30-CY14</f>
        <v>630</v>
      </c>
      <c r="CZ12" s="523">
        <f>963-2-CZ14</f>
        <v>698</v>
      </c>
      <c r="DA12" s="523">
        <f>985-DA14</f>
        <v>712</v>
      </c>
      <c r="DB12" s="524">
        <f>SUM(CX12:DA12)</f>
        <v>2654</v>
      </c>
      <c r="DC12" s="523">
        <f>877-DC14</f>
        <v>610</v>
      </c>
      <c r="DD12" s="523">
        <f>653+193-DD14</f>
        <v>583</v>
      </c>
      <c r="DE12" s="523">
        <f>881-DE14</f>
        <v>615</v>
      </c>
      <c r="DF12" s="523">
        <f>890-227-DF14</f>
        <v>392</v>
      </c>
      <c r="DG12" s="524">
        <f>SUM(DC12:DF12)</f>
        <v>2200</v>
      </c>
      <c r="DH12" s="523">
        <f>701+64-DH14</f>
        <v>660</v>
      </c>
      <c r="DI12" s="523">
        <f>763+98-DI14</f>
        <v>758</v>
      </c>
      <c r="DJ12" s="523">
        <f>860+9-DJ14</f>
        <v>773</v>
      </c>
      <c r="DK12" s="523">
        <f>967-DK14</f>
        <v>872</v>
      </c>
      <c r="DL12" s="524">
        <f>SUM(DH12:DK12)</f>
        <v>3063</v>
      </c>
      <c r="DM12" s="523">
        <f>833+69-DM14</f>
        <v>802</v>
      </c>
      <c r="DN12" s="523">
        <f>915-DN14</f>
        <v>832</v>
      </c>
      <c r="DO12" s="523">
        <f>879-DO14</f>
        <v>800</v>
      </c>
      <c r="DP12" s="523">
        <f>906-DP14</f>
        <v>828</v>
      </c>
      <c r="DQ12" s="524">
        <f>SUM(DM12:DP12)</f>
        <v>3262</v>
      </c>
      <c r="DR12" s="523">
        <f>922-24-5-DR14</f>
        <v>814</v>
      </c>
      <c r="DS12" s="523">
        <f>854-DS14</f>
        <v>783</v>
      </c>
      <c r="DT12" s="523">
        <f>934-DT14</f>
        <v>855</v>
      </c>
      <c r="DU12" s="523">
        <f>918-DU14</f>
        <v>851</v>
      </c>
      <c r="DV12" s="524">
        <f>SUM(DR12:DU12)</f>
        <v>3303</v>
      </c>
      <c r="DW12" s="523">
        <f>1558-DW14-703</f>
        <v>793</v>
      </c>
      <c r="DX12" s="523">
        <f>775-DX14-5</f>
        <v>709</v>
      </c>
      <c r="DY12" s="523">
        <f>877-DY14</f>
        <v>815</v>
      </c>
      <c r="DZ12" s="523">
        <f>977-273-DZ14</f>
        <v>642</v>
      </c>
      <c r="EA12" s="524">
        <f>SUM(DW12:DZ12)</f>
        <v>2959</v>
      </c>
      <c r="EB12" s="523">
        <f>643-EB14</f>
        <v>581</v>
      </c>
      <c r="EC12" s="523">
        <f>702-EC14</f>
        <v>648</v>
      </c>
      <c r="ED12" s="523">
        <f>940-ED14</f>
        <v>888</v>
      </c>
      <c r="EE12" s="523">
        <f>1036-EE14</f>
        <v>986</v>
      </c>
      <c r="EF12" s="524">
        <f>SUM(EB12:EE12)</f>
        <v>3103</v>
      </c>
      <c r="EG12" s="523">
        <f>910-EG14</f>
        <v>860</v>
      </c>
      <c r="EH12" s="523">
        <f>943-EH14</f>
        <v>894</v>
      </c>
      <c r="EI12" s="523">
        <f>935-EI14</f>
        <v>889</v>
      </c>
      <c r="EJ12" s="523">
        <f>879-EJ14-58</f>
        <v>777</v>
      </c>
      <c r="EK12" s="524">
        <f>SUM(EG12:EJ12)</f>
        <v>3420</v>
      </c>
      <c r="EL12" s="523">
        <f>704-EL14</f>
        <v>661</v>
      </c>
      <c r="EM12" s="523">
        <f>710-EM14-33</f>
        <v>632</v>
      </c>
      <c r="EN12" s="523">
        <f>822-EN14</f>
        <v>780</v>
      </c>
      <c r="EO12" s="523">
        <f>675-EO14</f>
        <v>641</v>
      </c>
      <c r="EP12" s="524">
        <f>SUM(EL12:EO12)</f>
        <v>2714</v>
      </c>
      <c r="EQ12" s="523">
        <f>563-EQ14</f>
        <v>530</v>
      </c>
      <c r="ER12" s="523">
        <f>708-ER14</f>
        <v>675</v>
      </c>
      <c r="ES12" s="523">
        <f>1248-340-ES14</f>
        <v>875</v>
      </c>
      <c r="ET12" s="523">
        <f>755-ET14</f>
        <v>721</v>
      </c>
      <c r="EU12" s="524">
        <f>SUM(EQ12:ET12)</f>
        <v>2801</v>
      </c>
      <c r="EV12" s="523">
        <f>653-EV14</f>
        <v>619</v>
      </c>
      <c r="EW12" s="523">
        <f>818-EW14</f>
        <v>783</v>
      </c>
      <c r="EX12" s="523">
        <f>1070-EX14</f>
        <v>1034</v>
      </c>
      <c r="EY12" s="523">
        <f>965-EY14</f>
        <v>926</v>
      </c>
      <c r="EZ12" s="524">
        <f>SUM(EV12:EY12)</f>
        <v>3362</v>
      </c>
      <c r="FA12" s="523">
        <f>1050-FA14</f>
        <v>1006</v>
      </c>
      <c r="FB12" s="523">
        <f>1104-FB14</f>
        <v>1062</v>
      </c>
      <c r="FC12" s="523">
        <f>992-FC14</f>
        <v>951</v>
      </c>
      <c r="FD12" s="523">
        <f>882-FD14</f>
        <v>839</v>
      </c>
      <c r="FE12" s="524">
        <f>SUM(FA12:FD12)</f>
        <v>3858</v>
      </c>
      <c r="FF12" s="523">
        <f>751-FF14</f>
        <v>705</v>
      </c>
      <c r="FG12" s="523">
        <f>910-FG14</f>
        <v>858</v>
      </c>
      <c r="FH12" s="523">
        <f>1024-FH14</f>
        <v>964</v>
      </c>
      <c r="FI12" s="523">
        <f>1178-FI14</f>
        <v>1114</v>
      </c>
      <c r="FJ12" s="524">
        <f>SUM(FF12:FI12)</f>
        <v>3641</v>
      </c>
      <c r="FK12" s="523">
        <f>968-FK14</f>
        <v>900</v>
      </c>
      <c r="FL12" s="523">
        <f>1084-FL14</f>
        <v>1012</v>
      </c>
      <c r="FM12" s="523">
        <f>1571-FM14</f>
        <v>1489</v>
      </c>
      <c r="FN12" s="523">
        <f>1793-FN14</f>
        <v>1713</v>
      </c>
      <c r="FO12" s="524">
        <f>SUM(FK12:FN12)</f>
        <v>5114</v>
      </c>
      <c r="FP12" s="523">
        <f>1858-FP14</f>
        <v>1763</v>
      </c>
      <c r="FQ12" s="523">
        <f>2020-FQ14</f>
        <v>1923</v>
      </c>
      <c r="FR12" s="523">
        <f>2227-FR14</f>
        <v>2130</v>
      </c>
      <c r="FS12" s="523">
        <f>2400-FS14</f>
        <v>2282</v>
      </c>
      <c r="FT12" s="524">
        <f>SUM(FP12:FS12)</f>
        <v>8098</v>
      </c>
      <c r="FU12" s="523">
        <f>2883+186-92-186-FU14</f>
        <v>2661</v>
      </c>
      <c r="FV12" s="523">
        <f>3115-FV14+407-95-407</f>
        <v>2863</v>
      </c>
      <c r="FW12" s="523">
        <f>2799+412-FW14-412-2</f>
        <v>2634</v>
      </c>
      <c r="FX12" s="523">
        <f>2753+443-FX14-4-443</f>
        <v>2573</v>
      </c>
      <c r="FY12" s="524">
        <f>SUM(FU12:FX12)</f>
        <v>10731</v>
      </c>
      <c r="FZ12" s="523">
        <f>2689+305-FZ14-3-305</f>
        <v>2527</v>
      </c>
      <c r="GA12" s="523">
        <f>2704+212-GA14-212</f>
        <v>2548</v>
      </c>
      <c r="GB12" s="523">
        <f>2843+210-GB14-210</f>
        <v>2680</v>
      </c>
      <c r="GC12" s="523">
        <f>3042+215-GC14-215-1</f>
        <v>2877</v>
      </c>
      <c r="GD12" s="524">
        <f>SUM(FZ12:GC12)</f>
        <v>10632</v>
      </c>
      <c r="GE12" s="523">
        <f>2683+230-GE14-230-65</f>
        <v>2456</v>
      </c>
      <c r="GF12" s="523">
        <f>2740+231-GF14-231-1</f>
        <v>2573</v>
      </c>
      <c r="GG12" s="523">
        <f>3167+233-GG14-233</f>
        <v>2996</v>
      </c>
      <c r="GH12" s="523">
        <f>3524+252-252-GH14</f>
        <v>3352</v>
      </c>
      <c r="GI12" s="524">
        <f>SUM(GE12:GH12)</f>
        <v>11377</v>
      </c>
      <c r="GJ12" s="523">
        <f>3451+251-251-GJ14</f>
        <v>3276</v>
      </c>
      <c r="GK12" s="523">
        <f>4366+260-260-GK14-1</f>
        <v>4176</v>
      </c>
      <c r="GL12" s="523">
        <f>4206+260-260-GL14+67-12</f>
        <v>4069</v>
      </c>
      <c r="GM12" s="523">
        <f>4433+260-260-GM14-1-9</f>
        <v>4229</v>
      </c>
      <c r="GN12" s="524">
        <f>SUM(GJ12:GM12)</f>
        <v>15750</v>
      </c>
      <c r="GO12" s="523">
        <f>4576+261-261-GO14</f>
        <v>4370</v>
      </c>
      <c r="GP12" s="523">
        <f>+GP9-GP18-GP14</f>
        <v>4726.0956111753521</v>
      </c>
      <c r="GQ12" s="523">
        <f>+GQ9-GQ18-GQ14</f>
        <v>5049.7296596433252</v>
      </c>
      <c r="GR12" s="523">
        <f>+GR9-GR18-GR14</f>
        <v>7200.7056891802495</v>
      </c>
      <c r="GS12" s="524">
        <f>SUM(GO12:GR12)</f>
        <v>21346.530959998927</v>
      </c>
      <c r="GT12" s="523">
        <f>+GT9-GT18-GT14</f>
        <v>7792.0765242066664</v>
      </c>
      <c r="GU12" s="523">
        <f>+GU9-GU18-GU14</f>
        <v>8631.2282189918187</v>
      </c>
      <c r="GV12" s="523">
        <f>+GV9-GV18-GV14</f>
        <v>10092.630741413259</v>
      </c>
      <c r="GW12" s="523">
        <f>+GW9-GW18-GW14</f>
        <v>11262.397721487168</v>
      </c>
      <c r="GX12" s="524">
        <f>SUM(GT12:GW12)</f>
        <v>37778.333206098912</v>
      </c>
      <c r="GY12" s="523">
        <f>+GY9-GY18-GY14</f>
        <v>10805.950027228679</v>
      </c>
      <c r="GZ12" s="523">
        <f>+GZ9-GZ18-GZ14</f>
        <v>11269.49149802106</v>
      </c>
      <c r="HA12" s="523">
        <f>+HA9-HA18-HA14</f>
        <v>12062.846924834137</v>
      </c>
      <c r="HB12" s="523">
        <f>+HB9-HB18-HB14</f>
        <v>12945.04975174346</v>
      </c>
      <c r="HC12" s="524">
        <f>SUM(GY12:HB12)</f>
        <v>47083.338201827341</v>
      </c>
      <c r="HD12" s="523">
        <f>+HD9-HD18-HD14</f>
        <v>12717.041773940249</v>
      </c>
      <c r="HE12" s="523">
        <f>+HE9-HE18-HE14</f>
        <v>13291.251633379112</v>
      </c>
      <c r="HF12" s="523">
        <f>+HF9-HF18-HF14</f>
        <v>14325.069523710703</v>
      </c>
      <c r="HG12" s="523">
        <f>+HG9-HG18-HG14</f>
        <v>14957.596723157341</v>
      </c>
      <c r="HH12" s="524">
        <f>SUM(HD12:HG12)</f>
        <v>55290.959654187405</v>
      </c>
      <c r="HI12" s="523">
        <f>+HI9-HI18-HI14</f>
        <v>14266.8150062561</v>
      </c>
      <c r="HJ12" s="523">
        <f>+HJ9-HJ18-HJ14</f>
        <v>14904.211908184483</v>
      </c>
      <c r="HK12" s="523">
        <f>+HK9-HK18-HK14</f>
        <v>16375.053381511949</v>
      </c>
      <c r="HL12" s="523">
        <f>+HL9-HL18-HL14</f>
        <v>17119.891360878482</v>
      </c>
      <c r="HM12" s="524">
        <f>SUM(HI12:HL12)</f>
        <v>62665.97165683101</v>
      </c>
      <c r="HN12" s="524"/>
      <c r="HO12" s="251"/>
      <c r="HP12" s="453"/>
      <c r="HQ12" s="453"/>
      <c r="HR12" s="453"/>
      <c r="HS12" s="453"/>
      <c r="HT12" s="453"/>
      <c r="HU12" s="453"/>
      <c r="HV12" s="453"/>
      <c r="HW12" s="453"/>
      <c r="HX12" s="453"/>
      <c r="HY12" s="453"/>
      <c r="HZ12" s="453"/>
      <c r="IA12" s="453"/>
      <c r="IB12" s="453"/>
    </row>
    <row r="13" spans="1:236" s="509" customFormat="1" ht="15" customHeight="1">
      <c r="A13" s="517" t="s">
        <v>202</v>
      </c>
      <c r="L13" s="518"/>
      <c r="M13" s="518"/>
      <c r="N13" s="518"/>
      <c r="O13" s="518"/>
      <c r="P13" s="521"/>
      <c r="Q13" s="518"/>
      <c r="R13" s="518"/>
      <c r="S13" s="518"/>
      <c r="T13" s="518"/>
      <c r="U13" s="521"/>
      <c r="V13" s="518"/>
      <c r="W13" s="518"/>
      <c r="X13" s="518"/>
      <c r="Y13" s="518"/>
      <c r="Z13" s="521"/>
      <c r="AA13" s="518"/>
      <c r="AB13" s="518"/>
      <c r="AC13" s="518"/>
      <c r="AD13" s="518"/>
      <c r="AE13" s="521"/>
      <c r="AF13" s="518">
        <f t="shared" ref="AF13:CQ13" si="7">AF12/AF$9</f>
        <v>0.3762753630658292</v>
      </c>
      <c r="AG13" s="518">
        <f t="shared" si="7"/>
        <v>0.3330864451028131</v>
      </c>
      <c r="AH13" s="518">
        <f t="shared" si="7"/>
        <v>0.37685101744707195</v>
      </c>
      <c r="AI13" s="518">
        <f t="shared" si="7"/>
        <v>0.40461872647579605</v>
      </c>
      <c r="AJ13" s="521">
        <f t="shared" si="7"/>
        <v>0.37281105152037275</v>
      </c>
      <c r="AK13" s="518">
        <f t="shared" si="7"/>
        <v>0.34977976144071099</v>
      </c>
      <c r="AL13" s="518">
        <f t="shared" si="7"/>
        <v>0.34128637513430604</v>
      </c>
      <c r="AM13" s="518">
        <f t="shared" si="7"/>
        <v>0.36450726735086919</v>
      </c>
      <c r="AN13" s="518">
        <f t="shared" si="7"/>
        <v>0.37948118745047393</v>
      </c>
      <c r="AO13" s="521">
        <f t="shared" si="7"/>
        <v>0.35899035864744672</v>
      </c>
      <c r="AP13" s="518">
        <f t="shared" si="7"/>
        <v>0.37621432810403549</v>
      </c>
      <c r="AQ13" s="518">
        <f t="shared" si="7"/>
        <v>0.39160574500091022</v>
      </c>
      <c r="AR13" s="518">
        <f t="shared" si="7"/>
        <v>0.47163291750298536</v>
      </c>
      <c r="AS13" s="518">
        <f t="shared" si="7"/>
        <v>0.4711607695407814</v>
      </c>
      <c r="AT13" s="521">
        <f t="shared" si="7"/>
        <v>0.42654021609038717</v>
      </c>
      <c r="AU13" s="518">
        <f t="shared" si="7"/>
        <v>0.53826082482561943</v>
      </c>
      <c r="AV13" s="518">
        <f t="shared" si="7"/>
        <v>0.64116841765239729</v>
      </c>
      <c r="AW13" s="518">
        <f t="shared" si="7"/>
        <v>0.55386528098200327</v>
      </c>
      <c r="AX13" s="518">
        <f t="shared" si="7"/>
        <v>0.54428741637618039</v>
      </c>
      <c r="AY13" s="521">
        <f t="shared" si="7"/>
        <v>0.56742305118383385</v>
      </c>
      <c r="AZ13" s="518">
        <f t="shared" si="7"/>
        <v>0.47147730340091193</v>
      </c>
      <c r="BA13" s="518">
        <f t="shared" si="7"/>
        <v>0.46801253361724038</v>
      </c>
      <c r="BB13" s="518">
        <f t="shared" si="7"/>
        <v>0.54349830049409698</v>
      </c>
      <c r="BC13" s="518">
        <f t="shared" si="7"/>
        <v>0.52380331098502697</v>
      </c>
      <c r="BD13" s="521">
        <f t="shared" si="7"/>
        <v>0.50245525436316374</v>
      </c>
      <c r="BE13" s="518">
        <f t="shared" si="7"/>
        <v>0.57581130652151413</v>
      </c>
      <c r="BF13" s="518">
        <f t="shared" si="7"/>
        <v>0.52601331717748767</v>
      </c>
      <c r="BG13" s="518">
        <f t="shared" si="7"/>
        <v>0.44596436647048443</v>
      </c>
      <c r="BH13" s="518">
        <f t="shared" si="7"/>
        <v>0.45243021221571461</v>
      </c>
      <c r="BI13" s="521">
        <f t="shared" si="7"/>
        <v>0.49217647644249474</v>
      </c>
      <c r="BJ13" s="518">
        <f t="shared" si="7"/>
        <v>0.5113166232051336</v>
      </c>
      <c r="BK13" s="518">
        <f t="shared" si="7"/>
        <v>0.55528483017396801</v>
      </c>
      <c r="BL13" s="518">
        <f t="shared" si="7"/>
        <v>0.5193357817672215</v>
      </c>
      <c r="BM13" s="518">
        <f t="shared" si="7"/>
        <v>0.46620247545705112</v>
      </c>
      <c r="BN13" s="521">
        <f t="shared" si="7"/>
        <v>0.50703806405646112</v>
      </c>
      <c r="BO13" s="518">
        <f t="shared" si="7"/>
        <v>0.43759369027745604</v>
      </c>
      <c r="BP13" s="518">
        <f t="shared" si="7"/>
        <v>0.39707903970910019</v>
      </c>
      <c r="BQ13" s="518">
        <f t="shared" si="7"/>
        <v>0.40218175971303277</v>
      </c>
      <c r="BR13" s="518">
        <f t="shared" si="7"/>
        <v>0.43201676009979811</v>
      </c>
      <c r="BS13" s="521">
        <f t="shared" si="7"/>
        <v>0.41677197752803669</v>
      </c>
      <c r="BT13" s="518">
        <f t="shared" si="7"/>
        <v>0.47268005723673751</v>
      </c>
      <c r="BU13" s="518">
        <f t="shared" si="7"/>
        <v>0.48388655223371602</v>
      </c>
      <c r="BV13" s="518">
        <f t="shared" si="7"/>
        <v>0.55772128429106771</v>
      </c>
      <c r="BW13" s="518">
        <f t="shared" si="7"/>
        <v>0.51917009937250036</v>
      </c>
      <c r="BX13" s="521">
        <f t="shared" si="7"/>
        <v>0.50362355894026201</v>
      </c>
      <c r="BY13" s="518">
        <f t="shared" si="7"/>
        <v>0.45757604983188727</v>
      </c>
      <c r="BZ13" s="518">
        <f t="shared" si="7"/>
        <v>0.62499187904694165</v>
      </c>
      <c r="CA13" s="518">
        <f t="shared" si="7"/>
        <v>0.5013448714845925</v>
      </c>
      <c r="CB13" s="518">
        <f t="shared" si="7"/>
        <v>0.44687149454423614</v>
      </c>
      <c r="CC13" s="521">
        <f t="shared" si="7"/>
        <v>0.5003624358507085</v>
      </c>
      <c r="CD13" s="518">
        <f t="shared" si="7"/>
        <v>0.40142186395728807</v>
      </c>
      <c r="CE13" s="518">
        <f t="shared" si="7"/>
        <v>0.32780068840360721</v>
      </c>
      <c r="CF13" s="518">
        <f t="shared" si="7"/>
        <v>0.35842387856890473</v>
      </c>
      <c r="CG13" s="518">
        <f t="shared" si="7"/>
        <v>0.40743186133297066</v>
      </c>
      <c r="CH13" s="521">
        <f t="shared" si="7"/>
        <v>0.37832862767563247</v>
      </c>
      <c r="CI13" s="518">
        <f t="shared" si="7"/>
        <v>0.38082128186484832</v>
      </c>
      <c r="CJ13" s="518">
        <f t="shared" si="7"/>
        <v>0.38885846587158246</v>
      </c>
      <c r="CK13" s="518">
        <f t="shared" si="7"/>
        <v>0.34958397171669253</v>
      </c>
      <c r="CL13" s="518">
        <f t="shared" si="7"/>
        <v>0.32721376649315581</v>
      </c>
      <c r="CM13" s="521">
        <f t="shared" si="7"/>
        <v>0.36156283146736884</v>
      </c>
      <c r="CN13" s="518">
        <f t="shared" si="7"/>
        <v>0.38688828234803052</v>
      </c>
      <c r="CO13" s="518">
        <f t="shared" si="7"/>
        <v>0.35518105146525408</v>
      </c>
      <c r="CP13" s="518">
        <f t="shared" si="7"/>
        <v>0.39764177428411002</v>
      </c>
      <c r="CQ13" s="518">
        <f t="shared" si="7"/>
        <v>0.3856276206619681</v>
      </c>
      <c r="CR13" s="521">
        <f t="shared" ref="CR13:DQ13" si="8">CR12/CR$9</f>
        <v>0.38246063283989246</v>
      </c>
      <c r="CS13" s="518">
        <f t="shared" si="8"/>
        <v>0.28475601242495263</v>
      </c>
      <c r="CT13" s="518">
        <f t="shared" si="8"/>
        <v>0.27381456418991962</v>
      </c>
      <c r="CU13" s="518">
        <f t="shared" si="8"/>
        <v>0.33538462001985503</v>
      </c>
      <c r="CV13" s="518">
        <f t="shared" si="8"/>
        <v>0.47772137619853355</v>
      </c>
      <c r="CW13" s="521">
        <f t="shared" si="8"/>
        <v>0.35486118523734644</v>
      </c>
      <c r="CX13" s="518">
        <f t="shared" si="8"/>
        <v>0.49797242497972427</v>
      </c>
      <c r="CY13" s="518">
        <f t="shared" si="8"/>
        <v>0.45718432510885343</v>
      </c>
      <c r="CZ13" s="518">
        <f t="shared" si="8"/>
        <v>0.42769607843137253</v>
      </c>
      <c r="DA13" s="518">
        <f t="shared" si="8"/>
        <v>0.40225988700564974</v>
      </c>
      <c r="DB13" s="521">
        <f t="shared" si="8"/>
        <v>0.44137701646432731</v>
      </c>
      <c r="DC13" s="518">
        <f t="shared" si="8"/>
        <v>0.40531561461794019</v>
      </c>
      <c r="DD13" s="518">
        <f t="shared" si="8"/>
        <v>0.43217197924388434</v>
      </c>
      <c r="DE13" s="518">
        <f t="shared" si="8"/>
        <v>0.38293897882938976</v>
      </c>
      <c r="DF13" s="518">
        <f t="shared" si="8"/>
        <v>0.33734939759036142</v>
      </c>
      <c r="DG13" s="521">
        <f t="shared" si="8"/>
        <v>0.39131981501245111</v>
      </c>
      <c r="DH13" s="518">
        <f t="shared" si="8"/>
        <v>0.56074766355140182</v>
      </c>
      <c r="DI13" s="518">
        <f t="shared" si="8"/>
        <v>0.64020270270270274</v>
      </c>
      <c r="DJ13" s="518">
        <f t="shared" si="8"/>
        <v>0.55372492836676213</v>
      </c>
      <c r="DK13" s="518">
        <f t="shared" si="8"/>
        <v>0.5297691373025516</v>
      </c>
      <c r="DL13" s="521">
        <f t="shared" si="8"/>
        <v>0.56690727373681293</v>
      </c>
      <c r="DM13" s="518">
        <f t="shared" si="8"/>
        <v>0.5095298602287166</v>
      </c>
      <c r="DN13" s="518">
        <f t="shared" si="8"/>
        <v>0.50332728372655777</v>
      </c>
      <c r="DO13" s="518">
        <f t="shared" si="8"/>
        <v>0.49443757725587145</v>
      </c>
      <c r="DP13" s="518">
        <f t="shared" si="8"/>
        <v>0.50212249848392965</v>
      </c>
      <c r="DQ13" s="521">
        <f t="shared" si="8"/>
        <v>0.50230982445334149</v>
      </c>
      <c r="DR13" s="518">
        <f>DR12/DR$9</f>
        <v>0.50464972101673899</v>
      </c>
      <c r="DS13" s="518">
        <f>DS12/DS$9</f>
        <v>0.49745870393900887</v>
      </c>
      <c r="DT13" s="518">
        <f>DT12/DT$9</f>
        <v>0.50591715976331364</v>
      </c>
      <c r="DU13" s="518">
        <f>DU12/DU$9</f>
        <v>0.50325251330573628</v>
      </c>
      <c r="DV13" s="521">
        <f t="shared" ref="DV13:EU13" si="9">DV12/DV$9</f>
        <v>0.50289281364190008</v>
      </c>
      <c r="DW13" s="518">
        <f>DW12/DW$9</f>
        <v>0.50031545741324923</v>
      </c>
      <c r="DX13" s="518">
        <f>DX12/DX$9</f>
        <v>0.50176928520877562</v>
      </c>
      <c r="DY13" s="518">
        <f>DY12/DY$9</f>
        <v>0.64223798266351462</v>
      </c>
      <c r="DZ13" s="518">
        <f>DZ12/DZ$9</f>
        <v>0.55584415584415581</v>
      </c>
      <c r="EA13" s="521">
        <f t="shared" si="9"/>
        <v>0.54573957949096275</v>
      </c>
      <c r="EB13" s="518">
        <f t="shared" si="9"/>
        <v>0.53400735294117652</v>
      </c>
      <c r="EC13" s="518">
        <f t="shared" si="9"/>
        <v>0.55813953488372092</v>
      </c>
      <c r="ED13" s="518">
        <f t="shared" si="9"/>
        <v>0.6078028747433265</v>
      </c>
      <c r="EE13" s="518">
        <f t="shared" si="9"/>
        <v>0.62051604782882319</v>
      </c>
      <c r="EF13" s="521">
        <f t="shared" si="9"/>
        <v>0.58558218531798456</v>
      </c>
      <c r="EG13" s="518">
        <f t="shared" si="9"/>
        <v>0.61560486757337152</v>
      </c>
      <c r="EH13" s="518">
        <f t="shared" si="9"/>
        <v>0.62040249826509364</v>
      </c>
      <c r="EI13" s="518">
        <f>EI12/EI$9</f>
        <v>0.62211336599020295</v>
      </c>
      <c r="EJ13" s="518">
        <f>EJ12/EJ$9</f>
        <v>0.6271186440677966</v>
      </c>
      <c r="EK13" s="521">
        <f t="shared" si="9"/>
        <v>0.62114057391936073</v>
      </c>
      <c r="EL13" s="518">
        <f>EL12/EL$9</f>
        <v>0.64174757281553396</v>
      </c>
      <c r="EM13" s="518">
        <f>EM12/EM$9</f>
        <v>0.6709129511677282</v>
      </c>
      <c r="EN13" s="518">
        <f>EN12/EN$9</f>
        <v>0.73515551366635246</v>
      </c>
      <c r="EO13" s="518">
        <f t="shared" si="9"/>
        <v>0.66910229645093944</v>
      </c>
      <c r="EP13" s="521">
        <f t="shared" si="9"/>
        <v>0.68003006765221752</v>
      </c>
      <c r="EQ13" s="518">
        <f t="shared" si="9"/>
        <v>0.63701923076923073</v>
      </c>
      <c r="ER13" s="518">
        <f t="shared" si="9"/>
        <v>0.65725413826679646</v>
      </c>
      <c r="ES13" s="518">
        <f t="shared" si="9"/>
        <v>0.6694720734506503</v>
      </c>
      <c r="ET13" s="518">
        <f t="shared" si="9"/>
        <v>0.65189873417721522</v>
      </c>
      <c r="EU13" s="521">
        <f t="shared" si="9"/>
        <v>0.65566479400749067</v>
      </c>
      <c r="EV13" s="518">
        <f>EV12/EV$9</f>
        <v>0.62906504065040647</v>
      </c>
      <c r="EW13" s="518">
        <f>EW12/EW$9</f>
        <v>0.64075286415711952</v>
      </c>
      <c r="EX13" s="518">
        <f>EX12/EX$9</f>
        <v>0.6293365794278758</v>
      </c>
      <c r="EY13" s="518">
        <f>EY12/EY$9</f>
        <v>0.62567567567567572</v>
      </c>
      <c r="EZ13" s="521">
        <f>EZ12/EZ$9</f>
        <v>0.63088759617188961</v>
      </c>
      <c r="FA13" s="518">
        <f t="shared" ref="FA13:FJ13" si="10">FA12/FA$9</f>
        <v>0.61080752884031575</v>
      </c>
      <c r="FB13" s="518">
        <f t="shared" si="10"/>
        <v>0.60478359908883828</v>
      </c>
      <c r="FC13" s="518">
        <f t="shared" si="10"/>
        <v>0.57531760435571688</v>
      </c>
      <c r="FD13" s="518">
        <f t="shared" si="10"/>
        <v>0.59126145172656797</v>
      </c>
      <c r="FE13" s="521">
        <f t="shared" si="10"/>
        <v>0.5958301158301158</v>
      </c>
      <c r="FF13" s="518">
        <f t="shared" si="10"/>
        <v>0.55424528301886788</v>
      </c>
      <c r="FG13" s="518">
        <f t="shared" si="10"/>
        <v>0.56041802743305025</v>
      </c>
      <c r="FH13" s="518">
        <f t="shared" si="10"/>
        <v>0.53525818989450302</v>
      </c>
      <c r="FI13" s="518">
        <f t="shared" si="10"/>
        <v>0.52374236013164077</v>
      </c>
      <c r="FJ13" s="521">
        <f t="shared" si="10"/>
        <v>0.54093002525627698</v>
      </c>
      <c r="FK13" s="518">
        <f>FK12/FK$9</f>
        <v>0.50391937290033595</v>
      </c>
      <c r="FL13" s="518">
        <f>FL12/FL$9</f>
        <v>0.52380952380952384</v>
      </c>
      <c r="FM13" s="518">
        <f>FM12/FM$9</f>
        <v>0.53159585862192071</v>
      </c>
      <c r="FN13" s="518">
        <f>FN12/FN$9</f>
        <v>0.52805178791615293</v>
      </c>
      <c r="FO13" s="521">
        <f>FO12/FO$9</f>
        <v>0.52381440131107238</v>
      </c>
      <c r="FP13" s="518">
        <f t="shared" ref="FP13:HM13" si="11">FP12/FP$9</f>
        <v>0.51175616835994198</v>
      </c>
      <c r="FQ13" s="518">
        <f t="shared" si="11"/>
        <v>0.49948051948051947</v>
      </c>
      <c r="FR13" s="518">
        <f t="shared" si="11"/>
        <v>0.49385578483654069</v>
      </c>
      <c r="FS13" s="518">
        <f t="shared" si="11"/>
        <v>0.47285536676336509</v>
      </c>
      <c r="FT13" s="521">
        <f t="shared" si="11"/>
        <v>0.49275891444566144</v>
      </c>
      <c r="FU13" s="518">
        <f t="shared" si="11"/>
        <v>0.45201290980125702</v>
      </c>
      <c r="FV13" s="518">
        <f t="shared" si="11"/>
        <v>0.43709923664122136</v>
      </c>
      <c r="FW13" s="518">
        <f t="shared" si="11"/>
        <v>0.47331536388140161</v>
      </c>
      <c r="FX13" s="518">
        <f t="shared" si="11"/>
        <v>0.45954634756206464</v>
      </c>
      <c r="FY13" s="521">
        <f t="shared" si="11"/>
        <v>0.45468412355408672</v>
      </c>
      <c r="FZ13" s="518">
        <f t="shared" si="11"/>
        <v>0.47207173547543435</v>
      </c>
      <c r="GA13" s="518">
        <f t="shared" si="11"/>
        <v>0.47546183989550289</v>
      </c>
      <c r="GB13" s="518">
        <f t="shared" si="11"/>
        <v>0.46206896551724136</v>
      </c>
      <c r="GC13" s="518">
        <f t="shared" si="11"/>
        <v>0.46643968871595332</v>
      </c>
      <c r="GD13" s="521">
        <f t="shared" si="11"/>
        <v>0.4687830687830688</v>
      </c>
      <c r="GE13" s="518">
        <f t="shared" si="11"/>
        <v>0.44874840124246301</v>
      </c>
      <c r="GF13" s="518">
        <f t="shared" si="11"/>
        <v>0.44095972579263065</v>
      </c>
      <c r="GG13" s="518">
        <f t="shared" si="11"/>
        <v>0.43936061006012611</v>
      </c>
      <c r="GH13" s="518">
        <f t="shared" si="11"/>
        <v>0.43771219639592585</v>
      </c>
      <c r="GI13" s="521">
        <f t="shared" si="11"/>
        <v>0.44122551871242971</v>
      </c>
      <c r="GJ13" s="518">
        <f t="shared" si="11"/>
        <v>0.44044097875773058</v>
      </c>
      <c r="GK13" s="518">
        <f t="shared" si="11"/>
        <v>0.54339622641509433</v>
      </c>
      <c r="GL13" s="518">
        <f t="shared" si="11"/>
        <v>0.4400821977071166</v>
      </c>
      <c r="GM13" s="518">
        <f t="shared" si="11"/>
        <v>0.41178188899707885</v>
      </c>
      <c r="GN13" s="521">
        <f t="shared" si="11"/>
        <v>0.45468980051387164</v>
      </c>
      <c r="GO13" s="518">
        <f t="shared" si="11"/>
        <v>0.4262167170584219</v>
      </c>
      <c r="GP13" s="518">
        <f t="shared" si="11"/>
        <v>0.42112627178659412</v>
      </c>
      <c r="GQ13" s="518">
        <f t="shared" si="11"/>
        <v>0.42103465386818673</v>
      </c>
      <c r="GR13" s="518">
        <f t="shared" si="11"/>
        <v>0.44471926898610875</v>
      </c>
      <c r="GS13" s="521">
        <f t="shared" si="11"/>
        <v>0.42984747822874764</v>
      </c>
      <c r="GT13" s="518">
        <f t="shared" si="11"/>
        <v>0.44692573538201669</v>
      </c>
      <c r="GU13" s="518">
        <f t="shared" si="11"/>
        <v>0.44927358551675572</v>
      </c>
      <c r="GV13" s="518">
        <f t="shared" si="11"/>
        <v>0.45594089771249746</v>
      </c>
      <c r="GW13" s="518">
        <f t="shared" si="11"/>
        <v>0.4593427050051313</v>
      </c>
      <c r="GX13" s="521">
        <f t="shared" si="11"/>
        <v>0.45351763063824285</v>
      </c>
      <c r="GY13" s="518">
        <f t="shared" si="11"/>
        <v>0.45134867975402798</v>
      </c>
      <c r="GZ13" s="518">
        <f t="shared" si="11"/>
        <v>0.45018383936351397</v>
      </c>
      <c r="HA13" s="518">
        <f t="shared" si="11"/>
        <v>0.44890140887723012</v>
      </c>
      <c r="HB13" s="518">
        <f t="shared" si="11"/>
        <v>0.45022994766878277</v>
      </c>
      <c r="HC13" s="521">
        <f t="shared" si="11"/>
        <v>0.45013366963009471</v>
      </c>
      <c r="HD13" s="518">
        <f t="shared" si="11"/>
        <v>0.45133400367088922</v>
      </c>
      <c r="HE13" s="518">
        <f t="shared" si="11"/>
        <v>0.45241761060004876</v>
      </c>
      <c r="HF13" s="518">
        <f t="shared" si="11"/>
        <v>0.45166513603367958</v>
      </c>
      <c r="HG13" s="518">
        <f t="shared" si="11"/>
        <v>0.4516969942153351</v>
      </c>
      <c r="HH13" s="521">
        <f t="shared" si="11"/>
        <v>0.4517781496630956</v>
      </c>
      <c r="HI13" s="518">
        <f t="shared" si="11"/>
        <v>0.44986423420009597</v>
      </c>
      <c r="HJ13" s="518">
        <f t="shared" si="11"/>
        <v>0.45089214240376713</v>
      </c>
      <c r="HK13" s="518">
        <f t="shared" si="11"/>
        <v>0.45083562927448284</v>
      </c>
      <c r="HL13" s="518">
        <f t="shared" si="11"/>
        <v>0.45055655283310564</v>
      </c>
      <c r="HM13" s="521">
        <f t="shared" si="11"/>
        <v>0.45055132925858776</v>
      </c>
      <c r="HN13" s="521"/>
      <c r="HO13" s="521"/>
      <c r="HP13" s="453"/>
      <c r="HQ13" s="453"/>
      <c r="HR13" s="453"/>
      <c r="HS13" s="453"/>
      <c r="HT13" s="453"/>
      <c r="HU13" s="453"/>
      <c r="HV13" s="453"/>
      <c r="HW13" s="453"/>
      <c r="HX13" s="453"/>
      <c r="HY13" s="453"/>
      <c r="HZ13" s="453"/>
      <c r="IA13" s="453"/>
      <c r="IB13" s="453"/>
    </row>
    <row r="14" spans="1:236" s="509" customFormat="1" ht="15" customHeight="1">
      <c r="A14" s="522" t="s">
        <v>203</v>
      </c>
      <c r="L14" s="518"/>
      <c r="M14" s="518"/>
      <c r="N14" s="518"/>
      <c r="O14" s="518"/>
      <c r="P14" s="521"/>
      <c r="Q14" s="518"/>
      <c r="R14" s="518"/>
      <c r="S14" s="518"/>
      <c r="T14" s="518"/>
      <c r="U14" s="521"/>
      <c r="V14" s="525"/>
      <c r="W14" s="525"/>
      <c r="X14" s="525"/>
      <c r="Y14" s="526"/>
      <c r="Z14" s="524"/>
      <c r="AA14" s="527"/>
      <c r="AB14" s="527"/>
      <c r="AC14" s="527"/>
      <c r="AD14" s="527"/>
      <c r="AE14" s="524"/>
      <c r="AF14" s="261">
        <f>AF107</f>
        <v>40.774999999999999</v>
      </c>
      <c r="AG14" s="261">
        <f>AG107</f>
        <v>50.667999999999999</v>
      </c>
      <c r="AH14" s="261">
        <f>AH107</f>
        <v>42.343000000000004</v>
      </c>
      <c r="AI14" s="261">
        <f>AI107</f>
        <v>41.281000000000006</v>
      </c>
      <c r="AJ14" s="524">
        <f>SUM(AF14:AI14)</f>
        <v>175.06700000000001</v>
      </c>
      <c r="AK14" s="261">
        <f>AK107</f>
        <v>50.972000000000001</v>
      </c>
      <c r="AL14" s="261">
        <f>AL107</f>
        <v>53.615999999999993</v>
      </c>
      <c r="AM14" s="261">
        <f>AM107</f>
        <v>54.44</v>
      </c>
      <c r="AN14" s="261">
        <f>AN107</f>
        <v>56.956000000000017</v>
      </c>
      <c r="AO14" s="524">
        <f>SUM(AK14:AN14)</f>
        <v>215.98400000000001</v>
      </c>
      <c r="AP14" s="261">
        <f>AP107</f>
        <v>57.482999999999997</v>
      </c>
      <c r="AQ14" s="261">
        <f>AQ107</f>
        <v>55.73</v>
      </c>
      <c r="AR14" s="261">
        <f>AR107</f>
        <v>65.899000000000001</v>
      </c>
      <c r="AS14" s="261">
        <f>AS107</f>
        <v>83.388999999999982</v>
      </c>
      <c r="AT14" s="524">
        <f>SUM(AP14:AS14)</f>
        <v>262.50099999999998</v>
      </c>
      <c r="AU14" s="261">
        <f>AU107</f>
        <v>75.807000000000002</v>
      </c>
      <c r="AV14" s="261">
        <f>AV107</f>
        <v>87.998000000000005</v>
      </c>
      <c r="AW14" s="261">
        <f>AW107</f>
        <v>84.651999999999987</v>
      </c>
      <c r="AX14" s="261">
        <f>AX107</f>
        <v>84.182999999999993</v>
      </c>
      <c r="AY14" s="524">
        <f>SUM(AU14:AX14)</f>
        <v>332.64</v>
      </c>
      <c r="AZ14" s="261">
        <f>AZ107</f>
        <v>88.820999999999998</v>
      </c>
      <c r="BA14" s="261">
        <f>BA107</f>
        <v>94.003999999999991</v>
      </c>
      <c r="BB14" s="261">
        <f>BB107</f>
        <v>103.96500000000003</v>
      </c>
      <c r="BC14" s="261">
        <f>BC107</f>
        <v>107.67499999999995</v>
      </c>
      <c r="BD14" s="524">
        <f>SUM(AZ14:BC14)</f>
        <v>394.46499999999997</v>
      </c>
      <c r="BE14" s="261">
        <f>BE107</f>
        <v>112.16</v>
      </c>
      <c r="BF14" s="261">
        <f>BF107</f>
        <v>113.17400000000001</v>
      </c>
      <c r="BG14" s="261">
        <f>BG107</f>
        <v>117.08600000000001</v>
      </c>
      <c r="BH14" s="261">
        <f>BH107</f>
        <v>125.101</v>
      </c>
      <c r="BI14" s="524">
        <f>SUM(BE14:BH14)</f>
        <v>467.52100000000002</v>
      </c>
      <c r="BJ14" s="261">
        <f>BJ107</f>
        <v>127.48699999999999</v>
      </c>
      <c r="BK14" s="261">
        <f>BK107</f>
        <v>127.88400000000001</v>
      </c>
      <c r="BL14" s="261">
        <f>BL107</f>
        <v>130.21899999999997</v>
      </c>
      <c r="BM14" s="261">
        <f>BM107</f>
        <v>129.93</v>
      </c>
      <c r="BN14" s="524">
        <f>SUM(BJ14:BM14)</f>
        <v>515.52</v>
      </c>
      <c r="BO14" s="261">
        <f>BO107</f>
        <v>127.892</v>
      </c>
      <c r="BP14" s="261">
        <f>BP107</f>
        <v>147.81099999999998</v>
      </c>
      <c r="BQ14" s="261">
        <f>BQ107</f>
        <v>153.75800000000004</v>
      </c>
      <c r="BR14" s="261">
        <f>BR107</f>
        <v>149.60900000000004</v>
      </c>
      <c r="BS14" s="524">
        <f>SUM(BO14:BR14)</f>
        <v>579.07000000000005</v>
      </c>
      <c r="BT14" s="261">
        <f>BT107</f>
        <v>152.93299999999999</v>
      </c>
      <c r="BU14" s="261">
        <f>BU107</f>
        <v>159.44299999999998</v>
      </c>
      <c r="BV14" s="261">
        <f>BV107</f>
        <v>160.01300000000003</v>
      </c>
      <c r="BW14" s="261">
        <f>BW107</f>
        <v>150.47799999999995</v>
      </c>
      <c r="BX14" s="524">
        <f>SUM(BT14:BW14)</f>
        <v>622.86699999999996</v>
      </c>
      <c r="BY14" s="261">
        <f>BY107</f>
        <v>174.107</v>
      </c>
      <c r="BZ14" s="261">
        <f>BZ107</f>
        <v>183.10799999999998</v>
      </c>
      <c r="CA14" s="261">
        <f>CA107</f>
        <v>199.08700000000005</v>
      </c>
      <c r="CB14" s="261">
        <f>CB107</f>
        <v>199.86699999999996</v>
      </c>
      <c r="CC14" s="524">
        <f>SUM(BY14:CB14)</f>
        <v>756.16899999999998</v>
      </c>
      <c r="CD14" s="261">
        <f>CD107</f>
        <v>209.75400000000002</v>
      </c>
      <c r="CE14" s="261">
        <f>CE107</f>
        <v>213.56799999999998</v>
      </c>
      <c r="CF14" s="261">
        <f>CF107</f>
        <v>285.02999999999997</v>
      </c>
      <c r="CG14" s="261">
        <f>CG107</f>
        <v>287.31099999999992</v>
      </c>
      <c r="CH14" s="524">
        <f>SUM(CD14:CG14)</f>
        <v>995.6629999999999</v>
      </c>
      <c r="CI14" s="261">
        <f>CI107</f>
        <v>297.98</v>
      </c>
      <c r="CJ14" s="261">
        <f>CJ107</f>
        <v>292.39300000000003</v>
      </c>
      <c r="CK14" s="261">
        <f>CK107</f>
        <v>304.73099999999999</v>
      </c>
      <c r="CL14" s="261">
        <f>CL107</f>
        <v>329.14799999999991</v>
      </c>
      <c r="CM14" s="524">
        <f>SUM(CI14:CL14)</f>
        <v>1224.252</v>
      </c>
      <c r="CN14" s="261">
        <v>332.88099999999997</v>
      </c>
      <c r="CO14" s="261">
        <v>318.45499999999998</v>
      </c>
      <c r="CP14" s="526">
        <v>290.75</v>
      </c>
      <c r="CQ14" s="526">
        <f>277.258</f>
        <v>277.25799999999998</v>
      </c>
      <c r="CR14" s="524">
        <f>SUM(CN14:CQ14)</f>
        <v>1219.3440000000001</v>
      </c>
      <c r="CS14" s="523">
        <v>174</v>
      </c>
      <c r="CT14" s="523">
        <v>193</v>
      </c>
      <c r="CU14" s="523">
        <v>200</v>
      </c>
      <c r="CV14" s="523">
        <v>223</v>
      </c>
      <c r="CW14" s="524">
        <f>SUM(CS14:CV14)</f>
        <v>790</v>
      </c>
      <c r="CX14" s="523">
        <v>243</v>
      </c>
      <c r="CY14" s="523">
        <v>255</v>
      </c>
      <c r="CZ14" s="523">
        <v>263</v>
      </c>
      <c r="DA14" s="523">
        <v>273</v>
      </c>
      <c r="DB14" s="524">
        <f>SUM(CX14:DA14)</f>
        <v>1034</v>
      </c>
      <c r="DC14" s="523">
        <v>267</v>
      </c>
      <c r="DD14" s="523">
        <v>263</v>
      </c>
      <c r="DE14" s="523">
        <v>266</v>
      </c>
      <c r="DF14" s="523">
        <v>271</v>
      </c>
      <c r="DG14" s="524">
        <f>SUM(DC14:DF14)</f>
        <v>1067</v>
      </c>
      <c r="DH14" s="523">
        <v>105</v>
      </c>
      <c r="DI14" s="523">
        <f>103</f>
        <v>103</v>
      </c>
      <c r="DJ14" s="523">
        <v>96</v>
      </c>
      <c r="DK14" s="523">
        <v>95</v>
      </c>
      <c r="DL14" s="524">
        <f>SUM(DH14:DK14)</f>
        <v>399</v>
      </c>
      <c r="DM14" s="523">
        <v>100</v>
      </c>
      <c r="DN14" s="523">
        <v>83</v>
      </c>
      <c r="DO14" s="523">
        <v>79</v>
      </c>
      <c r="DP14" s="523">
        <v>78</v>
      </c>
      <c r="DQ14" s="524">
        <f>SUM(DM14:DP14)</f>
        <v>340</v>
      </c>
      <c r="DR14" s="523">
        <f>88-9</f>
        <v>79</v>
      </c>
      <c r="DS14" s="523">
        <v>71</v>
      </c>
      <c r="DT14" s="523">
        <v>79</v>
      </c>
      <c r="DU14" s="523">
        <v>67</v>
      </c>
      <c r="DV14" s="524">
        <f>SUM(DR14:DU14)</f>
        <v>296</v>
      </c>
      <c r="DW14" s="523">
        <v>62</v>
      </c>
      <c r="DX14" s="523">
        <v>61</v>
      </c>
      <c r="DY14" s="523">
        <v>62</v>
      </c>
      <c r="DZ14" s="523">
        <v>62</v>
      </c>
      <c r="EA14" s="524">
        <f>SUM(DW14:DZ14)</f>
        <v>247</v>
      </c>
      <c r="EB14" s="523">
        <v>62</v>
      </c>
      <c r="EC14" s="523">
        <v>54</v>
      </c>
      <c r="ED14" s="523">
        <v>52</v>
      </c>
      <c r="EE14" s="523">
        <v>50</v>
      </c>
      <c r="EF14" s="524">
        <f>SUM(EB14:EE14)</f>
        <v>218</v>
      </c>
      <c r="EG14" s="523">
        <v>50</v>
      </c>
      <c r="EH14" s="523">
        <v>49</v>
      </c>
      <c r="EI14" s="523">
        <v>46</v>
      </c>
      <c r="EJ14" s="523">
        <v>44</v>
      </c>
      <c r="EK14" s="524">
        <f>SUM(EG14:EJ14)</f>
        <v>189</v>
      </c>
      <c r="EL14" s="523">
        <v>43</v>
      </c>
      <c r="EM14" s="523">
        <v>45</v>
      </c>
      <c r="EN14" s="523">
        <v>42</v>
      </c>
      <c r="EO14" s="523">
        <v>34</v>
      </c>
      <c r="EP14" s="524">
        <f>SUM(EL14:EO14)</f>
        <v>164</v>
      </c>
      <c r="EQ14" s="523">
        <v>33</v>
      </c>
      <c r="ER14" s="523">
        <v>33</v>
      </c>
      <c r="ES14" s="523">
        <v>33</v>
      </c>
      <c r="ET14" s="523">
        <v>34</v>
      </c>
      <c r="EU14" s="524">
        <f>SUM(EQ14:ET14)</f>
        <v>133</v>
      </c>
      <c r="EV14" s="523">
        <v>34</v>
      </c>
      <c r="EW14" s="523">
        <v>35</v>
      </c>
      <c r="EX14" s="523">
        <v>36</v>
      </c>
      <c r="EY14" s="523">
        <v>39</v>
      </c>
      <c r="EZ14" s="524">
        <f>SUM(EV14:EY14)</f>
        <v>144</v>
      </c>
      <c r="FA14" s="523">
        <v>44</v>
      </c>
      <c r="FB14" s="523">
        <v>42</v>
      </c>
      <c r="FC14" s="523">
        <v>41</v>
      </c>
      <c r="FD14" s="523">
        <v>43</v>
      </c>
      <c r="FE14" s="524">
        <f>SUM(FA14:FD14)</f>
        <v>170</v>
      </c>
      <c r="FF14" s="523">
        <v>46</v>
      </c>
      <c r="FG14" s="523">
        <v>52</v>
      </c>
      <c r="FH14" s="523">
        <v>60</v>
      </c>
      <c r="FI14" s="523">
        <v>64</v>
      </c>
      <c r="FJ14" s="524">
        <f>SUM(FF14:FI14)</f>
        <v>222</v>
      </c>
      <c r="FK14" s="523">
        <v>68</v>
      </c>
      <c r="FL14" s="523">
        <v>72</v>
      </c>
      <c r="FM14" s="523">
        <v>82</v>
      </c>
      <c r="FN14" s="523">
        <v>80</v>
      </c>
      <c r="FO14" s="524">
        <f>SUM(FK14:FN14)</f>
        <v>302</v>
      </c>
      <c r="FP14" s="523">
        <v>95</v>
      </c>
      <c r="FQ14" s="523">
        <v>97</v>
      </c>
      <c r="FR14" s="523">
        <v>97</v>
      </c>
      <c r="FS14" s="523">
        <v>118</v>
      </c>
      <c r="FT14" s="524">
        <f>SUM(FP14:FS14)</f>
        <v>407</v>
      </c>
      <c r="FU14" s="523">
        <v>130</v>
      </c>
      <c r="FV14" s="523">
        <v>157</v>
      </c>
      <c r="FW14" s="523">
        <v>163</v>
      </c>
      <c r="FX14" s="523">
        <v>176</v>
      </c>
      <c r="FY14" s="524">
        <f>SUM(FU14:FX14)</f>
        <v>626</v>
      </c>
      <c r="FZ14" s="523">
        <v>159</v>
      </c>
      <c r="GA14" s="523">
        <v>156</v>
      </c>
      <c r="GB14" s="523">
        <v>163</v>
      </c>
      <c r="GC14" s="523">
        <v>164</v>
      </c>
      <c r="GD14" s="524">
        <f>SUM(FZ14:GC14)</f>
        <v>642</v>
      </c>
      <c r="GE14" s="523">
        <v>162</v>
      </c>
      <c r="GF14" s="523">
        <v>166</v>
      </c>
      <c r="GG14" s="523">
        <v>171</v>
      </c>
      <c r="GH14" s="523">
        <v>172</v>
      </c>
      <c r="GI14" s="524">
        <f>SUM(GE14:GH14)</f>
        <v>671</v>
      </c>
      <c r="GJ14" s="523">
        <v>175</v>
      </c>
      <c r="GK14" s="523">
        <v>189</v>
      </c>
      <c r="GL14" s="523">
        <v>192</v>
      </c>
      <c r="GM14" s="523">
        <v>194</v>
      </c>
      <c r="GN14" s="524">
        <f>SUM(GJ14:GM14)</f>
        <v>750</v>
      </c>
      <c r="GO14" s="523">
        <v>206</v>
      </c>
      <c r="GP14" s="529">
        <f>Worksheet!EE14</f>
        <v>206</v>
      </c>
      <c r="GQ14" s="529">
        <f>Worksheet!EF14</f>
        <v>206</v>
      </c>
      <c r="GR14" s="529">
        <f>Worksheet!EG14</f>
        <v>206</v>
      </c>
      <c r="GS14" s="524">
        <f>SUM(GO14:GR14)</f>
        <v>824</v>
      </c>
      <c r="GT14" s="529">
        <f>Worksheet!EH14</f>
        <v>211</v>
      </c>
      <c r="GU14" s="529">
        <f>Worksheet!EI14</f>
        <v>211</v>
      </c>
      <c r="GV14" s="529">
        <f>Worksheet!EJ14</f>
        <v>211</v>
      </c>
      <c r="GW14" s="529">
        <f>Worksheet!EK14</f>
        <v>211</v>
      </c>
      <c r="GX14" s="524">
        <f>SUM(GT14:GW14)</f>
        <v>844</v>
      </c>
      <c r="GY14" s="529">
        <f>Worksheet!EL14</f>
        <v>216</v>
      </c>
      <c r="GZ14" s="529">
        <f>Worksheet!EM14</f>
        <v>216</v>
      </c>
      <c r="HA14" s="529">
        <f>Worksheet!EN14</f>
        <v>216</v>
      </c>
      <c r="HB14" s="529">
        <f>Worksheet!EO14</f>
        <v>216</v>
      </c>
      <c r="HC14" s="524">
        <f>SUM(GY14:HB14)</f>
        <v>864</v>
      </c>
      <c r="HD14" s="529">
        <f>Worksheet!EP14</f>
        <v>221</v>
      </c>
      <c r="HE14" s="529">
        <f>Worksheet!EQ14</f>
        <v>221</v>
      </c>
      <c r="HF14" s="529">
        <f>Worksheet!ER14</f>
        <v>221</v>
      </c>
      <c r="HG14" s="529">
        <f>Worksheet!ES14</f>
        <v>221</v>
      </c>
      <c r="HH14" s="524">
        <f>SUM(HD14:HG14)</f>
        <v>884</v>
      </c>
      <c r="HI14" s="529">
        <f>Worksheet!ET14</f>
        <v>226</v>
      </c>
      <c r="HJ14" s="529">
        <f>Worksheet!EU14</f>
        <v>226</v>
      </c>
      <c r="HK14" s="529">
        <f>Worksheet!EV14</f>
        <v>226</v>
      </c>
      <c r="HL14" s="529">
        <f>Worksheet!EW14</f>
        <v>226</v>
      </c>
      <c r="HM14" s="524">
        <f>SUM(HI14:HL14)</f>
        <v>904</v>
      </c>
      <c r="HN14" s="524"/>
      <c r="HO14" s="524"/>
      <c r="HP14" s="453"/>
      <c r="HQ14" s="453"/>
      <c r="HR14" s="453"/>
      <c r="HS14" s="453"/>
      <c r="HT14" s="453"/>
      <c r="HU14" s="453"/>
      <c r="HV14" s="453"/>
      <c r="HW14" s="453"/>
      <c r="HX14" s="453"/>
      <c r="HY14" s="453"/>
      <c r="HZ14" s="453"/>
      <c r="IA14" s="453"/>
      <c r="IB14" s="453"/>
    </row>
    <row r="15" spans="1:236" s="509" customFormat="1" ht="15" customHeight="1">
      <c r="A15" s="517" t="s">
        <v>202</v>
      </c>
      <c r="L15" s="518"/>
      <c r="M15" s="518"/>
      <c r="N15" s="518"/>
      <c r="O15" s="518"/>
      <c r="P15" s="521"/>
      <c r="Q15" s="518"/>
      <c r="R15" s="518"/>
      <c r="S15" s="518"/>
      <c r="T15" s="518"/>
      <c r="U15" s="521"/>
      <c r="V15" s="518"/>
      <c r="W15" s="518"/>
      <c r="X15" s="518"/>
      <c r="Y15" s="518"/>
      <c r="Z15" s="521"/>
      <c r="AA15" s="518"/>
      <c r="AB15" s="518"/>
      <c r="AC15" s="518"/>
      <c r="AD15" s="518"/>
      <c r="AE15" s="521"/>
      <c r="AF15" s="518">
        <f t="shared" ref="AF15:CQ15" si="12">AF14/AF$9</f>
        <v>0.10007780420339049</v>
      </c>
      <c r="AG15" s="518">
        <f t="shared" si="12"/>
        <v>0.12385478083169556</v>
      </c>
      <c r="AH15" s="518">
        <f t="shared" si="12"/>
        <v>0.10121405231492217</v>
      </c>
      <c r="AI15" s="518">
        <f t="shared" si="12"/>
        <v>9.985631488809979E-2</v>
      </c>
      <c r="AJ15" s="521">
        <f t="shared" si="12"/>
        <v>0.10621193001189119</v>
      </c>
      <c r="AK15" s="518">
        <f t="shared" si="12"/>
        <v>9.9345131363530043E-2</v>
      </c>
      <c r="AL15" s="518">
        <f t="shared" si="12"/>
        <v>0.10053684907284306</v>
      </c>
      <c r="AM15" s="518">
        <f t="shared" si="12"/>
        <v>0.10023678270123766</v>
      </c>
      <c r="AN15" s="518">
        <f t="shared" si="12"/>
        <v>0.10447421712206148</v>
      </c>
      <c r="AO15" s="521">
        <f t="shared" si="12"/>
        <v>0.1011796263478148</v>
      </c>
      <c r="AP15" s="518">
        <f t="shared" si="12"/>
        <v>9.270016255547528E-2</v>
      </c>
      <c r="AQ15" s="518">
        <f t="shared" si="12"/>
        <v>8.8995135848128584E-2</v>
      </c>
      <c r="AR15" s="518">
        <f t="shared" si="12"/>
        <v>0.11162038330919655</v>
      </c>
      <c r="AS15" s="518">
        <f t="shared" si="12"/>
        <v>0.14061538305883858</v>
      </c>
      <c r="AT15" s="521">
        <f t="shared" si="12"/>
        <v>0.10803737379224963</v>
      </c>
      <c r="AU15" s="518">
        <f t="shared" si="12"/>
        <v>0.13929681815174969</v>
      </c>
      <c r="AV15" s="518">
        <f t="shared" si="12"/>
        <v>0.19336947373741148</v>
      </c>
      <c r="AW15" s="518">
        <f t="shared" si="12"/>
        <v>0.18529008759756771</v>
      </c>
      <c r="AX15" s="518">
        <f t="shared" si="12"/>
        <v>0.16942729256059957</v>
      </c>
      <c r="AY15" s="521">
        <f t="shared" si="12"/>
        <v>0.17032092365716872</v>
      </c>
      <c r="AZ15" s="518">
        <f t="shared" si="12"/>
        <v>0.16090790019547135</v>
      </c>
      <c r="BA15" s="518">
        <f t="shared" si="12"/>
        <v>0.15810656938480658</v>
      </c>
      <c r="BB15" s="518">
        <f t="shared" si="12"/>
        <v>0.17424963629903265</v>
      </c>
      <c r="BC15" s="518">
        <f t="shared" si="12"/>
        <v>0.17560354289423333</v>
      </c>
      <c r="BD15" s="521">
        <f t="shared" si="12"/>
        <v>0.16740332077873851</v>
      </c>
      <c r="BE15" s="518">
        <f t="shared" si="12"/>
        <v>0.2073749759640274</v>
      </c>
      <c r="BF15" s="518">
        <f t="shared" si="12"/>
        <v>0.21493985239431912</v>
      </c>
      <c r="BG15" s="518">
        <f t="shared" si="12"/>
        <v>0.17069746489057874</v>
      </c>
      <c r="BH15" s="518">
        <f t="shared" si="12"/>
        <v>0.15859258132400292</v>
      </c>
      <c r="BI15" s="521">
        <f t="shared" si="12"/>
        <v>0.18390836700245974</v>
      </c>
      <c r="BJ15" s="518">
        <f t="shared" si="12"/>
        <v>0.20184992550582417</v>
      </c>
      <c r="BK15" s="518">
        <f t="shared" si="12"/>
        <v>0.21489172571747361</v>
      </c>
      <c r="BL15" s="518">
        <f t="shared" si="12"/>
        <v>0.19664840408824022</v>
      </c>
      <c r="BM15" s="518">
        <f t="shared" si="12"/>
        <v>0.13412682846259458</v>
      </c>
      <c r="BN15" s="521">
        <f t="shared" si="12"/>
        <v>0.18040288297468787</v>
      </c>
      <c r="BO15" s="518">
        <f t="shared" si="12"/>
        <v>0.11711410594407291</v>
      </c>
      <c r="BP15" s="518">
        <f t="shared" si="12"/>
        <v>0.12628701929279404</v>
      </c>
      <c r="BQ15" s="518">
        <f t="shared" si="12"/>
        <v>0.12743618369415585</v>
      </c>
      <c r="BR15" s="518">
        <f t="shared" si="12"/>
        <v>0.12730817276109371</v>
      </c>
      <c r="BS15" s="521">
        <f t="shared" si="12"/>
        <v>0.12468705502168627</v>
      </c>
      <c r="BT15" s="518">
        <f t="shared" si="12"/>
        <v>0.12865058755143019</v>
      </c>
      <c r="BU15" s="518">
        <f t="shared" si="12"/>
        <v>0.16182769288231375</v>
      </c>
      <c r="BV15" s="518">
        <f t="shared" si="12"/>
        <v>0.20892971392011703</v>
      </c>
      <c r="BW15" s="518">
        <f t="shared" si="12"/>
        <v>0.15808621528292108</v>
      </c>
      <c r="BX15" s="521">
        <f t="shared" si="12"/>
        <v>0.16004788586328941</v>
      </c>
      <c r="BY15" s="518">
        <f t="shared" si="12"/>
        <v>0.19300766124249369</v>
      </c>
      <c r="BZ15" s="518">
        <f t="shared" si="12"/>
        <v>0.30502799438279921</v>
      </c>
      <c r="CA15" s="518">
        <f t="shared" si="12"/>
        <v>0.39172849927296277</v>
      </c>
      <c r="CB15" s="518">
        <f t="shared" si="12"/>
        <v>0.29116880089739666</v>
      </c>
      <c r="CC15" s="521">
        <f t="shared" si="12"/>
        <v>0.28037110464885623</v>
      </c>
      <c r="CD15" s="518">
        <f t="shared" si="12"/>
        <v>0.2935449335600479</v>
      </c>
      <c r="CE15" s="518">
        <f t="shared" si="12"/>
        <v>0.33097924715735183</v>
      </c>
      <c r="CF15" s="518">
        <f t="shared" si="12"/>
        <v>0.29884908032322627</v>
      </c>
      <c r="CG15" s="518">
        <f t="shared" si="12"/>
        <v>0.23831508643464247</v>
      </c>
      <c r="CH15" s="521">
        <f t="shared" si="12"/>
        <v>0.28292568016076525</v>
      </c>
      <c r="CI15" s="518">
        <f t="shared" si="12"/>
        <v>0.24099971450131144</v>
      </c>
      <c r="CJ15" s="518">
        <f t="shared" si="12"/>
        <v>0.2317201033096985</v>
      </c>
      <c r="CK15" s="518">
        <f t="shared" si="12"/>
        <v>0.24585807194913262</v>
      </c>
      <c r="CL15" s="518">
        <f t="shared" si="12"/>
        <v>0.2604624809884577</v>
      </c>
      <c r="CM15" s="521">
        <f t="shared" si="12"/>
        <v>0.24478014809749599</v>
      </c>
      <c r="CN15" s="518">
        <f t="shared" si="12"/>
        <v>0.27137893477076996</v>
      </c>
      <c r="CO15" s="518">
        <f t="shared" si="12"/>
        <v>0.25275851285559853</v>
      </c>
      <c r="CP15" s="518">
        <f t="shared" si="12"/>
        <v>0.19093682174742488</v>
      </c>
      <c r="CQ15" s="518">
        <f t="shared" si="12"/>
        <v>0.15082501213093136</v>
      </c>
      <c r="CR15" s="521">
        <f t="shared" ref="CR15:DQ15" si="13">CR14/CR$9</f>
        <v>0.20852123879685552</v>
      </c>
      <c r="CS15" s="518">
        <f t="shared" si="13"/>
        <v>0.13061513724348014</v>
      </c>
      <c r="CT15" s="518">
        <f t="shared" si="13"/>
        <v>0.15866921743190995</v>
      </c>
      <c r="CU15" s="518">
        <f t="shared" si="13"/>
        <v>0.15064528909584204</v>
      </c>
      <c r="CV15" s="518">
        <f t="shared" si="13"/>
        <v>0.12577552171460801</v>
      </c>
      <c r="CW15" s="521">
        <f t="shared" si="13"/>
        <v>0.13984412159924323</v>
      </c>
      <c r="CX15" s="518">
        <f t="shared" si="13"/>
        <v>0.19708029197080293</v>
      </c>
      <c r="CY15" s="518">
        <f t="shared" si="13"/>
        <v>0.18505079825834542</v>
      </c>
      <c r="CZ15" s="518">
        <f t="shared" si="13"/>
        <v>0.16115196078431374</v>
      </c>
      <c r="DA15" s="518">
        <f t="shared" si="13"/>
        <v>0.15423728813559323</v>
      </c>
      <c r="DB15" s="521">
        <f t="shared" si="13"/>
        <v>0.17196075170463995</v>
      </c>
      <c r="DC15" s="518">
        <f t="shared" si="13"/>
        <v>0.17740863787375416</v>
      </c>
      <c r="DD15" s="518">
        <f t="shared" si="13"/>
        <v>0.19495922905856189</v>
      </c>
      <c r="DE15" s="518">
        <f t="shared" si="13"/>
        <v>0.16562889165628891</v>
      </c>
      <c r="DF15" s="518">
        <f t="shared" si="13"/>
        <v>0.23321858864027539</v>
      </c>
      <c r="DG15" s="521">
        <f t="shared" si="13"/>
        <v>0.18979011028103879</v>
      </c>
      <c r="DH15" s="518">
        <f t="shared" si="13"/>
        <v>8.9209855564995749E-2</v>
      </c>
      <c r="DI15" s="518">
        <f t="shared" si="13"/>
        <v>8.6993243243243243E-2</v>
      </c>
      <c r="DJ15" s="518">
        <f t="shared" si="13"/>
        <v>6.8767908309455589E-2</v>
      </c>
      <c r="DK15" s="518">
        <f t="shared" si="13"/>
        <v>5.7715674362089915E-2</v>
      </c>
      <c r="DL15" s="521">
        <f t="shared" si="13"/>
        <v>7.3847862298722936E-2</v>
      </c>
      <c r="DM15" s="518">
        <f t="shared" si="13"/>
        <v>6.353240152477764E-2</v>
      </c>
      <c r="DN15" s="518">
        <f t="shared" si="13"/>
        <v>5.0211736237144589E-2</v>
      </c>
      <c r="DO15" s="518">
        <f t="shared" si="13"/>
        <v>4.8825710754017308E-2</v>
      </c>
      <c r="DP15" s="518">
        <f t="shared" si="13"/>
        <v>4.7301394784718009E-2</v>
      </c>
      <c r="DQ15" s="521">
        <f t="shared" si="13"/>
        <v>5.2356020942408377E-2</v>
      </c>
      <c r="DR15" s="518">
        <f>DR14/DR$9</f>
        <v>4.8977061376317424E-2</v>
      </c>
      <c r="DS15" s="518">
        <f>DS14/DS$9</f>
        <v>4.510800508259212E-2</v>
      </c>
      <c r="DT15" s="518">
        <f>DT14/DT$9</f>
        <v>4.6745562130177512E-2</v>
      </c>
      <c r="DU15" s="518">
        <f>DU14/DU$9</f>
        <v>3.9621525724423415E-2</v>
      </c>
      <c r="DV15" s="521">
        <f t="shared" ref="DV15:EU15" si="14">DV14/DV$9</f>
        <v>4.5066991473812421E-2</v>
      </c>
      <c r="DW15" s="518">
        <f>DW14/DW$9</f>
        <v>3.9116719242902206E-2</v>
      </c>
      <c r="DX15" s="518">
        <f>DX14/DX$9</f>
        <v>4.3170559094125975E-2</v>
      </c>
      <c r="DY15" s="518">
        <f>DY14/DY$9</f>
        <v>4.8857368006304178E-2</v>
      </c>
      <c r="DZ15" s="518">
        <f>DZ14/DZ$9</f>
        <v>5.3679653679653681E-2</v>
      </c>
      <c r="EA15" s="521">
        <f t="shared" si="14"/>
        <v>4.5555145702692736E-2</v>
      </c>
      <c r="EB15" s="518">
        <f t="shared" si="14"/>
        <v>5.6985294117647058E-2</v>
      </c>
      <c r="EC15" s="518">
        <f t="shared" si="14"/>
        <v>4.6511627906976744E-2</v>
      </c>
      <c r="ED15" s="518">
        <f t="shared" si="14"/>
        <v>3.5592060232717319E-2</v>
      </c>
      <c r="EE15" s="518">
        <f t="shared" si="14"/>
        <v>3.1466331025802388E-2</v>
      </c>
      <c r="EF15" s="521">
        <f t="shared" si="14"/>
        <v>4.1139837705227403E-2</v>
      </c>
      <c r="EG15" s="518">
        <f t="shared" si="14"/>
        <v>3.579098067287044E-2</v>
      </c>
      <c r="EH15" s="518">
        <f t="shared" si="14"/>
        <v>3.4004163775156145E-2</v>
      </c>
      <c r="EI15" s="518">
        <f>EI14/EI$9</f>
        <v>3.2190342897130859E-2</v>
      </c>
      <c r="EJ15" s="518">
        <f>EJ14/EJ$9</f>
        <v>3.5512510088781278E-2</v>
      </c>
      <c r="EK15" s="521">
        <f t="shared" si="14"/>
        <v>3.4326189611333088E-2</v>
      </c>
      <c r="EL15" s="518">
        <f>EL14/EL$9</f>
        <v>4.1747572815533977E-2</v>
      </c>
      <c r="EM15" s="518">
        <f>EM14/EM$9</f>
        <v>4.7770700636942678E-2</v>
      </c>
      <c r="EN15" s="518">
        <f>EN14/EN$9</f>
        <v>3.9585296889726673E-2</v>
      </c>
      <c r="EO15" s="518">
        <f t="shared" si="14"/>
        <v>3.5490605427974949E-2</v>
      </c>
      <c r="EP15" s="521">
        <f t="shared" si="14"/>
        <v>4.1092458030568782E-2</v>
      </c>
      <c r="EQ15" s="518">
        <f t="shared" si="14"/>
        <v>3.9663461538461536E-2</v>
      </c>
      <c r="ER15" s="518">
        <f t="shared" si="14"/>
        <v>3.2132424537487832E-2</v>
      </c>
      <c r="ES15" s="518">
        <f t="shared" si="14"/>
        <v>2.5248661055853099E-2</v>
      </c>
      <c r="ET15" s="518">
        <f t="shared" si="14"/>
        <v>3.074141048824593E-2</v>
      </c>
      <c r="EU15" s="521">
        <f t="shared" si="14"/>
        <v>3.1132958801498127E-2</v>
      </c>
      <c r="EV15" s="518">
        <f>EV14/EV$9</f>
        <v>3.4552845528455285E-2</v>
      </c>
      <c r="EW15" s="518">
        <f>EW14/EW$9</f>
        <v>2.8641571194762683E-2</v>
      </c>
      <c r="EX15" s="518">
        <f>EX14/EX$9</f>
        <v>2.1911138161898967E-2</v>
      </c>
      <c r="EY15" s="518">
        <f>EY14/EY$9</f>
        <v>2.6351351351351353E-2</v>
      </c>
      <c r="EZ15" s="521">
        <f>EZ14/EZ$9</f>
        <v>2.7021955338712704E-2</v>
      </c>
      <c r="FA15" s="518">
        <f t="shared" ref="FA15:FJ15" si="15">FA14/FA$9</f>
        <v>2.6715239829993929E-2</v>
      </c>
      <c r="FB15" s="518">
        <f t="shared" si="15"/>
        <v>2.3917995444191344E-2</v>
      </c>
      <c r="FC15" s="518">
        <f t="shared" si="15"/>
        <v>2.4803387779794312E-2</v>
      </c>
      <c r="FD15" s="518">
        <f t="shared" si="15"/>
        <v>3.0303030303030304E-2</v>
      </c>
      <c r="FE15" s="521">
        <f t="shared" si="15"/>
        <v>2.6254826254826256E-2</v>
      </c>
      <c r="FF15" s="518">
        <f t="shared" si="15"/>
        <v>3.6163522012578615E-2</v>
      </c>
      <c r="FG15" s="518">
        <f t="shared" si="15"/>
        <v>3.3964728935336384E-2</v>
      </c>
      <c r="FH15" s="518">
        <f t="shared" si="15"/>
        <v>3.3314825097168238E-2</v>
      </c>
      <c r="FI15" s="518">
        <f t="shared" si="15"/>
        <v>3.0089327691584389E-2</v>
      </c>
      <c r="FJ15" s="521">
        <f t="shared" si="15"/>
        <v>3.2981726340811174E-2</v>
      </c>
      <c r="FK15" s="518">
        <f>FK14/FK$9</f>
        <v>3.8073908174692049E-2</v>
      </c>
      <c r="FL15" s="518">
        <f>FL14/FL$9</f>
        <v>3.7267080745341616E-2</v>
      </c>
      <c r="FM15" s="518">
        <f>FM14/FM$9</f>
        <v>2.9275258836129952E-2</v>
      </c>
      <c r="FN15" s="518">
        <f>FN14/FN$9</f>
        <v>2.4660912453760789E-2</v>
      </c>
      <c r="FO15" s="521">
        <f>FO14/FO$9</f>
        <v>3.0933114821263957E-2</v>
      </c>
      <c r="FP15" s="518">
        <f t="shared" ref="FP15:HM15" si="16">FP14/FP$9</f>
        <v>2.7576197387518143E-2</v>
      </c>
      <c r="FQ15" s="518">
        <f t="shared" si="16"/>
        <v>2.5194805194805193E-2</v>
      </c>
      <c r="FR15" s="518">
        <f t="shared" si="16"/>
        <v>2.2490146070020867E-2</v>
      </c>
      <c r="FS15" s="518">
        <f t="shared" si="16"/>
        <v>2.4450891007045172E-2</v>
      </c>
      <c r="FT15" s="521">
        <f t="shared" si="16"/>
        <v>2.4765729585006693E-2</v>
      </c>
      <c r="FU15" s="518">
        <f t="shared" si="16"/>
        <v>2.2082554781722438E-2</v>
      </c>
      <c r="FV15" s="518">
        <f t="shared" si="16"/>
        <v>2.3969465648854962E-2</v>
      </c>
      <c r="FW15" s="518">
        <f t="shared" si="16"/>
        <v>2.9290206648697213E-2</v>
      </c>
      <c r="FX15" s="518">
        <f t="shared" si="16"/>
        <v>3.1434184675834968E-2</v>
      </c>
      <c r="FY15" s="521">
        <f t="shared" si="16"/>
        <v>2.6524299817804329E-2</v>
      </c>
      <c r="FZ15" s="518">
        <f t="shared" si="16"/>
        <v>2.9702970297029702E-2</v>
      </c>
      <c r="GA15" s="518">
        <f t="shared" si="16"/>
        <v>2.910990856503079E-2</v>
      </c>
      <c r="GB15" s="518">
        <f t="shared" si="16"/>
        <v>2.8103448275862069E-2</v>
      </c>
      <c r="GC15" s="518">
        <f t="shared" si="16"/>
        <v>2.6588845654993514E-2</v>
      </c>
      <c r="GD15" s="521">
        <f t="shared" si="16"/>
        <v>2.8306878306878308E-2</v>
      </c>
      <c r="GE15" s="518">
        <f t="shared" si="16"/>
        <v>2.9599853827882331E-2</v>
      </c>
      <c r="GF15" s="518">
        <f t="shared" si="16"/>
        <v>2.8449014567266496E-2</v>
      </c>
      <c r="GG15" s="518">
        <f t="shared" si="16"/>
        <v>2.5076990761108666E-2</v>
      </c>
      <c r="GH15" s="518">
        <f t="shared" si="16"/>
        <v>2.2460172368764689E-2</v>
      </c>
      <c r="GI15" s="521">
        <f t="shared" si="16"/>
        <v>2.6022881520263719E-2</v>
      </c>
      <c r="GJ15" s="518">
        <f t="shared" si="16"/>
        <v>2.3527830061844581E-2</v>
      </c>
      <c r="GK15" s="518">
        <f t="shared" si="16"/>
        <v>2.4593363695510736E-2</v>
      </c>
      <c r="GL15" s="518">
        <f t="shared" si="16"/>
        <v>2.0765736534717714E-2</v>
      </c>
      <c r="GM15" s="518">
        <f t="shared" si="16"/>
        <v>1.8889970788704965E-2</v>
      </c>
      <c r="GN15" s="521">
        <f t="shared" si="16"/>
        <v>2.1651895262565318E-2</v>
      </c>
      <c r="GO15" s="518">
        <f t="shared" si="16"/>
        <v>2.0091680483760851E-2</v>
      </c>
      <c r="GP15" s="518">
        <f t="shared" si="16"/>
        <v>1.8355957882634472E-2</v>
      </c>
      <c r="GQ15" s="518">
        <f t="shared" si="16"/>
        <v>1.717579841748848E-2</v>
      </c>
      <c r="GR15" s="518">
        <f t="shared" si="16"/>
        <v>1.2722665439415816E-2</v>
      </c>
      <c r="GS15" s="521">
        <f t="shared" si="16"/>
        <v>1.6592594024959356E-2</v>
      </c>
      <c r="GT15" s="518">
        <f t="shared" si="16"/>
        <v>1.2102207912441749E-2</v>
      </c>
      <c r="GU15" s="518">
        <f t="shared" si="16"/>
        <v>1.0982993861226892E-2</v>
      </c>
      <c r="GV15" s="518">
        <f t="shared" si="16"/>
        <v>9.532056792941352E-3</v>
      </c>
      <c r="GW15" s="518">
        <f t="shared" si="16"/>
        <v>8.6057439235314552E-3</v>
      </c>
      <c r="GX15" s="521">
        <f t="shared" si="16"/>
        <v>1.0131968453200127E-2</v>
      </c>
      <c r="GY15" s="518">
        <f t="shared" si="16"/>
        <v>9.0220031169136287E-3</v>
      </c>
      <c r="GZ15" s="518">
        <f t="shared" si="16"/>
        <v>8.6285800312813112E-3</v>
      </c>
      <c r="HA15" s="518">
        <f t="shared" si="16"/>
        <v>8.0381277257080778E-3</v>
      </c>
      <c r="HB15" s="518">
        <f t="shared" si="16"/>
        <v>7.5124986432253257E-3</v>
      </c>
      <c r="HC15" s="521">
        <f t="shared" si="16"/>
        <v>8.2601511577891414E-3</v>
      </c>
      <c r="HD15" s="518">
        <f t="shared" si="16"/>
        <v>7.843397590756012E-3</v>
      </c>
      <c r="HE15" s="518">
        <f t="shared" si="16"/>
        <v>7.5225640669923264E-3</v>
      </c>
      <c r="HF15" s="518">
        <f t="shared" si="16"/>
        <v>6.9680635684333326E-3</v>
      </c>
      <c r="HG15" s="518">
        <f t="shared" si="16"/>
        <v>6.6738686414134973E-3</v>
      </c>
      <c r="HH15" s="521">
        <f t="shared" si="16"/>
        <v>7.2230955440096166E-3</v>
      </c>
      <c r="HI15" s="518">
        <f t="shared" si="16"/>
        <v>7.1262798939103773E-3</v>
      </c>
      <c r="HJ15" s="518">
        <f t="shared" si="16"/>
        <v>6.8371024788833838E-3</v>
      </c>
      <c r="HK15" s="518">
        <f t="shared" si="16"/>
        <v>6.2221996986629342E-3</v>
      </c>
      <c r="HL15" s="518">
        <f t="shared" si="16"/>
        <v>5.9478053215319491E-3</v>
      </c>
      <c r="HM15" s="521">
        <f t="shared" si="16"/>
        <v>6.4995146629209747E-3</v>
      </c>
      <c r="HN15" s="521"/>
      <c r="HO15" s="521"/>
      <c r="HP15" s="453"/>
      <c r="HQ15" s="453"/>
      <c r="HR15" s="453"/>
      <c r="HS15" s="453"/>
      <c r="HT15" s="453"/>
      <c r="HU15" s="453"/>
      <c r="HV15" s="453"/>
      <c r="HW15" s="453"/>
      <c r="HX15" s="453"/>
      <c r="HY15" s="453"/>
      <c r="HZ15" s="453"/>
      <c r="IA15" s="453"/>
      <c r="IB15" s="453"/>
    </row>
    <row r="16" spans="1:236" s="509" customFormat="1" ht="15" customHeight="1">
      <c r="A16" s="522" t="s">
        <v>369</v>
      </c>
      <c r="L16" s="518"/>
      <c r="M16" s="518"/>
      <c r="N16" s="518"/>
      <c r="O16" s="518"/>
      <c r="P16" s="521"/>
      <c r="Q16" s="518"/>
      <c r="R16" s="518"/>
      <c r="S16" s="518"/>
      <c r="T16" s="518"/>
      <c r="U16" s="521"/>
      <c r="V16" s="525"/>
      <c r="W16" s="525"/>
      <c r="X16" s="525"/>
      <c r="Y16" s="525"/>
      <c r="Z16" s="524"/>
      <c r="AA16" s="527"/>
      <c r="AB16" s="527"/>
      <c r="AC16" s="527"/>
      <c r="AD16" s="527"/>
      <c r="AE16" s="524"/>
      <c r="AF16" s="261">
        <f>AF12+AF14</f>
        <v>194.08199999999999</v>
      </c>
      <c r="AG16" s="261">
        <f>AG12+AG14</f>
        <v>186.93100000000001</v>
      </c>
      <c r="AH16" s="261">
        <f>AH12+AH14</f>
        <v>199.99900000000002</v>
      </c>
      <c r="AI16" s="261">
        <f>AI12+AI14</f>
        <v>208.55199999999999</v>
      </c>
      <c r="AJ16" s="524">
        <f>SUM(AF16:AI16)</f>
        <v>789.56400000000008</v>
      </c>
      <c r="AK16" s="261">
        <f>AK12+AK14</f>
        <v>230.43700000000001</v>
      </c>
      <c r="AL16" s="261">
        <f>AL12+AL14</f>
        <v>235.62299999999999</v>
      </c>
      <c r="AM16" s="261">
        <f>AM12+AM14</f>
        <v>252.40899999999999</v>
      </c>
      <c r="AN16" s="261">
        <f>AN12+AN14</f>
        <v>263.83699999999999</v>
      </c>
      <c r="AO16" s="524">
        <f>SUM(AK16:AN16)</f>
        <v>982.30600000000004</v>
      </c>
      <c r="AP16" s="261">
        <f>AP12+AP14</f>
        <v>290.77199999999999</v>
      </c>
      <c r="AQ16" s="261">
        <f>AQ12+AQ14</f>
        <v>300.959</v>
      </c>
      <c r="AR16" s="261">
        <f>AR12+AR14</f>
        <v>344.34399999999999</v>
      </c>
      <c r="AS16" s="261">
        <f>AS12+AS14</f>
        <v>362.80100000000004</v>
      </c>
      <c r="AT16" s="524">
        <f>SUM(AP16:AS16)</f>
        <v>1298.8760000000002</v>
      </c>
      <c r="AU16" s="261">
        <f>AU12+AU14</f>
        <v>368.73500000000001</v>
      </c>
      <c r="AV16" s="261">
        <f>AV12+AV14</f>
        <v>379.779</v>
      </c>
      <c r="AW16" s="261">
        <f>AW12+AW14</f>
        <v>337.69200000000001</v>
      </c>
      <c r="AX16" s="261">
        <f>AX12+AX14</f>
        <v>354.62200000000001</v>
      </c>
      <c r="AY16" s="524">
        <f>SUM(AU16:AX16)</f>
        <v>1440.8280000000002</v>
      </c>
      <c r="AZ16" s="261">
        <f>AZ12+AZ14</f>
        <v>349.07600000000002</v>
      </c>
      <c r="BA16" s="261">
        <f>BA12+BA14</f>
        <v>372.26600000000008</v>
      </c>
      <c r="BB16" s="261">
        <f>BB12+BB14</f>
        <v>428.24</v>
      </c>
      <c r="BC16" s="261">
        <f>BC12+BC14</f>
        <v>428.85599999999994</v>
      </c>
      <c r="BD16" s="524">
        <f>SUM(AZ16:BC16)</f>
        <v>1578.4380000000001</v>
      </c>
      <c r="BE16" s="261">
        <f>BE12+BE14</f>
        <v>423.59100000000001</v>
      </c>
      <c r="BF16" s="261">
        <f>BF12+BF14</f>
        <v>390.14</v>
      </c>
      <c r="BG16" s="261">
        <f>BG12+BG14</f>
        <v>422.98500000000001</v>
      </c>
      <c r="BH16" s="261">
        <f>BH12+BH14</f>
        <v>481.98700000000002</v>
      </c>
      <c r="BI16" s="524">
        <f>SUM(BE16:BH16)</f>
        <v>1718.703</v>
      </c>
      <c r="BJ16" s="261">
        <f>BJ12+BJ14</f>
        <v>450.43099999999993</v>
      </c>
      <c r="BK16" s="261">
        <f>BK12+BK14</f>
        <v>458.339</v>
      </c>
      <c r="BL16" s="261">
        <f>BL12+BL14</f>
        <v>474.11899999999991</v>
      </c>
      <c r="BM16" s="261">
        <f>BM12+BM14</f>
        <v>581.54500000000007</v>
      </c>
      <c r="BN16" s="524">
        <f>SUM(BJ16:BM16)</f>
        <v>1964.434</v>
      </c>
      <c r="BO16" s="261">
        <f>BO12+BO14</f>
        <v>605.75700000000006</v>
      </c>
      <c r="BP16" s="261">
        <f>BP12+BP14</f>
        <v>612.56700000000001</v>
      </c>
      <c r="BQ16" s="261">
        <f>BQ12+BQ14</f>
        <v>639.01</v>
      </c>
      <c r="BR16" s="261">
        <f>BR12+BR14</f>
        <v>657.303</v>
      </c>
      <c r="BS16" s="524">
        <f>SUM(BO16:BR16)</f>
        <v>2514.6370000000002</v>
      </c>
      <c r="BT16" s="261">
        <f>BT12+BT14</f>
        <v>714.83</v>
      </c>
      <c r="BU16" s="261">
        <f>BU12+BU14</f>
        <v>636.19899999999996</v>
      </c>
      <c r="BV16" s="261">
        <f>BV12+BV14</f>
        <v>587.15499999999997</v>
      </c>
      <c r="BW16" s="261">
        <f>BW12+BW14</f>
        <v>644.66200000000003</v>
      </c>
      <c r="BX16" s="524">
        <f>SUM(BT16:BW16)</f>
        <v>2582.846</v>
      </c>
      <c r="BY16" s="261">
        <f>BY12+BY14</f>
        <v>586.87400000000002</v>
      </c>
      <c r="BZ16" s="261">
        <f>BZ12+BZ14</f>
        <v>558.29</v>
      </c>
      <c r="CA16" s="261">
        <f>CA12+CA14</f>
        <v>453.88400000000001</v>
      </c>
      <c r="CB16" s="261">
        <f>CB12+CB14</f>
        <v>506.61299999999994</v>
      </c>
      <c r="CC16" s="524">
        <f>SUM(BY16:CB16)</f>
        <v>2105.6610000000001</v>
      </c>
      <c r="CD16" s="261">
        <f>CD12+CD14</f>
        <v>496.59199999999998</v>
      </c>
      <c r="CE16" s="261">
        <f>CE12+CE14</f>
        <v>425.08499999999992</v>
      </c>
      <c r="CF16" s="261">
        <f>CF12+CF14</f>
        <v>626.88</v>
      </c>
      <c r="CG16" s="261">
        <f>CG12+CG14</f>
        <v>778.50800000000004</v>
      </c>
      <c r="CH16" s="524">
        <f>SUM(CD16:CG16)</f>
        <v>2327.0649999999996</v>
      </c>
      <c r="CI16" s="261">
        <f>CI12+CI14</f>
        <v>768.84</v>
      </c>
      <c r="CJ16" s="261">
        <f>CJ12+CJ14</f>
        <v>783.06899999999996</v>
      </c>
      <c r="CK16" s="261">
        <f>CK12+CK14</f>
        <v>738.02600000000007</v>
      </c>
      <c r="CL16" s="261">
        <f>CL12+CL14</f>
        <v>742.64999999999986</v>
      </c>
      <c r="CM16" s="524">
        <f>SUM(CI16:CL16)</f>
        <v>3032.585</v>
      </c>
      <c r="CN16" s="261">
        <f>CN12+CN14</f>
        <v>807.44899999999996</v>
      </c>
      <c r="CO16" s="261">
        <v>765.95399999999995</v>
      </c>
      <c r="CP16" s="526">
        <v>896.26099999999997</v>
      </c>
      <c r="CQ16" s="526">
        <f>CQ14+CQ12</f>
        <v>986.14800000000014</v>
      </c>
      <c r="CR16" s="524">
        <f>SUM(CN16:CQ16)</f>
        <v>3455.8119999999999</v>
      </c>
      <c r="CS16" s="526">
        <f>CS14+CS12</f>
        <v>553.34</v>
      </c>
      <c r="CT16" s="526">
        <f>CT14+CT12</f>
        <v>526.05899999999997</v>
      </c>
      <c r="CU16" s="261">
        <f>CU14+CU12</f>
        <v>645.26400000000001</v>
      </c>
      <c r="CV16" s="261">
        <f>CV14+CV12</f>
        <v>1070</v>
      </c>
      <c r="CW16" s="524">
        <f>SUM(CS16:CV16)</f>
        <v>2794.663</v>
      </c>
      <c r="CX16" s="261">
        <f>CX14+CX12</f>
        <v>857</v>
      </c>
      <c r="CY16" s="261">
        <f>CY14+CY12</f>
        <v>885</v>
      </c>
      <c r="CZ16" s="261">
        <f>CZ14+CZ12</f>
        <v>961</v>
      </c>
      <c r="DA16" s="261">
        <f>DA14+DA12</f>
        <v>985</v>
      </c>
      <c r="DB16" s="524">
        <f>SUM(CX16:DA16)</f>
        <v>3688</v>
      </c>
      <c r="DC16" s="261">
        <f>DC14+DC12</f>
        <v>877</v>
      </c>
      <c r="DD16" s="261">
        <f>DD14+DD12</f>
        <v>846</v>
      </c>
      <c r="DE16" s="261">
        <f>DE14+DE12</f>
        <v>881</v>
      </c>
      <c r="DF16" s="261">
        <f>DF14+DF12</f>
        <v>663</v>
      </c>
      <c r="DG16" s="524">
        <f>SUM(DC16:DF16)</f>
        <v>3267</v>
      </c>
      <c r="DH16" s="261">
        <f>DH14+DH12</f>
        <v>765</v>
      </c>
      <c r="DI16" s="261">
        <f>DI14+DI12</f>
        <v>861</v>
      </c>
      <c r="DJ16" s="261">
        <f>DJ14+DJ12</f>
        <v>869</v>
      </c>
      <c r="DK16" s="261">
        <f>DK14+DK12</f>
        <v>967</v>
      </c>
      <c r="DL16" s="524">
        <f>SUM(DH16:DK16)</f>
        <v>3462</v>
      </c>
      <c r="DM16" s="261">
        <f>DM14+DM12</f>
        <v>902</v>
      </c>
      <c r="DN16" s="261">
        <f>DN14+DN12</f>
        <v>915</v>
      </c>
      <c r="DO16" s="261">
        <f>DO14+DO12</f>
        <v>879</v>
      </c>
      <c r="DP16" s="261">
        <f>DP14+DP12</f>
        <v>906</v>
      </c>
      <c r="DQ16" s="524">
        <f>SUM(DM16:DP16)</f>
        <v>3602</v>
      </c>
      <c r="DR16" s="261">
        <f>DR14+DR12</f>
        <v>893</v>
      </c>
      <c r="DS16" s="261">
        <f>DS14+DS12</f>
        <v>854</v>
      </c>
      <c r="DT16" s="261">
        <f>DT14+DT12</f>
        <v>934</v>
      </c>
      <c r="DU16" s="261">
        <f>DU14+DU12</f>
        <v>918</v>
      </c>
      <c r="DV16" s="524">
        <f>SUM(DR16:DU16)</f>
        <v>3599</v>
      </c>
      <c r="DW16" s="261">
        <f>DW14+DW12</f>
        <v>855</v>
      </c>
      <c r="DX16" s="261">
        <f>DX14+DX12</f>
        <v>770</v>
      </c>
      <c r="DY16" s="261">
        <f>DY14+DY12</f>
        <v>877</v>
      </c>
      <c r="DZ16" s="261">
        <f>DZ14+DZ12</f>
        <v>704</v>
      </c>
      <c r="EA16" s="524">
        <f>SUM(DW16:DZ16)</f>
        <v>3206</v>
      </c>
      <c r="EB16" s="261">
        <f>EB14+EB12</f>
        <v>643</v>
      </c>
      <c r="EC16" s="261">
        <f>EC14+EC12</f>
        <v>702</v>
      </c>
      <c r="ED16" s="261">
        <f>ED14+ED12</f>
        <v>940</v>
      </c>
      <c r="EE16" s="261">
        <f>EE14+EE12</f>
        <v>1036</v>
      </c>
      <c r="EF16" s="524">
        <f>SUM(EB16:EE16)</f>
        <v>3321</v>
      </c>
      <c r="EG16" s="261">
        <f>EG14+EG12</f>
        <v>910</v>
      </c>
      <c r="EH16" s="261">
        <f>EH14+EH12</f>
        <v>943</v>
      </c>
      <c r="EI16" s="530">
        <f>EI14+EI12</f>
        <v>935</v>
      </c>
      <c r="EJ16" s="530">
        <f>EJ14+EJ12</f>
        <v>821</v>
      </c>
      <c r="EK16" s="524">
        <f>SUM(EG16:EJ16)</f>
        <v>3609</v>
      </c>
      <c r="EL16" s="261">
        <f>EL14+EL12</f>
        <v>704</v>
      </c>
      <c r="EM16" s="261">
        <f>EM14+EM12</f>
        <v>677</v>
      </c>
      <c r="EN16" s="261">
        <f>EN14+EN12</f>
        <v>822</v>
      </c>
      <c r="EO16" s="261">
        <f>EO14+EO12</f>
        <v>675</v>
      </c>
      <c r="EP16" s="524">
        <f>SUM(EL16:EO16)</f>
        <v>2878</v>
      </c>
      <c r="EQ16" s="261">
        <f>EQ14+EQ12</f>
        <v>563</v>
      </c>
      <c r="ER16" s="261">
        <f>ER14+ER12</f>
        <v>708</v>
      </c>
      <c r="ES16" s="261">
        <f>ES14+ES12</f>
        <v>908</v>
      </c>
      <c r="ET16" s="261">
        <f>ET14+ET12</f>
        <v>755</v>
      </c>
      <c r="EU16" s="524">
        <f>SUM(EQ16:ET16)</f>
        <v>2934</v>
      </c>
      <c r="EV16" s="261">
        <f>EV14+EV12</f>
        <v>653</v>
      </c>
      <c r="EW16" s="261">
        <f>EW14+EW12</f>
        <v>818</v>
      </c>
      <c r="EX16" s="261">
        <f>EX14+EX12</f>
        <v>1070</v>
      </c>
      <c r="EY16" s="261">
        <f>EY14+EY12</f>
        <v>965</v>
      </c>
      <c r="EZ16" s="524">
        <f>SUM(EV16:EY16)</f>
        <v>3506</v>
      </c>
      <c r="FA16" s="261">
        <f>FA14+FA12</f>
        <v>1050</v>
      </c>
      <c r="FB16" s="261">
        <f>FB14+FB12</f>
        <v>1104</v>
      </c>
      <c r="FC16" s="261">
        <f>FC14+FC12</f>
        <v>992</v>
      </c>
      <c r="FD16" s="261">
        <f>FD14+FD12</f>
        <v>882</v>
      </c>
      <c r="FE16" s="524">
        <f>SUM(FA16:FD16)</f>
        <v>4028</v>
      </c>
      <c r="FF16" s="261">
        <f>FF14+FF12</f>
        <v>751</v>
      </c>
      <c r="FG16" s="261">
        <f>FG14+FG12</f>
        <v>910</v>
      </c>
      <c r="FH16" s="261">
        <f>FH14+FH12</f>
        <v>1024</v>
      </c>
      <c r="FI16" s="261">
        <f>FI14+FI12</f>
        <v>1178</v>
      </c>
      <c r="FJ16" s="524">
        <f>SUM(FF16:FI16)</f>
        <v>3863</v>
      </c>
      <c r="FK16" s="261">
        <f>FK14+FK12</f>
        <v>968</v>
      </c>
      <c r="FL16" s="261">
        <f>FL14+FL12</f>
        <v>1084</v>
      </c>
      <c r="FM16" s="261">
        <f>FM14+FM12</f>
        <v>1571</v>
      </c>
      <c r="FN16" s="261">
        <f>FN14+FN12</f>
        <v>1793</v>
      </c>
      <c r="FO16" s="524">
        <f>SUM(FK16:FN16)</f>
        <v>5416</v>
      </c>
      <c r="FP16" s="261">
        <f>FP14+FP12</f>
        <v>1858</v>
      </c>
      <c r="FQ16" s="261">
        <f>FQ14+FQ12</f>
        <v>2020</v>
      </c>
      <c r="FR16" s="261">
        <f>FR14+FR12</f>
        <v>2227</v>
      </c>
      <c r="FS16" s="261">
        <f>FS14+FS12</f>
        <v>2400</v>
      </c>
      <c r="FT16" s="524">
        <f>SUM(FP16:FS16)</f>
        <v>8505</v>
      </c>
      <c r="FU16" s="261">
        <f>FU14+FU12</f>
        <v>2791</v>
      </c>
      <c r="FV16" s="261">
        <f>FV14+FV12</f>
        <v>3020</v>
      </c>
      <c r="FW16" s="261">
        <f>FW14+FW12</f>
        <v>2797</v>
      </c>
      <c r="FX16" s="261">
        <f>FX14+FX12</f>
        <v>2749</v>
      </c>
      <c r="FY16" s="524">
        <f>SUM(FU16:FX16)</f>
        <v>11357</v>
      </c>
      <c r="FZ16" s="261">
        <f>FZ14+FZ12</f>
        <v>2686</v>
      </c>
      <c r="GA16" s="261">
        <f>GA14+GA12</f>
        <v>2704</v>
      </c>
      <c r="GB16" s="261">
        <f>GB14+GB12</f>
        <v>2843</v>
      </c>
      <c r="GC16" s="261">
        <f>GC14+GC12</f>
        <v>3041</v>
      </c>
      <c r="GD16" s="524">
        <f>SUM(FZ16:GC16)</f>
        <v>11274</v>
      </c>
      <c r="GE16" s="261">
        <f>GE14+GE12</f>
        <v>2618</v>
      </c>
      <c r="GF16" s="261">
        <f>GF14+GF12</f>
        <v>2739</v>
      </c>
      <c r="GG16" s="261">
        <f>GG14+GG12</f>
        <v>3167</v>
      </c>
      <c r="GH16" s="261">
        <f>GH14+GH12</f>
        <v>3524</v>
      </c>
      <c r="GI16" s="524">
        <f>SUM(GE16:GH16)</f>
        <v>12048</v>
      </c>
      <c r="GJ16" s="261">
        <f>GJ14+GJ12</f>
        <v>3451</v>
      </c>
      <c r="GK16" s="261">
        <f>GK14+GK12</f>
        <v>4365</v>
      </c>
      <c r="GL16" s="261">
        <f>GL14+GL12</f>
        <v>4261</v>
      </c>
      <c r="GM16" s="261">
        <f>GM14+GM12</f>
        <v>4423</v>
      </c>
      <c r="GN16" s="524">
        <f>SUM(GJ16:GM16)</f>
        <v>16500</v>
      </c>
      <c r="GO16" s="261">
        <f>GO14+GO12</f>
        <v>4576</v>
      </c>
      <c r="GP16" s="261">
        <f>GP14+GP12</f>
        <v>4932.0956111753521</v>
      </c>
      <c r="GQ16" s="261">
        <f>GQ14+GQ12</f>
        <v>5255.7296596433252</v>
      </c>
      <c r="GR16" s="261">
        <f>GR14+GR12</f>
        <v>7406.7056891802495</v>
      </c>
      <c r="GS16" s="524">
        <f>SUM(GO16:GR16)</f>
        <v>22170.530959998927</v>
      </c>
      <c r="GT16" s="261">
        <f>GT14+GT12</f>
        <v>8003.0765242066664</v>
      </c>
      <c r="GU16" s="261">
        <f>GU14+GU12</f>
        <v>8842.2282189918187</v>
      </c>
      <c r="GV16" s="261">
        <f>GV14+GV12</f>
        <v>10303.630741413259</v>
      </c>
      <c r="GW16" s="261">
        <f>GW14+GW12</f>
        <v>11473.397721487168</v>
      </c>
      <c r="GX16" s="524">
        <f>SUM(GT16:GW16)</f>
        <v>38622.333206098912</v>
      </c>
      <c r="GY16" s="261">
        <f>GY14+GY12</f>
        <v>11021.950027228679</v>
      </c>
      <c r="GZ16" s="261">
        <f>GZ14+GZ12</f>
        <v>11485.49149802106</v>
      </c>
      <c r="HA16" s="261">
        <f>HA14+HA12</f>
        <v>12278.846924834137</v>
      </c>
      <c r="HB16" s="261">
        <f>HB14+HB12</f>
        <v>13161.04975174346</v>
      </c>
      <c r="HC16" s="524">
        <f>SUM(GY16:HB16)</f>
        <v>47947.338201827341</v>
      </c>
      <c r="HD16" s="261">
        <f>HD14+HD12</f>
        <v>12938.041773940249</v>
      </c>
      <c r="HE16" s="261">
        <f>HE14+HE12</f>
        <v>13512.251633379112</v>
      </c>
      <c r="HF16" s="261">
        <f>HF14+HF12</f>
        <v>14546.069523710703</v>
      </c>
      <c r="HG16" s="261">
        <f>HG14+HG12</f>
        <v>15178.596723157341</v>
      </c>
      <c r="HH16" s="524">
        <f>SUM(HD16:HG16)</f>
        <v>56174.959654187405</v>
      </c>
      <c r="HI16" s="261">
        <f>HI14+HI12</f>
        <v>14492.8150062561</v>
      </c>
      <c r="HJ16" s="261">
        <f>HJ14+HJ12</f>
        <v>15130.211908184483</v>
      </c>
      <c r="HK16" s="261">
        <f>HK14+HK12</f>
        <v>16601.053381511949</v>
      </c>
      <c r="HL16" s="261">
        <f>HL14+HL12</f>
        <v>17345.891360878482</v>
      </c>
      <c r="HM16" s="524">
        <f>SUM(HI16:HL16)</f>
        <v>63569.97165683101</v>
      </c>
      <c r="HN16" s="524"/>
      <c r="HO16" s="524"/>
      <c r="HP16" s="453"/>
      <c r="HQ16" s="453"/>
      <c r="HR16" s="453"/>
      <c r="HS16" s="453"/>
      <c r="HT16" s="453"/>
      <c r="HU16" s="453"/>
      <c r="HV16" s="453"/>
      <c r="HW16" s="453"/>
      <c r="HX16" s="453"/>
      <c r="HY16" s="453"/>
      <c r="HZ16" s="453"/>
      <c r="IA16" s="453"/>
      <c r="IB16" s="453"/>
    </row>
    <row r="17" spans="1:236" s="509" customFormat="1" ht="15" customHeight="1">
      <c r="A17" s="517" t="s">
        <v>202</v>
      </c>
      <c r="L17" s="518"/>
      <c r="M17" s="518"/>
      <c r="N17" s="518"/>
      <c r="O17" s="518"/>
      <c r="P17" s="521"/>
      <c r="Q17" s="518"/>
      <c r="R17" s="518"/>
      <c r="S17" s="518"/>
      <c r="T17" s="518"/>
      <c r="U17" s="521"/>
      <c r="V17" s="518"/>
      <c r="W17" s="518"/>
      <c r="X17" s="518"/>
      <c r="Y17" s="518"/>
      <c r="Z17" s="521"/>
      <c r="AA17" s="518"/>
      <c r="AB17" s="518"/>
      <c r="AC17" s="518"/>
      <c r="AD17" s="518"/>
      <c r="AE17" s="521"/>
      <c r="AF17" s="518">
        <f t="shared" ref="AF17:CQ17" si="17">AF16/AF$9</f>
        <v>0.47635316726921972</v>
      </c>
      <c r="AG17" s="518">
        <f t="shared" si="17"/>
        <v>0.45694122593450864</v>
      </c>
      <c r="AH17" s="518">
        <f t="shared" si="17"/>
        <v>0.4780650697619942</v>
      </c>
      <c r="AI17" s="518">
        <f t="shared" si="17"/>
        <v>0.50447504136389587</v>
      </c>
      <c r="AJ17" s="521">
        <f t="shared" si="17"/>
        <v>0.47902298153226397</v>
      </c>
      <c r="AK17" s="518">
        <f t="shared" si="17"/>
        <v>0.44912489280424106</v>
      </c>
      <c r="AL17" s="518">
        <f t="shared" si="17"/>
        <v>0.44182322420714909</v>
      </c>
      <c r="AM17" s="518">
        <f t="shared" si="17"/>
        <v>0.46474405005210689</v>
      </c>
      <c r="AN17" s="518">
        <f t="shared" si="17"/>
        <v>0.48395540457253539</v>
      </c>
      <c r="AO17" s="521">
        <f t="shared" si="17"/>
        <v>0.46016998499526152</v>
      </c>
      <c r="AP17" s="518">
        <f t="shared" si="17"/>
        <v>0.4689144906595108</v>
      </c>
      <c r="AQ17" s="518">
        <f t="shared" si="17"/>
        <v>0.48060088084903879</v>
      </c>
      <c r="AR17" s="518">
        <f t="shared" si="17"/>
        <v>0.58325330081218185</v>
      </c>
      <c r="AS17" s="518">
        <f t="shared" si="17"/>
        <v>0.61177615259962004</v>
      </c>
      <c r="AT17" s="521">
        <f t="shared" si="17"/>
        <v>0.53457758988263693</v>
      </c>
      <c r="AU17" s="518">
        <f t="shared" si="17"/>
        <v>0.6775576429773692</v>
      </c>
      <c r="AV17" s="518">
        <f t="shared" si="17"/>
        <v>0.83453789138980872</v>
      </c>
      <c r="AW17" s="518">
        <f t="shared" si="17"/>
        <v>0.73915536857957109</v>
      </c>
      <c r="AX17" s="518">
        <f t="shared" si="17"/>
        <v>0.71371470893678002</v>
      </c>
      <c r="AY17" s="521">
        <f t="shared" si="17"/>
        <v>0.73774397484100263</v>
      </c>
      <c r="AZ17" s="518">
        <f t="shared" si="17"/>
        <v>0.63238520359638339</v>
      </c>
      <c r="BA17" s="518">
        <f t="shared" si="17"/>
        <v>0.62611910300204698</v>
      </c>
      <c r="BB17" s="518">
        <f t="shared" si="17"/>
        <v>0.71774793679312954</v>
      </c>
      <c r="BC17" s="518">
        <f t="shared" si="17"/>
        <v>0.69940685387926027</v>
      </c>
      <c r="BD17" s="521">
        <f t="shared" si="17"/>
        <v>0.66985857514190228</v>
      </c>
      <c r="BE17" s="518">
        <f t="shared" si="17"/>
        <v>0.78318628248554145</v>
      </c>
      <c r="BF17" s="518">
        <f t="shared" si="17"/>
        <v>0.74095316957180679</v>
      </c>
      <c r="BG17" s="518">
        <f t="shared" si="17"/>
        <v>0.61666183136106323</v>
      </c>
      <c r="BH17" s="518">
        <f t="shared" si="17"/>
        <v>0.61102279353971756</v>
      </c>
      <c r="BI17" s="521">
        <f t="shared" si="17"/>
        <v>0.67608484344495445</v>
      </c>
      <c r="BJ17" s="518">
        <f t="shared" si="17"/>
        <v>0.71316654871095775</v>
      </c>
      <c r="BK17" s="518">
        <f t="shared" si="17"/>
        <v>0.77017655589144174</v>
      </c>
      <c r="BL17" s="518">
        <f t="shared" si="17"/>
        <v>0.71598418585546175</v>
      </c>
      <c r="BM17" s="518">
        <f t="shared" si="17"/>
        <v>0.60032930391964578</v>
      </c>
      <c r="BN17" s="521">
        <f t="shared" si="17"/>
        <v>0.68744094703114911</v>
      </c>
      <c r="BO17" s="518">
        <f t="shared" si="17"/>
        <v>0.55470779622152899</v>
      </c>
      <c r="BP17" s="518">
        <f t="shared" si="17"/>
        <v>0.52336605900189426</v>
      </c>
      <c r="BQ17" s="518">
        <f t="shared" si="17"/>
        <v>0.5296179434071886</v>
      </c>
      <c r="BR17" s="518">
        <f t="shared" si="17"/>
        <v>0.5593249328608918</v>
      </c>
      <c r="BS17" s="521">
        <f t="shared" si="17"/>
        <v>0.54145903254972294</v>
      </c>
      <c r="BT17" s="518">
        <f t="shared" si="17"/>
        <v>0.60133064478816767</v>
      </c>
      <c r="BU17" s="518">
        <f t="shared" si="17"/>
        <v>0.64571424511602982</v>
      </c>
      <c r="BV17" s="518">
        <f t="shared" si="17"/>
        <v>0.76665099821118465</v>
      </c>
      <c r="BW17" s="518">
        <f t="shared" si="17"/>
        <v>0.67725631465542147</v>
      </c>
      <c r="BX17" s="521">
        <f t="shared" si="17"/>
        <v>0.66367144480355134</v>
      </c>
      <c r="BY17" s="518">
        <f t="shared" si="17"/>
        <v>0.65058371107438095</v>
      </c>
      <c r="BZ17" s="518">
        <f t="shared" si="17"/>
        <v>0.9300198734297408</v>
      </c>
      <c r="CA17" s="518">
        <f t="shared" si="17"/>
        <v>0.89307337075755522</v>
      </c>
      <c r="CB17" s="518">
        <f t="shared" si="17"/>
        <v>0.73804029544163274</v>
      </c>
      <c r="CC17" s="521">
        <f t="shared" si="17"/>
        <v>0.78073354049956467</v>
      </c>
      <c r="CD17" s="518">
        <f t="shared" si="17"/>
        <v>0.69496679751733603</v>
      </c>
      <c r="CE17" s="518">
        <f t="shared" si="17"/>
        <v>0.65877993556095893</v>
      </c>
      <c r="CF17" s="518">
        <f t="shared" si="17"/>
        <v>0.657272958892131</v>
      </c>
      <c r="CG17" s="518">
        <f t="shared" si="17"/>
        <v>0.6457469477676131</v>
      </c>
      <c r="CH17" s="521">
        <f t="shared" si="17"/>
        <v>0.6612543078363976</v>
      </c>
      <c r="CI17" s="518">
        <f t="shared" si="17"/>
        <v>0.62182099636615973</v>
      </c>
      <c r="CJ17" s="518">
        <f t="shared" si="17"/>
        <v>0.62057856918128096</v>
      </c>
      <c r="CK17" s="518">
        <f t="shared" si="17"/>
        <v>0.5954420436658252</v>
      </c>
      <c r="CL17" s="518">
        <f t="shared" si="17"/>
        <v>0.58767624748161351</v>
      </c>
      <c r="CM17" s="521">
        <f t="shared" si="17"/>
        <v>0.60634297956486483</v>
      </c>
      <c r="CN17" s="518">
        <f t="shared" si="17"/>
        <v>0.65826721711880054</v>
      </c>
      <c r="CO17" s="518">
        <f t="shared" si="17"/>
        <v>0.60793956432085261</v>
      </c>
      <c r="CP17" s="518">
        <f t="shared" si="17"/>
        <v>0.58857859603153484</v>
      </c>
      <c r="CQ17" s="518">
        <f t="shared" si="17"/>
        <v>0.53645263279289945</v>
      </c>
      <c r="CR17" s="521">
        <f>CR16/CR$9</f>
        <v>0.59098187163674798</v>
      </c>
      <c r="CS17" s="518">
        <f>CS16/CS$9</f>
        <v>0.4153711496684328</v>
      </c>
      <c r="CT17" s="518">
        <f>CT16/CT$9</f>
        <v>0.4324837816218296</v>
      </c>
      <c r="CU17" s="518">
        <f>CU16/CU$9</f>
        <v>0.48602990911569705</v>
      </c>
      <c r="CV17" s="518">
        <f>CV16/CV$9</f>
        <v>0.60349689791314154</v>
      </c>
      <c r="CW17" s="521">
        <f t="shared" ref="CW17:DQ17" si="18">CW16/CW$9</f>
        <v>0.4947053068365897</v>
      </c>
      <c r="CX17" s="518">
        <f t="shared" si="18"/>
        <v>0.69505271695052717</v>
      </c>
      <c r="CY17" s="518">
        <f t="shared" si="18"/>
        <v>0.64223512336719879</v>
      </c>
      <c r="CZ17" s="518">
        <f t="shared" si="18"/>
        <v>0.58884803921568629</v>
      </c>
      <c r="DA17" s="518">
        <f t="shared" si="18"/>
        <v>0.55649717514124297</v>
      </c>
      <c r="DB17" s="521">
        <f t="shared" si="18"/>
        <v>0.61333776816896723</v>
      </c>
      <c r="DC17" s="518">
        <f t="shared" si="18"/>
        <v>0.58272425249169435</v>
      </c>
      <c r="DD17" s="518">
        <f t="shared" si="18"/>
        <v>0.62713120830244629</v>
      </c>
      <c r="DE17" s="518">
        <f t="shared" si="18"/>
        <v>0.54856787048567868</v>
      </c>
      <c r="DF17" s="518">
        <f t="shared" si="18"/>
        <v>0.57056798623063687</v>
      </c>
      <c r="DG17" s="521">
        <f t="shared" si="18"/>
        <v>0.58110992529348982</v>
      </c>
      <c r="DH17" s="518">
        <f t="shared" si="18"/>
        <v>0.64995751911639765</v>
      </c>
      <c r="DI17" s="518">
        <f t="shared" si="18"/>
        <v>0.72719594594594594</v>
      </c>
      <c r="DJ17" s="518">
        <f t="shared" si="18"/>
        <v>0.6224928366762178</v>
      </c>
      <c r="DK17" s="518">
        <f t="shared" si="18"/>
        <v>0.5874848116646415</v>
      </c>
      <c r="DL17" s="521">
        <f t="shared" si="18"/>
        <v>0.6407551360355358</v>
      </c>
      <c r="DM17" s="518">
        <f t="shared" si="18"/>
        <v>0.57306226175349428</v>
      </c>
      <c r="DN17" s="518">
        <f t="shared" si="18"/>
        <v>0.55353901996370236</v>
      </c>
      <c r="DO17" s="518">
        <f t="shared" si="18"/>
        <v>0.54326328800988877</v>
      </c>
      <c r="DP17" s="518">
        <f t="shared" si="18"/>
        <v>0.54942389326864771</v>
      </c>
      <c r="DQ17" s="521">
        <f t="shared" si="18"/>
        <v>0.55466584539574992</v>
      </c>
      <c r="DR17" s="518">
        <f>DR16/DR$9</f>
        <v>0.5536267823930564</v>
      </c>
      <c r="DS17" s="518">
        <f>DS16/DS$9</f>
        <v>0.54256670902160098</v>
      </c>
      <c r="DT17" s="518">
        <f>DT16/DT$9</f>
        <v>0.55266272189349108</v>
      </c>
      <c r="DU17" s="518">
        <f>DU16/DU$9</f>
        <v>0.54287403903015963</v>
      </c>
      <c r="DV17" s="521">
        <f t="shared" ref="DV17:EU17" si="19">DV16/DV$9</f>
        <v>0.54795980511571252</v>
      </c>
      <c r="DW17" s="518">
        <f>DW16/DW$9</f>
        <v>0.5394321766561514</v>
      </c>
      <c r="DX17" s="518">
        <f>DX16/DX$9</f>
        <v>0.54493984430290165</v>
      </c>
      <c r="DY17" s="518">
        <f>DY16/DY$9</f>
        <v>0.69109535066981875</v>
      </c>
      <c r="DZ17" s="518">
        <f>DZ16/DZ$9</f>
        <v>0.60952380952380958</v>
      </c>
      <c r="EA17" s="521">
        <f t="shared" si="19"/>
        <v>0.59129472519365545</v>
      </c>
      <c r="EB17" s="518">
        <f t="shared" si="19"/>
        <v>0.59099264705882348</v>
      </c>
      <c r="EC17" s="518">
        <f t="shared" si="19"/>
        <v>0.60465116279069764</v>
      </c>
      <c r="ED17" s="518">
        <f t="shared" si="19"/>
        <v>0.64339493497604383</v>
      </c>
      <c r="EE17" s="518">
        <f t="shared" si="19"/>
        <v>0.65198237885462551</v>
      </c>
      <c r="EF17" s="521">
        <f t="shared" si="19"/>
        <v>0.62672202302321189</v>
      </c>
      <c r="EG17" s="518">
        <f t="shared" si="19"/>
        <v>0.65139584824624197</v>
      </c>
      <c r="EH17" s="518">
        <f t="shared" si="19"/>
        <v>0.65440666204024978</v>
      </c>
      <c r="EI17" s="518">
        <f>EI16/EI$9</f>
        <v>0.6543037088873338</v>
      </c>
      <c r="EJ17" s="518">
        <f>EJ16/EJ$9</f>
        <v>0.66263115415657792</v>
      </c>
      <c r="EK17" s="521">
        <f t="shared" si="19"/>
        <v>0.65546676353069377</v>
      </c>
      <c r="EL17" s="518">
        <f>EL16/EL$9</f>
        <v>0.68349514563106795</v>
      </c>
      <c r="EM17" s="518">
        <f>EM16/EM$9</f>
        <v>0.71868365180467086</v>
      </c>
      <c r="EN17" s="518">
        <f>EN16/EN$9</f>
        <v>0.77474081055607913</v>
      </c>
      <c r="EO17" s="518">
        <f t="shared" si="19"/>
        <v>0.70459290187891443</v>
      </c>
      <c r="EP17" s="521">
        <f t="shared" si="19"/>
        <v>0.72112252568278623</v>
      </c>
      <c r="EQ17" s="518">
        <f t="shared" si="19"/>
        <v>0.67668269230769229</v>
      </c>
      <c r="ER17" s="518">
        <f t="shared" si="19"/>
        <v>0.68938656280428434</v>
      </c>
      <c r="ES17" s="518">
        <f t="shared" si="19"/>
        <v>0.6947207345065034</v>
      </c>
      <c r="ET17" s="518">
        <f t="shared" si="19"/>
        <v>0.68264014466546108</v>
      </c>
      <c r="EU17" s="521">
        <f t="shared" si="19"/>
        <v>0.6867977528089888</v>
      </c>
      <c r="EV17" s="518">
        <f>EV16/EV$9</f>
        <v>0.66361788617886175</v>
      </c>
      <c r="EW17" s="518">
        <f>EW16/EW$9</f>
        <v>0.66939443535188214</v>
      </c>
      <c r="EX17" s="518">
        <f>EX16/EX$9</f>
        <v>0.65124771758977484</v>
      </c>
      <c r="EY17" s="518">
        <f>EY16/EY$9</f>
        <v>0.65202702702702697</v>
      </c>
      <c r="EZ17" s="521">
        <f>EZ16/EZ$9</f>
        <v>0.65790955151060238</v>
      </c>
      <c r="FA17" s="518">
        <f t="shared" ref="FA17:FJ17" si="20">FA16/FA$9</f>
        <v>0.63752276867030966</v>
      </c>
      <c r="FB17" s="518">
        <f t="shared" si="20"/>
        <v>0.62870159453302965</v>
      </c>
      <c r="FC17" s="518">
        <f t="shared" si="20"/>
        <v>0.60012099213551118</v>
      </c>
      <c r="FD17" s="518">
        <f t="shared" si="20"/>
        <v>0.62156448202959835</v>
      </c>
      <c r="FE17" s="521">
        <f t="shared" si="20"/>
        <v>0.62208494208494214</v>
      </c>
      <c r="FF17" s="518">
        <f t="shared" si="20"/>
        <v>0.59040880503144655</v>
      </c>
      <c r="FG17" s="518">
        <f t="shared" si="20"/>
        <v>0.59438275636838667</v>
      </c>
      <c r="FH17" s="518">
        <f t="shared" si="20"/>
        <v>0.56857301499167134</v>
      </c>
      <c r="FI17" s="518">
        <f t="shared" si="20"/>
        <v>0.55383168782322523</v>
      </c>
      <c r="FJ17" s="521">
        <f t="shared" si="20"/>
        <v>0.57391175159708807</v>
      </c>
      <c r="FK17" s="518">
        <f>FK16/FK$9</f>
        <v>0.54199328107502798</v>
      </c>
      <c r="FL17" s="518">
        <f>FL16/FL$9</f>
        <v>0.56107660455486541</v>
      </c>
      <c r="FM17" s="518">
        <f>FM16/FM$9</f>
        <v>0.56087111745805074</v>
      </c>
      <c r="FN17" s="518">
        <f>FN16/FN$9</f>
        <v>0.55271270036991371</v>
      </c>
      <c r="FO17" s="521">
        <f>FO16/FO$9</f>
        <v>0.55474751613233642</v>
      </c>
      <c r="FP17" s="518">
        <f t="shared" ref="FP17:HM17" si="21">FP16/FP$9</f>
        <v>0.53933236574746013</v>
      </c>
      <c r="FQ17" s="518">
        <f t="shared" si="21"/>
        <v>0.52467532467532463</v>
      </c>
      <c r="FR17" s="518">
        <f t="shared" si="21"/>
        <v>0.51634593090656156</v>
      </c>
      <c r="FS17" s="518">
        <f t="shared" si="21"/>
        <v>0.49730625777041026</v>
      </c>
      <c r="FT17" s="521">
        <f t="shared" si="21"/>
        <v>0.51752464403066811</v>
      </c>
      <c r="FU17" s="518">
        <f t="shared" si="21"/>
        <v>0.47409546458297946</v>
      </c>
      <c r="FV17" s="518">
        <f t="shared" si="21"/>
        <v>0.46106870229007635</v>
      </c>
      <c r="FW17" s="518">
        <f t="shared" si="21"/>
        <v>0.5026055705300988</v>
      </c>
      <c r="FX17" s="518">
        <f t="shared" si="21"/>
        <v>0.49098053223789961</v>
      </c>
      <c r="FY17" s="521">
        <f t="shared" si="21"/>
        <v>0.48120842337189101</v>
      </c>
      <c r="FZ17" s="518">
        <f t="shared" si="21"/>
        <v>0.50177470577246408</v>
      </c>
      <c r="GA17" s="518">
        <f t="shared" si="21"/>
        <v>0.50457174846053365</v>
      </c>
      <c r="GB17" s="518">
        <f t="shared" si="21"/>
        <v>0.49017241379310345</v>
      </c>
      <c r="GC17" s="518">
        <f t="shared" si="21"/>
        <v>0.49302853437094685</v>
      </c>
      <c r="GD17" s="521">
        <f t="shared" si="21"/>
        <v>0.49708994708994708</v>
      </c>
      <c r="GE17" s="518">
        <f t="shared" si="21"/>
        <v>0.47834825507034534</v>
      </c>
      <c r="GF17" s="518">
        <f t="shared" si="21"/>
        <v>0.46940874035989716</v>
      </c>
      <c r="GG17" s="518">
        <f t="shared" si="21"/>
        <v>0.46443760082123481</v>
      </c>
      <c r="GH17" s="518">
        <f t="shared" si="21"/>
        <v>0.46017236876469053</v>
      </c>
      <c r="GI17" s="521">
        <f t="shared" si="21"/>
        <v>0.46724840023269343</v>
      </c>
      <c r="GJ17" s="518">
        <f t="shared" si="21"/>
        <v>0.46396880881957514</v>
      </c>
      <c r="GK17" s="518">
        <f t="shared" si="21"/>
        <v>0.56798959011060512</v>
      </c>
      <c r="GL17" s="518">
        <f t="shared" si="21"/>
        <v>0.46084793424183429</v>
      </c>
      <c r="GM17" s="518">
        <f t="shared" si="21"/>
        <v>0.43067185978578382</v>
      </c>
      <c r="GN17" s="521">
        <f t="shared" si="21"/>
        <v>0.47634169577643698</v>
      </c>
      <c r="GO17" s="518">
        <f t="shared" si="21"/>
        <v>0.44630839754218277</v>
      </c>
      <c r="GP17" s="518">
        <f t="shared" si="21"/>
        <v>0.43948222966922862</v>
      </c>
      <c r="GQ17" s="518">
        <f t="shared" si="21"/>
        <v>0.43821045228567523</v>
      </c>
      <c r="GR17" s="518">
        <f t="shared" si="21"/>
        <v>0.45744193442552455</v>
      </c>
      <c r="GS17" s="521">
        <f t="shared" si="21"/>
        <v>0.44644007225370702</v>
      </c>
      <c r="GT17" s="518">
        <f t="shared" si="21"/>
        <v>0.45902794329445845</v>
      </c>
      <c r="GU17" s="518">
        <f t="shared" si="21"/>
        <v>0.46025657937798264</v>
      </c>
      <c r="GV17" s="518">
        <f t="shared" si="21"/>
        <v>0.4654729545054388</v>
      </c>
      <c r="GW17" s="518">
        <f t="shared" si="21"/>
        <v>0.46794844892866277</v>
      </c>
      <c r="GX17" s="521">
        <f t="shared" si="21"/>
        <v>0.46364959909144299</v>
      </c>
      <c r="GY17" s="518">
        <f t="shared" si="21"/>
        <v>0.46037068287094157</v>
      </c>
      <c r="GZ17" s="518">
        <f t="shared" si="21"/>
        <v>0.45881241939479528</v>
      </c>
      <c r="HA17" s="518">
        <f t="shared" si="21"/>
        <v>0.45693953660293818</v>
      </c>
      <c r="HB17" s="518">
        <f t="shared" si="21"/>
        <v>0.45774244631200811</v>
      </c>
      <c r="HC17" s="521">
        <f t="shared" si="21"/>
        <v>0.45839382078788388</v>
      </c>
      <c r="HD17" s="518">
        <f t="shared" si="21"/>
        <v>0.45917740126164519</v>
      </c>
      <c r="HE17" s="518">
        <f t="shared" si="21"/>
        <v>0.45994017466704107</v>
      </c>
      <c r="HF17" s="518">
        <f t="shared" si="21"/>
        <v>0.45863319960211291</v>
      </c>
      <c r="HG17" s="518">
        <f t="shared" si="21"/>
        <v>0.45837086285674861</v>
      </c>
      <c r="HH17" s="521">
        <f t="shared" si="21"/>
        <v>0.45900124520710522</v>
      </c>
      <c r="HI17" s="518">
        <f t="shared" si="21"/>
        <v>0.45699051409400637</v>
      </c>
      <c r="HJ17" s="518">
        <f t="shared" si="21"/>
        <v>0.45772924488265054</v>
      </c>
      <c r="HK17" s="518">
        <f t="shared" si="21"/>
        <v>0.45705782897314573</v>
      </c>
      <c r="HL17" s="518">
        <f t="shared" si="21"/>
        <v>0.45650435815463764</v>
      </c>
      <c r="HM17" s="521">
        <f t="shared" si="21"/>
        <v>0.45705084392150874</v>
      </c>
      <c r="HN17" s="521"/>
      <c r="HO17" s="531"/>
      <c r="HP17" s="453"/>
      <c r="HQ17" s="453"/>
      <c r="HR17" s="453"/>
      <c r="HS17" s="453"/>
      <c r="HT17" s="453"/>
      <c r="HU17" s="453"/>
      <c r="HV17" s="453"/>
      <c r="HW17" s="453"/>
      <c r="HX17" s="453"/>
      <c r="HY17" s="453"/>
      <c r="HZ17" s="453"/>
      <c r="IA17" s="453"/>
      <c r="IB17" s="453"/>
    </row>
    <row r="18" spans="1:236" s="257" customFormat="1" ht="15" customHeight="1">
      <c r="A18" s="236" t="s">
        <v>370</v>
      </c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8"/>
      <c r="M18" s="238"/>
      <c r="N18" s="238"/>
      <c r="O18" s="238"/>
      <c r="P18" s="239"/>
      <c r="Q18" s="238"/>
      <c r="R18" s="238"/>
      <c r="S18" s="238"/>
      <c r="T18" s="238"/>
      <c r="U18" s="239"/>
      <c r="V18" s="240"/>
      <c r="W18" s="240"/>
      <c r="X18" s="240"/>
      <c r="Y18" s="240"/>
      <c r="Z18" s="239"/>
      <c r="AA18" s="240"/>
      <c r="AB18" s="240"/>
      <c r="AC18" s="240"/>
      <c r="AD18" s="240"/>
      <c r="AE18" s="239"/>
      <c r="AF18" s="252">
        <f>AF9-AF16</f>
        <v>213.351</v>
      </c>
      <c r="AG18" s="252">
        <f>AG9-AG16</f>
        <v>222.16099999999997</v>
      </c>
      <c r="AH18" s="252">
        <f>AH9-AH16</f>
        <v>218.35199999999998</v>
      </c>
      <c r="AI18" s="252">
        <f>AI9-AI16</f>
        <v>204.852</v>
      </c>
      <c r="AJ18" s="253">
        <f>SUM(AF18:AI18)</f>
        <v>858.71599999999989</v>
      </c>
      <c r="AK18" s="252">
        <f>AK9-AK16</f>
        <v>282.64300000000003</v>
      </c>
      <c r="AL18" s="252">
        <f>AL9-AL16</f>
        <v>297.67400000000004</v>
      </c>
      <c r="AM18" s="252">
        <f>AM9-AM16</f>
        <v>290.70500000000004</v>
      </c>
      <c r="AN18" s="252">
        <f>AN9-AN16</f>
        <v>281.33100000000002</v>
      </c>
      <c r="AO18" s="253">
        <f>SUM(AK18:AN18)</f>
        <v>1152.3530000000001</v>
      </c>
      <c r="AP18" s="252">
        <f>AP9-AP16</f>
        <v>329.32400000000001</v>
      </c>
      <c r="AQ18" s="252">
        <f>AQ9-AQ16</f>
        <v>325.25500000000005</v>
      </c>
      <c r="AR18" s="252">
        <f>AR9-AR16</f>
        <v>246.041</v>
      </c>
      <c r="AS18" s="252">
        <f>AS9-AS16</f>
        <v>230.22799999999995</v>
      </c>
      <c r="AT18" s="253">
        <f>SUM(AP18:AS18)</f>
        <v>1130.848</v>
      </c>
      <c r="AU18" s="252">
        <f>AU9-AU16</f>
        <v>175.47699999999998</v>
      </c>
      <c r="AV18" s="252">
        <f>AV9-AV16</f>
        <v>75.298000000000002</v>
      </c>
      <c r="AW18" s="252">
        <f>AW9-AW16</f>
        <v>119.17000000000002</v>
      </c>
      <c r="AX18" s="252">
        <f>AX9-AX16</f>
        <v>142.24599999999998</v>
      </c>
      <c r="AY18" s="253">
        <f>SUM(AU18:AX18)</f>
        <v>512.19100000000003</v>
      </c>
      <c r="AZ18" s="252">
        <f>AZ9-AZ16</f>
        <v>202.923</v>
      </c>
      <c r="BA18" s="252">
        <f>BA9-BA16</f>
        <v>222.29499999999996</v>
      </c>
      <c r="BB18" s="252">
        <f>BB9-BB16</f>
        <v>168.404</v>
      </c>
      <c r="BC18" s="252">
        <f>BC9-BC16</f>
        <v>184.31500000000011</v>
      </c>
      <c r="BD18" s="253">
        <f>SUM(AZ18:BC18)</f>
        <v>777.93700000000013</v>
      </c>
      <c r="BE18" s="252">
        <f>BE9-BE16</f>
        <v>117.26499999999999</v>
      </c>
      <c r="BF18" s="252">
        <f>BF9-BF16</f>
        <v>136.39800000000002</v>
      </c>
      <c r="BG18" s="252">
        <f>BG9-BG16</f>
        <v>262.94200000000001</v>
      </c>
      <c r="BH18" s="252">
        <f>BH9-BH16</f>
        <v>306.83300000000003</v>
      </c>
      <c r="BI18" s="253">
        <f>SUM(BE18:BH18)</f>
        <v>823.4380000000001</v>
      </c>
      <c r="BJ18" s="252">
        <f>BJ9-BJ16</f>
        <v>181.16200000000003</v>
      </c>
      <c r="BK18" s="252">
        <f>BK9-BK16</f>
        <v>136.77000000000004</v>
      </c>
      <c r="BL18" s="252">
        <f>BL9-BL16</f>
        <v>188.07300000000009</v>
      </c>
      <c r="BM18" s="252">
        <f>BM9-BM16</f>
        <v>387.16499999999996</v>
      </c>
      <c r="BN18" s="253">
        <f>SUM(BJ18:BM18)</f>
        <v>893.17000000000007</v>
      </c>
      <c r="BO18" s="252">
        <f>BO9-BO16</f>
        <v>486.27199999999993</v>
      </c>
      <c r="BP18" s="252">
        <f>BP9-BP16</f>
        <v>557.86999999999989</v>
      </c>
      <c r="BQ18" s="252">
        <f>BQ9-BQ16</f>
        <v>567.53899999999999</v>
      </c>
      <c r="BR18" s="252">
        <f>BR9-BR16</f>
        <v>517.86900000000003</v>
      </c>
      <c r="BS18" s="253">
        <f>SUM(BO18:BR18)</f>
        <v>2129.5499999999997</v>
      </c>
      <c r="BT18" s="252">
        <f>BT9-BT16</f>
        <v>473.91700000000003</v>
      </c>
      <c r="BU18" s="252">
        <f>BU9-BU16</f>
        <v>349.06500000000005</v>
      </c>
      <c r="BV18" s="252">
        <f>BV9-BV16</f>
        <v>178.71500000000003</v>
      </c>
      <c r="BW18" s="252">
        <f>BW9-BW16</f>
        <v>307.21100000000001</v>
      </c>
      <c r="BX18" s="253">
        <f>SUM(BT18:BW18)</f>
        <v>1308.9080000000001</v>
      </c>
      <c r="BY18" s="252">
        <f>BY9-BY16</f>
        <v>315.19899999999996</v>
      </c>
      <c r="BZ18" s="252">
        <f>BZ9-BZ16</f>
        <v>42.009000000000015</v>
      </c>
      <c r="CA18" s="252">
        <f>CA9-CA16</f>
        <v>54.342999999999961</v>
      </c>
      <c r="CB18" s="252">
        <f>CB9-CB16</f>
        <v>179.81700000000001</v>
      </c>
      <c r="CC18" s="253">
        <f>SUM(BY18:CB18)</f>
        <v>591.36799999999994</v>
      </c>
      <c r="CD18" s="252">
        <f>CD9-CD16</f>
        <v>217.96299999999997</v>
      </c>
      <c r="CE18" s="252">
        <f>CE9-CE16</f>
        <v>220.17600000000004</v>
      </c>
      <c r="CF18" s="252">
        <f>CF9-CF16</f>
        <v>326.87900000000002</v>
      </c>
      <c r="CG18" s="252">
        <f>CG9-CG16</f>
        <v>427.08500000000004</v>
      </c>
      <c r="CH18" s="253">
        <f>SUM(CD18:CG18)</f>
        <v>1192.1030000000001</v>
      </c>
      <c r="CI18" s="252">
        <f>CI9-CI16</f>
        <v>467.59299999999996</v>
      </c>
      <c r="CJ18" s="252">
        <f>CJ9-CJ16</f>
        <v>478.76800000000003</v>
      </c>
      <c r="CK18" s="252">
        <f>CK9-CK16</f>
        <v>501.43299999999999</v>
      </c>
      <c r="CL18" s="252">
        <f>CL9-CL16</f>
        <v>521.05600000000004</v>
      </c>
      <c r="CM18" s="253">
        <f>SUM(CI18:CL18)</f>
        <v>1968.85</v>
      </c>
      <c r="CN18" s="252">
        <f>CN9-CN16</f>
        <v>419.17899999999997</v>
      </c>
      <c r="CO18" s="252">
        <f>CO9-CO16</f>
        <v>493.96399999999994</v>
      </c>
      <c r="CP18" s="252">
        <f>CP9-CP16</f>
        <v>626.49400000000014</v>
      </c>
      <c r="CQ18" s="252">
        <f>CQ9-CQ16</f>
        <v>852.12799999999993</v>
      </c>
      <c r="CR18" s="253">
        <f>SUM(CN18:CQ18)</f>
        <v>2391.7650000000003</v>
      </c>
      <c r="CS18" s="252">
        <f>CS9-CS16</f>
        <v>778.81799999999987</v>
      </c>
      <c r="CT18" s="252">
        <f>CT9-CT16</f>
        <v>690.30799999999999</v>
      </c>
      <c r="CU18" s="252">
        <f>CU9-CU16</f>
        <v>682.35800000000006</v>
      </c>
      <c r="CV18" s="252">
        <f>CV9-CV16</f>
        <v>703</v>
      </c>
      <c r="CW18" s="253">
        <f>SUM(CS18:CV18)</f>
        <v>2854.4839999999999</v>
      </c>
      <c r="CX18" s="252">
        <f>CX9-CX16</f>
        <v>376</v>
      </c>
      <c r="CY18" s="252">
        <f>CY9-CY16</f>
        <v>493</v>
      </c>
      <c r="CZ18" s="252">
        <f>CZ9-CZ16</f>
        <v>671</v>
      </c>
      <c r="DA18" s="252">
        <f>DA9-DA16</f>
        <v>785</v>
      </c>
      <c r="DB18" s="253">
        <f>SUM(CX18:DA18)</f>
        <v>2325</v>
      </c>
      <c r="DC18" s="252">
        <f>DC9-DC16</f>
        <v>628</v>
      </c>
      <c r="DD18" s="252">
        <f>DD9-DD16</f>
        <v>503</v>
      </c>
      <c r="DE18" s="252">
        <f>DE9-DE16</f>
        <v>725</v>
      </c>
      <c r="DF18" s="252">
        <f>DF9-DF16</f>
        <v>499</v>
      </c>
      <c r="DG18" s="253">
        <f>SUM(DC18:DF18)</f>
        <v>2355</v>
      </c>
      <c r="DH18" s="252">
        <f>DH9-DH16</f>
        <v>412</v>
      </c>
      <c r="DI18" s="252">
        <f>DI9-DI16</f>
        <v>323</v>
      </c>
      <c r="DJ18" s="252">
        <f>DJ9-DJ16</f>
        <v>527</v>
      </c>
      <c r="DK18" s="252">
        <f>DK9-DK16</f>
        <v>679</v>
      </c>
      <c r="DL18" s="253">
        <f>SUM(DH18:DK18)</f>
        <v>1941</v>
      </c>
      <c r="DM18" s="252">
        <f>DM9-DM16</f>
        <v>672</v>
      </c>
      <c r="DN18" s="252">
        <f>DN9-DN16</f>
        <v>738</v>
      </c>
      <c r="DO18" s="252">
        <f>DO9-DO16</f>
        <v>739</v>
      </c>
      <c r="DP18" s="252">
        <f>DP9-DP16</f>
        <v>743</v>
      </c>
      <c r="DQ18" s="253">
        <f>SUM(DM18:DP18)</f>
        <v>2892</v>
      </c>
      <c r="DR18" s="252">
        <f>DR9-DR16</f>
        <v>720</v>
      </c>
      <c r="DS18" s="252">
        <f>DS9-DS16</f>
        <v>720</v>
      </c>
      <c r="DT18" s="252">
        <f>DT9-DT16</f>
        <v>756</v>
      </c>
      <c r="DU18" s="252">
        <f>DU9-DU16</f>
        <v>773</v>
      </c>
      <c r="DV18" s="253">
        <f>SUM(DR18:DU18)</f>
        <v>2969</v>
      </c>
      <c r="DW18" s="252">
        <f>DW9-DW16</f>
        <v>730</v>
      </c>
      <c r="DX18" s="252">
        <f>DX9-DX16</f>
        <v>643</v>
      </c>
      <c r="DY18" s="252">
        <f>DY9-DY16</f>
        <v>392</v>
      </c>
      <c r="DZ18" s="252">
        <f>DZ9-DZ16</f>
        <v>451</v>
      </c>
      <c r="EA18" s="253">
        <f>SUM(DW18:DZ18)</f>
        <v>2216</v>
      </c>
      <c r="EB18" s="252">
        <f>EB9-EB16</f>
        <v>445</v>
      </c>
      <c r="EC18" s="252">
        <f>EC9-EC16</f>
        <v>459</v>
      </c>
      <c r="ED18" s="252">
        <f>ED9-ED16</f>
        <v>521</v>
      </c>
      <c r="EE18" s="252">
        <f>EE9-EE16</f>
        <v>553</v>
      </c>
      <c r="EF18" s="253">
        <f>SUM(EB18:EE18)</f>
        <v>1978</v>
      </c>
      <c r="EG18" s="252">
        <f>EG9-EG16</f>
        <v>487</v>
      </c>
      <c r="EH18" s="252">
        <f>EH9-EH16</f>
        <v>498</v>
      </c>
      <c r="EI18" s="252">
        <f>EI9-EI16</f>
        <v>494</v>
      </c>
      <c r="EJ18" s="252">
        <f>EJ9-EJ16</f>
        <v>418</v>
      </c>
      <c r="EK18" s="253">
        <f>SUM(EG18:EJ18)</f>
        <v>1897</v>
      </c>
      <c r="EL18" s="252">
        <f>EL9-EL16</f>
        <v>326</v>
      </c>
      <c r="EM18" s="252">
        <f>EM9-EM16</f>
        <v>265</v>
      </c>
      <c r="EN18" s="252">
        <f>EN9-EN16</f>
        <v>239</v>
      </c>
      <c r="EO18" s="252">
        <f>EO9-EO16</f>
        <v>283</v>
      </c>
      <c r="EP18" s="253">
        <f>SUM(EL18:EO18)</f>
        <v>1113</v>
      </c>
      <c r="EQ18" s="252">
        <f>EQ9-EQ16</f>
        <v>269</v>
      </c>
      <c r="ER18" s="252">
        <f>ER9-ER16</f>
        <v>319</v>
      </c>
      <c r="ES18" s="252">
        <f>ES9-ES16</f>
        <v>399</v>
      </c>
      <c r="ET18" s="252">
        <f>ET9-ET16</f>
        <v>351</v>
      </c>
      <c r="EU18" s="253">
        <f>SUM(EQ18:ET18)</f>
        <v>1338</v>
      </c>
      <c r="EV18" s="252">
        <f>EV9-EV16</f>
        <v>331</v>
      </c>
      <c r="EW18" s="252">
        <f>EW9-EW16</f>
        <v>404</v>
      </c>
      <c r="EX18" s="252">
        <f>EX9-EX16</f>
        <v>573</v>
      </c>
      <c r="EY18" s="252">
        <f>EY9-EY16</f>
        <v>515</v>
      </c>
      <c r="EZ18" s="253">
        <f>SUM(EV18:EY18)</f>
        <v>1823</v>
      </c>
      <c r="FA18" s="252">
        <f>FA9-FA16</f>
        <v>597</v>
      </c>
      <c r="FB18" s="252">
        <f>FB9-FB16</f>
        <v>652</v>
      </c>
      <c r="FC18" s="252">
        <f>FC9-FC16</f>
        <v>661</v>
      </c>
      <c r="FD18" s="252">
        <f>FD9-FD16</f>
        <v>537</v>
      </c>
      <c r="FE18" s="253">
        <f>SUM(FA18:FD18)</f>
        <v>2447</v>
      </c>
      <c r="FF18" s="252">
        <f>FF9-FF16</f>
        <v>521</v>
      </c>
      <c r="FG18" s="252">
        <f>FG9-FG16</f>
        <v>621</v>
      </c>
      <c r="FH18" s="252">
        <f>FH9-FH16</f>
        <v>777</v>
      </c>
      <c r="FI18" s="252">
        <f>FI9-FI16</f>
        <v>949</v>
      </c>
      <c r="FJ18" s="253">
        <f>SUM(FF18:FI18)</f>
        <v>2868</v>
      </c>
      <c r="FK18" s="252">
        <f>FK9-FK16</f>
        <v>818</v>
      </c>
      <c r="FL18" s="252">
        <f>FL9-FL16</f>
        <v>848</v>
      </c>
      <c r="FM18" s="252">
        <f>FM9-FM16</f>
        <v>1230</v>
      </c>
      <c r="FN18" s="252">
        <f>FN9-FN16</f>
        <v>1451</v>
      </c>
      <c r="FO18" s="253">
        <f>SUM(FK18:FN18)</f>
        <v>4347</v>
      </c>
      <c r="FP18" s="252">
        <f>FP9-FP16</f>
        <v>1587</v>
      </c>
      <c r="FQ18" s="252">
        <f>FQ9-FQ16</f>
        <v>1830</v>
      </c>
      <c r="FR18" s="252">
        <f>FR9-FR16</f>
        <v>2086</v>
      </c>
      <c r="FS18" s="252">
        <f>FS9-FS16</f>
        <v>2426</v>
      </c>
      <c r="FT18" s="253">
        <f>SUM(FP18:FS18)</f>
        <v>7929</v>
      </c>
      <c r="FU18" s="252">
        <f>FU9-FU16</f>
        <v>3096</v>
      </c>
      <c r="FV18" s="252">
        <f>FV9-FV16</f>
        <v>3530</v>
      </c>
      <c r="FW18" s="252">
        <f>FW9-FW16</f>
        <v>2768</v>
      </c>
      <c r="FX18" s="252">
        <f>FX9-FX16</f>
        <v>2850</v>
      </c>
      <c r="FY18" s="253">
        <f>SUM(FU18:FX18)</f>
        <v>12244</v>
      </c>
      <c r="FZ18" s="252">
        <f>FZ9-FZ16</f>
        <v>2667</v>
      </c>
      <c r="GA18" s="252">
        <f>GA9-GA16</f>
        <v>2655</v>
      </c>
      <c r="GB18" s="252">
        <f>GB9-GB16</f>
        <v>2957</v>
      </c>
      <c r="GC18" s="252">
        <f>GC9-GC16</f>
        <v>3127</v>
      </c>
      <c r="GD18" s="253">
        <f>SUM(FZ18:GC18)</f>
        <v>11406</v>
      </c>
      <c r="GE18" s="252">
        <f>GE9-GE16</f>
        <v>2855</v>
      </c>
      <c r="GF18" s="252">
        <f>GF9-GF16</f>
        <v>3096</v>
      </c>
      <c r="GG18" s="252">
        <f>GG9-GG16</f>
        <v>3652</v>
      </c>
      <c r="GH18" s="252">
        <f>GH9-GH16</f>
        <v>4134</v>
      </c>
      <c r="GI18" s="253">
        <f>SUM(GE18:GH18)</f>
        <v>13737</v>
      </c>
      <c r="GJ18" s="252">
        <f>GJ9-GJ16</f>
        <v>3987</v>
      </c>
      <c r="GK18" s="252">
        <f>GK9-GK16</f>
        <v>3320</v>
      </c>
      <c r="GL18" s="252">
        <f>GL9-GL16</f>
        <v>4985</v>
      </c>
      <c r="GM18" s="252">
        <f>GM9-GM16</f>
        <v>5847</v>
      </c>
      <c r="GN18" s="253">
        <f>SUM(GJ18:GM18)</f>
        <v>18139</v>
      </c>
      <c r="GO18" s="252">
        <f>GO9-GO16</f>
        <v>5677</v>
      </c>
      <c r="GP18" s="254">
        <f>Worksheet!EE26</f>
        <v>6290.4186981914654</v>
      </c>
      <c r="GQ18" s="254">
        <f>Worksheet!EF26</f>
        <v>6737.8903743604396</v>
      </c>
      <c r="GR18" s="254">
        <f>Worksheet!EG26</f>
        <v>8784.869966169128</v>
      </c>
      <c r="GS18" s="253">
        <f>SUM(GO18:GR18)</f>
        <v>27490.179038721031</v>
      </c>
      <c r="GT18" s="254">
        <f>Worksheet!EH26</f>
        <v>9431.7586336887907</v>
      </c>
      <c r="GU18" s="254">
        <f>Worksheet!EI26</f>
        <v>10369.291214237615</v>
      </c>
      <c r="GV18" s="254">
        <f>Worksheet!EJ26</f>
        <v>11832.20044207791</v>
      </c>
      <c r="GW18" s="254">
        <f>Worksheet!EK26</f>
        <v>13045.110134997363</v>
      </c>
      <c r="GX18" s="253">
        <f>SUM(GT18:GW18)</f>
        <v>44678.36042500168</v>
      </c>
      <c r="GY18" s="254">
        <f>Worksheet!EL26</f>
        <v>12919.518092535425</v>
      </c>
      <c r="GZ18" s="254">
        <f>Worksheet!EM26</f>
        <v>13547.596126701919</v>
      </c>
      <c r="HA18" s="254">
        <f>Worksheet!EN26</f>
        <v>14593.082381436319</v>
      </c>
      <c r="HB18" s="254">
        <f>Worksheet!EO26</f>
        <v>15591.035307837352</v>
      </c>
      <c r="HC18" s="253">
        <f>SUM(GY18:HB18)</f>
        <v>56651.231908511014</v>
      </c>
      <c r="HD18" s="254">
        <f>Worksheet!EP26</f>
        <v>15238.522966378898</v>
      </c>
      <c r="HE18" s="254">
        <f>Worksheet!EQ26</f>
        <v>15866.02923360728</v>
      </c>
      <c r="HF18" s="254">
        <f>Worksheet!ER26</f>
        <v>17170.059043366738</v>
      </c>
      <c r="HG18" s="254">
        <f>Worksheet!ES26</f>
        <v>17935.630103038198</v>
      </c>
      <c r="HH18" s="253">
        <f>SUM(HD18:HG18)</f>
        <v>66210.241346391122</v>
      </c>
      <c r="HI18" s="254">
        <f>Worksheet!ET26</f>
        <v>17220.786390894169</v>
      </c>
      <c r="HJ18" s="254">
        <f>Worksheet!EU26</f>
        <v>17924.726305482556</v>
      </c>
      <c r="HK18" s="254">
        <f>Worksheet!EV26</f>
        <v>19720.506668796996</v>
      </c>
      <c r="HL18" s="254">
        <f>Worksheet!EW26</f>
        <v>20651.31732075843</v>
      </c>
      <c r="HM18" s="253">
        <f>SUM(HI18:HL18)</f>
        <v>75517.336685932154</v>
      </c>
      <c r="HN18" s="255"/>
      <c r="HO18" s="256"/>
      <c r="HP18"/>
      <c r="HQ18"/>
      <c r="HR18"/>
      <c r="HS18"/>
      <c r="HT18"/>
      <c r="HU18"/>
      <c r="HV18"/>
      <c r="HW18"/>
      <c r="HX18"/>
      <c r="HY18"/>
      <c r="HZ18"/>
      <c r="IA18"/>
      <c r="IB18"/>
    </row>
    <row r="19" spans="1:236" s="509" customFormat="1" ht="15" customHeight="1">
      <c r="A19" s="517" t="s">
        <v>202</v>
      </c>
      <c r="L19" s="518"/>
      <c r="M19" s="518"/>
      <c r="N19" s="518"/>
      <c r="O19" s="518"/>
      <c r="P19" s="521"/>
      <c r="Q19" s="518"/>
      <c r="R19" s="518"/>
      <c r="S19" s="518"/>
      <c r="T19" s="518"/>
      <c r="U19" s="521"/>
      <c r="V19" s="518"/>
      <c r="W19" s="518"/>
      <c r="X19" s="518"/>
      <c r="Y19" s="518"/>
      <c r="Z19" s="521"/>
      <c r="AA19" s="518"/>
      <c r="AB19" s="518"/>
      <c r="AC19" s="518"/>
      <c r="AD19" s="518"/>
      <c r="AE19" s="521"/>
      <c r="AF19" s="518">
        <f t="shared" ref="AF19:CQ19" si="22">AF18/AF$9</f>
        <v>0.52364683273078028</v>
      </c>
      <c r="AG19" s="518">
        <f t="shared" si="22"/>
        <v>0.5430587740654913</v>
      </c>
      <c r="AH19" s="518">
        <f t="shared" si="22"/>
        <v>0.52193493023800586</v>
      </c>
      <c r="AI19" s="518">
        <f t="shared" si="22"/>
        <v>0.49552495863610418</v>
      </c>
      <c r="AJ19" s="521">
        <f t="shared" si="22"/>
        <v>0.52097701846773603</v>
      </c>
      <c r="AK19" s="518">
        <f t="shared" si="22"/>
        <v>0.55087510719575894</v>
      </c>
      <c r="AL19" s="518">
        <f t="shared" si="22"/>
        <v>0.55817677579285097</v>
      </c>
      <c r="AM19" s="518">
        <f t="shared" si="22"/>
        <v>0.53525594994789316</v>
      </c>
      <c r="AN19" s="518">
        <f t="shared" si="22"/>
        <v>0.51604459542746461</v>
      </c>
      <c r="AO19" s="521">
        <f t="shared" si="22"/>
        <v>0.53983001500473848</v>
      </c>
      <c r="AP19" s="518">
        <f t="shared" si="22"/>
        <v>0.53108550934048926</v>
      </c>
      <c r="AQ19" s="518">
        <f t="shared" si="22"/>
        <v>0.51939911915096126</v>
      </c>
      <c r="AR19" s="518">
        <f t="shared" si="22"/>
        <v>0.41674669918781809</v>
      </c>
      <c r="AS19" s="518">
        <f t="shared" si="22"/>
        <v>0.38822384740038002</v>
      </c>
      <c r="AT19" s="521">
        <f t="shared" si="22"/>
        <v>0.46542241011736307</v>
      </c>
      <c r="AU19" s="518">
        <f t="shared" si="22"/>
        <v>0.32244235702263085</v>
      </c>
      <c r="AV19" s="518">
        <f t="shared" si="22"/>
        <v>0.16546210861019126</v>
      </c>
      <c r="AW19" s="518">
        <f t="shared" si="22"/>
        <v>0.26084463142042896</v>
      </c>
      <c r="AX19" s="518">
        <f t="shared" si="22"/>
        <v>0.28628529106321998</v>
      </c>
      <c r="AY19" s="521">
        <f t="shared" si="22"/>
        <v>0.26225602515899743</v>
      </c>
      <c r="AZ19" s="518">
        <f t="shared" si="22"/>
        <v>0.36761479640361666</v>
      </c>
      <c r="BA19" s="518">
        <f t="shared" si="22"/>
        <v>0.37388089699795302</v>
      </c>
      <c r="BB19" s="518">
        <f t="shared" si="22"/>
        <v>0.28225206320687041</v>
      </c>
      <c r="BC19" s="518">
        <f t="shared" si="22"/>
        <v>0.30059314612073973</v>
      </c>
      <c r="BD19" s="521">
        <f t="shared" si="22"/>
        <v>0.33014142485809778</v>
      </c>
      <c r="BE19" s="518">
        <f t="shared" si="22"/>
        <v>0.21681371751445855</v>
      </c>
      <c r="BF19" s="518">
        <f t="shared" si="22"/>
        <v>0.25904683042819326</v>
      </c>
      <c r="BG19" s="518">
        <f t="shared" si="22"/>
        <v>0.38333816863893677</v>
      </c>
      <c r="BH19" s="518">
        <f t="shared" si="22"/>
        <v>0.38897720646028244</v>
      </c>
      <c r="BI19" s="521">
        <f t="shared" si="22"/>
        <v>0.32391515655504555</v>
      </c>
      <c r="BJ19" s="518">
        <f t="shared" si="22"/>
        <v>0.28683345128904225</v>
      </c>
      <c r="BK19" s="518">
        <f t="shared" si="22"/>
        <v>0.22982344410855832</v>
      </c>
      <c r="BL19" s="518">
        <f t="shared" si="22"/>
        <v>0.2840158141445383</v>
      </c>
      <c r="BM19" s="518">
        <f t="shared" si="22"/>
        <v>0.39967069608035422</v>
      </c>
      <c r="BN19" s="521">
        <f t="shared" si="22"/>
        <v>0.31255905296885084</v>
      </c>
      <c r="BO19" s="518">
        <f t="shared" si="22"/>
        <v>0.44529220377847101</v>
      </c>
      <c r="BP19" s="518">
        <f t="shared" si="22"/>
        <v>0.4766339409981058</v>
      </c>
      <c r="BQ19" s="518">
        <f t="shared" si="22"/>
        <v>0.4703820565928114</v>
      </c>
      <c r="BR19" s="518">
        <f t="shared" si="22"/>
        <v>0.44067506713910815</v>
      </c>
      <c r="BS19" s="521">
        <f t="shared" si="22"/>
        <v>0.45854096745027706</v>
      </c>
      <c r="BT19" s="518">
        <f t="shared" si="22"/>
        <v>0.39866935521183228</v>
      </c>
      <c r="BU19" s="518">
        <f t="shared" si="22"/>
        <v>0.35428575488397024</v>
      </c>
      <c r="BV19" s="518">
        <f t="shared" si="22"/>
        <v>0.23334900178881537</v>
      </c>
      <c r="BW19" s="518">
        <f t="shared" si="22"/>
        <v>0.32274368534457853</v>
      </c>
      <c r="BX19" s="521">
        <f t="shared" si="22"/>
        <v>0.33632855519644872</v>
      </c>
      <c r="BY19" s="518">
        <f t="shared" si="22"/>
        <v>0.34941628892561905</v>
      </c>
      <c r="BZ19" s="518">
        <f t="shared" si="22"/>
        <v>6.9980126570259177E-2</v>
      </c>
      <c r="CA19" s="518">
        <f t="shared" si="22"/>
        <v>0.10692662924244474</v>
      </c>
      <c r="CB19" s="518">
        <f t="shared" si="22"/>
        <v>0.26195970455836726</v>
      </c>
      <c r="CC19" s="521">
        <f t="shared" si="22"/>
        <v>0.2192664595004355</v>
      </c>
      <c r="CD19" s="518">
        <f t="shared" si="22"/>
        <v>0.30503320248266402</v>
      </c>
      <c r="CE19" s="518">
        <f t="shared" si="22"/>
        <v>0.34122006443904102</v>
      </c>
      <c r="CF19" s="518">
        <f t="shared" si="22"/>
        <v>0.342727041107869</v>
      </c>
      <c r="CG19" s="518">
        <f t="shared" si="22"/>
        <v>0.3542530522323869</v>
      </c>
      <c r="CH19" s="521">
        <f t="shared" si="22"/>
        <v>0.33874569216360234</v>
      </c>
      <c r="CI19" s="518">
        <f t="shared" si="22"/>
        <v>0.37817900363384022</v>
      </c>
      <c r="CJ19" s="518">
        <f t="shared" si="22"/>
        <v>0.3794214308187191</v>
      </c>
      <c r="CK19" s="518">
        <f t="shared" si="22"/>
        <v>0.4045579563341748</v>
      </c>
      <c r="CL19" s="518">
        <f t="shared" si="22"/>
        <v>0.41232375251838643</v>
      </c>
      <c r="CM19" s="521">
        <f t="shared" si="22"/>
        <v>0.39365702043513506</v>
      </c>
      <c r="CN19" s="518">
        <f t="shared" si="22"/>
        <v>0.34173278288119951</v>
      </c>
      <c r="CO19" s="518">
        <f t="shared" si="22"/>
        <v>0.39206043567914733</v>
      </c>
      <c r="CP19" s="518">
        <f t="shared" si="22"/>
        <v>0.4114214039684651</v>
      </c>
      <c r="CQ19" s="518">
        <f t="shared" si="22"/>
        <v>0.46354736720710049</v>
      </c>
      <c r="CR19" s="521">
        <f t="shared" ref="CR19:CX19" si="23">CR18/CR$9</f>
        <v>0.40901812836325202</v>
      </c>
      <c r="CS19" s="518">
        <f t="shared" si="23"/>
        <v>0.5846288503315672</v>
      </c>
      <c r="CT19" s="518">
        <f t="shared" si="23"/>
        <v>0.56751621837817046</v>
      </c>
      <c r="CU19" s="518">
        <f t="shared" si="23"/>
        <v>0.5139700908843029</v>
      </c>
      <c r="CV19" s="518">
        <f t="shared" si="23"/>
        <v>0.39650310208685841</v>
      </c>
      <c r="CW19" s="521">
        <f t="shared" si="23"/>
        <v>0.50529469316341036</v>
      </c>
      <c r="CX19" s="518">
        <f t="shared" si="23"/>
        <v>0.30494728304947283</v>
      </c>
      <c r="CY19" s="518">
        <f>CY$18/CY$9</f>
        <v>0.35776487663280115</v>
      </c>
      <c r="CZ19" s="518">
        <f>CZ$18/CZ$9</f>
        <v>0.41115196078431371</v>
      </c>
      <c r="DA19" s="518">
        <f>DA$18/DA$9</f>
        <v>0.44350282485875708</v>
      </c>
      <c r="DB19" s="521">
        <f>DB18/DB$9</f>
        <v>0.38666223183103277</v>
      </c>
      <c r="DC19" s="518">
        <f>DC$18/DC$9</f>
        <v>0.41727574750830565</v>
      </c>
      <c r="DD19" s="518">
        <f>DD$18/DD$9</f>
        <v>0.37286879169755377</v>
      </c>
      <c r="DE19" s="518">
        <f>DE$18/DE$9</f>
        <v>0.45143212951432127</v>
      </c>
      <c r="DF19" s="518">
        <f>DF$18/DF$9</f>
        <v>0.42943201376936319</v>
      </c>
      <c r="DG19" s="521">
        <f>DG18/DG$9</f>
        <v>0.41889007470651013</v>
      </c>
      <c r="DH19" s="518">
        <f>DH$18/DH$9</f>
        <v>0.3500424808836024</v>
      </c>
      <c r="DI19" s="518">
        <f>DI$18/DI$9</f>
        <v>0.27280405405405406</v>
      </c>
      <c r="DJ19" s="518">
        <f>DJ$18/DJ$9</f>
        <v>0.37750716332378226</v>
      </c>
      <c r="DK19" s="518">
        <f>DK$18/DK$9</f>
        <v>0.41251518833535844</v>
      </c>
      <c r="DL19" s="521">
        <f>DL18/DL$9</f>
        <v>0.3592448639644642</v>
      </c>
      <c r="DM19" s="518">
        <f>DM$18/DM$9</f>
        <v>0.42693773824650572</v>
      </c>
      <c r="DN19" s="518">
        <f>DN$18/DN$9</f>
        <v>0.44646098003629764</v>
      </c>
      <c r="DO19" s="518">
        <f>DO$18/DO$9</f>
        <v>0.45673671199011123</v>
      </c>
      <c r="DP19" s="518">
        <f>DP$18/DP$9</f>
        <v>0.45057610673135234</v>
      </c>
      <c r="DQ19" s="521">
        <f>DQ18/DQ$9</f>
        <v>0.44533415460425008</v>
      </c>
      <c r="DR19" s="518">
        <f>DR$18/DR$9</f>
        <v>0.4463732176069436</v>
      </c>
      <c r="DS19" s="518">
        <f>DS$18/DS$9</f>
        <v>0.45743329097839897</v>
      </c>
      <c r="DT19" s="518">
        <f>DT$18/DT$9</f>
        <v>0.44733727810650886</v>
      </c>
      <c r="DU19" s="518">
        <f>DU$18/DU$9</f>
        <v>0.45712596096984032</v>
      </c>
      <c r="DV19" s="521">
        <f>DV18/DV$9</f>
        <v>0.45204019488428743</v>
      </c>
      <c r="DW19" s="518">
        <f>DW$18/DW$9</f>
        <v>0.4605678233438486</v>
      </c>
      <c r="DX19" s="518">
        <f>DX$18/DX$9</f>
        <v>0.45506015569709835</v>
      </c>
      <c r="DY19" s="518">
        <f>DY$18/DY$9</f>
        <v>0.30890464933018125</v>
      </c>
      <c r="DZ19" s="518">
        <f>DZ$18/DZ$9</f>
        <v>0.39047619047619048</v>
      </c>
      <c r="EA19" s="521">
        <f>EA18/EA$9</f>
        <v>0.4087052748063445</v>
      </c>
      <c r="EB19" s="518">
        <f>EB$18/EB$9</f>
        <v>0.40900735294117646</v>
      </c>
      <c r="EC19" s="518">
        <f>EC$18/EC$9</f>
        <v>0.39534883720930231</v>
      </c>
      <c r="ED19" s="518">
        <f>ED$18/ED$9</f>
        <v>0.35660506502395617</v>
      </c>
      <c r="EE19" s="518">
        <f>EE$18/EE$9</f>
        <v>0.34801762114537443</v>
      </c>
      <c r="EF19" s="521">
        <f>EF18/EF$9</f>
        <v>0.37327797697678805</v>
      </c>
      <c r="EG19" s="518">
        <f>EG$18/EG$9</f>
        <v>0.34860415175375803</v>
      </c>
      <c r="EH19" s="518">
        <f>EH$18/EH$9</f>
        <v>0.34559333795975017</v>
      </c>
      <c r="EI19" s="518">
        <f>EI$18/EI$9</f>
        <v>0.3456962911126662</v>
      </c>
      <c r="EJ19" s="518">
        <f>EJ$18/EJ$9</f>
        <v>0.33736884584342214</v>
      </c>
      <c r="EK19" s="521">
        <f>+EK18/EK9</f>
        <v>0.34453323646930623</v>
      </c>
      <c r="EL19" s="518">
        <f>EL$18/EL$9</f>
        <v>0.31650485436893205</v>
      </c>
      <c r="EM19" s="518">
        <f>EM$18/EM$9</f>
        <v>0.28131634819532908</v>
      </c>
      <c r="EN19" s="518">
        <f>EN$18/EN$9</f>
        <v>0.22525918944392084</v>
      </c>
      <c r="EO19" s="518">
        <f>EO$18/EO$9</f>
        <v>0.29540709812108562</v>
      </c>
      <c r="EP19" s="521">
        <f>+EP18/EP9</f>
        <v>0.27887747431721371</v>
      </c>
      <c r="EQ19" s="518">
        <f>EQ$18/EQ$9</f>
        <v>0.32331730769230771</v>
      </c>
      <c r="ER19" s="518">
        <f>ER$18/ER$9</f>
        <v>0.31061343719571566</v>
      </c>
      <c r="ES19" s="518">
        <f>ES$18/ES$9</f>
        <v>0.30527926549349654</v>
      </c>
      <c r="ET19" s="518">
        <f>ET$18/ET$9</f>
        <v>0.31735985533453887</v>
      </c>
      <c r="EU19" s="521">
        <f>+EU18/EU9</f>
        <v>0.31320224719101125</v>
      </c>
      <c r="EV19" s="518">
        <f>EV$18/EV$9</f>
        <v>0.3363821138211382</v>
      </c>
      <c r="EW19" s="518">
        <f>EW$18/EW$9</f>
        <v>0.33060556464811786</v>
      </c>
      <c r="EX19" s="518">
        <f>EX$18/EX$9</f>
        <v>0.34875228241022521</v>
      </c>
      <c r="EY19" s="518">
        <f>EY$18/EY$9</f>
        <v>0.34797297297297297</v>
      </c>
      <c r="EZ19" s="521">
        <f>+EZ18/EZ9</f>
        <v>0.34209044848939762</v>
      </c>
      <c r="FA19" s="518">
        <f>FA$18/FA$9</f>
        <v>0.36247723132969034</v>
      </c>
      <c r="FB19" s="518">
        <f>FB$18/FB$9</f>
        <v>0.3712984054669704</v>
      </c>
      <c r="FC19" s="518">
        <f>FC$18/FC$9</f>
        <v>0.39987900786448882</v>
      </c>
      <c r="FD19" s="518">
        <f>FD$18/FD$9</f>
        <v>0.3784355179704017</v>
      </c>
      <c r="FE19" s="521">
        <f>+FE18/FE9</f>
        <v>0.37791505791505792</v>
      </c>
      <c r="FF19" s="518">
        <f>FF$18/FF$9</f>
        <v>0.40959119496855345</v>
      </c>
      <c r="FG19" s="518">
        <f>FG$18/FG$9</f>
        <v>0.40561724363161333</v>
      </c>
      <c r="FH19" s="518">
        <f>FH$18/FH$9</f>
        <v>0.43142698500832871</v>
      </c>
      <c r="FI19" s="518">
        <f>FI$18/FI$9</f>
        <v>0.44616831217677477</v>
      </c>
      <c r="FJ19" s="521">
        <f>+FJ18/FJ9</f>
        <v>0.42608824840291187</v>
      </c>
      <c r="FK19" s="518">
        <f>FK$18/FK$9</f>
        <v>0.45800671892497202</v>
      </c>
      <c r="FL19" s="518">
        <f>FL$18/FL$9</f>
        <v>0.43892339544513459</v>
      </c>
      <c r="FM19" s="518">
        <f>FM$18/FM$9</f>
        <v>0.43912888254194932</v>
      </c>
      <c r="FN19" s="518">
        <f>FN$18/FN$9</f>
        <v>0.44728729963008629</v>
      </c>
      <c r="FO19" s="521">
        <f>+FO18/FO9</f>
        <v>0.44525248386766364</v>
      </c>
      <c r="FP19" s="518">
        <f>FP$18/FP$9</f>
        <v>0.46066763425253993</v>
      </c>
      <c r="FQ19" s="518">
        <f>FQ$18/FQ$9</f>
        <v>0.47532467532467532</v>
      </c>
      <c r="FR19" s="518">
        <f>FR$18/FR$9</f>
        <v>0.48365406909343844</v>
      </c>
      <c r="FS19" s="518">
        <f>FS$18/FS$9</f>
        <v>0.50269374222958974</v>
      </c>
      <c r="FT19" s="521">
        <f>+FT18/FT9</f>
        <v>0.48247535596933189</v>
      </c>
      <c r="FU19" s="518">
        <f>FU$18/FU$9</f>
        <v>0.52590453541702054</v>
      </c>
      <c r="FV19" s="518">
        <f>FV$18/FV$9</f>
        <v>0.53893129770992365</v>
      </c>
      <c r="FW19" s="518">
        <f>FW$18/FW$9</f>
        <v>0.49739442946990114</v>
      </c>
      <c r="FX19" s="518">
        <f>FX$18/FX$9</f>
        <v>0.50901946776210039</v>
      </c>
      <c r="FY19" s="521">
        <f>+FY18/FY9</f>
        <v>0.51879157662810893</v>
      </c>
      <c r="FZ19" s="518">
        <f>FZ$18/FZ$9</f>
        <v>0.49822529422753598</v>
      </c>
      <c r="GA19" s="518">
        <f>GA$18/GA$9</f>
        <v>0.49542825153946629</v>
      </c>
      <c r="GB19" s="518">
        <f>GB$18/GB$9</f>
        <v>0.5098275862068965</v>
      </c>
      <c r="GC19" s="518">
        <f>GC$18/GC$9</f>
        <v>0.50697146562905315</v>
      </c>
      <c r="GD19" s="521">
        <f>+GD18/GD9</f>
        <v>0.50291005291005286</v>
      </c>
      <c r="GE19" s="518">
        <f>GE$18/GE$9</f>
        <v>0.52165174492965471</v>
      </c>
      <c r="GF19" s="518">
        <f>GF$18/GF$9</f>
        <v>0.53059125964010279</v>
      </c>
      <c r="GG19" s="518">
        <f>GG$18/GG$9</f>
        <v>0.53556239917876525</v>
      </c>
      <c r="GH19" s="518">
        <f>GH$18/GH$9</f>
        <v>0.53982763123530952</v>
      </c>
      <c r="GI19" s="521">
        <f>+GI18/GI9</f>
        <v>0.53275159976730657</v>
      </c>
      <c r="GJ19" s="518">
        <f>GJ$18/GJ$9</f>
        <v>0.53603119118042486</v>
      </c>
      <c r="GK19" s="518">
        <f>GK$18/GK$9</f>
        <v>0.43201040988939493</v>
      </c>
      <c r="GL19" s="518">
        <f>GL$18/GL$9</f>
        <v>0.53915206575816566</v>
      </c>
      <c r="GM19" s="518">
        <f>GM$18/GM$9</f>
        <v>0.56932814021421618</v>
      </c>
      <c r="GN19" s="521">
        <f>+GN18/GN9</f>
        <v>0.52365830422356308</v>
      </c>
      <c r="GO19" s="518">
        <f>GO$18/GO$9</f>
        <v>0.55369160245781723</v>
      </c>
      <c r="GP19" s="518">
        <f>GP$18/GP$9</f>
        <v>0.56051777033077144</v>
      </c>
      <c r="GQ19" s="518">
        <f>GQ$18/GQ$9</f>
        <v>0.56178954771432477</v>
      </c>
      <c r="GR19" s="518">
        <f>GR$18/GR$9</f>
        <v>0.5425580655744755</v>
      </c>
      <c r="GS19" s="521">
        <f>+GS18/GS9</f>
        <v>0.55355992774629303</v>
      </c>
      <c r="GT19" s="518">
        <f>GT$18/GT$9</f>
        <v>0.5409720567055416</v>
      </c>
      <c r="GU19" s="518">
        <f>GU$18/GU$9</f>
        <v>0.53974342062201741</v>
      </c>
      <c r="GV19" s="518">
        <f>GV$18/GV$9</f>
        <v>0.5345270454945612</v>
      </c>
      <c r="GW19" s="518">
        <f>GW$18/GW$9</f>
        <v>0.53205155107133728</v>
      </c>
      <c r="GX19" s="521">
        <f>+GX18/GX9</f>
        <v>0.5363504009085569</v>
      </c>
      <c r="GY19" s="518">
        <f>GY$18/GY$9</f>
        <v>0.53962931712905837</v>
      </c>
      <c r="GZ19" s="518">
        <f>GZ$18/GZ$9</f>
        <v>0.54118758060520467</v>
      </c>
      <c r="HA19" s="518">
        <f>HA$18/HA$9</f>
        <v>0.54306046339706182</v>
      </c>
      <c r="HB19" s="518">
        <f>HB$18/HB$9</f>
        <v>0.54225755368799189</v>
      </c>
      <c r="HC19" s="521">
        <f>+HC18/HC9</f>
        <v>0.54160617921211618</v>
      </c>
      <c r="HD19" s="518">
        <f>HD$18/HD$9</f>
        <v>0.54082259873835481</v>
      </c>
      <c r="HE19" s="518">
        <f>HE$18/HE$9</f>
        <v>0.54005982533295893</v>
      </c>
      <c r="HF19" s="518">
        <f>HF$18/HF$9</f>
        <v>0.54136680039788709</v>
      </c>
      <c r="HG19" s="518">
        <f>HG$18/HG$9</f>
        <v>0.54162913714325145</v>
      </c>
      <c r="HH19" s="521">
        <f>+HH18/HH9</f>
        <v>0.54099875479289472</v>
      </c>
      <c r="HI19" s="518">
        <f>HI$18/HI$9</f>
        <v>0.54300948590599363</v>
      </c>
      <c r="HJ19" s="518">
        <f>HJ$18/HJ$9</f>
        <v>0.54227075511734946</v>
      </c>
      <c r="HK19" s="518">
        <f>HK$18/HK$9</f>
        <v>0.54294217102685427</v>
      </c>
      <c r="HL19" s="518">
        <f>HL$18/HL$9</f>
        <v>0.54349564184536236</v>
      </c>
      <c r="HM19" s="521">
        <f>+HM18/HM9</f>
        <v>0.54294915607849126</v>
      </c>
      <c r="HN19" s="521"/>
      <c r="HO19" s="521"/>
      <c r="HP19" s="453"/>
      <c r="HQ19" s="453"/>
      <c r="HR19" s="453"/>
      <c r="HS19" s="453"/>
      <c r="HT19" s="453"/>
      <c r="HU19" s="453"/>
      <c r="HV19" s="453"/>
      <c r="HW19" s="453"/>
      <c r="HX19" s="453"/>
      <c r="HY19" s="453"/>
      <c r="HZ19" s="453"/>
      <c r="IA19" s="453"/>
      <c r="IB19" s="453"/>
    </row>
    <row r="20" spans="1:236" s="509" customFormat="1" ht="15" customHeight="1">
      <c r="A20" s="532" t="s">
        <v>371</v>
      </c>
      <c r="L20" s="523"/>
      <c r="M20" s="523"/>
      <c r="N20" s="523"/>
      <c r="O20" s="523"/>
      <c r="P20" s="524"/>
      <c r="Q20" s="523"/>
      <c r="R20" s="523"/>
      <c r="S20" s="523"/>
      <c r="T20" s="523"/>
      <c r="U20" s="524"/>
      <c r="V20" s="523"/>
      <c r="W20" s="523"/>
      <c r="X20" s="523"/>
      <c r="Y20" s="526"/>
      <c r="Z20" s="524"/>
      <c r="AA20" s="527"/>
      <c r="AB20" s="527"/>
      <c r="AC20" s="527"/>
      <c r="AD20" s="527"/>
      <c r="AE20" s="524"/>
      <c r="AF20" s="261">
        <v>61.826999999999998</v>
      </c>
      <c r="AG20" s="261">
        <v>69.322999999999993</v>
      </c>
      <c r="AH20" s="261">
        <v>64.905000000000001</v>
      </c>
      <c r="AI20" s="261">
        <v>66.747</v>
      </c>
      <c r="AJ20" s="524">
        <f>SUM(AF20:AI20)</f>
        <v>262.80199999999996</v>
      </c>
      <c r="AK20" s="261">
        <v>68.221000000000004</v>
      </c>
      <c r="AL20" s="261">
        <v>67.888999999999996</v>
      </c>
      <c r="AM20" s="261">
        <v>67.759</v>
      </c>
      <c r="AN20" s="261">
        <v>76.114999999999995</v>
      </c>
      <c r="AO20" s="524">
        <f>SUM(AK20:AN20)</f>
        <v>279.98400000000004</v>
      </c>
      <c r="AP20" s="261">
        <v>92.5</v>
      </c>
      <c r="AQ20" s="261">
        <v>101.032</v>
      </c>
      <c r="AR20" s="261">
        <v>100.014</v>
      </c>
      <c r="AS20" s="261">
        <v>104.009</v>
      </c>
      <c r="AT20" s="524">
        <f>SUM(AP20:AS20)</f>
        <v>397.55500000000001</v>
      </c>
      <c r="AU20" s="261">
        <v>94.78</v>
      </c>
      <c r="AV20" s="261">
        <v>92.768000000000001</v>
      </c>
      <c r="AW20" s="261">
        <v>105.65600000000001</v>
      </c>
      <c r="AX20" s="261">
        <v>107.499</v>
      </c>
      <c r="AY20" s="524">
        <f>SUM(AU20:AX20)</f>
        <v>400.70299999999997</v>
      </c>
      <c r="AZ20" s="261">
        <v>104.908</v>
      </c>
      <c r="BA20" s="261">
        <v>110.021</v>
      </c>
      <c r="BB20" s="261">
        <v>125.917</v>
      </c>
      <c r="BC20" s="261">
        <v>127.03100000000001</v>
      </c>
      <c r="BD20" s="524">
        <f>SUM(AZ20:BC20)</f>
        <v>467.87700000000001</v>
      </c>
      <c r="BE20" s="261">
        <v>128.12</v>
      </c>
      <c r="BF20" s="261">
        <v>139.15799999999999</v>
      </c>
      <c r="BG20" s="261">
        <v>143.66499999999999</v>
      </c>
      <c r="BH20" s="261">
        <v>156.459</v>
      </c>
      <c r="BI20" s="524">
        <f>SUM(BE20:BH20)</f>
        <v>567.40200000000004</v>
      </c>
      <c r="BJ20" s="261">
        <v>159.946</v>
      </c>
      <c r="BK20" s="261">
        <v>167.27799999999999</v>
      </c>
      <c r="BL20" s="261">
        <v>157.626</v>
      </c>
      <c r="BM20" s="261">
        <v>150.93600000000001</v>
      </c>
      <c r="BN20" s="524">
        <f>SUM(BJ20:BM20)</f>
        <v>635.78600000000006</v>
      </c>
      <c r="BO20" s="261">
        <v>161.297</v>
      </c>
      <c r="BP20" s="261">
        <v>155.65100000000001</v>
      </c>
      <c r="BQ20" s="261">
        <v>162.76400000000001</v>
      </c>
      <c r="BR20" s="261">
        <v>162.08699999999999</v>
      </c>
      <c r="BS20" s="533">
        <f>SUM(BO20:BR20)</f>
        <v>641.79899999999998</v>
      </c>
      <c r="BT20" s="261">
        <v>157.76</v>
      </c>
      <c r="BU20" s="261">
        <v>171.114</v>
      </c>
      <c r="BV20" s="261">
        <v>161.185</v>
      </c>
      <c r="BW20" s="261">
        <v>160.87100000000001</v>
      </c>
      <c r="BX20" s="533">
        <f>SUM(BT20:BW20)</f>
        <v>650.93000000000006</v>
      </c>
      <c r="BY20" s="261">
        <v>171.88200000000001</v>
      </c>
      <c r="BZ20" s="261">
        <v>178.42500000000001</v>
      </c>
      <c r="CA20" s="261">
        <v>220.959</v>
      </c>
      <c r="CB20" s="261">
        <f>244.848-42</f>
        <v>202.84800000000001</v>
      </c>
      <c r="CC20" s="533">
        <f>SUM(BY20:CB20)</f>
        <v>774.11400000000003</v>
      </c>
      <c r="CD20" s="261">
        <v>203.06200000000001</v>
      </c>
      <c r="CE20" s="261">
        <v>208.51300000000001</v>
      </c>
      <c r="CF20" s="261">
        <v>213.99700000000001</v>
      </c>
      <c r="CG20" s="261">
        <v>226.50200000000001</v>
      </c>
      <c r="CH20" s="533">
        <f>SUM(CD20:CG20)</f>
        <v>852.07400000000007</v>
      </c>
      <c r="CI20" s="261">
        <v>226.09</v>
      </c>
      <c r="CJ20" s="261">
        <v>224.821</v>
      </c>
      <c r="CK20" s="261">
        <v>230.89599999999999</v>
      </c>
      <c r="CL20" s="261">
        <v>252.767</v>
      </c>
      <c r="CM20" s="533">
        <f>SUM(CI20:CL20)</f>
        <v>934.57400000000007</v>
      </c>
      <c r="CN20" s="261">
        <v>253.12200000000001</v>
      </c>
      <c r="CO20" s="261">
        <v>272.584</v>
      </c>
      <c r="CP20" s="523">
        <v>289.01799999999997</v>
      </c>
      <c r="CQ20" s="523">
        <f>329.301</f>
        <v>329.30099999999999</v>
      </c>
      <c r="CR20" s="524">
        <f>SUM(CN20:CQ20)</f>
        <v>1144.0249999999999</v>
      </c>
      <c r="CS20" s="534">
        <f>264.176</f>
        <v>264.17599999999999</v>
      </c>
      <c r="CT20" s="534">
        <v>278.67399999999998</v>
      </c>
      <c r="CU20" s="534">
        <v>277.38</v>
      </c>
      <c r="CV20" s="534">
        <f>385</f>
        <v>385</v>
      </c>
      <c r="CW20" s="524">
        <f>SUM(CS20:CV20)</f>
        <v>1205.23</v>
      </c>
      <c r="CX20" s="534">
        <v>432</v>
      </c>
      <c r="CY20" s="534">
        <f>475</f>
        <v>475</v>
      </c>
      <c r="CZ20" s="534">
        <v>467</v>
      </c>
      <c r="DA20" s="534">
        <f>473</f>
        <v>473</v>
      </c>
      <c r="DB20" s="524">
        <f>SUM(CX20:DA20)</f>
        <v>1847</v>
      </c>
      <c r="DC20" s="534">
        <f>501</f>
        <v>501</v>
      </c>
      <c r="DD20" s="534">
        <f>442</f>
        <v>442</v>
      </c>
      <c r="DE20" s="534">
        <v>438</v>
      </c>
      <c r="DF20" s="534">
        <v>465</v>
      </c>
      <c r="DG20" s="524">
        <f>SUM(DC20:DF20)</f>
        <v>1846</v>
      </c>
      <c r="DH20" s="534">
        <f>305</f>
        <v>305</v>
      </c>
      <c r="DI20" s="534">
        <v>306</v>
      </c>
      <c r="DJ20" s="534">
        <f>285</f>
        <v>285</v>
      </c>
      <c r="DK20" s="534">
        <f>301</f>
        <v>301</v>
      </c>
      <c r="DL20" s="524">
        <f>SUM(DH20:DK20)</f>
        <v>1197</v>
      </c>
      <c r="DM20" s="534">
        <v>323</v>
      </c>
      <c r="DN20" s="534">
        <f>371</f>
        <v>371</v>
      </c>
      <c r="DO20" s="534">
        <v>359</v>
      </c>
      <c r="DP20" s="534">
        <f>352</f>
        <v>352</v>
      </c>
      <c r="DQ20" s="524">
        <f>SUM(DM20:DP20)</f>
        <v>1405</v>
      </c>
      <c r="DR20" s="534">
        <v>367</v>
      </c>
      <c r="DS20" s="534">
        <v>367</v>
      </c>
      <c r="DT20" s="534">
        <v>361</v>
      </c>
      <c r="DU20" s="534">
        <v>358</v>
      </c>
      <c r="DV20" s="524">
        <f>SUM(DR20:DU20)</f>
        <v>1453</v>
      </c>
      <c r="DW20" s="534">
        <v>368</v>
      </c>
      <c r="DX20" s="534">
        <v>345</v>
      </c>
      <c r="DY20" s="534">
        <v>328</v>
      </c>
      <c r="DZ20" s="534">
        <v>313</v>
      </c>
      <c r="EA20" s="524">
        <f>SUM(DW20:DZ20)</f>
        <v>1354</v>
      </c>
      <c r="EB20" s="534">
        <v>312</v>
      </c>
      <c r="EC20" s="534">
        <v>308</v>
      </c>
      <c r="ED20" s="534">
        <v>288</v>
      </c>
      <c r="EE20" s="534">
        <v>293</v>
      </c>
      <c r="EF20" s="524">
        <f>SUM(EB20:EE20)</f>
        <v>1201</v>
      </c>
      <c r="EG20" s="534">
        <f>279-9</f>
        <v>270</v>
      </c>
      <c r="EH20" s="534">
        <v>277</v>
      </c>
      <c r="EI20" s="534">
        <v>278</v>
      </c>
      <c r="EJ20" s="534">
        <v>238</v>
      </c>
      <c r="EK20" s="524">
        <f>SUM(EG20:EJ20)</f>
        <v>1063</v>
      </c>
      <c r="EL20" s="534">
        <v>242</v>
      </c>
      <c r="EM20" s="534">
        <v>235</v>
      </c>
      <c r="EN20" s="534">
        <v>241</v>
      </c>
      <c r="EO20" s="534">
        <f>229</f>
        <v>229</v>
      </c>
      <c r="EP20" s="524">
        <f>SUM(EL20:EO20)</f>
        <v>947</v>
      </c>
      <c r="EQ20" s="534">
        <f>242</f>
        <v>242</v>
      </c>
      <c r="ER20" s="534">
        <v>243</v>
      </c>
      <c r="ES20" s="534">
        <v>259</v>
      </c>
      <c r="ET20" s="534">
        <v>264</v>
      </c>
      <c r="EU20" s="524">
        <f>SUM(EQ20:ET20)</f>
        <v>1008</v>
      </c>
      <c r="EV20" s="534">
        <v>266</v>
      </c>
      <c r="EW20" s="534">
        <v>279</v>
      </c>
      <c r="EX20" s="534">
        <v>315</v>
      </c>
      <c r="EY20" s="534">
        <v>300</v>
      </c>
      <c r="EZ20" s="524">
        <f>SUM(EV20:EY20)</f>
        <v>1160</v>
      </c>
      <c r="FA20" s="534">
        <v>343</v>
      </c>
      <c r="FB20" s="534">
        <v>357</v>
      </c>
      <c r="FC20" s="534">
        <v>363</v>
      </c>
      <c r="FD20" s="534">
        <v>371</v>
      </c>
      <c r="FE20" s="524">
        <f>SUM(FA20:FD20)</f>
        <v>1434</v>
      </c>
      <c r="FF20" s="534">
        <v>373</v>
      </c>
      <c r="FG20" s="534">
        <v>373</v>
      </c>
      <c r="FH20" s="534">
        <v>406</v>
      </c>
      <c r="FI20" s="534">
        <v>395</v>
      </c>
      <c r="FJ20" s="524">
        <f>SUM(FF20:FI20)</f>
        <v>1547</v>
      </c>
      <c r="FK20" s="534">
        <v>442</v>
      </c>
      <c r="FL20" s="534">
        <v>460</v>
      </c>
      <c r="FM20" s="534">
        <v>508</v>
      </c>
      <c r="FN20" s="534">
        <v>573</v>
      </c>
      <c r="FO20" s="524">
        <f>SUM(FK20:FN20)</f>
        <v>1983</v>
      </c>
      <c r="FP20" s="534">
        <v>610</v>
      </c>
      <c r="FQ20" s="534">
        <v>659</v>
      </c>
      <c r="FR20" s="534">
        <v>765</v>
      </c>
      <c r="FS20" s="534">
        <v>811</v>
      </c>
      <c r="FT20" s="524">
        <f>SUM(FP20:FS20)</f>
        <v>2845</v>
      </c>
      <c r="FU20" s="534">
        <v>1060</v>
      </c>
      <c r="FV20" s="534">
        <v>1300</v>
      </c>
      <c r="FW20" s="534">
        <f>1279</f>
        <v>1279</v>
      </c>
      <c r="FX20" s="534">
        <v>1366</v>
      </c>
      <c r="FY20" s="524">
        <f>SUM(FU20:FX20)</f>
        <v>5005</v>
      </c>
      <c r="FZ20" s="534">
        <v>1411</v>
      </c>
      <c r="GA20" s="534">
        <v>1443</v>
      </c>
      <c r="GB20" s="534">
        <v>1507</v>
      </c>
      <c r="GC20" s="534">
        <v>1511</v>
      </c>
      <c r="GD20" s="524">
        <f>SUM(FZ20:GC20)</f>
        <v>5872</v>
      </c>
      <c r="GE20" s="534">
        <v>1525</v>
      </c>
      <c r="GF20" s="534">
        <v>1583</v>
      </c>
      <c r="GG20" s="534">
        <v>1636</v>
      </c>
      <c r="GH20" s="534">
        <v>1712</v>
      </c>
      <c r="GI20" s="524">
        <f>SUM(GE20:GH20)</f>
        <v>6456</v>
      </c>
      <c r="GJ20" s="534">
        <v>1728</v>
      </c>
      <c r="GK20" s="534">
        <v>1894</v>
      </c>
      <c r="GL20" s="534">
        <v>2139</v>
      </c>
      <c r="GM20" s="534">
        <v>2330</v>
      </c>
      <c r="GN20" s="524">
        <f>SUM(GJ20:GM20)</f>
        <v>8091</v>
      </c>
      <c r="GO20" s="534">
        <v>2397</v>
      </c>
      <c r="GP20" s="535">
        <f>Worksheet!EE41</f>
        <v>2516.85</v>
      </c>
      <c r="GQ20" s="535">
        <f>Worksheet!EF41</f>
        <v>2693.0295000000001</v>
      </c>
      <c r="GR20" s="535">
        <f>Worksheet!EG41</f>
        <v>2881.5415650000004</v>
      </c>
      <c r="GS20" s="524">
        <f>SUM(GO20:GR20)</f>
        <v>10488.421065000002</v>
      </c>
      <c r="GT20" s="535">
        <f>Worksheet!EH41</f>
        <v>3083.2494745500007</v>
      </c>
      <c r="GU20" s="535">
        <f>Worksheet!EI41</f>
        <v>3329.9094325140009</v>
      </c>
      <c r="GV20" s="535">
        <f>Worksheet!EJ41</f>
        <v>3662.9003757654013</v>
      </c>
      <c r="GW20" s="535">
        <f>Worksheet!EK41</f>
        <v>4029.1904133419416</v>
      </c>
      <c r="GX20" s="524">
        <f>SUM(GT20:GW20)</f>
        <v>14105.249696171344</v>
      </c>
      <c r="GY20" s="535">
        <f>Worksheet!EL41</f>
        <v>4029.1904133419416</v>
      </c>
      <c r="GZ20" s="535">
        <f>Worksheet!EM41</f>
        <v>4069.482317475361</v>
      </c>
      <c r="HA20" s="535">
        <f>Worksheet!EN41</f>
        <v>4069.482317475361</v>
      </c>
      <c r="HB20" s="535">
        <f>Worksheet!EO41</f>
        <v>4110.1771406501148</v>
      </c>
      <c r="HC20" s="524">
        <f>SUM(GY20:HB20)</f>
        <v>16278.332188942779</v>
      </c>
      <c r="HD20" s="535">
        <f>Worksheet!EP41</f>
        <v>4274.5842262761198</v>
      </c>
      <c r="HE20" s="535">
        <f>Worksheet!EQ41</f>
        <v>4402.8217530644033</v>
      </c>
      <c r="HF20" s="535">
        <f>Worksheet!ER41</f>
        <v>4534.9064056563357</v>
      </c>
      <c r="HG20" s="535">
        <f>Worksheet!ES41</f>
        <v>4761.651725939153</v>
      </c>
      <c r="HH20" s="524">
        <f>SUM(HD20:HG20)</f>
        <v>17973.964110936009</v>
      </c>
      <c r="HI20" s="535">
        <f>Worksheet!ET41</f>
        <v>4809.268243198545</v>
      </c>
      <c r="HJ20" s="535">
        <f>Worksheet!EU41</f>
        <v>4905.4536080625157</v>
      </c>
      <c r="HK20" s="535">
        <f>Worksheet!EV41</f>
        <v>5003.5626802237657</v>
      </c>
      <c r="HL20" s="535">
        <f>Worksheet!EW41</f>
        <v>5053.5983070260036</v>
      </c>
      <c r="HM20" s="524">
        <f>SUM(HI20:HL20)</f>
        <v>19771.882838510828</v>
      </c>
      <c r="HN20" s="524"/>
      <c r="HO20" s="259"/>
      <c r="HP20" s="453"/>
      <c r="HQ20" s="453"/>
      <c r="HR20" s="453"/>
      <c r="HS20" s="453"/>
      <c r="HT20" s="453"/>
      <c r="HU20" s="453"/>
      <c r="HV20" s="453"/>
      <c r="HW20" s="453"/>
      <c r="HX20" s="453"/>
      <c r="HY20" s="453"/>
      <c r="HZ20" s="453"/>
      <c r="IA20" s="453"/>
      <c r="IB20" s="453"/>
    </row>
    <row r="21" spans="1:236" s="509" customFormat="1" ht="15" customHeight="1">
      <c r="A21" s="517" t="s">
        <v>202</v>
      </c>
      <c r="L21" s="518"/>
      <c r="M21" s="518"/>
      <c r="N21" s="518"/>
      <c r="O21" s="518"/>
      <c r="P21" s="521"/>
      <c r="Q21" s="518"/>
      <c r="R21" s="518"/>
      <c r="S21" s="518"/>
      <c r="T21" s="518"/>
      <c r="U21" s="521"/>
      <c r="V21" s="518"/>
      <c r="W21" s="518"/>
      <c r="X21" s="518"/>
      <c r="Y21" s="518"/>
      <c r="Z21" s="521"/>
      <c r="AA21" s="518"/>
      <c r="AB21" s="518"/>
      <c r="AC21" s="518"/>
      <c r="AD21" s="518"/>
      <c r="AE21" s="521"/>
      <c r="AF21" s="518">
        <f t="shared" ref="AF21:CQ21" si="24">AF20/AF$9</f>
        <v>0.15174764930675719</v>
      </c>
      <c r="AG21" s="518">
        <f t="shared" si="24"/>
        <v>0.16945577034016798</v>
      </c>
      <c r="AH21" s="518">
        <f t="shared" si="24"/>
        <v>0.15514484248872359</v>
      </c>
      <c r="AI21" s="518">
        <f t="shared" si="24"/>
        <v>0.16145707346808449</v>
      </c>
      <c r="AJ21" s="521">
        <f t="shared" si="24"/>
        <v>0.15944014366491127</v>
      </c>
      <c r="AK21" s="518">
        <f t="shared" si="24"/>
        <v>0.13296367038278631</v>
      </c>
      <c r="AL21" s="518">
        <f t="shared" si="24"/>
        <v>0.12730054734978818</v>
      </c>
      <c r="AM21" s="518">
        <f t="shared" si="24"/>
        <v>0.12476017926254893</v>
      </c>
      <c r="AN21" s="518">
        <f t="shared" si="24"/>
        <v>0.13961751239984738</v>
      </c>
      <c r="AO21" s="521">
        <f t="shared" si="24"/>
        <v>0.13116099573749251</v>
      </c>
      <c r="AP21" s="518">
        <f t="shared" si="24"/>
        <v>0.14917045102693777</v>
      </c>
      <c r="AQ21" s="518">
        <f t="shared" si="24"/>
        <v>0.1613378174234367</v>
      </c>
      <c r="AR21" s="518">
        <f t="shared" si="24"/>
        <v>0.16940471048553063</v>
      </c>
      <c r="AS21" s="518">
        <f t="shared" si="24"/>
        <v>0.17538602665299674</v>
      </c>
      <c r="AT21" s="521">
        <f t="shared" si="24"/>
        <v>0.16362146482481138</v>
      </c>
      <c r="AU21" s="518">
        <f t="shared" si="24"/>
        <v>0.17416006997273123</v>
      </c>
      <c r="AV21" s="518">
        <f t="shared" si="24"/>
        <v>0.20385121638755641</v>
      </c>
      <c r="AW21" s="518">
        <f t="shared" si="24"/>
        <v>0.23126458317829016</v>
      </c>
      <c r="AX21" s="518">
        <f t="shared" si="24"/>
        <v>0.21635323667452924</v>
      </c>
      <c r="AY21" s="521">
        <f t="shared" si="24"/>
        <v>0.20517107104436771</v>
      </c>
      <c r="AZ21" s="518">
        <f t="shared" si="24"/>
        <v>0.1900510689330959</v>
      </c>
      <c r="BA21" s="518">
        <f t="shared" si="24"/>
        <v>0.18504577326800781</v>
      </c>
      <c r="BB21" s="518">
        <f t="shared" si="24"/>
        <v>0.21104209545390551</v>
      </c>
      <c r="BC21" s="518">
        <f t="shared" si="24"/>
        <v>0.20717059352122</v>
      </c>
      <c r="BD21" s="521">
        <f t="shared" si="24"/>
        <v>0.19855795448517322</v>
      </c>
      <c r="BE21" s="518">
        <f t="shared" si="24"/>
        <v>0.23688375464079164</v>
      </c>
      <c r="BF21" s="518">
        <f t="shared" si="24"/>
        <v>0.26428861734575659</v>
      </c>
      <c r="BG21" s="518">
        <f t="shared" si="24"/>
        <v>0.20944648628789941</v>
      </c>
      <c r="BH21" s="518">
        <f t="shared" si="24"/>
        <v>0.19834563018179052</v>
      </c>
      <c r="BI21" s="521">
        <f t="shared" si="24"/>
        <v>0.22319847718910951</v>
      </c>
      <c r="BJ21" s="518">
        <f t="shared" si="24"/>
        <v>0.25324219869441239</v>
      </c>
      <c r="BK21" s="518">
        <f t="shared" si="24"/>
        <v>0.2810880023659531</v>
      </c>
      <c r="BL21" s="518">
        <f t="shared" si="24"/>
        <v>0.23803670234614735</v>
      </c>
      <c r="BM21" s="518">
        <f t="shared" si="24"/>
        <v>0.1558113367261616</v>
      </c>
      <c r="BN21" s="521">
        <f t="shared" si="24"/>
        <v>0.22248919024469452</v>
      </c>
      <c r="BO21" s="518">
        <f t="shared" si="24"/>
        <v>0.14770395291700128</v>
      </c>
      <c r="BP21" s="518">
        <f t="shared" si="24"/>
        <v>0.13298537213023856</v>
      </c>
      <c r="BQ21" s="518">
        <f t="shared" si="24"/>
        <v>0.13490044747457419</v>
      </c>
      <c r="BR21" s="518">
        <f t="shared" si="24"/>
        <v>0.13792619293175806</v>
      </c>
      <c r="BS21" s="521">
        <f t="shared" si="24"/>
        <v>0.13819404774183297</v>
      </c>
      <c r="BT21" s="518">
        <f t="shared" si="24"/>
        <v>0.13271116562228968</v>
      </c>
      <c r="BU21" s="518">
        <f t="shared" si="24"/>
        <v>0.17367324899722308</v>
      </c>
      <c r="BV21" s="518">
        <f t="shared" si="24"/>
        <v>0.21045999973885907</v>
      </c>
      <c r="BW21" s="518">
        <f t="shared" si="24"/>
        <v>0.16900468865069185</v>
      </c>
      <c r="BX21" s="521">
        <f t="shared" si="24"/>
        <v>0.16725877329348157</v>
      </c>
      <c r="BY21" s="518">
        <f t="shared" si="24"/>
        <v>0.19054112028627396</v>
      </c>
      <c r="BZ21" s="518">
        <f t="shared" si="24"/>
        <v>0.29722688193716801</v>
      </c>
      <c r="CA21" s="518">
        <f t="shared" si="24"/>
        <v>0.43476438677992318</v>
      </c>
      <c r="CB21" s="518">
        <f t="shared" si="24"/>
        <v>0.29551155980944893</v>
      </c>
      <c r="CC21" s="521">
        <f t="shared" si="24"/>
        <v>0.28702472238896953</v>
      </c>
      <c r="CD21" s="518">
        <f t="shared" si="24"/>
        <v>0.28417966426657154</v>
      </c>
      <c r="CE21" s="518">
        <f t="shared" si="24"/>
        <v>0.32314520790811785</v>
      </c>
      <c r="CF21" s="518">
        <f t="shared" si="24"/>
        <v>0.22437219465294694</v>
      </c>
      <c r="CG21" s="518">
        <f t="shared" si="24"/>
        <v>0.18787600790648254</v>
      </c>
      <c r="CH21" s="521">
        <f t="shared" si="24"/>
        <v>0.24212370651244844</v>
      </c>
      <c r="CI21" s="518">
        <f t="shared" si="24"/>
        <v>0.18285665296866066</v>
      </c>
      <c r="CJ21" s="518">
        <f t="shared" si="24"/>
        <v>0.17816960510747426</v>
      </c>
      <c r="CK21" s="518">
        <f t="shared" si="24"/>
        <v>0.18628772714547231</v>
      </c>
      <c r="CL21" s="518">
        <f t="shared" si="24"/>
        <v>0.20002041614109611</v>
      </c>
      <c r="CM21" s="521">
        <f t="shared" si="24"/>
        <v>0.18686117084396778</v>
      </c>
      <c r="CN21" s="518">
        <f t="shared" si="24"/>
        <v>0.20635596122051675</v>
      </c>
      <c r="CO21" s="518">
        <f t="shared" si="24"/>
        <v>0.21635058789540274</v>
      </c>
      <c r="CP21" s="518">
        <f t="shared" si="24"/>
        <v>0.18979940962269043</v>
      </c>
      <c r="CQ21" s="518">
        <f t="shared" si="24"/>
        <v>0.17913577721734927</v>
      </c>
      <c r="CR21" s="521">
        <f t="shared" ref="CR21:EU21" si="25">CR20/CR$9</f>
        <v>0.1956408611635212</v>
      </c>
      <c r="CS21" s="518">
        <f t="shared" si="25"/>
        <v>0.19830680745076787</v>
      </c>
      <c r="CT21" s="518">
        <f t="shared" si="25"/>
        <v>0.22910355180632161</v>
      </c>
      <c r="CU21" s="518">
        <f t="shared" si="25"/>
        <v>0.20892995144702331</v>
      </c>
      <c r="CV21" s="518">
        <f t="shared" si="25"/>
        <v>0.21714608009024253</v>
      </c>
      <c r="CW21" s="521">
        <f t="shared" si="25"/>
        <v>0.2133472540190581</v>
      </c>
      <c r="CX21" s="518">
        <f t="shared" si="25"/>
        <v>0.35036496350364965</v>
      </c>
      <c r="CY21" s="518">
        <f t="shared" si="25"/>
        <v>0.3447024673439768</v>
      </c>
      <c r="CZ21" s="518">
        <f t="shared" si="25"/>
        <v>0.28615196078431371</v>
      </c>
      <c r="DA21" s="518">
        <f t="shared" si="25"/>
        <v>0.26723163841807912</v>
      </c>
      <c r="DB21" s="521">
        <f>DB20/DB$9</f>
        <v>0.30716780309329783</v>
      </c>
      <c r="DC21" s="518">
        <f t="shared" si="25"/>
        <v>0.33289036544850498</v>
      </c>
      <c r="DD21" s="518">
        <f t="shared" si="25"/>
        <v>0.32765011119347665</v>
      </c>
      <c r="DE21" s="518">
        <f t="shared" si="25"/>
        <v>0.27272727272727271</v>
      </c>
      <c r="DF21" s="518">
        <f t="shared" si="25"/>
        <v>0.40017211703958694</v>
      </c>
      <c r="DG21" s="521">
        <f>DG20/DG$9</f>
        <v>0.32835289932408396</v>
      </c>
      <c r="DH21" s="518">
        <f t="shared" si="25"/>
        <v>0.25913338997451146</v>
      </c>
      <c r="DI21" s="518">
        <f t="shared" si="25"/>
        <v>0.25844594594594594</v>
      </c>
      <c r="DJ21" s="518">
        <f t="shared" si="25"/>
        <v>0.20415472779369628</v>
      </c>
      <c r="DK21" s="518">
        <f t="shared" si="25"/>
        <v>0.18286755771567437</v>
      </c>
      <c r="DL21" s="521">
        <f>DL20/DL$9</f>
        <v>0.22154358689616879</v>
      </c>
      <c r="DM21" s="518">
        <f t="shared" si="25"/>
        <v>0.20520965692503176</v>
      </c>
      <c r="DN21" s="518">
        <f t="shared" si="25"/>
        <v>0.22444041137326073</v>
      </c>
      <c r="DO21" s="518">
        <f t="shared" si="25"/>
        <v>0.2218788627935723</v>
      </c>
      <c r="DP21" s="518">
        <f t="shared" si="25"/>
        <v>0.21346270466949666</v>
      </c>
      <c r="DQ21" s="521">
        <f t="shared" si="25"/>
        <v>0.21635355712965815</v>
      </c>
      <c r="DR21" s="518">
        <f t="shared" si="25"/>
        <v>0.22752634841909486</v>
      </c>
      <c r="DS21" s="518">
        <f t="shared" si="25"/>
        <v>0.23316391359593391</v>
      </c>
      <c r="DT21" s="518">
        <f t="shared" si="25"/>
        <v>0.21360946745562129</v>
      </c>
      <c r="DU21" s="518">
        <f t="shared" si="25"/>
        <v>0.21170904790065051</v>
      </c>
      <c r="DV21" s="521">
        <f t="shared" si="25"/>
        <v>0.22122411693057248</v>
      </c>
      <c r="DW21" s="518">
        <f t="shared" si="25"/>
        <v>0.23217665615141955</v>
      </c>
      <c r="DX21" s="518">
        <f t="shared" si="25"/>
        <v>0.24416135881104034</v>
      </c>
      <c r="DY21" s="518">
        <f t="shared" si="25"/>
        <v>0.25847123719464143</v>
      </c>
      <c r="DZ21" s="518">
        <f t="shared" si="25"/>
        <v>0.27099567099567101</v>
      </c>
      <c r="EA21" s="521">
        <f t="shared" si="25"/>
        <v>0.24972334931759499</v>
      </c>
      <c r="EB21" s="518">
        <f t="shared" si="25"/>
        <v>0.28676470588235292</v>
      </c>
      <c r="EC21" s="518">
        <f t="shared" si="25"/>
        <v>0.26528854435831178</v>
      </c>
      <c r="ED21" s="518">
        <f t="shared" si="25"/>
        <v>0.1971252566735113</v>
      </c>
      <c r="EE21" s="518">
        <f t="shared" si="25"/>
        <v>0.18439269981120202</v>
      </c>
      <c r="EF21" s="521">
        <f t="shared" si="25"/>
        <v>0.2266465370824684</v>
      </c>
      <c r="EG21" s="518">
        <f t="shared" si="25"/>
        <v>0.19327129563350035</v>
      </c>
      <c r="EH21" s="518">
        <f t="shared" si="25"/>
        <v>0.19222761970853575</v>
      </c>
      <c r="EI21" s="518">
        <f t="shared" si="25"/>
        <v>0.19454163750874737</v>
      </c>
      <c r="EJ21" s="518">
        <f t="shared" si="25"/>
        <v>0.19209039548022599</v>
      </c>
      <c r="EK21" s="521">
        <f t="shared" si="25"/>
        <v>0.19306211405739193</v>
      </c>
      <c r="EL21" s="518">
        <f t="shared" si="25"/>
        <v>0.23495145631067962</v>
      </c>
      <c r="EM21" s="518">
        <f t="shared" si="25"/>
        <v>0.2494692144373673</v>
      </c>
      <c r="EN21" s="518">
        <f t="shared" si="25"/>
        <v>0.22714420358152687</v>
      </c>
      <c r="EO21" s="518">
        <f t="shared" si="25"/>
        <v>0.23903966597077245</v>
      </c>
      <c r="EP21" s="521">
        <f t="shared" si="25"/>
        <v>0.23728388874968678</v>
      </c>
      <c r="EQ21" s="518">
        <f t="shared" si="25"/>
        <v>0.29086538461538464</v>
      </c>
      <c r="ER21" s="518">
        <f t="shared" si="25"/>
        <v>0.23661148977604674</v>
      </c>
      <c r="ES21" s="518">
        <f t="shared" si="25"/>
        <v>0.19816373374139251</v>
      </c>
      <c r="ET21" s="518">
        <f t="shared" si="25"/>
        <v>0.23869801084990958</v>
      </c>
      <c r="EU21" s="521">
        <f t="shared" si="25"/>
        <v>0.23595505617977527</v>
      </c>
      <c r="EV21" s="518">
        <f>EV20/EV$9</f>
        <v>0.27032520325203252</v>
      </c>
      <c r="EW21" s="518">
        <f>EW20/EW$9</f>
        <v>0.22831423895253683</v>
      </c>
      <c r="EX21" s="518">
        <f>EX20/EX$9</f>
        <v>0.19172245891661593</v>
      </c>
      <c r="EY21" s="518">
        <f>EY20/EY$9</f>
        <v>0.20270270270270271</v>
      </c>
      <c r="EZ21" s="521">
        <f>EZ20/EZ$9</f>
        <v>0.21767686245074122</v>
      </c>
      <c r="FA21" s="518">
        <f t="shared" ref="FA21:FJ21" si="26">FA20/FA$9</f>
        <v>0.20825743776563449</v>
      </c>
      <c r="FB21" s="518">
        <f t="shared" si="26"/>
        <v>0.20330296127562641</v>
      </c>
      <c r="FC21" s="518">
        <f t="shared" si="26"/>
        <v>0.21960072595281308</v>
      </c>
      <c r="FD21" s="518">
        <f t="shared" si="26"/>
        <v>0.26145172656800564</v>
      </c>
      <c r="FE21" s="521">
        <f t="shared" si="26"/>
        <v>0.22146718146718147</v>
      </c>
      <c r="FF21" s="518">
        <f t="shared" si="26"/>
        <v>0.29323899371069184</v>
      </c>
      <c r="FG21" s="518">
        <f t="shared" si="26"/>
        <v>0.24363161332462444</v>
      </c>
      <c r="FH21" s="518">
        <f t="shared" si="26"/>
        <v>0.22543031649083842</v>
      </c>
      <c r="FI21" s="518">
        <f t="shared" si="26"/>
        <v>0.1857075693464974</v>
      </c>
      <c r="FJ21" s="521">
        <f t="shared" si="26"/>
        <v>0.22983212004159859</v>
      </c>
      <c r="FK21" s="518">
        <f>FK20/FK$9</f>
        <v>0.24748040313549832</v>
      </c>
      <c r="FL21" s="518">
        <f>FL20/FL$9</f>
        <v>0.23809523809523808</v>
      </c>
      <c r="FM21" s="518">
        <f>FM20/FM$9</f>
        <v>0.18136379864334165</v>
      </c>
      <c r="FN21" s="518">
        <f>FN20/FN$9</f>
        <v>0.17663378545006164</v>
      </c>
      <c r="FO21" s="521">
        <f>FO20/FO$9</f>
        <v>0.20311379698863055</v>
      </c>
      <c r="FP21" s="518">
        <f t="shared" ref="FP21:HM21" si="27">FP20/FP$9</f>
        <v>0.17706821480406387</v>
      </c>
      <c r="FQ21" s="518">
        <f t="shared" si="27"/>
        <v>0.17116883116883116</v>
      </c>
      <c r="FR21" s="518">
        <f t="shared" si="27"/>
        <v>0.17737073962439137</v>
      </c>
      <c r="FS21" s="518">
        <f t="shared" si="27"/>
        <v>0.16804807293825114</v>
      </c>
      <c r="FT21" s="521">
        <f t="shared" si="27"/>
        <v>0.17311670926128758</v>
      </c>
      <c r="FU21" s="518">
        <f t="shared" si="27"/>
        <v>0.1800577543740445</v>
      </c>
      <c r="FV21" s="518">
        <f t="shared" si="27"/>
        <v>0.19847328244274809</v>
      </c>
      <c r="FW21" s="518">
        <f t="shared" si="27"/>
        <v>0.22982929020664869</v>
      </c>
      <c r="FX21" s="518">
        <f t="shared" si="27"/>
        <v>0.24397213788176461</v>
      </c>
      <c r="FY21" s="521">
        <f t="shared" si="27"/>
        <v>0.21206728528452184</v>
      </c>
      <c r="FZ21" s="518">
        <f t="shared" si="27"/>
        <v>0.26359050999439565</v>
      </c>
      <c r="GA21" s="518">
        <f t="shared" si="27"/>
        <v>0.26926665422653479</v>
      </c>
      <c r="GB21" s="518">
        <f t="shared" si="27"/>
        <v>0.25982758620689655</v>
      </c>
      <c r="GC21" s="518">
        <f t="shared" si="27"/>
        <v>0.24497405966277561</v>
      </c>
      <c r="GD21" s="521">
        <f t="shared" si="27"/>
        <v>0.25890652557319221</v>
      </c>
      <c r="GE21" s="518">
        <f t="shared" si="27"/>
        <v>0.27864059930568247</v>
      </c>
      <c r="GF21" s="518">
        <f t="shared" si="27"/>
        <v>0.27129391602399316</v>
      </c>
      <c r="GG21" s="518">
        <f t="shared" si="27"/>
        <v>0.23991787652148408</v>
      </c>
      <c r="GH21" s="518">
        <f t="shared" si="27"/>
        <v>0.22355706450770435</v>
      </c>
      <c r="GI21" s="521">
        <f t="shared" si="27"/>
        <v>0.25037812681791738</v>
      </c>
      <c r="GJ21" s="518">
        <f t="shared" si="27"/>
        <v>0.23232051626781391</v>
      </c>
      <c r="GK21" s="518">
        <f t="shared" si="27"/>
        <v>0.24645413142485362</v>
      </c>
      <c r="GL21" s="518">
        <f t="shared" si="27"/>
        <v>0.23134328358208955</v>
      </c>
      <c r="GM21" s="518">
        <f t="shared" si="27"/>
        <v>0.22687439143135346</v>
      </c>
      <c r="GN21" s="521">
        <f t="shared" si="27"/>
        <v>0.23358064609255463</v>
      </c>
      <c r="GO21" s="518">
        <f t="shared" si="27"/>
        <v>0.23378523359016873</v>
      </c>
      <c r="GP21" s="518">
        <f t="shared" si="27"/>
        <v>0.22426792522771152</v>
      </c>
      <c r="GQ21" s="518">
        <f t="shared" si="27"/>
        <v>0.22453850400169803</v>
      </c>
      <c r="GR21" s="518">
        <f t="shared" si="27"/>
        <v>0.17796548194789158</v>
      </c>
      <c r="GS21" s="521">
        <f t="shared" si="27"/>
        <v>0.21120159307570008</v>
      </c>
      <c r="GT21" s="518">
        <f t="shared" si="27"/>
        <v>0.17684419993806108</v>
      </c>
      <c r="GU21" s="518">
        <f t="shared" si="27"/>
        <v>0.17332879078551086</v>
      </c>
      <c r="GV21" s="518">
        <f t="shared" si="27"/>
        <v>0.1654738123634219</v>
      </c>
      <c r="GW21" s="518">
        <f t="shared" si="27"/>
        <v>0.16433261097805027</v>
      </c>
      <c r="GX21" s="521">
        <f t="shared" si="27"/>
        <v>0.16932931865653877</v>
      </c>
      <c r="GY21" s="518">
        <f t="shared" si="27"/>
        <v>0.16829337253615512</v>
      </c>
      <c r="GZ21" s="518">
        <f t="shared" si="27"/>
        <v>0.16256413825101987</v>
      </c>
      <c r="HA21" s="518">
        <f t="shared" si="27"/>
        <v>0.15143990113600678</v>
      </c>
      <c r="HB21" s="518">
        <f t="shared" si="27"/>
        <v>0.14295231570624878</v>
      </c>
      <c r="HC21" s="521">
        <f t="shared" si="27"/>
        <v>0.15562671814510642</v>
      </c>
      <c r="HD21" s="518">
        <f t="shared" si="27"/>
        <v>0.15170707521202612</v>
      </c>
      <c r="HE21" s="518">
        <f t="shared" si="27"/>
        <v>0.14986655526232778</v>
      </c>
      <c r="HF21" s="518">
        <f t="shared" si="27"/>
        <v>0.14298423579868264</v>
      </c>
      <c r="HG21" s="518">
        <f t="shared" si="27"/>
        <v>0.14379474269265957</v>
      </c>
      <c r="HH21" s="521">
        <f t="shared" si="27"/>
        <v>0.14686386886639213</v>
      </c>
      <c r="HI21" s="518">
        <f t="shared" si="27"/>
        <v>0.15164686542445785</v>
      </c>
      <c r="HJ21" s="518">
        <f t="shared" si="27"/>
        <v>0.14840304877757374</v>
      </c>
      <c r="HK21" s="518">
        <f t="shared" si="27"/>
        <v>0.13775737257136911</v>
      </c>
      <c r="HL21" s="518">
        <f t="shared" si="27"/>
        <v>0.13299919868767307</v>
      </c>
      <c r="HM21" s="521">
        <f t="shared" si="27"/>
        <v>0.14215447170625742</v>
      </c>
      <c r="HN21" s="521"/>
      <c r="HO21" s="521"/>
      <c r="HP21" s="453"/>
      <c r="HQ21" s="453"/>
      <c r="HR21" s="453"/>
      <c r="HS21" s="453"/>
      <c r="HT21" s="453"/>
      <c r="HU21" s="453"/>
      <c r="HV21" s="453"/>
      <c r="HW21" s="453"/>
      <c r="HX21" s="453"/>
      <c r="HY21" s="453"/>
      <c r="HZ21" s="453"/>
      <c r="IA21" s="453"/>
      <c r="IB21" s="453"/>
    </row>
    <row r="22" spans="1:236" s="509" customFormat="1" ht="15" customHeight="1">
      <c r="A22" s="532" t="s">
        <v>372</v>
      </c>
      <c r="L22" s="523"/>
      <c r="M22" s="523"/>
      <c r="N22" s="523"/>
      <c r="O22" s="523"/>
      <c r="P22" s="524"/>
      <c r="Q22" s="523"/>
      <c r="R22" s="523"/>
      <c r="S22" s="523"/>
      <c r="T22" s="523"/>
      <c r="U22" s="524"/>
      <c r="V22" s="525"/>
      <c r="W22" s="525"/>
      <c r="X22" s="525"/>
      <c r="Y22" s="536"/>
      <c r="Z22" s="524"/>
      <c r="AA22" s="527"/>
      <c r="AB22" s="527"/>
      <c r="AC22" s="527"/>
      <c r="AD22" s="527"/>
      <c r="AE22" s="524"/>
      <c r="AF22" s="261">
        <v>68.480999999999995</v>
      </c>
      <c r="AG22" s="261">
        <v>67.253</v>
      </c>
      <c r="AH22" s="261">
        <v>71.978999999999999</v>
      </c>
      <c r="AI22" s="261">
        <v>83.147999999999996</v>
      </c>
      <c r="AJ22" s="524">
        <f>SUM(AF22:AI22)</f>
        <v>290.86099999999999</v>
      </c>
      <c r="AK22" s="261">
        <v>92.894000000000005</v>
      </c>
      <c r="AL22" s="261">
        <v>91.730999999999995</v>
      </c>
      <c r="AM22" s="261">
        <v>87.369</v>
      </c>
      <c r="AN22" s="261">
        <v>87.236000000000004</v>
      </c>
      <c r="AO22" s="524">
        <f>SUM(AK22:AN22)</f>
        <v>359.23</v>
      </c>
      <c r="AP22" s="261">
        <v>96.945999999999998</v>
      </c>
      <c r="AQ22" s="261">
        <v>97.364000000000004</v>
      </c>
      <c r="AR22" s="261">
        <v>95.525000000000006</v>
      </c>
      <c r="AS22" s="261">
        <v>95.180999999999997</v>
      </c>
      <c r="AT22" s="524">
        <f>SUM(AP22:AS22)</f>
        <v>385.01600000000002</v>
      </c>
      <c r="AU22" s="261">
        <v>103.011</v>
      </c>
      <c r="AV22" s="261">
        <v>83.063000000000002</v>
      </c>
      <c r="AW22" s="261">
        <v>90.432000000000002</v>
      </c>
      <c r="AX22" s="261">
        <v>88.292000000000002</v>
      </c>
      <c r="AY22" s="524">
        <f>SUM(AU22:AX22)</f>
        <v>364.798</v>
      </c>
      <c r="AZ22" s="261">
        <v>94.519000000000005</v>
      </c>
      <c r="BA22" s="261">
        <v>102.983</v>
      </c>
      <c r="BB22" s="261">
        <v>100.91500000000001</v>
      </c>
      <c r="BC22" s="261">
        <v>102.29600000000001</v>
      </c>
      <c r="BD22" s="524">
        <f>SUM(AZ22:BC22)</f>
        <v>400.71300000000002</v>
      </c>
      <c r="BE22" s="261">
        <v>88.213999999999999</v>
      </c>
      <c r="BF22" s="261">
        <v>101.19799999999999</v>
      </c>
      <c r="BG22" s="261">
        <v>109.768</v>
      </c>
      <c r="BH22" s="261">
        <v>120.498</v>
      </c>
      <c r="BI22" s="524">
        <f>SUM(BE22:BH22)</f>
        <v>419.67799999999994</v>
      </c>
      <c r="BJ22" s="261">
        <v>127.31</v>
      </c>
      <c r="BK22" s="261">
        <v>124.52</v>
      </c>
      <c r="BL22" s="261">
        <v>129.43700000000001</v>
      </c>
      <c r="BM22" s="261">
        <v>158.803</v>
      </c>
      <c r="BN22" s="524">
        <f>SUM(BJ22:BM22)</f>
        <v>540.06999999999994</v>
      </c>
      <c r="BO22" s="261">
        <v>144.30600000000001</v>
      </c>
      <c r="BP22" s="261">
        <v>152.02199999999999</v>
      </c>
      <c r="BQ22" s="261">
        <v>141.93100000000001</v>
      </c>
      <c r="BR22" s="261">
        <v>160.756</v>
      </c>
      <c r="BS22" s="533">
        <f>SUM(BO22:BR22)</f>
        <v>599.01499999999999</v>
      </c>
      <c r="BT22" s="537">
        <v>149.13800000000001</v>
      </c>
      <c r="BU22" s="537">
        <v>156.291</v>
      </c>
      <c r="BV22" s="537">
        <v>150.91800000000001</v>
      </c>
      <c r="BW22" s="537">
        <v>163.684</v>
      </c>
      <c r="BX22" s="533">
        <f>SUM(BT22:BW22)</f>
        <v>620.03099999999995</v>
      </c>
      <c r="BY22" s="261">
        <v>156.86000000000001</v>
      </c>
      <c r="BZ22" s="261">
        <v>160.24799999999999</v>
      </c>
      <c r="CA22" s="261">
        <v>158.56800000000001</v>
      </c>
      <c r="CB22" s="261">
        <v>194.38900000000001</v>
      </c>
      <c r="CC22" s="533">
        <f>SUM(BY22:CB22)</f>
        <v>670.06500000000005</v>
      </c>
      <c r="CD22" s="261">
        <v>138.22800000000001</v>
      </c>
      <c r="CE22" s="261">
        <v>135.161</v>
      </c>
      <c r="CF22" s="261">
        <v>151.11099999999999</v>
      </c>
      <c r="CG22" s="261">
        <v>162.80699999999999</v>
      </c>
      <c r="CH22" s="533">
        <f>SUM(CD22:CG22)</f>
        <v>587.30700000000002</v>
      </c>
      <c r="CI22" s="261">
        <v>180.21700000000001</v>
      </c>
      <c r="CJ22" s="261">
        <v>178.99299999999999</v>
      </c>
      <c r="CK22" s="261">
        <v>202.179</v>
      </c>
      <c r="CL22" s="261">
        <v>245.62200000000001</v>
      </c>
      <c r="CM22" s="533">
        <f>SUM(CI22:CL22)</f>
        <v>807.01099999999997</v>
      </c>
      <c r="CN22" s="261">
        <v>211.714</v>
      </c>
      <c r="CO22" s="261">
        <v>228.511</v>
      </c>
      <c r="CP22" s="261">
        <v>258.74799999999999</v>
      </c>
      <c r="CQ22" s="523">
        <f>317.111</f>
        <v>317.11099999999999</v>
      </c>
      <c r="CR22" s="524">
        <f>SUM(CN22:CQ22)</f>
        <v>1016.0839999999999</v>
      </c>
      <c r="CS22" s="534">
        <f>256.042</f>
        <v>256.04199999999997</v>
      </c>
      <c r="CT22" s="534">
        <v>309.52499999999998</v>
      </c>
      <c r="CU22" s="534">
        <v>285.80599999999998</v>
      </c>
      <c r="CV22" s="534">
        <f>294</f>
        <v>294</v>
      </c>
      <c r="CW22" s="524">
        <f>SUM(CS22:CV22)</f>
        <v>1145.373</v>
      </c>
      <c r="CX22" s="534">
        <v>335</v>
      </c>
      <c r="CY22" s="534">
        <f>365-14-5</f>
        <v>346</v>
      </c>
      <c r="CZ22" s="534">
        <f>352</f>
        <v>352</v>
      </c>
      <c r="DA22" s="534">
        <f>321</f>
        <v>321</v>
      </c>
      <c r="DB22" s="524">
        <f>SUM(CX22:DA22)</f>
        <v>1354</v>
      </c>
      <c r="DC22" s="534">
        <f>341</f>
        <v>341</v>
      </c>
      <c r="DD22" s="534">
        <f>337</f>
        <v>337</v>
      </c>
      <c r="DE22" s="534">
        <v>315</v>
      </c>
      <c r="DF22" s="534">
        <f>317-23</f>
        <v>294</v>
      </c>
      <c r="DG22" s="524">
        <f>SUM(DC22:DF22)</f>
        <v>1287</v>
      </c>
      <c r="DH22" s="534">
        <v>252</v>
      </c>
      <c r="DI22" s="534">
        <v>222</v>
      </c>
      <c r="DJ22" s="534">
        <f>195</f>
        <v>195</v>
      </c>
      <c r="DK22" s="534">
        <f>209</f>
        <v>209</v>
      </c>
      <c r="DL22" s="524">
        <f>SUM(DH22:DK22)</f>
        <v>878</v>
      </c>
      <c r="DM22" s="534">
        <v>219</v>
      </c>
      <c r="DN22" s="534">
        <f>229</f>
        <v>229</v>
      </c>
      <c r="DO22" s="534">
        <v>236</v>
      </c>
      <c r="DP22" s="534">
        <f>250</f>
        <v>250</v>
      </c>
      <c r="DQ22" s="524">
        <f>SUM(DM22:DP22)</f>
        <v>934</v>
      </c>
      <c r="DR22" s="534">
        <v>261</v>
      </c>
      <c r="DS22" s="534">
        <v>239</v>
      </c>
      <c r="DT22" s="534">
        <v>249</v>
      </c>
      <c r="DU22" s="534">
        <v>243</v>
      </c>
      <c r="DV22" s="524">
        <f>SUM(DR22:DU22)</f>
        <v>992</v>
      </c>
      <c r="DW22" s="534">
        <f>230-6</f>
        <v>224</v>
      </c>
      <c r="DX22" s="534">
        <f>212</f>
        <v>212</v>
      </c>
      <c r="DY22" s="534">
        <v>188</v>
      </c>
      <c r="DZ22" s="534">
        <v>193</v>
      </c>
      <c r="EA22" s="524">
        <f>SUM(DW22:DZ22)</f>
        <v>817</v>
      </c>
      <c r="EB22" s="534">
        <v>179</v>
      </c>
      <c r="EC22" s="534">
        <v>171</v>
      </c>
      <c r="ED22" s="534">
        <f>155+5-22-5+22</f>
        <v>155</v>
      </c>
      <c r="EE22" s="534">
        <v>169</v>
      </c>
      <c r="EF22" s="524">
        <f>SUM(EB22:EE22)</f>
        <v>674</v>
      </c>
      <c r="EG22" s="534">
        <f>156+3-3-5</f>
        <v>151</v>
      </c>
      <c r="EH22" s="534">
        <f>154+4-4</f>
        <v>154</v>
      </c>
      <c r="EI22" s="534">
        <f>150</f>
        <v>150</v>
      </c>
      <c r="EJ22" s="534">
        <f>144+4+71+233-233-71-4</f>
        <v>144</v>
      </c>
      <c r="EK22" s="524">
        <f>SUM(EG22:EJ22)</f>
        <v>599</v>
      </c>
      <c r="EL22" s="534">
        <f>131</f>
        <v>131</v>
      </c>
      <c r="EM22" s="534">
        <v>134</v>
      </c>
      <c r="EN22" s="534">
        <f>108</f>
        <v>108</v>
      </c>
      <c r="EO22" s="534">
        <f>109</f>
        <v>109</v>
      </c>
      <c r="EP22" s="524">
        <f>SUM(EL22:EO22)</f>
        <v>482</v>
      </c>
      <c r="EQ22" s="534">
        <f>105</f>
        <v>105</v>
      </c>
      <c r="ER22" s="534">
        <v>117</v>
      </c>
      <c r="ES22" s="534">
        <v>117</v>
      </c>
      <c r="ET22" s="534">
        <v>121</v>
      </c>
      <c r="EU22" s="524">
        <f>SUM(EQ22:ET22)</f>
        <v>460</v>
      </c>
      <c r="EV22" s="534">
        <v>121</v>
      </c>
      <c r="EW22" s="534">
        <v>125</v>
      </c>
      <c r="EX22" s="534">
        <v>132</v>
      </c>
      <c r="EY22" s="534">
        <v>133</v>
      </c>
      <c r="EZ22" s="524">
        <f>SUM(EV22:EY22)</f>
        <v>511</v>
      </c>
      <c r="FA22" s="534">
        <v>134</v>
      </c>
      <c r="FB22" s="534">
        <v>142</v>
      </c>
      <c r="FC22" s="534">
        <v>148</v>
      </c>
      <c r="FD22" s="534">
        <v>138</v>
      </c>
      <c r="FE22" s="524">
        <f>SUM(FA22:FD22)</f>
        <v>562</v>
      </c>
      <c r="FF22" s="534">
        <f>170-60+60-5</f>
        <v>165</v>
      </c>
      <c r="FG22" s="534">
        <f>189-7</f>
        <v>182</v>
      </c>
      <c r="FH22" s="534">
        <v>185</v>
      </c>
      <c r="FI22" s="534">
        <v>206</v>
      </c>
      <c r="FJ22" s="524">
        <f>SUM(FF22:FI22)</f>
        <v>738</v>
      </c>
      <c r="FK22" s="534">
        <v>199</v>
      </c>
      <c r="FL22" s="534">
        <v>215</v>
      </c>
      <c r="FM22" s="534">
        <v>273</v>
      </c>
      <c r="FN22" s="534">
        <f>308-14</f>
        <v>294</v>
      </c>
      <c r="FO22" s="524">
        <f>SUM(FK22:FN22)</f>
        <v>981</v>
      </c>
      <c r="FP22" s="534">
        <f>319-4-15</f>
        <v>300</v>
      </c>
      <c r="FQ22" s="534">
        <f>341-1-10</f>
        <v>330</v>
      </c>
      <c r="FR22" s="534">
        <f>376-3-8</f>
        <v>365</v>
      </c>
      <c r="FS22" s="534">
        <f>412-4-9</f>
        <v>399</v>
      </c>
      <c r="FT22" s="524">
        <f>SUM(FP22:FS22)</f>
        <v>1394</v>
      </c>
      <c r="FU22" s="534">
        <f>597+293-83-141-293</f>
        <v>373</v>
      </c>
      <c r="FV22" s="534">
        <f>592+616-6-616-79</f>
        <v>507</v>
      </c>
      <c r="FW22" s="534">
        <f>557+590-8-590-55</f>
        <v>494</v>
      </c>
      <c r="FX22" s="534">
        <f>590+601-5-601-53</f>
        <v>532</v>
      </c>
      <c r="FY22" s="524">
        <f>SUM(FU22:FX22)</f>
        <v>1906</v>
      </c>
      <c r="FZ22" s="534">
        <f>585+518-10-518-112</f>
        <v>463</v>
      </c>
      <c r="GA22" s="534">
        <f>547+481-8-481-47</f>
        <v>492</v>
      </c>
      <c r="GB22" s="534">
        <f>576+450-10-450-39</f>
        <v>527</v>
      </c>
      <c r="GC22" s="534">
        <f>644+420-6-420-60</f>
        <v>578</v>
      </c>
      <c r="GD22" s="524">
        <f>SUM(FZ22:GC22)</f>
        <v>2060</v>
      </c>
      <c r="GE22" s="534">
        <f>620+392-13-392-39</f>
        <v>568</v>
      </c>
      <c r="GF22" s="534">
        <f>650+372-10-372-45</f>
        <v>595</v>
      </c>
      <c r="GG22" s="534">
        <f>721+352-14-352-55</f>
        <v>652</v>
      </c>
      <c r="GH22" s="534">
        <f>792+332-11+186-332-46-186</f>
        <v>735</v>
      </c>
      <c r="GI22" s="524">
        <f>SUM(GE22:GH22)</f>
        <v>2550</v>
      </c>
      <c r="GJ22" s="534">
        <f>886+316-316-42</f>
        <v>844</v>
      </c>
      <c r="GK22" s="534">
        <f>991+308-308-93</f>
        <v>898</v>
      </c>
      <c r="GL22" s="534">
        <f>1069+302-302-42</f>
        <v>1027</v>
      </c>
      <c r="GM22" s="534">
        <f>1198+297-297-49</f>
        <v>1149</v>
      </c>
      <c r="GN22" s="524">
        <f>SUM(GJ22:GM22)</f>
        <v>3918</v>
      </c>
      <c r="GO22" s="534">
        <f>1253+290-290-26</f>
        <v>1227</v>
      </c>
      <c r="GP22" s="535">
        <f>Worksheet!EE45</f>
        <v>1288.3500000000001</v>
      </c>
      <c r="GQ22" s="535">
        <f>Worksheet!EF45</f>
        <v>1365.6510000000003</v>
      </c>
      <c r="GR22" s="535">
        <f>Worksheet!EG45</f>
        <v>1447.5900600000004</v>
      </c>
      <c r="GS22" s="524">
        <f>SUM(GO22:GR22)</f>
        <v>5328.5910600000007</v>
      </c>
      <c r="GT22" s="535">
        <f>Worksheet!EH45</f>
        <v>1519.9695630000006</v>
      </c>
      <c r="GU22" s="535">
        <f>Worksheet!EI45</f>
        <v>1611.1677367800007</v>
      </c>
      <c r="GV22" s="535">
        <f>Worksheet!EJ45</f>
        <v>1756.1728330902008</v>
      </c>
      <c r="GW22" s="535">
        <f>Worksheet!EK45</f>
        <v>1914.228388068319</v>
      </c>
      <c r="GX22" s="524">
        <f>SUM(GT22:GW22)</f>
        <v>6801.5385209385213</v>
      </c>
      <c r="GY22" s="535">
        <f>Worksheet!EL45</f>
        <v>1914.228388068319</v>
      </c>
      <c r="GZ22" s="535">
        <f>Worksheet!EM45</f>
        <v>1914.228388068319</v>
      </c>
      <c r="HA22" s="535">
        <f>Worksheet!EN45</f>
        <v>1914.228388068319</v>
      </c>
      <c r="HB22" s="535">
        <f>Worksheet!EO45</f>
        <v>1933.3706719490021</v>
      </c>
      <c r="HC22" s="524">
        <f>SUM(GY22:HB22)</f>
        <v>7676.0558361539588</v>
      </c>
      <c r="HD22" s="535">
        <f>Worksheet!EP45</f>
        <v>1972.0380853879822</v>
      </c>
      <c r="HE22" s="535">
        <f>Worksheet!EQ45</f>
        <v>2011.4788470957419</v>
      </c>
      <c r="HF22" s="535">
        <f>Worksheet!ER45</f>
        <v>2071.8232125086142</v>
      </c>
      <c r="HG22" s="535">
        <f>Worksheet!ES45</f>
        <v>2133.9779088838727</v>
      </c>
      <c r="HH22" s="524">
        <f>SUM(HD22:HG22)</f>
        <v>8189.3180538762117</v>
      </c>
      <c r="HI22" s="535">
        <f>Worksheet!ET45</f>
        <v>2155.3176879727116</v>
      </c>
      <c r="HJ22" s="535">
        <f>Worksheet!EU45</f>
        <v>2176.8708648524389</v>
      </c>
      <c r="HK22" s="535">
        <f>Worksheet!EV45</f>
        <v>2198.6395735009633</v>
      </c>
      <c r="HL22" s="535">
        <f>Worksheet!EW45</f>
        <v>2220.6259692359731</v>
      </c>
      <c r="HM22" s="524">
        <f>SUM(HI22:HL22)</f>
        <v>8751.4540955620869</v>
      </c>
      <c r="HN22" s="524"/>
      <c r="HO22" s="259"/>
      <c r="HP22" s="453"/>
      <c r="HQ22" s="453"/>
      <c r="HR22" s="453"/>
      <c r="HS22" s="453"/>
      <c r="HT22" s="453"/>
      <c r="HU22" s="453"/>
      <c r="HV22" s="453"/>
      <c r="HW22" s="453"/>
      <c r="HX22" s="453"/>
      <c r="HY22" s="453"/>
      <c r="HZ22" s="453"/>
      <c r="IA22" s="453"/>
      <c r="IB22" s="453"/>
    </row>
    <row r="23" spans="1:236" s="509" customFormat="1" ht="15" customHeight="1">
      <c r="A23" s="517" t="s">
        <v>202</v>
      </c>
      <c r="L23" s="518"/>
      <c r="M23" s="518"/>
      <c r="N23" s="518"/>
      <c r="O23" s="518"/>
      <c r="P23" s="521"/>
      <c r="Q23" s="518"/>
      <c r="R23" s="518"/>
      <c r="S23" s="518"/>
      <c r="T23" s="518"/>
      <c r="U23" s="521"/>
      <c r="V23" s="518"/>
      <c r="W23" s="518"/>
      <c r="X23" s="518"/>
      <c r="Y23" s="518"/>
      <c r="Z23" s="521"/>
      <c r="AA23" s="518"/>
      <c r="AB23" s="518"/>
      <c r="AC23" s="518"/>
      <c r="AD23" s="518"/>
      <c r="AE23" s="521"/>
      <c r="AF23" s="518">
        <f t="shared" ref="AF23:CQ23" si="28">AF22/AF$9</f>
        <v>0.16807916884493893</v>
      </c>
      <c r="AG23" s="518">
        <f t="shared" si="28"/>
        <v>0.16439578383346534</v>
      </c>
      <c r="AH23" s="518">
        <f t="shared" si="28"/>
        <v>0.17205408855243562</v>
      </c>
      <c r="AI23" s="518">
        <f t="shared" si="28"/>
        <v>0.20113012936497954</v>
      </c>
      <c r="AJ23" s="521">
        <f t="shared" si="28"/>
        <v>0.17646334360666877</v>
      </c>
      <c r="AK23" s="518">
        <f t="shared" si="28"/>
        <v>0.18105168784594994</v>
      </c>
      <c r="AL23" s="518">
        <f t="shared" si="28"/>
        <v>0.17200734300024187</v>
      </c>
      <c r="AM23" s="518">
        <f t="shared" si="28"/>
        <v>0.16086677935019167</v>
      </c>
      <c r="AN23" s="518">
        <f t="shared" si="28"/>
        <v>0.16001672878819007</v>
      </c>
      <c r="AO23" s="521">
        <f t="shared" si="28"/>
        <v>0.16828448946646749</v>
      </c>
      <c r="AP23" s="518">
        <f t="shared" si="28"/>
        <v>0.15634030859737846</v>
      </c>
      <c r="AQ23" s="518">
        <f t="shared" si="28"/>
        <v>0.15548039488098317</v>
      </c>
      <c r="AR23" s="518">
        <f t="shared" si="28"/>
        <v>0.16180119752364983</v>
      </c>
      <c r="AS23" s="518">
        <f t="shared" si="28"/>
        <v>0.16049973947311177</v>
      </c>
      <c r="AT23" s="521">
        <f t="shared" si="28"/>
        <v>0.15846079637028732</v>
      </c>
      <c r="AU23" s="518">
        <f t="shared" si="28"/>
        <v>0.18928469052501598</v>
      </c>
      <c r="AV23" s="518">
        <f t="shared" si="28"/>
        <v>0.1825251550836452</v>
      </c>
      <c r="AW23" s="518">
        <f t="shared" si="28"/>
        <v>0.1979416103768753</v>
      </c>
      <c r="AX23" s="518">
        <f t="shared" si="28"/>
        <v>0.17769709460057803</v>
      </c>
      <c r="AY23" s="521">
        <f t="shared" si="28"/>
        <v>0.1867867132885036</v>
      </c>
      <c r="AZ23" s="518">
        <f t="shared" si="28"/>
        <v>0.17123038266373672</v>
      </c>
      <c r="BA23" s="518">
        <f t="shared" si="28"/>
        <v>0.17320846809662926</v>
      </c>
      <c r="BB23" s="518">
        <f t="shared" si="28"/>
        <v>0.16913771025938418</v>
      </c>
      <c r="BC23" s="518">
        <f t="shared" si="28"/>
        <v>0.16683111236506618</v>
      </c>
      <c r="BD23" s="521">
        <f t="shared" si="28"/>
        <v>0.17005485120152777</v>
      </c>
      <c r="BE23" s="518">
        <f t="shared" si="28"/>
        <v>0.1631007144230627</v>
      </c>
      <c r="BF23" s="518">
        <f t="shared" si="28"/>
        <v>0.19219505524767441</v>
      </c>
      <c r="BG23" s="518">
        <f t="shared" si="28"/>
        <v>0.16002869109978174</v>
      </c>
      <c r="BH23" s="518">
        <f t="shared" si="28"/>
        <v>0.15275728303034913</v>
      </c>
      <c r="BI23" s="521">
        <f t="shared" si="28"/>
        <v>0.16508840382968526</v>
      </c>
      <c r="BJ23" s="518">
        <f t="shared" si="28"/>
        <v>0.20156968174124795</v>
      </c>
      <c r="BK23" s="518">
        <f t="shared" si="28"/>
        <v>0.20923897974992814</v>
      </c>
      <c r="BL23" s="518">
        <f t="shared" si="28"/>
        <v>0.19546747771039216</v>
      </c>
      <c r="BM23" s="518">
        <f t="shared" si="28"/>
        <v>0.16393244624294165</v>
      </c>
      <c r="BN23" s="521">
        <f t="shared" si="28"/>
        <v>0.18899399636898601</v>
      </c>
      <c r="BO23" s="518">
        <f t="shared" si="28"/>
        <v>0.13214484230730136</v>
      </c>
      <c r="BP23" s="518">
        <f t="shared" si="28"/>
        <v>0.12988482079770206</v>
      </c>
      <c r="BQ23" s="518">
        <f t="shared" si="28"/>
        <v>0.11763384661542964</v>
      </c>
      <c r="BR23" s="518">
        <f t="shared" si="28"/>
        <v>0.13679359276769698</v>
      </c>
      <c r="BS23" s="521">
        <f t="shared" si="28"/>
        <v>0.12898167106535546</v>
      </c>
      <c r="BT23" s="518">
        <f t="shared" si="28"/>
        <v>0.12545815047272463</v>
      </c>
      <c r="BU23" s="518">
        <f t="shared" si="28"/>
        <v>0.15862855031747836</v>
      </c>
      <c r="BV23" s="518">
        <f t="shared" si="28"/>
        <v>0.19705433036938386</v>
      </c>
      <c r="BW23" s="518">
        <f t="shared" si="28"/>
        <v>0.17195991482056955</v>
      </c>
      <c r="BX23" s="521">
        <f t="shared" si="28"/>
        <v>0.15931916559988119</v>
      </c>
      <c r="BY23" s="518">
        <f t="shared" si="28"/>
        <v>0.17388836601915811</v>
      </c>
      <c r="BZ23" s="518">
        <f t="shared" si="28"/>
        <v>0.26694697142590607</v>
      </c>
      <c r="CA23" s="518">
        <f t="shared" si="28"/>
        <v>0.3120023139266509</v>
      </c>
      <c r="CB23" s="518">
        <f t="shared" si="28"/>
        <v>0.28318838046122696</v>
      </c>
      <c r="CC23" s="521">
        <f t="shared" si="28"/>
        <v>0.24844560440395716</v>
      </c>
      <c r="CD23" s="518">
        <f t="shared" si="28"/>
        <v>0.19344627075592505</v>
      </c>
      <c r="CE23" s="518">
        <f t="shared" si="28"/>
        <v>0.20946717684781818</v>
      </c>
      <c r="CF23" s="518">
        <f t="shared" si="28"/>
        <v>0.15843729914999491</v>
      </c>
      <c r="CG23" s="518">
        <f t="shared" si="28"/>
        <v>0.13504308668016485</v>
      </c>
      <c r="CH23" s="521">
        <f t="shared" si="28"/>
        <v>0.16688802580609965</v>
      </c>
      <c r="CI23" s="518">
        <f t="shared" si="28"/>
        <v>0.14575557268367959</v>
      </c>
      <c r="CJ23" s="518">
        <f t="shared" si="28"/>
        <v>0.14185112657181553</v>
      </c>
      <c r="CK23" s="518">
        <f t="shared" si="28"/>
        <v>0.16311874777624755</v>
      </c>
      <c r="CL23" s="518">
        <f t="shared" si="28"/>
        <v>0.19436641117475112</v>
      </c>
      <c r="CM23" s="521">
        <f t="shared" si="28"/>
        <v>0.16135589085932336</v>
      </c>
      <c r="CN23" s="518">
        <f t="shared" si="28"/>
        <v>0.17259837538357189</v>
      </c>
      <c r="CO23" s="518">
        <f t="shared" si="28"/>
        <v>0.18136973993545613</v>
      </c>
      <c r="CP23" s="518">
        <f t="shared" si="28"/>
        <v>0.16992096561823797</v>
      </c>
      <c r="CQ23" s="518">
        <f t="shared" si="28"/>
        <v>0.17250456405893347</v>
      </c>
      <c r="CR23" s="521">
        <f t="shared" ref="CR23:EU23" si="29">CR22/CR$9</f>
        <v>0.17376154260132015</v>
      </c>
      <c r="CS23" s="518">
        <f t="shared" si="29"/>
        <v>0.19220092511548931</v>
      </c>
      <c r="CT23" s="518">
        <f t="shared" si="29"/>
        <v>0.25446678510679754</v>
      </c>
      <c r="CU23" s="518">
        <f t="shared" si="29"/>
        <v>0.21527663747663112</v>
      </c>
      <c r="CV23" s="518">
        <f t="shared" si="29"/>
        <v>0.16582064297800339</v>
      </c>
      <c r="CW23" s="521">
        <f t="shared" si="29"/>
        <v>0.20275149504872153</v>
      </c>
      <c r="CX23" s="518">
        <f t="shared" si="29"/>
        <v>0.27169505271695055</v>
      </c>
      <c r="CY23" s="518">
        <f t="shared" si="29"/>
        <v>0.25108853410740201</v>
      </c>
      <c r="CZ23" s="518">
        <f t="shared" si="29"/>
        <v>0.21568627450980393</v>
      </c>
      <c r="DA23" s="518">
        <f t="shared" si="29"/>
        <v>0.18135593220338983</v>
      </c>
      <c r="DB23" s="521">
        <f>DB22/DB$9</f>
        <v>0.22517877931149177</v>
      </c>
      <c r="DC23" s="518">
        <f t="shared" si="29"/>
        <v>0.22657807308970099</v>
      </c>
      <c r="DD23" s="518">
        <f t="shared" si="29"/>
        <v>0.24981467753891773</v>
      </c>
      <c r="DE23" s="518">
        <f t="shared" si="29"/>
        <v>0.19613947696139478</v>
      </c>
      <c r="DF23" s="518">
        <f t="shared" si="29"/>
        <v>0.25301204819277107</v>
      </c>
      <c r="DG23" s="521">
        <f>DG22/DG$9</f>
        <v>0.2289220917822839</v>
      </c>
      <c r="DH23" s="518">
        <f t="shared" si="29"/>
        <v>0.2141036533559898</v>
      </c>
      <c r="DI23" s="518">
        <f t="shared" si="29"/>
        <v>0.1875</v>
      </c>
      <c r="DJ23" s="518">
        <f t="shared" si="29"/>
        <v>0.13968481375358166</v>
      </c>
      <c r="DK23" s="518">
        <f t="shared" si="29"/>
        <v>0.12697448359659783</v>
      </c>
      <c r="DL23" s="521">
        <f>DL22/DL$9</f>
        <v>0.16250231352952063</v>
      </c>
      <c r="DM23" s="518">
        <f t="shared" si="29"/>
        <v>0.13913595933926304</v>
      </c>
      <c r="DN23" s="518">
        <f t="shared" si="29"/>
        <v>0.13853599516031459</v>
      </c>
      <c r="DO23" s="518">
        <f t="shared" si="29"/>
        <v>0.14585908529048208</v>
      </c>
      <c r="DP23" s="518">
        <f t="shared" si="29"/>
        <v>0.15160703456640387</v>
      </c>
      <c r="DQ23" s="521">
        <f t="shared" si="29"/>
        <v>0.1438250692947336</v>
      </c>
      <c r="DR23" s="518">
        <f t="shared" si="29"/>
        <v>0.16181029138251704</v>
      </c>
      <c r="DS23" s="518">
        <f t="shared" si="29"/>
        <v>0.15184243964421856</v>
      </c>
      <c r="DT23" s="518">
        <f t="shared" si="29"/>
        <v>0.14733727810650887</v>
      </c>
      <c r="DU23" s="518">
        <f t="shared" si="29"/>
        <v>0.14370195150798346</v>
      </c>
      <c r="DV23" s="521">
        <f t="shared" si="29"/>
        <v>0.15103532277710111</v>
      </c>
      <c r="DW23" s="518">
        <f t="shared" si="29"/>
        <v>0.14132492113564668</v>
      </c>
      <c r="DX23" s="518">
        <f t="shared" si="29"/>
        <v>0.15003538570417552</v>
      </c>
      <c r="DY23" s="518">
        <f t="shared" si="29"/>
        <v>0.14814814814814814</v>
      </c>
      <c r="DZ23" s="518">
        <f t="shared" si="29"/>
        <v>0.16709956709956711</v>
      </c>
      <c r="EA23" s="521">
        <f t="shared" si="29"/>
        <v>0.15068240501659905</v>
      </c>
      <c r="EB23" s="518">
        <f t="shared" si="29"/>
        <v>0.16452205882352941</v>
      </c>
      <c r="EC23" s="518">
        <f t="shared" si="29"/>
        <v>0.14728682170542637</v>
      </c>
      <c r="ED23" s="518">
        <f t="shared" si="29"/>
        <v>0.10609171800136892</v>
      </c>
      <c r="EE23" s="518">
        <f t="shared" si="29"/>
        <v>0.10635619886721208</v>
      </c>
      <c r="EF23" s="521">
        <f t="shared" si="29"/>
        <v>0.12719381015285902</v>
      </c>
      <c r="EG23" s="518">
        <f t="shared" si="29"/>
        <v>0.10808876163206872</v>
      </c>
      <c r="EH23" s="518">
        <f t="shared" si="29"/>
        <v>0.10687022900763359</v>
      </c>
      <c r="EI23" s="518">
        <f t="shared" si="29"/>
        <v>0.10496850944716585</v>
      </c>
      <c r="EJ23" s="518">
        <f t="shared" si="29"/>
        <v>0.11622276029055691</v>
      </c>
      <c r="EK23" s="521">
        <f t="shared" si="29"/>
        <v>0.10879041046131493</v>
      </c>
      <c r="EL23" s="518">
        <f t="shared" si="29"/>
        <v>0.12718446601941746</v>
      </c>
      <c r="EM23" s="518">
        <f t="shared" si="29"/>
        <v>0.14225053078556263</v>
      </c>
      <c r="EN23" s="518">
        <f t="shared" si="29"/>
        <v>0.10179076343072573</v>
      </c>
      <c r="EO23" s="518">
        <f t="shared" si="29"/>
        <v>0.11377870563674322</v>
      </c>
      <c r="EP23" s="521">
        <f t="shared" si="29"/>
        <v>0.12077173640691556</v>
      </c>
      <c r="EQ23" s="518">
        <f t="shared" si="29"/>
        <v>0.12620192307692307</v>
      </c>
      <c r="ER23" s="518">
        <f t="shared" si="29"/>
        <v>0.11392405063291139</v>
      </c>
      <c r="ES23" s="518">
        <f t="shared" si="29"/>
        <v>8.9517980107115536E-2</v>
      </c>
      <c r="ET23" s="518">
        <f t="shared" si="29"/>
        <v>0.10940325497287523</v>
      </c>
      <c r="EU23" s="521">
        <f t="shared" si="29"/>
        <v>0.10767790262172285</v>
      </c>
      <c r="EV23" s="518">
        <f>EV22/EV$9</f>
        <v>0.12296747967479675</v>
      </c>
      <c r="EW23" s="518">
        <f>EW22/EW$9</f>
        <v>0.10229132569558101</v>
      </c>
      <c r="EX23" s="518">
        <f>EX22/EX$9</f>
        <v>8.0340839926962879E-2</v>
      </c>
      <c r="EY23" s="518">
        <f>EY22/EY$9</f>
        <v>8.9864864864864863E-2</v>
      </c>
      <c r="EZ23" s="521">
        <f>EZ22/EZ$9</f>
        <v>9.5890410958904104E-2</v>
      </c>
      <c r="FA23" s="518">
        <f t="shared" ref="FA23:FJ23" si="30">FA22/FA$9</f>
        <v>8.1360048573163327E-2</v>
      </c>
      <c r="FB23" s="518">
        <f t="shared" si="30"/>
        <v>8.0865603644646927E-2</v>
      </c>
      <c r="FC23" s="518">
        <f t="shared" si="30"/>
        <v>8.9534180278281916E-2</v>
      </c>
      <c r="FD23" s="518">
        <f t="shared" si="30"/>
        <v>9.7251585623678652E-2</v>
      </c>
      <c r="FE23" s="521">
        <f t="shared" si="30"/>
        <v>8.6795366795366799E-2</v>
      </c>
      <c r="FF23" s="518">
        <f t="shared" si="30"/>
        <v>0.12971698113207547</v>
      </c>
      <c r="FG23" s="518">
        <f t="shared" si="30"/>
        <v>0.11887655127367734</v>
      </c>
      <c r="FH23" s="518">
        <f t="shared" si="30"/>
        <v>0.10272071071626875</v>
      </c>
      <c r="FI23" s="518">
        <f t="shared" si="30"/>
        <v>9.6850023507287261E-2</v>
      </c>
      <c r="FJ23" s="521">
        <f t="shared" si="30"/>
        <v>0.10964195513296687</v>
      </c>
      <c r="FK23" s="518">
        <f>FK22/FK$9</f>
        <v>0.11142217245240761</v>
      </c>
      <c r="FL23" s="518">
        <f>FL22/FL$9</f>
        <v>0.11128364389233955</v>
      </c>
      <c r="FM23" s="518">
        <f>FM22/FM$9</f>
        <v>9.7465191003213145E-2</v>
      </c>
      <c r="FN23" s="518">
        <f>FN22/FN$9</f>
        <v>9.0628853267570905E-2</v>
      </c>
      <c r="FO23" s="521">
        <f>FO22/FO$9</f>
        <v>0.10048140940284749</v>
      </c>
      <c r="FP23" s="518">
        <f t="shared" ref="FP23:HM23" si="31">FP22/FP$9</f>
        <v>8.7082728592162553E-2</v>
      </c>
      <c r="FQ23" s="518">
        <f t="shared" si="31"/>
        <v>8.5714285714285715E-2</v>
      </c>
      <c r="FR23" s="518">
        <f t="shared" si="31"/>
        <v>8.4627869232552749E-2</v>
      </c>
      <c r="FS23" s="518">
        <f t="shared" si="31"/>
        <v>8.2677165354330714E-2</v>
      </c>
      <c r="FT23" s="521">
        <f t="shared" si="31"/>
        <v>8.4824145065108922E-2</v>
      </c>
      <c r="FU23" s="518">
        <f t="shared" si="31"/>
        <v>6.3359945642942075E-2</v>
      </c>
      <c r="FV23" s="518">
        <f t="shared" si="31"/>
        <v>7.7404580152671751E-2</v>
      </c>
      <c r="FW23" s="518">
        <f t="shared" si="31"/>
        <v>8.8769092542677452E-2</v>
      </c>
      <c r="FX23" s="518">
        <f t="shared" si="31"/>
        <v>9.5016967315592074E-2</v>
      </c>
      <c r="FY23" s="521">
        <f t="shared" si="31"/>
        <v>8.0759289860599132E-2</v>
      </c>
      <c r="FZ23" s="518">
        <f t="shared" si="31"/>
        <v>8.6493555015878951E-2</v>
      </c>
      <c r="GA23" s="518">
        <f t="shared" si="31"/>
        <v>9.1808173166635573E-2</v>
      </c>
      <c r="GB23" s="518">
        <f t="shared" si="31"/>
        <v>9.086206896551724E-2</v>
      </c>
      <c r="GC23" s="518">
        <f t="shared" si="31"/>
        <v>9.37094682230869E-2</v>
      </c>
      <c r="GD23" s="521">
        <f t="shared" si="31"/>
        <v>9.0828924162257491E-2</v>
      </c>
      <c r="GE23" s="518">
        <f t="shared" si="31"/>
        <v>0.10378220354467385</v>
      </c>
      <c r="GF23" s="518">
        <f t="shared" si="31"/>
        <v>0.10197086546700942</v>
      </c>
      <c r="GG23" s="518">
        <f t="shared" si="31"/>
        <v>9.5615192843525446E-2</v>
      </c>
      <c r="GH23" s="518">
        <f t="shared" si="31"/>
        <v>9.5978062157221211E-2</v>
      </c>
      <c r="GI23" s="521">
        <f t="shared" si="31"/>
        <v>9.8894706224549156E-2</v>
      </c>
      <c r="GJ23" s="518">
        <f t="shared" si="31"/>
        <v>0.11347136326969616</v>
      </c>
      <c r="GK23" s="518">
        <f t="shared" si="31"/>
        <v>0.11685100845803513</v>
      </c>
      <c r="GL23" s="518">
        <f t="shared" si="31"/>
        <v>0.11107505948518279</v>
      </c>
      <c r="GM23" s="518">
        <f t="shared" si="31"/>
        <v>0.11187925998052581</v>
      </c>
      <c r="GN23" s="521">
        <f t="shared" si="31"/>
        <v>0.11310950085164122</v>
      </c>
      <c r="GO23" s="518">
        <f t="shared" si="31"/>
        <v>0.11967229103676973</v>
      </c>
      <c r="GP23" s="518">
        <f t="shared" si="31"/>
        <v>0.11480047736937925</v>
      </c>
      <c r="GQ23" s="518">
        <f t="shared" si="31"/>
        <v>0.11386478778952216</v>
      </c>
      <c r="GR23" s="518">
        <f t="shared" si="31"/>
        <v>8.9403903042737237E-2</v>
      </c>
      <c r="GS23" s="521">
        <f t="shared" si="31"/>
        <v>0.10729993711602893</v>
      </c>
      <c r="GT23" s="518">
        <f t="shared" si="31"/>
        <v>8.7180036360233346E-2</v>
      </c>
      <c r="GU23" s="518">
        <f t="shared" si="31"/>
        <v>8.3864669964272859E-2</v>
      </c>
      <c r="GV23" s="518">
        <f t="shared" si="31"/>
        <v>7.9336204659888665E-2</v>
      </c>
      <c r="GW23" s="518">
        <f t="shared" si="31"/>
        <v>7.8072792980428185E-2</v>
      </c>
      <c r="GX23" s="521">
        <f t="shared" si="31"/>
        <v>8.1650442804946141E-2</v>
      </c>
      <c r="GY23" s="518">
        <f t="shared" si="31"/>
        <v>7.9954511498319086E-2</v>
      </c>
      <c r="GZ23" s="518">
        <f t="shared" si="31"/>
        <v>7.6467929836102358E-2</v>
      </c>
      <c r="HA23" s="518">
        <f t="shared" si="31"/>
        <v>7.1235242034580731E-2</v>
      </c>
      <c r="HB23" s="518">
        <f t="shared" si="31"/>
        <v>6.7242798841983864E-2</v>
      </c>
      <c r="HC23" s="521">
        <f t="shared" si="31"/>
        <v>7.3385858220209751E-2</v>
      </c>
      <c r="HD23" s="518">
        <f t="shared" si="31"/>
        <v>6.9988591709552933E-2</v>
      </c>
      <c r="HE23" s="518">
        <f t="shared" si="31"/>
        <v>6.8468228491753755E-2</v>
      </c>
      <c r="HF23" s="518">
        <f t="shared" si="31"/>
        <v>6.5323963110026181E-2</v>
      </c>
      <c r="HG23" s="518">
        <f t="shared" si="31"/>
        <v>6.4442933246919576E-2</v>
      </c>
      <c r="HH23" s="521">
        <f t="shared" si="31"/>
        <v>6.6914283646414899E-2</v>
      </c>
      <c r="HI23" s="518">
        <f t="shared" si="31"/>
        <v>6.796193409198821E-2</v>
      </c>
      <c r="HJ23" s="518">
        <f t="shared" si="31"/>
        <v>6.5856146841998336E-2</v>
      </c>
      <c r="HK23" s="518">
        <f t="shared" si="31"/>
        <v>6.0532630494274764E-2</v>
      </c>
      <c r="HL23" s="518">
        <f t="shared" si="31"/>
        <v>5.8441818393600721E-2</v>
      </c>
      <c r="HM23" s="521">
        <f t="shared" si="31"/>
        <v>6.292057988493982E-2</v>
      </c>
      <c r="HN23" s="521"/>
      <c r="HO23" s="538"/>
      <c r="HP23" s="453"/>
      <c r="HQ23" s="453"/>
      <c r="HR23" s="453"/>
      <c r="HS23" s="453"/>
      <c r="HT23" s="453"/>
      <c r="HU23" s="453"/>
      <c r="HV23" s="453"/>
      <c r="HW23" s="453"/>
      <c r="HX23" s="453"/>
      <c r="HY23" s="453"/>
      <c r="HZ23" s="453"/>
      <c r="IA23" s="453"/>
      <c r="IB23" s="453"/>
    </row>
    <row r="24" spans="1:236" s="509" customFormat="1" ht="15" customHeight="1">
      <c r="A24" s="522" t="s">
        <v>314</v>
      </c>
      <c r="L24" s="523"/>
      <c r="M24" s="523"/>
      <c r="N24" s="523"/>
      <c r="O24" s="523"/>
      <c r="P24" s="524"/>
      <c r="Q24" s="523"/>
      <c r="R24" s="523"/>
      <c r="S24" s="523"/>
      <c r="T24" s="523"/>
      <c r="U24" s="524"/>
      <c r="V24" s="523"/>
      <c r="W24" s="523"/>
      <c r="X24" s="523"/>
      <c r="Y24" s="523"/>
      <c r="Z24" s="524"/>
      <c r="AA24" s="523"/>
      <c r="AB24" s="523"/>
      <c r="AC24" s="523"/>
      <c r="AD24" s="523"/>
      <c r="AE24" s="524"/>
      <c r="AF24" s="523">
        <f>AF18-AF20-AF22</f>
        <v>83.043000000000006</v>
      </c>
      <c r="AG24" s="523">
        <f>AG18-AG20-AG22</f>
        <v>85.584999999999965</v>
      </c>
      <c r="AH24" s="523">
        <f>AH18-AH20-AH22</f>
        <v>81.467999999999975</v>
      </c>
      <c r="AI24" s="523">
        <f>AI18-AI20-AI22</f>
        <v>54.957000000000022</v>
      </c>
      <c r="AJ24" s="524">
        <f>SUM(AF24:AI24)</f>
        <v>305.053</v>
      </c>
      <c r="AK24" s="523">
        <f>AK18-AK20-AK22</f>
        <v>121.52800000000002</v>
      </c>
      <c r="AL24" s="523">
        <f>AL18-AL20-AL22</f>
        <v>138.05400000000003</v>
      </c>
      <c r="AM24" s="523">
        <f>AM18-AM20-AM22</f>
        <v>135.57700000000003</v>
      </c>
      <c r="AN24" s="523">
        <f>AN18-AN20-AN22</f>
        <v>117.98</v>
      </c>
      <c r="AO24" s="524">
        <f>SUM(AK24:AN24)</f>
        <v>513.13900000000012</v>
      </c>
      <c r="AP24" s="523">
        <f>AP18-AP20-AP22</f>
        <v>139.87800000000001</v>
      </c>
      <c r="AQ24" s="523">
        <f>AQ18-AQ20-AQ22</f>
        <v>126.85900000000007</v>
      </c>
      <c r="AR24" s="523">
        <f>AR18-AR20-AR22</f>
        <v>50.501999999999981</v>
      </c>
      <c r="AS24" s="523">
        <f>AS18-AS20-AS22</f>
        <v>31.037999999999954</v>
      </c>
      <c r="AT24" s="524">
        <f>SUM(AP24:AS24)</f>
        <v>348.27699999999999</v>
      </c>
      <c r="AU24" s="523">
        <f>AU18-AU20-AU22</f>
        <v>-22.314000000000021</v>
      </c>
      <c r="AV24" s="523">
        <f>AV18-AV20-AV22</f>
        <v>-100.533</v>
      </c>
      <c r="AW24" s="523">
        <f>AW18-AW20-AW22</f>
        <v>-76.917999999999992</v>
      </c>
      <c r="AX24" s="523">
        <f>AX18-AX20-AX22</f>
        <v>-53.545000000000016</v>
      </c>
      <c r="AY24" s="524">
        <f>SUM(AU24:AX24)</f>
        <v>-253.31000000000003</v>
      </c>
      <c r="AZ24" s="523">
        <f>AZ18-AZ20-AZ22</f>
        <v>3.4959999999999951</v>
      </c>
      <c r="BA24" s="523">
        <f>BA18-BA20-BA22</f>
        <v>9.2909999999999542</v>
      </c>
      <c r="BB24" s="523">
        <f>BB18-BB20-BB22</f>
        <v>-58.428000000000011</v>
      </c>
      <c r="BC24" s="523">
        <f>BC18-BC20-BC22</f>
        <v>-45.011999999999901</v>
      </c>
      <c r="BD24" s="524">
        <f>SUM(AZ24:BC24)</f>
        <v>-90.652999999999963</v>
      </c>
      <c r="BE24" s="523">
        <f>BE18-BE20-BE22</f>
        <v>-99.069000000000017</v>
      </c>
      <c r="BF24" s="523">
        <f>BF18-BF20-BF22</f>
        <v>-103.95799999999996</v>
      </c>
      <c r="BG24" s="523">
        <f>BG18-BG20-BG22</f>
        <v>9.5090000000000146</v>
      </c>
      <c r="BH24" s="523">
        <f>BH18-BH20-BH22</f>
        <v>29.876000000000019</v>
      </c>
      <c r="BI24" s="524">
        <f>SUM(BE24:BH24)</f>
        <v>-163.64199999999994</v>
      </c>
      <c r="BJ24" s="523">
        <f>BJ18-BJ20-BJ22</f>
        <v>-106.09399999999997</v>
      </c>
      <c r="BK24" s="523">
        <f>BK18-BK20-BK22</f>
        <v>-155.02799999999996</v>
      </c>
      <c r="BL24" s="523">
        <f>BL18-BL20-BL22</f>
        <v>-98.989999999999924</v>
      </c>
      <c r="BM24" s="523">
        <f>BM18-BM20-BM22</f>
        <v>77.425999999999959</v>
      </c>
      <c r="BN24" s="524">
        <f>SUM(BJ24:BM24)</f>
        <v>-282.68599999999992</v>
      </c>
      <c r="BO24" s="523">
        <f>BO18-BO20-BO22</f>
        <v>180.6689999999999</v>
      </c>
      <c r="BP24" s="523">
        <f>BP18-BP20-BP22</f>
        <v>250.19699999999989</v>
      </c>
      <c r="BQ24" s="523">
        <f>BQ18-BQ20-BQ22</f>
        <v>262.84399999999994</v>
      </c>
      <c r="BR24" s="523">
        <f>BR18-BR20-BR22</f>
        <v>195.02600000000004</v>
      </c>
      <c r="BS24" s="524">
        <f>SUM(BO24:BR24)</f>
        <v>888.73599999999976</v>
      </c>
      <c r="BT24" s="523">
        <f>BT18-BT20-BT22</f>
        <v>167.01900000000003</v>
      </c>
      <c r="BU24" s="523">
        <f>BU18-BU20-BU22</f>
        <v>21.660000000000053</v>
      </c>
      <c r="BV24" s="523">
        <f>BV18-BV20-BV22</f>
        <v>-133.38799999999998</v>
      </c>
      <c r="BW24" s="523">
        <f>BW18-BW20-BW22</f>
        <v>-17.343999999999994</v>
      </c>
      <c r="BX24" s="524">
        <f>SUM(BT24:BW24)</f>
        <v>37.947000000000116</v>
      </c>
      <c r="BY24" s="523">
        <f>BY18-BY20-BY22</f>
        <v>-13.543000000000063</v>
      </c>
      <c r="BZ24" s="523">
        <f>BZ18-BZ20-BZ22</f>
        <v>-296.66399999999999</v>
      </c>
      <c r="CA24" s="523">
        <f>CA18-CA20-CA22</f>
        <v>-325.18400000000008</v>
      </c>
      <c r="CB24" s="523">
        <f>CB18-CB20-CB22</f>
        <v>-217.42000000000002</v>
      </c>
      <c r="CC24" s="524">
        <f>SUM(BY24:CB24)</f>
        <v>-852.81100000000015</v>
      </c>
      <c r="CD24" s="523">
        <f>CD18-CD20-CD22</f>
        <v>-123.32700000000006</v>
      </c>
      <c r="CE24" s="523">
        <f>CE18-CE20-CE22</f>
        <v>-123.49799999999996</v>
      </c>
      <c r="CF24" s="523">
        <f>CF18-CF20-CF22</f>
        <v>-38.228999999999985</v>
      </c>
      <c r="CG24" s="523">
        <f>CG18-CG20-CG22</f>
        <v>37.776000000000039</v>
      </c>
      <c r="CH24" s="524">
        <f>SUM(CD24:CG24)</f>
        <v>-247.27799999999993</v>
      </c>
      <c r="CI24" s="523">
        <f>CI18-CI20-CI22</f>
        <v>61.285999999999945</v>
      </c>
      <c r="CJ24" s="523">
        <f>CJ18-CJ20-CJ22</f>
        <v>74.954000000000036</v>
      </c>
      <c r="CK24" s="523">
        <f>CK18-CK20-CK22</f>
        <v>68.358000000000033</v>
      </c>
      <c r="CL24" s="523">
        <f>CL18-CL20-CL22</f>
        <v>22.66700000000003</v>
      </c>
      <c r="CM24" s="524">
        <f>SUM(CI24:CL24)</f>
        <v>227.26500000000004</v>
      </c>
      <c r="CN24" s="523">
        <f>CN18-CN20-CN22</f>
        <v>-45.657000000000039</v>
      </c>
      <c r="CO24" s="523">
        <f>CO18-CO20-CO22</f>
        <v>-7.1310000000000571</v>
      </c>
      <c r="CP24" s="523">
        <f>CP18-CP20-CP22</f>
        <v>78.728000000000179</v>
      </c>
      <c r="CQ24" s="523">
        <f>CQ18-CQ20-CQ22</f>
        <v>205.71600000000001</v>
      </c>
      <c r="CR24" s="524">
        <f>SUM(CN24:CQ24)</f>
        <v>231.65600000000009</v>
      </c>
      <c r="CS24" s="523">
        <f>CS18-CS20-CS22</f>
        <v>258.59999999999985</v>
      </c>
      <c r="CT24" s="523">
        <f>CT18-CT20-CT22</f>
        <v>102.10900000000004</v>
      </c>
      <c r="CU24" s="523">
        <f>CU18-CU20-CU22</f>
        <v>119.17200000000008</v>
      </c>
      <c r="CV24" s="523">
        <f>CV18-CV20-CV22</f>
        <v>24</v>
      </c>
      <c r="CW24" s="524">
        <f>SUM(CS24:CV24)</f>
        <v>503.88099999999997</v>
      </c>
      <c r="CX24" s="523">
        <f>CX18-CX20-CX22</f>
        <v>-391</v>
      </c>
      <c r="CY24" s="523">
        <f>CY18-CY20-CY22</f>
        <v>-328</v>
      </c>
      <c r="CZ24" s="523">
        <f>CZ18-CZ20-CZ22</f>
        <v>-148</v>
      </c>
      <c r="DA24" s="523">
        <f>DA18-DA20-DA22</f>
        <v>-9</v>
      </c>
      <c r="DB24" s="524">
        <f>SUM(CX24:DA24)</f>
        <v>-876</v>
      </c>
      <c r="DC24" s="523">
        <f>DC18-DC20-DC22</f>
        <v>-214</v>
      </c>
      <c r="DD24" s="523">
        <f>DD18-DD20-DD22</f>
        <v>-276</v>
      </c>
      <c r="DE24" s="523">
        <f>DE18-DE20-DE22</f>
        <v>-28</v>
      </c>
      <c r="DF24" s="523">
        <f>DF18-DF20-DF22</f>
        <v>-260</v>
      </c>
      <c r="DG24" s="524">
        <f>SUM(DC24:DF24)</f>
        <v>-778</v>
      </c>
      <c r="DH24" s="523">
        <f>DH18-DH20-DH22</f>
        <v>-145</v>
      </c>
      <c r="DI24" s="523">
        <f>DI18-DI20-DI22</f>
        <v>-205</v>
      </c>
      <c r="DJ24" s="523">
        <f>DJ18-DJ20-DJ22</f>
        <v>47</v>
      </c>
      <c r="DK24" s="523">
        <f>DK18-DK20-DK22</f>
        <v>169</v>
      </c>
      <c r="DL24" s="524">
        <f>SUM(DH24:DK24)</f>
        <v>-134</v>
      </c>
      <c r="DM24" s="523">
        <f>DM18-DM20-DM22</f>
        <v>130</v>
      </c>
      <c r="DN24" s="523">
        <f>DN18-DN20-DN22</f>
        <v>138</v>
      </c>
      <c r="DO24" s="523">
        <f>DO18-DO20-DO22</f>
        <v>144</v>
      </c>
      <c r="DP24" s="523">
        <f>DP18-DP20-DP22</f>
        <v>141</v>
      </c>
      <c r="DQ24" s="524">
        <f>SUM(DM24:DP24)</f>
        <v>553</v>
      </c>
      <c r="DR24" s="523">
        <f>DR18-DR20-DR22</f>
        <v>92</v>
      </c>
      <c r="DS24" s="523">
        <f>DS18-DS20-DS22</f>
        <v>114</v>
      </c>
      <c r="DT24" s="523">
        <f>DT18-DT20-DT22</f>
        <v>146</v>
      </c>
      <c r="DU24" s="523">
        <f>DU18-DU20-DU22</f>
        <v>172</v>
      </c>
      <c r="DV24" s="524">
        <f>SUM(DR24:DU24)</f>
        <v>524</v>
      </c>
      <c r="DW24" s="523">
        <f>DW18-DW20-DW22</f>
        <v>138</v>
      </c>
      <c r="DX24" s="523">
        <f>DX18-DX20-DX22</f>
        <v>86</v>
      </c>
      <c r="DY24" s="523">
        <f>DY18-DY20-DY22</f>
        <v>-124</v>
      </c>
      <c r="DZ24" s="523">
        <f>DZ18-DZ20-DZ22</f>
        <v>-55</v>
      </c>
      <c r="EA24" s="524">
        <f>SUM(DW24:DZ24)</f>
        <v>45</v>
      </c>
      <c r="EB24" s="523">
        <f>EB18-EB20-EB22</f>
        <v>-46</v>
      </c>
      <c r="EC24" s="523">
        <f>EC18-EC20-EC22</f>
        <v>-20</v>
      </c>
      <c r="ED24" s="523">
        <f>ED18-ED20-ED22</f>
        <v>78</v>
      </c>
      <c r="EE24" s="523">
        <f>EE18-EE20-EE22</f>
        <v>91</v>
      </c>
      <c r="EF24" s="524">
        <f>SUM(EB24:EE24)</f>
        <v>103</v>
      </c>
      <c r="EG24" s="523">
        <f>EG18-EG20-EG22</f>
        <v>66</v>
      </c>
      <c r="EH24" s="523">
        <f>EH18-EH20-EH22</f>
        <v>67</v>
      </c>
      <c r="EI24" s="523">
        <f>EI18-EI20-EI22</f>
        <v>66</v>
      </c>
      <c r="EJ24" s="523">
        <f>EJ18-EJ20-EJ22</f>
        <v>36</v>
      </c>
      <c r="EK24" s="524">
        <f>SUM(EG24:EJ24)</f>
        <v>235</v>
      </c>
      <c r="EL24" s="523">
        <f>EL18-EL20-EL22</f>
        <v>-47</v>
      </c>
      <c r="EM24" s="523">
        <f>EM18-EM20-EM22</f>
        <v>-104</v>
      </c>
      <c r="EN24" s="523">
        <f>EN18-EN20-EN22</f>
        <v>-110</v>
      </c>
      <c r="EO24" s="523">
        <f>EO18-EO20-EO22</f>
        <v>-55</v>
      </c>
      <c r="EP24" s="524">
        <f>SUM(EL24:EO24)</f>
        <v>-316</v>
      </c>
      <c r="EQ24" s="523">
        <f>EQ18-EQ20-EQ22</f>
        <v>-78</v>
      </c>
      <c r="ER24" s="523">
        <f>ER18-ER20-ER22</f>
        <v>-41</v>
      </c>
      <c r="ES24" s="523">
        <f>ES18-ES20-ES22</f>
        <v>23</v>
      </c>
      <c r="ET24" s="523">
        <f>ET18-ET20-ET22</f>
        <v>-34</v>
      </c>
      <c r="EU24" s="524">
        <f>SUM(EQ24:ET24)</f>
        <v>-130</v>
      </c>
      <c r="EV24" s="523">
        <f>EV18-EV20-EV22</f>
        <v>-56</v>
      </c>
      <c r="EW24" s="523">
        <f>EW18-EW20-EW22</f>
        <v>0</v>
      </c>
      <c r="EX24" s="523">
        <f>EX18-EX20-EX22</f>
        <v>126</v>
      </c>
      <c r="EY24" s="523">
        <f>EY18-EY20-EY22</f>
        <v>82</v>
      </c>
      <c r="EZ24" s="524">
        <f>SUM(EV24:EY24)</f>
        <v>152</v>
      </c>
      <c r="FA24" s="523">
        <f>FA18-FA20-FA22</f>
        <v>120</v>
      </c>
      <c r="FB24" s="523">
        <f>FB18-FB20-FB22</f>
        <v>153</v>
      </c>
      <c r="FC24" s="523">
        <f>FC18-FC20-FC22</f>
        <v>150</v>
      </c>
      <c r="FD24" s="523">
        <f>FD18-FD20-FD22</f>
        <v>28</v>
      </c>
      <c r="FE24" s="524">
        <f>SUM(FA24:FD24)</f>
        <v>451</v>
      </c>
      <c r="FF24" s="523">
        <f>FF18-FF20-FF22</f>
        <v>-17</v>
      </c>
      <c r="FG24" s="523">
        <f>FG18-FG20-FG22</f>
        <v>66</v>
      </c>
      <c r="FH24" s="523">
        <f>FH18-FH20-FH22</f>
        <v>186</v>
      </c>
      <c r="FI24" s="523">
        <f>FI18-FI20-FI22</f>
        <v>348</v>
      </c>
      <c r="FJ24" s="524">
        <f>SUM(FF24:FI24)</f>
        <v>583</v>
      </c>
      <c r="FK24" s="523">
        <f>FK18-FK20-FK22</f>
        <v>177</v>
      </c>
      <c r="FL24" s="523">
        <f>FL18-FL20-FL22</f>
        <v>173</v>
      </c>
      <c r="FM24" s="523">
        <f>FM18-FM20-FM22</f>
        <v>449</v>
      </c>
      <c r="FN24" s="523">
        <f>FN18-FN20-FN22</f>
        <v>584</v>
      </c>
      <c r="FO24" s="524">
        <f>SUM(FK24:FN24)</f>
        <v>1383</v>
      </c>
      <c r="FP24" s="523">
        <f>FP18-FP20-FP22</f>
        <v>677</v>
      </c>
      <c r="FQ24" s="523">
        <f>FQ18-FQ20-FQ22</f>
        <v>841</v>
      </c>
      <c r="FR24" s="523">
        <f>FR18-FR20-FR22</f>
        <v>956</v>
      </c>
      <c r="FS24" s="523">
        <f>FS18-FS20-FS22</f>
        <v>1216</v>
      </c>
      <c r="FT24" s="524">
        <f>SUM(FP24:FS24)</f>
        <v>3690</v>
      </c>
      <c r="FU24" s="523">
        <f>FU18-FU20-FU22</f>
        <v>1663</v>
      </c>
      <c r="FV24" s="523">
        <f>FV18-FV20-FV22</f>
        <v>1723</v>
      </c>
      <c r="FW24" s="523">
        <f>FW18-FW20-FW22</f>
        <v>995</v>
      </c>
      <c r="FX24" s="523">
        <f>FX18-FX20-FX22</f>
        <v>952</v>
      </c>
      <c r="FY24" s="524">
        <f>SUM(FU24:FX24)</f>
        <v>5333</v>
      </c>
      <c r="FZ24" s="523">
        <f>FZ18-FZ20-FZ22</f>
        <v>793</v>
      </c>
      <c r="GA24" s="523">
        <f>GA18-GA20-GA22</f>
        <v>720</v>
      </c>
      <c r="GB24" s="523">
        <f>GB18-GB20-GB22</f>
        <v>923</v>
      </c>
      <c r="GC24" s="523">
        <f>GC18-GC20-GC22</f>
        <v>1038</v>
      </c>
      <c r="GD24" s="524">
        <f>SUM(FZ24:GC24)</f>
        <v>3474</v>
      </c>
      <c r="GE24" s="523">
        <f>GE18-GE20-GE22</f>
        <v>762</v>
      </c>
      <c r="GF24" s="523">
        <f>GF18-GF20-GF22</f>
        <v>918</v>
      </c>
      <c r="GG24" s="523">
        <f>GG18-GG20-GG22</f>
        <v>1364</v>
      </c>
      <c r="GH24" s="523">
        <f>GH18-GH20-GH22</f>
        <v>1687</v>
      </c>
      <c r="GI24" s="524">
        <f>SUM(GE24:GH24)</f>
        <v>4731</v>
      </c>
      <c r="GJ24" s="523">
        <f>GJ18-GJ20-GJ22</f>
        <v>1415</v>
      </c>
      <c r="GK24" s="523">
        <f>GK18-GK20-GK22</f>
        <v>528</v>
      </c>
      <c r="GL24" s="523">
        <f>GL18-GL20-GL22</f>
        <v>1819</v>
      </c>
      <c r="GM24" s="523">
        <f>GM18-GM20-GM22</f>
        <v>2368</v>
      </c>
      <c r="GN24" s="524">
        <f>SUM(GJ24:GM24)</f>
        <v>6130</v>
      </c>
      <c r="GO24" s="523">
        <f>GO18-GO20-GO22</f>
        <v>2053</v>
      </c>
      <c r="GP24" s="523">
        <f>GP18-GP20-GP22</f>
        <v>2485.2186981914656</v>
      </c>
      <c r="GQ24" s="523">
        <f>GQ18-GQ20-GQ22</f>
        <v>2679.2098743604392</v>
      </c>
      <c r="GR24" s="523">
        <f>GR18-GR20-GR22</f>
        <v>4455.7383411691271</v>
      </c>
      <c r="GS24" s="524">
        <f>SUM(GO24:GR24)</f>
        <v>11673.166913721032</v>
      </c>
      <c r="GT24" s="523">
        <f>GT18-GT20-GT22</f>
        <v>4828.5395961387894</v>
      </c>
      <c r="GU24" s="523">
        <f>GU18-GU20-GU22</f>
        <v>5428.2140449436138</v>
      </c>
      <c r="GV24" s="523">
        <f>GV18-GV20-GV22</f>
        <v>6413.1272332223089</v>
      </c>
      <c r="GW24" s="523">
        <f>GW18-GW20-GW22</f>
        <v>7101.6913335871031</v>
      </c>
      <c r="GX24" s="524">
        <f>SUM(GT24:GW24)</f>
        <v>23771.572207891815</v>
      </c>
      <c r="GY24" s="523">
        <f>GY18-GY20-GY22</f>
        <v>6976.0992911251651</v>
      </c>
      <c r="GZ24" s="523">
        <f>GZ18-GZ20-GZ22</f>
        <v>7563.8854211582384</v>
      </c>
      <c r="HA24" s="523">
        <f>HA18-HA20-HA22</f>
        <v>8609.3716758926403</v>
      </c>
      <c r="HB24" s="523">
        <f>HB18-HB20-HB22</f>
        <v>9547.4874952382361</v>
      </c>
      <c r="HC24" s="524">
        <f>SUM(GY24:HB24)</f>
        <v>32696.84388341428</v>
      </c>
      <c r="HD24" s="523">
        <f>HD18-HD20-HD22</f>
        <v>8991.9006547147965</v>
      </c>
      <c r="HE24" s="523">
        <f>HE18-HE20-HE22</f>
        <v>9451.7286334471355</v>
      </c>
      <c r="HF24" s="523">
        <f>HF18-HF20-HF22</f>
        <v>10563.329425201788</v>
      </c>
      <c r="HG24" s="523">
        <f>HG18-HG20-HG22</f>
        <v>11040.000468215172</v>
      </c>
      <c r="HH24" s="524">
        <f>SUM(HD24:HG24)</f>
        <v>40046.959181578888</v>
      </c>
      <c r="HI24" s="523">
        <f>HI18-HI20-HI22</f>
        <v>10256.200459722913</v>
      </c>
      <c r="HJ24" s="523">
        <f>HJ18-HJ20-HJ22</f>
        <v>10842.401832567602</v>
      </c>
      <c r="HK24" s="523">
        <f>HK18-HK20-HK22</f>
        <v>12518.304415072267</v>
      </c>
      <c r="HL24" s="523">
        <f>HL18-HL20-HL22</f>
        <v>13377.093044496452</v>
      </c>
      <c r="HM24" s="524">
        <f>SUM(HI24:HL24)</f>
        <v>46993.999751859235</v>
      </c>
      <c r="HN24" s="524"/>
      <c r="HO24" s="538"/>
      <c r="HP24" s="453"/>
      <c r="HQ24" s="453"/>
      <c r="HR24" s="453"/>
      <c r="HS24" s="453"/>
      <c r="HT24" s="453"/>
      <c r="HU24" s="453"/>
      <c r="HV24" s="453"/>
      <c r="HW24" s="453"/>
      <c r="HX24" s="453"/>
      <c r="HY24" s="453"/>
      <c r="HZ24" s="453"/>
      <c r="IA24" s="453"/>
      <c r="IB24" s="453"/>
    </row>
    <row r="25" spans="1:236" s="539" customFormat="1" ht="15" customHeight="1">
      <c r="A25" s="517" t="s">
        <v>202</v>
      </c>
      <c r="B25" s="509"/>
      <c r="C25" s="509"/>
      <c r="D25" s="509"/>
      <c r="E25" s="509"/>
      <c r="F25" s="509"/>
      <c r="G25" s="509"/>
      <c r="H25" s="509"/>
      <c r="I25" s="509"/>
      <c r="J25" s="509"/>
      <c r="K25" s="509"/>
      <c r="L25" s="518"/>
      <c r="M25" s="518"/>
      <c r="N25" s="518"/>
      <c r="O25" s="518"/>
      <c r="P25" s="521"/>
      <c r="Q25" s="518"/>
      <c r="R25" s="518"/>
      <c r="S25" s="518"/>
      <c r="T25" s="518"/>
      <c r="U25" s="521"/>
      <c r="V25" s="518"/>
      <c r="W25" s="518"/>
      <c r="X25" s="518"/>
      <c r="Y25" s="518"/>
      <c r="Z25" s="521"/>
      <c r="AA25" s="518"/>
      <c r="AB25" s="518"/>
      <c r="AC25" s="518"/>
      <c r="AD25" s="518"/>
      <c r="AE25" s="521"/>
      <c r="AF25" s="518">
        <f t="shared" ref="AF25:CQ25" si="32">AF24/AF$9</f>
        <v>0.20382001457908419</v>
      </c>
      <c r="AG25" s="518">
        <f t="shared" si="32"/>
        <v>0.20920721989185798</v>
      </c>
      <c r="AH25" s="518">
        <f t="shared" si="32"/>
        <v>0.19473599919684662</v>
      </c>
      <c r="AI25" s="518">
        <f t="shared" si="32"/>
        <v>0.13293775580304018</v>
      </c>
      <c r="AJ25" s="521">
        <f t="shared" si="32"/>
        <v>0.18507353119615599</v>
      </c>
      <c r="AK25" s="518">
        <f t="shared" si="32"/>
        <v>0.23685974896702269</v>
      </c>
      <c r="AL25" s="518">
        <f t="shared" si="32"/>
        <v>0.25886888544282083</v>
      </c>
      <c r="AM25" s="518">
        <f t="shared" si="32"/>
        <v>0.24962899133515251</v>
      </c>
      <c r="AN25" s="518">
        <f t="shared" si="32"/>
        <v>0.21641035423942712</v>
      </c>
      <c r="AO25" s="521">
        <f t="shared" si="32"/>
        <v>0.24038452980077854</v>
      </c>
      <c r="AP25" s="518">
        <f t="shared" si="32"/>
        <v>0.225574749716173</v>
      </c>
      <c r="AQ25" s="518">
        <f t="shared" si="32"/>
        <v>0.20258090684654137</v>
      </c>
      <c r="AR25" s="518">
        <f t="shared" si="32"/>
        <v>8.5540791178637637E-2</v>
      </c>
      <c r="AS25" s="518">
        <f t="shared" si="32"/>
        <v>5.2338081274271503E-2</v>
      </c>
      <c r="AT25" s="521">
        <f t="shared" si="32"/>
        <v>0.1433401489222644</v>
      </c>
      <c r="AU25" s="518">
        <f t="shared" si="32"/>
        <v>-4.1002403475116356E-2</v>
      </c>
      <c r="AV25" s="518">
        <f t="shared" si="32"/>
        <v>-0.22091426286101035</v>
      </c>
      <c r="AW25" s="518">
        <f t="shared" si="32"/>
        <v>-0.16836156213473649</v>
      </c>
      <c r="AX25" s="518">
        <f t="shared" si="32"/>
        <v>-0.10776504021188729</v>
      </c>
      <c r="AY25" s="521">
        <f t="shared" si="32"/>
        <v>-0.12970175917387389</v>
      </c>
      <c r="AZ25" s="518">
        <f t="shared" si="32"/>
        <v>6.3333448067840609E-3</v>
      </c>
      <c r="BA25" s="518">
        <f t="shared" si="32"/>
        <v>1.5626655633315931E-2</v>
      </c>
      <c r="BB25" s="518">
        <f t="shared" si="32"/>
        <v>-9.7927742506419252E-2</v>
      </c>
      <c r="BC25" s="518">
        <f t="shared" si="32"/>
        <v>-7.3408559765546472E-2</v>
      </c>
      <c r="BD25" s="521">
        <f t="shared" si="32"/>
        <v>-3.8471380828603241E-2</v>
      </c>
      <c r="BE25" s="518">
        <f t="shared" si="32"/>
        <v>-0.1831707515493958</v>
      </c>
      <c r="BF25" s="518">
        <f t="shared" si="32"/>
        <v>-0.19743684216523774</v>
      </c>
      <c r="BG25" s="518">
        <f t="shared" si="32"/>
        <v>1.386299125125562E-2</v>
      </c>
      <c r="BH25" s="518">
        <f t="shared" si="32"/>
        <v>3.7874293248142815E-2</v>
      </c>
      <c r="BI25" s="521">
        <f t="shared" si="32"/>
        <v>-6.4371724463749225E-2</v>
      </c>
      <c r="BJ25" s="518">
        <f t="shared" si="32"/>
        <v>-0.16797842914661812</v>
      </c>
      <c r="BK25" s="518">
        <f t="shared" si="32"/>
        <v>-0.26050353800732295</v>
      </c>
      <c r="BL25" s="518">
        <f t="shared" si="32"/>
        <v>-0.14948836591200124</v>
      </c>
      <c r="BM25" s="518">
        <f t="shared" si="32"/>
        <v>7.9926913111250997E-2</v>
      </c>
      <c r="BN25" s="521">
        <f t="shared" si="32"/>
        <v>-9.8924133644829687E-2</v>
      </c>
      <c r="BO25" s="518">
        <f t="shared" si="32"/>
        <v>0.16544340855416834</v>
      </c>
      <c r="BP25" s="518">
        <f t="shared" si="32"/>
        <v>0.21376374807016518</v>
      </c>
      <c r="BQ25" s="518">
        <f t="shared" si="32"/>
        <v>0.21784776250280755</v>
      </c>
      <c r="BR25" s="518">
        <f t="shared" si="32"/>
        <v>0.16595528143965313</v>
      </c>
      <c r="BS25" s="521">
        <f t="shared" si="32"/>
        <v>0.19136524864308863</v>
      </c>
      <c r="BT25" s="518">
        <f t="shared" si="32"/>
        <v>0.14050003911681799</v>
      </c>
      <c r="BU25" s="518">
        <f t="shared" si="32"/>
        <v>2.1983955569268798E-2</v>
      </c>
      <c r="BV25" s="518">
        <f t="shared" si="32"/>
        <v>-0.17416532831942755</v>
      </c>
      <c r="BW25" s="518">
        <f t="shared" si="32"/>
        <v>-1.8220918126682858E-2</v>
      </c>
      <c r="BX25" s="521">
        <f t="shared" si="32"/>
        <v>9.7506163030859905E-3</v>
      </c>
      <c r="BY25" s="518">
        <f t="shared" si="32"/>
        <v>-1.5013197379813012E-2</v>
      </c>
      <c r="BZ25" s="518">
        <f t="shared" si="32"/>
        <v>-0.49419372679281492</v>
      </c>
      <c r="CA25" s="518">
        <f t="shared" si="32"/>
        <v>-0.63984007146412936</v>
      </c>
      <c r="CB25" s="518">
        <f t="shared" si="32"/>
        <v>-0.31674023571230864</v>
      </c>
      <c r="CC25" s="521">
        <f t="shared" si="32"/>
        <v>-0.31620386729249123</v>
      </c>
      <c r="CD25" s="518">
        <f t="shared" si="32"/>
        <v>-0.17259273253983257</v>
      </c>
      <c r="CE25" s="518">
        <f t="shared" si="32"/>
        <v>-0.19139232031689499</v>
      </c>
      <c r="CF25" s="518">
        <f t="shared" si="32"/>
        <v>-4.0082452695072851E-2</v>
      </c>
      <c r="CG25" s="518">
        <f t="shared" si="32"/>
        <v>3.1333957645739513E-2</v>
      </c>
      <c r="CH25" s="521">
        <f t="shared" si="32"/>
        <v>-7.0266040154945697E-2</v>
      </c>
      <c r="CI25" s="518">
        <f t="shared" si="32"/>
        <v>4.9566777981499964E-2</v>
      </c>
      <c r="CJ25" s="518">
        <f t="shared" si="32"/>
        <v>5.9400699139429289E-2</v>
      </c>
      <c r="CK25" s="518">
        <f t="shared" si="32"/>
        <v>5.5151481412454975E-2</v>
      </c>
      <c r="CL25" s="518">
        <f t="shared" si="32"/>
        <v>1.7936925202539224E-2</v>
      </c>
      <c r="CM25" s="521">
        <f t="shared" si="32"/>
        <v>4.5439958731843963E-2</v>
      </c>
      <c r="CN25" s="518">
        <f t="shared" si="32"/>
        <v>-3.7221553722889128E-2</v>
      </c>
      <c r="CO25" s="518">
        <f t="shared" si="32"/>
        <v>-5.6598921517115068E-3</v>
      </c>
      <c r="CP25" s="518">
        <f t="shared" si="32"/>
        <v>5.1701028727536714E-2</v>
      </c>
      <c r="CQ25" s="518">
        <f t="shared" si="32"/>
        <v>0.11190702593081779</v>
      </c>
      <c r="CR25" s="521">
        <f t="shared" ref="CR25:DQ25" si="33">CR24/CR$9</f>
        <v>3.9615724598410604E-2</v>
      </c>
      <c r="CS25" s="518">
        <f t="shared" si="33"/>
        <v>0.19412111776531002</v>
      </c>
      <c r="CT25" s="518">
        <f t="shared" si="33"/>
        <v>8.3945881465051289E-2</v>
      </c>
      <c r="CU25" s="518">
        <f t="shared" si="33"/>
        <v>8.9763501960648501E-2</v>
      </c>
      <c r="CV25" s="518">
        <f t="shared" si="33"/>
        <v>1.3536379018612521E-2</v>
      </c>
      <c r="CW25" s="521">
        <f t="shared" si="33"/>
        <v>8.9195944095630711E-2</v>
      </c>
      <c r="CX25" s="518">
        <f t="shared" si="33"/>
        <v>-0.31711273317112731</v>
      </c>
      <c r="CY25" s="518">
        <f t="shared" si="33"/>
        <v>-0.23802612481857766</v>
      </c>
      <c r="CZ25" s="518">
        <f t="shared" si="33"/>
        <v>-9.0686274509803919E-2</v>
      </c>
      <c r="DA25" s="518">
        <f t="shared" si="33"/>
        <v>-5.084745762711864E-3</v>
      </c>
      <c r="DB25" s="521">
        <f t="shared" si="33"/>
        <v>-0.14568435057375687</v>
      </c>
      <c r="DC25" s="518">
        <f t="shared" si="33"/>
        <v>-0.14219269102990034</v>
      </c>
      <c r="DD25" s="518">
        <f t="shared" si="33"/>
        <v>-0.20459599703484063</v>
      </c>
      <c r="DE25" s="518">
        <f t="shared" si="33"/>
        <v>-1.7434620174346202E-2</v>
      </c>
      <c r="DF25" s="518">
        <f t="shared" si="33"/>
        <v>-0.22375215146299485</v>
      </c>
      <c r="DG25" s="521">
        <f t="shared" si="33"/>
        <v>-0.1383849163998577</v>
      </c>
      <c r="DH25" s="518">
        <f t="shared" si="33"/>
        <v>-0.1231945624468989</v>
      </c>
      <c r="DI25" s="518">
        <f t="shared" si="33"/>
        <v>-0.17314189189189189</v>
      </c>
      <c r="DJ25" s="518">
        <f t="shared" si="33"/>
        <v>3.36676217765043E-2</v>
      </c>
      <c r="DK25" s="518">
        <f t="shared" si="33"/>
        <v>0.10267314702308628</v>
      </c>
      <c r="DL25" s="521">
        <f t="shared" si="33"/>
        <v>-2.4801036461225244E-2</v>
      </c>
      <c r="DM25" s="518">
        <f t="shared" si="33"/>
        <v>8.2592121982210928E-2</v>
      </c>
      <c r="DN25" s="518">
        <f t="shared" si="33"/>
        <v>8.3484573502722328E-2</v>
      </c>
      <c r="DO25" s="518">
        <f t="shared" si="33"/>
        <v>8.8998763906056863E-2</v>
      </c>
      <c r="DP25" s="518">
        <f t="shared" si="33"/>
        <v>8.550636749545179E-2</v>
      </c>
      <c r="DQ25" s="521">
        <f t="shared" si="33"/>
        <v>8.5155528179858331E-2</v>
      </c>
      <c r="DR25" s="518">
        <f>DR24/DR$9</f>
        <v>5.7036577805331681E-2</v>
      </c>
      <c r="DS25" s="518">
        <f>DS24/DS$9</f>
        <v>7.2426937738246502E-2</v>
      </c>
      <c r="DT25" s="518">
        <f>DT24/DT$9</f>
        <v>8.6390532544378701E-2</v>
      </c>
      <c r="DU25" s="518">
        <f>DU24/DU$9</f>
        <v>0.10171496156120639</v>
      </c>
      <c r="DV25" s="521">
        <f t="shared" ref="DV25:EU25" si="34">DV24/DV$9</f>
        <v>7.9780755176613885E-2</v>
      </c>
      <c r="DW25" s="518">
        <f>DW24/DW$9</f>
        <v>8.7066246056782329E-2</v>
      </c>
      <c r="DX25" s="518">
        <f>DX24/DX$9</f>
        <v>6.0863411181882522E-2</v>
      </c>
      <c r="DY25" s="518">
        <f>DY24/DY$9</f>
        <v>-9.7714736012608355E-2</v>
      </c>
      <c r="DZ25" s="518">
        <f>DZ24/DZ$9</f>
        <v>-4.7619047619047616E-2</v>
      </c>
      <c r="EA25" s="521">
        <f t="shared" si="34"/>
        <v>8.2995204721504987E-3</v>
      </c>
      <c r="EB25" s="518">
        <f t="shared" si="34"/>
        <v>-4.2279411764705885E-2</v>
      </c>
      <c r="EC25" s="518">
        <f t="shared" si="34"/>
        <v>-1.7226528854435832E-2</v>
      </c>
      <c r="ED25" s="518">
        <f t="shared" si="34"/>
        <v>5.3388090349075976E-2</v>
      </c>
      <c r="EE25" s="518">
        <f t="shared" si="34"/>
        <v>5.7268722466960353E-2</v>
      </c>
      <c r="EF25" s="521">
        <f t="shared" si="34"/>
        <v>1.9437629741460651E-2</v>
      </c>
      <c r="EG25" s="518">
        <f t="shared" si="34"/>
        <v>4.7244094488188976E-2</v>
      </c>
      <c r="EH25" s="518">
        <f t="shared" si="34"/>
        <v>4.6495489243580844E-2</v>
      </c>
      <c r="EI25" s="518">
        <f>EI24/EI$9</f>
        <v>4.6186144156752977E-2</v>
      </c>
      <c r="EJ25" s="518">
        <f>EJ24/EJ$9</f>
        <v>2.9055690072639227E-2</v>
      </c>
      <c r="EK25" s="521">
        <f t="shared" si="34"/>
        <v>4.2680711950599345E-2</v>
      </c>
      <c r="EL25" s="518">
        <f>EL24/EL$9</f>
        <v>-4.5631067961165048E-2</v>
      </c>
      <c r="EM25" s="518">
        <f>EM24/EM$9</f>
        <v>-0.11040339702760085</v>
      </c>
      <c r="EN25" s="518">
        <f>EN24/EN$9</f>
        <v>-0.10367577756833177</v>
      </c>
      <c r="EO25" s="518">
        <f t="shared" si="34"/>
        <v>-5.7411273486430062E-2</v>
      </c>
      <c r="EP25" s="521">
        <f t="shared" si="34"/>
        <v>-7.9178150839388631E-2</v>
      </c>
      <c r="EQ25" s="518">
        <f t="shared" si="34"/>
        <v>-9.375E-2</v>
      </c>
      <c r="ER25" s="518">
        <f t="shared" si="34"/>
        <v>-3.9922103213242452E-2</v>
      </c>
      <c r="ES25" s="518">
        <f t="shared" si="34"/>
        <v>1.7597551644988524E-2</v>
      </c>
      <c r="ET25" s="518">
        <f t="shared" si="34"/>
        <v>-3.074141048824593E-2</v>
      </c>
      <c r="EU25" s="521">
        <f t="shared" si="34"/>
        <v>-3.0430711610486893E-2</v>
      </c>
      <c r="EV25" s="518">
        <f>EV24/EV$9</f>
        <v>-5.6910569105691054E-2</v>
      </c>
      <c r="EW25" s="518">
        <f>EW24/EW$9</f>
        <v>0</v>
      </c>
      <c r="EX25" s="518">
        <f>EX24/EX$9</f>
        <v>7.6688983566646385E-2</v>
      </c>
      <c r="EY25" s="518">
        <f>EY24/EY$9</f>
        <v>5.5405405405405408E-2</v>
      </c>
      <c r="EZ25" s="521">
        <f>EZ24/EZ$9</f>
        <v>2.85231750797523E-2</v>
      </c>
      <c r="FA25" s="518">
        <f t="shared" ref="FA25:FJ25" si="35">FA24/FA$9</f>
        <v>7.2859744990892539E-2</v>
      </c>
      <c r="FB25" s="518">
        <f t="shared" si="35"/>
        <v>8.7129840546697035E-2</v>
      </c>
      <c r="FC25" s="518">
        <f t="shared" si="35"/>
        <v>9.0744101633393831E-2</v>
      </c>
      <c r="FD25" s="518">
        <f t="shared" si="35"/>
        <v>1.9732205778717406E-2</v>
      </c>
      <c r="FE25" s="521">
        <f t="shared" si="35"/>
        <v>6.9652509652509659E-2</v>
      </c>
      <c r="FF25" s="518">
        <f t="shared" si="35"/>
        <v>-1.3364779874213837E-2</v>
      </c>
      <c r="FG25" s="518">
        <f t="shared" si="35"/>
        <v>4.3109079033311563E-2</v>
      </c>
      <c r="FH25" s="518">
        <f t="shared" si="35"/>
        <v>0.10327595780122155</v>
      </c>
      <c r="FI25" s="518">
        <f t="shared" si="35"/>
        <v>0.16361071932299012</v>
      </c>
      <c r="FJ25" s="521">
        <f t="shared" si="35"/>
        <v>8.6614173228346455E-2</v>
      </c>
      <c r="FK25" s="518">
        <f>FK24/FK$9</f>
        <v>9.9104143337066075E-2</v>
      </c>
      <c r="FL25" s="518">
        <f>FL24/FL$9</f>
        <v>8.9544513457556929E-2</v>
      </c>
      <c r="FM25" s="518">
        <f>FM24/FM$9</f>
        <v>0.16029989289539451</v>
      </c>
      <c r="FN25" s="518">
        <f>FN24/FN$9</f>
        <v>0.18002466091245375</v>
      </c>
      <c r="FO25" s="521">
        <f>FO24/FO$9</f>
        <v>0.14165727747618559</v>
      </c>
      <c r="FP25" s="518">
        <f t="shared" ref="FP25:HM25" si="36">FP24/FP$9</f>
        <v>0.19651669085631349</v>
      </c>
      <c r="FQ25" s="518">
        <f t="shared" si="36"/>
        <v>0.21844155844155844</v>
      </c>
      <c r="FR25" s="518">
        <f t="shared" si="36"/>
        <v>0.22165546023649432</v>
      </c>
      <c r="FS25" s="518">
        <f t="shared" si="36"/>
        <v>0.25196850393700787</v>
      </c>
      <c r="FT25" s="521">
        <f t="shared" si="36"/>
        <v>0.22453450164293537</v>
      </c>
      <c r="FU25" s="518">
        <f t="shared" si="36"/>
        <v>0.282486835400034</v>
      </c>
      <c r="FV25" s="518">
        <f t="shared" si="36"/>
        <v>0.2630534351145038</v>
      </c>
      <c r="FW25" s="518">
        <f t="shared" si="36"/>
        <v>0.17879604672057503</v>
      </c>
      <c r="FX25" s="518">
        <f t="shared" si="36"/>
        <v>0.17003036256474371</v>
      </c>
      <c r="FY25" s="521">
        <f t="shared" si="36"/>
        <v>0.22596500148298801</v>
      </c>
      <c r="FZ25" s="518">
        <f t="shared" si="36"/>
        <v>0.14814122921726136</v>
      </c>
      <c r="GA25" s="518">
        <f t="shared" si="36"/>
        <v>0.13435342414629595</v>
      </c>
      <c r="GB25" s="518">
        <f t="shared" si="36"/>
        <v>0.15913793103448276</v>
      </c>
      <c r="GC25" s="518">
        <f t="shared" si="36"/>
        <v>0.16828793774319067</v>
      </c>
      <c r="GD25" s="521">
        <f t="shared" si="36"/>
        <v>0.15317460317460319</v>
      </c>
      <c r="GE25" s="518">
        <f t="shared" si="36"/>
        <v>0.13922894207929837</v>
      </c>
      <c r="GF25" s="518">
        <f t="shared" si="36"/>
        <v>0.15732647814910025</v>
      </c>
      <c r="GG25" s="518">
        <f t="shared" si="36"/>
        <v>0.20002932981375568</v>
      </c>
      <c r="GH25" s="518">
        <f t="shared" si="36"/>
        <v>0.22029250457038391</v>
      </c>
      <c r="GI25" s="521">
        <f t="shared" si="36"/>
        <v>0.18347876672484004</v>
      </c>
      <c r="GJ25" s="518">
        <f t="shared" si="36"/>
        <v>0.19023931164291477</v>
      </c>
      <c r="GK25" s="518">
        <f t="shared" si="36"/>
        <v>6.8705270006506183E-2</v>
      </c>
      <c r="GL25" s="518">
        <f t="shared" si="36"/>
        <v>0.19673372269089337</v>
      </c>
      <c r="GM25" s="518">
        <f t="shared" si="36"/>
        <v>0.23057448880233691</v>
      </c>
      <c r="GN25" s="521">
        <f t="shared" si="36"/>
        <v>0.17696815727936718</v>
      </c>
      <c r="GO25" s="518">
        <f t="shared" si="36"/>
        <v>0.20023407783087876</v>
      </c>
      <c r="GP25" s="518">
        <f t="shared" si="36"/>
        <v>0.22144936773368065</v>
      </c>
      <c r="GQ25" s="518">
        <f t="shared" si="36"/>
        <v>0.22338625592310457</v>
      </c>
      <c r="GR25" s="518">
        <f t="shared" si="36"/>
        <v>0.27518868058384666</v>
      </c>
      <c r="GS25" s="521">
        <f t="shared" si="36"/>
        <v>0.23505839755456412</v>
      </c>
      <c r="GT25" s="518">
        <f t="shared" si="36"/>
        <v>0.27694782040724714</v>
      </c>
      <c r="GU25" s="518">
        <f t="shared" si="36"/>
        <v>0.28254995987223364</v>
      </c>
      <c r="GV25" s="518">
        <f t="shared" si="36"/>
        <v>0.28971702847125064</v>
      </c>
      <c r="GW25" s="518">
        <f t="shared" si="36"/>
        <v>0.2896461471128588</v>
      </c>
      <c r="GX25" s="521">
        <f t="shared" si="36"/>
        <v>0.28537063944707197</v>
      </c>
      <c r="GY25" s="518">
        <f t="shared" si="36"/>
        <v>0.2913814330945842</v>
      </c>
      <c r="GZ25" s="518">
        <f t="shared" si="36"/>
        <v>0.30215551251808243</v>
      </c>
      <c r="HA25" s="518">
        <f t="shared" si="36"/>
        <v>0.32038532022647431</v>
      </c>
      <c r="HB25" s="518">
        <f t="shared" si="36"/>
        <v>0.3320624391397593</v>
      </c>
      <c r="HC25" s="521">
        <f t="shared" si="36"/>
        <v>0.3125936028468001</v>
      </c>
      <c r="HD25" s="518">
        <f t="shared" si="36"/>
        <v>0.31912693181677576</v>
      </c>
      <c r="HE25" s="518">
        <f t="shared" si="36"/>
        <v>0.32172504157887744</v>
      </c>
      <c r="HF25" s="518">
        <f t="shared" si="36"/>
        <v>0.33305860148917826</v>
      </c>
      <c r="HG25" s="518">
        <f t="shared" si="36"/>
        <v>0.33339146120367225</v>
      </c>
      <c r="HH25" s="521">
        <f t="shared" si="36"/>
        <v>0.32722060228008765</v>
      </c>
      <c r="HI25" s="518">
        <f t="shared" si="36"/>
        <v>0.32340068638954761</v>
      </c>
      <c r="HJ25" s="518">
        <f t="shared" si="36"/>
        <v>0.32801155949777744</v>
      </c>
      <c r="HK25" s="518">
        <f t="shared" si="36"/>
        <v>0.3446521679612104</v>
      </c>
      <c r="HL25" s="518">
        <f t="shared" si="36"/>
        <v>0.35205462476408861</v>
      </c>
      <c r="HM25" s="521">
        <f t="shared" si="36"/>
        <v>0.33787410448729399</v>
      </c>
      <c r="HN25" s="521"/>
      <c r="HP25" s="453"/>
      <c r="HQ25" s="453"/>
      <c r="HR25" s="453"/>
      <c r="HS25" s="453"/>
      <c r="HT25" s="453"/>
      <c r="HU25" s="453"/>
      <c r="HV25" s="453"/>
      <c r="HW25" s="453"/>
      <c r="HX25" s="453"/>
      <c r="HY25" s="453"/>
      <c r="HZ25" s="453"/>
      <c r="IA25" s="453"/>
      <c r="IB25" s="453"/>
    </row>
    <row r="26" spans="1:236" s="509" customFormat="1" ht="15" customHeight="1">
      <c r="A26" s="532" t="s">
        <v>373</v>
      </c>
      <c r="L26" s="523"/>
      <c r="M26" s="523"/>
      <c r="N26" s="523"/>
      <c r="O26" s="523"/>
      <c r="P26" s="524"/>
      <c r="Q26" s="523"/>
      <c r="R26" s="523"/>
      <c r="S26" s="523"/>
      <c r="T26" s="523"/>
      <c r="U26" s="524"/>
      <c r="V26" s="523"/>
      <c r="W26" s="523"/>
      <c r="X26" s="523"/>
      <c r="Y26" s="523"/>
      <c r="Z26" s="524"/>
      <c r="AA26" s="523"/>
      <c r="AB26" s="523"/>
      <c r="AC26" s="523"/>
      <c r="AD26" s="523"/>
      <c r="AE26" s="524"/>
      <c r="AF26" s="523">
        <v>0</v>
      </c>
      <c r="AG26" s="523">
        <v>0</v>
      </c>
      <c r="AH26" s="523">
        <v>0</v>
      </c>
      <c r="AI26" s="523">
        <v>0</v>
      </c>
      <c r="AJ26" s="524">
        <f>SUM(AF26:AI26)</f>
        <v>0</v>
      </c>
      <c r="AK26" s="523">
        <v>0</v>
      </c>
      <c r="AL26" s="523">
        <v>0</v>
      </c>
      <c r="AM26" s="523">
        <v>0</v>
      </c>
      <c r="AN26" s="523">
        <v>0</v>
      </c>
      <c r="AO26" s="524">
        <f>SUM(AK26:AN26)</f>
        <v>0</v>
      </c>
      <c r="AP26" s="523">
        <v>0</v>
      </c>
      <c r="AQ26" s="523">
        <v>0</v>
      </c>
      <c r="AR26" s="523">
        <v>0</v>
      </c>
      <c r="AS26" s="523">
        <v>0</v>
      </c>
      <c r="AT26" s="524">
        <f>SUM(AP26:AS26)</f>
        <v>0</v>
      </c>
      <c r="AU26" s="523">
        <v>0</v>
      </c>
      <c r="AV26" s="523">
        <v>0</v>
      </c>
      <c r="AW26" s="523">
        <v>0</v>
      </c>
      <c r="AX26" s="523">
        <v>0</v>
      </c>
      <c r="AY26" s="524">
        <f>SUM(AU26:AX26)</f>
        <v>0</v>
      </c>
      <c r="AZ26" s="523">
        <v>0</v>
      </c>
      <c r="BA26" s="523">
        <v>0</v>
      </c>
      <c r="BB26" s="523">
        <v>0</v>
      </c>
      <c r="BC26" s="523">
        <v>0</v>
      </c>
      <c r="BD26" s="524">
        <f>SUM(AZ26:BC26)</f>
        <v>0</v>
      </c>
      <c r="BE26" s="523">
        <v>0</v>
      </c>
      <c r="BF26" s="523">
        <v>0</v>
      </c>
      <c r="BG26" s="523">
        <v>0</v>
      </c>
      <c r="BH26" s="523">
        <v>0</v>
      </c>
      <c r="BI26" s="524">
        <f>SUM(BE26:BH26)</f>
        <v>0</v>
      </c>
      <c r="BJ26" s="523">
        <v>15.016</v>
      </c>
      <c r="BK26" s="523">
        <f>17.514-432.059</f>
        <v>-414.54500000000002</v>
      </c>
      <c r="BL26" s="523">
        <v>0</v>
      </c>
      <c r="BM26" s="523">
        <v>5.7</v>
      </c>
      <c r="BN26" s="524">
        <f>SUM(BJ26:BM26)</f>
        <v>-393.82900000000001</v>
      </c>
      <c r="BO26" s="523">
        <v>0</v>
      </c>
      <c r="BP26" s="523">
        <v>0</v>
      </c>
      <c r="BQ26" s="523">
        <f>-336.899+22.98</f>
        <v>-313.91899999999998</v>
      </c>
      <c r="BR26" s="524">
        <v>6.4000000000000001E-2</v>
      </c>
      <c r="BS26" s="524">
        <f>SUM(BO26:BR26)</f>
        <v>-313.85499999999996</v>
      </c>
      <c r="BT26" s="523">
        <v>0</v>
      </c>
      <c r="BU26" s="523">
        <v>0</v>
      </c>
      <c r="BV26" s="523">
        <f>89.305+6.901+21.969</f>
        <v>118.17500000000001</v>
      </c>
      <c r="BW26" s="523">
        <v>0</v>
      </c>
      <c r="BX26" s="524">
        <f>SUM(BT26:BW26)</f>
        <v>118.17500000000001</v>
      </c>
      <c r="BY26" s="523">
        <v>0</v>
      </c>
      <c r="BZ26" s="523">
        <v>0</v>
      </c>
      <c r="CA26" s="523">
        <v>0</v>
      </c>
      <c r="CB26" s="523">
        <f>42+3.55+330.575+243.47</f>
        <v>619.59500000000003</v>
      </c>
      <c r="CC26" s="524">
        <f>SUM(BY26:CB26)</f>
        <v>619.59500000000003</v>
      </c>
      <c r="CD26" s="523">
        <v>0</v>
      </c>
      <c r="CE26" s="523">
        <v>0</v>
      </c>
      <c r="CF26" s="523">
        <v>0</v>
      </c>
      <c r="CG26" s="523">
        <v>0</v>
      </c>
      <c r="CH26" s="524">
        <f>SUM(CD26:CG26)</f>
        <v>0</v>
      </c>
      <c r="CI26" s="523">
        <v>0</v>
      </c>
      <c r="CJ26" s="523">
        <v>2.5139999999999998</v>
      </c>
      <c r="CK26" s="523">
        <v>0</v>
      </c>
      <c r="CL26" s="523">
        <f>2.942+46</f>
        <v>48.942</v>
      </c>
      <c r="CM26" s="524">
        <f>SUM(CI26:CL26)</f>
        <v>51.456000000000003</v>
      </c>
      <c r="CN26" s="523">
        <v>0</v>
      </c>
      <c r="CO26" s="523">
        <v>0</v>
      </c>
      <c r="CP26" s="523">
        <v>0</v>
      </c>
      <c r="CQ26" s="523">
        <f>109.681</f>
        <v>109.681</v>
      </c>
      <c r="CR26" s="524">
        <f>SUM(CN26:CQ26)</f>
        <v>109.681</v>
      </c>
      <c r="CS26" s="523">
        <v>0</v>
      </c>
      <c r="CT26" s="523">
        <v>0</v>
      </c>
      <c r="CU26" s="523">
        <v>0</v>
      </c>
      <c r="CV26" s="523">
        <f>72+62+416</f>
        <v>550</v>
      </c>
      <c r="CW26" s="524">
        <f>SUM(CS26:CV26)</f>
        <v>550</v>
      </c>
      <c r="CX26" s="523">
        <f>84+29</f>
        <v>113</v>
      </c>
      <c r="CY26" s="523">
        <f>78+2+14+5+30</f>
        <v>129</v>
      </c>
      <c r="CZ26" s="523">
        <f>76+2+42</f>
        <v>120</v>
      </c>
      <c r="DA26" s="523">
        <f>61+1608+69</f>
        <v>1738</v>
      </c>
      <c r="DB26" s="524">
        <f>SUM(CX26:DA26)</f>
        <v>2100</v>
      </c>
      <c r="DC26" s="523">
        <f>50</f>
        <v>50</v>
      </c>
      <c r="DD26" s="523">
        <f>30+30-193+36</f>
        <v>-97</v>
      </c>
      <c r="DE26" s="523">
        <f>2+9+30-191</f>
        <v>-150</v>
      </c>
      <c r="DF26" s="523">
        <f>30+684+50+227+21+23-39</f>
        <v>996</v>
      </c>
      <c r="DG26" s="524">
        <f>SUM(DC26:DF26)</f>
        <v>799</v>
      </c>
      <c r="DH26" s="523">
        <f>18+60-64</f>
        <v>14</v>
      </c>
      <c r="DI26" s="523">
        <f>-98+17+1-6</f>
        <v>-86</v>
      </c>
      <c r="DJ26" s="523">
        <f>17+4-9-66</f>
        <v>-54</v>
      </c>
      <c r="DK26" s="523">
        <f>-1242+18+11-25</f>
        <v>-1238</v>
      </c>
      <c r="DL26" s="524">
        <f>SUM(DH26:DK26)</f>
        <v>-1364</v>
      </c>
      <c r="DM26" s="523">
        <f>17-69-325</f>
        <v>-377</v>
      </c>
      <c r="DN26" s="523">
        <f>17-4-7</f>
        <v>6</v>
      </c>
      <c r="DO26" s="523">
        <f>16+24</f>
        <v>40</v>
      </c>
      <c r="DP26" s="523">
        <f>-283+11-17</f>
        <v>-289</v>
      </c>
      <c r="DQ26" s="524">
        <f>SUM(DM26:DP26)</f>
        <v>-620</v>
      </c>
      <c r="DR26" s="523">
        <f>9+24+5</f>
        <v>38</v>
      </c>
      <c r="DS26" s="523">
        <v>9</v>
      </c>
      <c r="DT26" s="523">
        <f>8+5</f>
        <v>13</v>
      </c>
      <c r="DU26" s="523">
        <f>3+98+209</f>
        <v>310</v>
      </c>
      <c r="DV26" s="524">
        <f>SUM(DR26:DU26)</f>
        <v>370</v>
      </c>
      <c r="DW26" s="523">
        <f>1+8+703+6</f>
        <v>718</v>
      </c>
      <c r="DX26" s="523">
        <f>4+5</f>
        <v>9</v>
      </c>
      <c r="DY26" s="523">
        <f>4+3</f>
        <v>7</v>
      </c>
      <c r="DZ26" s="523">
        <f>273+4+90</f>
        <v>367</v>
      </c>
      <c r="EA26" s="524">
        <f>SUM(DW26:DZ26)</f>
        <v>1101</v>
      </c>
      <c r="EB26" s="523">
        <f>5+47</f>
        <v>52</v>
      </c>
      <c r="EC26" s="523">
        <v>9</v>
      </c>
      <c r="ED26" s="523">
        <f>5-22</f>
        <v>-17</v>
      </c>
      <c r="EE26" s="523">
        <f>4-48</f>
        <v>-44</v>
      </c>
      <c r="EF26" s="524">
        <f>SUM(EB26:EE26)</f>
        <v>0</v>
      </c>
      <c r="EG26" s="523">
        <f>3+14+15</f>
        <v>32</v>
      </c>
      <c r="EH26" s="523">
        <f>4+49</f>
        <v>53</v>
      </c>
      <c r="EI26" s="523">
        <v>3</v>
      </c>
      <c r="EJ26" s="523">
        <f>233+71+58+4</f>
        <v>366</v>
      </c>
      <c r="EK26" s="524">
        <f>SUM(EG26:EJ26)</f>
        <v>454</v>
      </c>
      <c r="EL26" s="523">
        <f>3+87</f>
        <v>90</v>
      </c>
      <c r="EM26" s="523">
        <v>33</v>
      </c>
      <c r="EN26" s="523">
        <v>48</v>
      </c>
      <c r="EO26" s="523">
        <f>-6</f>
        <v>-6</v>
      </c>
      <c r="EP26" s="524">
        <f>SUM(EL26:EO26)</f>
        <v>165</v>
      </c>
      <c r="EQ26" s="523">
        <f>-3-7</f>
        <v>-10</v>
      </c>
      <c r="ER26" s="523">
        <f>-7-26-150</f>
        <v>-183</v>
      </c>
      <c r="ES26" s="523">
        <f>-24+340</f>
        <v>316</v>
      </c>
      <c r="ET26" s="523">
        <v>-31</v>
      </c>
      <c r="EU26" s="524">
        <f>SUM(EQ26:ET26)</f>
        <v>92</v>
      </c>
      <c r="EV26" s="523">
        <v>-27</v>
      </c>
      <c r="EW26" s="523">
        <v>-25</v>
      </c>
      <c r="EX26" s="523">
        <v>0</v>
      </c>
      <c r="EY26" s="523">
        <v>0</v>
      </c>
      <c r="EZ26" s="524">
        <f>SUM(EV26:EY26)</f>
        <v>-52</v>
      </c>
      <c r="FA26" s="523">
        <v>0</v>
      </c>
      <c r="FB26" s="523">
        <v>0</v>
      </c>
      <c r="FC26" s="523">
        <v>0</v>
      </c>
      <c r="FD26" s="523">
        <f>FC26</f>
        <v>0</v>
      </c>
      <c r="FE26" s="524">
        <f>SUM(FA26:FD26)</f>
        <v>0</v>
      </c>
      <c r="FF26" s="523">
        <v>5</v>
      </c>
      <c r="FG26" s="523">
        <v>7</v>
      </c>
      <c r="FH26" s="523">
        <v>0</v>
      </c>
      <c r="FI26" s="523">
        <f>FH26</f>
        <v>0</v>
      </c>
      <c r="FJ26" s="524">
        <f>SUM(FF26:FI26)</f>
        <v>12</v>
      </c>
      <c r="FK26" s="523">
        <v>0</v>
      </c>
      <c r="FL26" s="523">
        <f>FK26</f>
        <v>0</v>
      </c>
      <c r="FM26" s="523">
        <v>0</v>
      </c>
      <c r="FN26" s="523">
        <v>0</v>
      </c>
      <c r="FO26" s="524">
        <f>SUM(FK26:FN26)</f>
        <v>0</v>
      </c>
      <c r="FP26" s="523">
        <v>15</v>
      </c>
      <c r="FQ26" s="523">
        <v>10</v>
      </c>
      <c r="FR26" s="523">
        <v>8</v>
      </c>
      <c r="FS26" s="523">
        <v>9</v>
      </c>
      <c r="FT26" s="524">
        <f>SUM(FP26:FS26)</f>
        <v>42</v>
      </c>
      <c r="FU26" s="523">
        <f>233+479</f>
        <v>712</v>
      </c>
      <c r="FV26" s="523">
        <f>95+407+79+616</f>
        <v>1197</v>
      </c>
      <c r="FW26" s="523">
        <f>2+412+55+590</f>
        <v>1059</v>
      </c>
      <c r="FX26" s="523">
        <f>443+4+53+601</f>
        <v>1101</v>
      </c>
      <c r="FY26" s="524">
        <f>SUM(FU26:FX26)</f>
        <v>4069</v>
      </c>
      <c r="FZ26" s="523">
        <f>3+305+112+518</f>
        <v>938</v>
      </c>
      <c r="GA26" s="523">
        <f>693+47</f>
        <v>740</v>
      </c>
      <c r="GB26" s="523">
        <f>660+39</f>
        <v>699</v>
      </c>
      <c r="GC26" s="523">
        <f>635+61</f>
        <v>696</v>
      </c>
      <c r="GD26" s="524">
        <f>SUM(FZ26:GC26)</f>
        <v>3073</v>
      </c>
      <c r="GE26" s="523">
        <f>622+39+65</f>
        <v>726</v>
      </c>
      <c r="GF26" s="523">
        <f>603+46</f>
        <v>649</v>
      </c>
      <c r="GG26" s="523">
        <f>585+55</f>
        <v>640</v>
      </c>
      <c r="GH26" s="523">
        <f>584+46+186</f>
        <v>816</v>
      </c>
      <c r="GI26" s="524">
        <f>SUM(GE26:GH26)</f>
        <v>2831</v>
      </c>
      <c r="GJ26" s="523">
        <f>567+42</f>
        <v>609</v>
      </c>
      <c r="GK26" s="523">
        <f>568+94</f>
        <v>662</v>
      </c>
      <c r="GL26" s="523">
        <f>562+42-67+12</f>
        <v>549</v>
      </c>
      <c r="GM26" s="523">
        <f>557+50+9</f>
        <v>616</v>
      </c>
      <c r="GN26" s="524">
        <f>SUM(GJ26:GM26)</f>
        <v>2436</v>
      </c>
      <c r="GO26" s="523">
        <f>551+26</f>
        <v>577</v>
      </c>
      <c r="GP26" s="540">
        <v>0</v>
      </c>
      <c r="GQ26" s="540">
        <f>GP26</f>
        <v>0</v>
      </c>
      <c r="GR26" s="540">
        <f>GQ26</f>
        <v>0</v>
      </c>
      <c r="GS26" s="524">
        <f>SUM(GO26:GR26)</f>
        <v>577</v>
      </c>
      <c r="GT26" s="540">
        <v>0</v>
      </c>
      <c r="GU26" s="540">
        <f>GT26</f>
        <v>0</v>
      </c>
      <c r="GV26" s="540">
        <f>GU26</f>
        <v>0</v>
      </c>
      <c r="GW26" s="540">
        <f>GV26</f>
        <v>0</v>
      </c>
      <c r="GX26" s="524">
        <f>SUM(GT26:GW26)</f>
        <v>0</v>
      </c>
      <c r="GY26" s="540">
        <v>0</v>
      </c>
      <c r="GZ26" s="540">
        <f>GY26</f>
        <v>0</v>
      </c>
      <c r="HA26" s="540">
        <f>GZ26</f>
        <v>0</v>
      </c>
      <c r="HB26" s="540">
        <f>HA26</f>
        <v>0</v>
      </c>
      <c r="HC26" s="524">
        <f>SUM(GY26:HB26)</f>
        <v>0</v>
      </c>
      <c r="HD26" s="540">
        <v>0</v>
      </c>
      <c r="HE26" s="540">
        <f>HD26</f>
        <v>0</v>
      </c>
      <c r="HF26" s="540">
        <f>HE26</f>
        <v>0</v>
      </c>
      <c r="HG26" s="540">
        <f>HF26</f>
        <v>0</v>
      </c>
      <c r="HH26" s="524">
        <f>SUM(HD26:HG26)</f>
        <v>0</v>
      </c>
      <c r="HI26" s="540">
        <v>0</v>
      </c>
      <c r="HJ26" s="540">
        <f>HI26</f>
        <v>0</v>
      </c>
      <c r="HK26" s="540">
        <f>HJ26</f>
        <v>0</v>
      </c>
      <c r="HL26" s="540">
        <f>HK26</f>
        <v>0</v>
      </c>
      <c r="HM26" s="524">
        <f>SUM(HI26:HL26)</f>
        <v>0</v>
      </c>
      <c r="HN26" s="524"/>
      <c r="HO26" s="538"/>
      <c r="HP26" s="453"/>
      <c r="HQ26" s="453"/>
      <c r="HR26" s="453"/>
      <c r="HS26" s="453"/>
      <c r="HT26" s="453"/>
      <c r="HU26" s="453"/>
      <c r="HV26" s="453"/>
      <c r="HW26" s="453"/>
      <c r="HX26" s="453"/>
      <c r="HY26" s="453"/>
      <c r="HZ26" s="453"/>
      <c r="IA26" s="453"/>
      <c r="IB26" s="453"/>
    </row>
    <row r="27" spans="1:236" s="509" customFormat="1" ht="15" customHeight="1">
      <c r="A27" s="517" t="s">
        <v>202</v>
      </c>
      <c r="L27" s="518"/>
      <c r="M27" s="518"/>
      <c r="N27" s="518"/>
      <c r="O27" s="518"/>
      <c r="P27" s="521"/>
      <c r="Q27" s="518"/>
      <c r="R27" s="518"/>
      <c r="S27" s="518"/>
      <c r="T27" s="518"/>
      <c r="U27" s="521"/>
      <c r="V27" s="518"/>
      <c r="W27" s="518"/>
      <c r="X27" s="518"/>
      <c r="Y27" s="518"/>
      <c r="Z27" s="521"/>
      <c r="AA27" s="518"/>
      <c r="AB27" s="518"/>
      <c r="AC27" s="518"/>
      <c r="AD27" s="518"/>
      <c r="AE27" s="521"/>
      <c r="AF27" s="518">
        <f t="shared" ref="AF27:CQ27" si="37">AF26/AF$9</f>
        <v>0</v>
      </c>
      <c r="AG27" s="518">
        <f t="shared" si="37"/>
        <v>0</v>
      </c>
      <c r="AH27" s="518">
        <f t="shared" si="37"/>
        <v>0</v>
      </c>
      <c r="AI27" s="518">
        <f t="shared" si="37"/>
        <v>0</v>
      </c>
      <c r="AJ27" s="521">
        <f t="shared" si="37"/>
        <v>0</v>
      </c>
      <c r="AK27" s="518">
        <f t="shared" si="37"/>
        <v>0</v>
      </c>
      <c r="AL27" s="518">
        <f t="shared" si="37"/>
        <v>0</v>
      </c>
      <c r="AM27" s="518">
        <f t="shared" si="37"/>
        <v>0</v>
      </c>
      <c r="AN27" s="518">
        <f t="shared" si="37"/>
        <v>0</v>
      </c>
      <c r="AO27" s="521">
        <f t="shared" si="37"/>
        <v>0</v>
      </c>
      <c r="AP27" s="518">
        <f t="shared" si="37"/>
        <v>0</v>
      </c>
      <c r="AQ27" s="518">
        <f t="shared" si="37"/>
        <v>0</v>
      </c>
      <c r="AR27" s="518">
        <f t="shared" si="37"/>
        <v>0</v>
      </c>
      <c r="AS27" s="518">
        <f t="shared" si="37"/>
        <v>0</v>
      </c>
      <c r="AT27" s="521">
        <f t="shared" si="37"/>
        <v>0</v>
      </c>
      <c r="AU27" s="518">
        <f t="shared" si="37"/>
        <v>0</v>
      </c>
      <c r="AV27" s="518">
        <f t="shared" si="37"/>
        <v>0</v>
      </c>
      <c r="AW27" s="518">
        <f t="shared" si="37"/>
        <v>0</v>
      </c>
      <c r="AX27" s="518">
        <f t="shared" si="37"/>
        <v>0</v>
      </c>
      <c r="AY27" s="521">
        <f t="shared" si="37"/>
        <v>0</v>
      </c>
      <c r="AZ27" s="518">
        <f t="shared" si="37"/>
        <v>0</v>
      </c>
      <c r="BA27" s="518">
        <f t="shared" si="37"/>
        <v>0</v>
      </c>
      <c r="BB27" s="518">
        <f t="shared" si="37"/>
        <v>0</v>
      </c>
      <c r="BC27" s="518">
        <f t="shared" si="37"/>
        <v>0</v>
      </c>
      <c r="BD27" s="521">
        <f t="shared" si="37"/>
        <v>0</v>
      </c>
      <c r="BE27" s="518">
        <f t="shared" si="37"/>
        <v>0</v>
      </c>
      <c r="BF27" s="518">
        <f t="shared" si="37"/>
        <v>0</v>
      </c>
      <c r="BG27" s="518">
        <f t="shared" si="37"/>
        <v>0</v>
      </c>
      <c r="BH27" s="518">
        <f t="shared" si="37"/>
        <v>0</v>
      </c>
      <c r="BI27" s="521">
        <f t="shared" si="37"/>
        <v>0</v>
      </c>
      <c r="BJ27" s="518">
        <f t="shared" si="37"/>
        <v>2.3774804343936681E-2</v>
      </c>
      <c r="BK27" s="518">
        <f t="shared" si="37"/>
        <v>-0.69658667571822974</v>
      </c>
      <c r="BL27" s="518">
        <f t="shared" si="37"/>
        <v>0</v>
      </c>
      <c r="BM27" s="518">
        <f t="shared" si="37"/>
        <v>5.8841139247039877E-3</v>
      </c>
      <c r="BN27" s="521">
        <f t="shared" si="37"/>
        <v>-0.13781790618994094</v>
      </c>
      <c r="BO27" s="518">
        <f t="shared" si="37"/>
        <v>0</v>
      </c>
      <c r="BP27" s="518">
        <f t="shared" si="37"/>
        <v>0</v>
      </c>
      <c r="BQ27" s="518">
        <f t="shared" si="37"/>
        <v>-0.26017923847270191</v>
      </c>
      <c r="BR27" s="518">
        <f t="shared" si="37"/>
        <v>5.4460113072809766E-5</v>
      </c>
      <c r="BS27" s="521">
        <f t="shared" si="37"/>
        <v>-6.7580181418190083E-2</v>
      </c>
      <c r="BT27" s="518">
        <f t="shared" si="37"/>
        <v>0</v>
      </c>
      <c r="BU27" s="518">
        <f t="shared" si="37"/>
        <v>0</v>
      </c>
      <c r="BV27" s="518">
        <f t="shared" si="37"/>
        <v>0.154301643882121</v>
      </c>
      <c r="BW27" s="518">
        <f t="shared" si="37"/>
        <v>0</v>
      </c>
      <c r="BX27" s="521">
        <f t="shared" si="37"/>
        <v>3.0365485588246331E-2</v>
      </c>
      <c r="BY27" s="518">
        <f t="shared" si="37"/>
        <v>0</v>
      </c>
      <c r="BZ27" s="518">
        <f t="shared" si="37"/>
        <v>0</v>
      </c>
      <c r="CA27" s="518">
        <f t="shared" si="37"/>
        <v>0</v>
      </c>
      <c r="CB27" s="518">
        <f t="shared" si="37"/>
        <v>0.90263391751526023</v>
      </c>
      <c r="CC27" s="521">
        <f t="shared" si="37"/>
        <v>0.22973242037812724</v>
      </c>
      <c r="CD27" s="518">
        <f t="shared" si="37"/>
        <v>0</v>
      </c>
      <c r="CE27" s="518">
        <f t="shared" si="37"/>
        <v>0</v>
      </c>
      <c r="CF27" s="518">
        <f t="shared" si="37"/>
        <v>0</v>
      </c>
      <c r="CG27" s="518">
        <f t="shared" si="37"/>
        <v>0</v>
      </c>
      <c r="CH27" s="521">
        <f t="shared" si="37"/>
        <v>0</v>
      </c>
      <c r="CI27" s="518">
        <f t="shared" si="37"/>
        <v>0</v>
      </c>
      <c r="CJ27" s="518">
        <f t="shared" si="37"/>
        <v>1.9923333996387806E-3</v>
      </c>
      <c r="CK27" s="518">
        <f t="shared" si="37"/>
        <v>0</v>
      </c>
      <c r="CL27" s="518">
        <f t="shared" si="37"/>
        <v>3.8728944865340516E-2</v>
      </c>
      <c r="CM27" s="521">
        <f t="shared" si="37"/>
        <v>1.028824727303264E-2</v>
      </c>
      <c r="CN27" s="518">
        <f t="shared" si="37"/>
        <v>0</v>
      </c>
      <c r="CO27" s="518">
        <f t="shared" si="37"/>
        <v>0</v>
      </c>
      <c r="CP27" s="518">
        <f t="shared" si="37"/>
        <v>0</v>
      </c>
      <c r="CQ27" s="518">
        <f t="shared" si="37"/>
        <v>5.9665142775078388E-2</v>
      </c>
      <c r="CR27" s="521">
        <f t="shared" ref="CR27:DQ27" si="38">CR26/CR$9</f>
        <v>1.8756657672058016E-2</v>
      </c>
      <c r="CS27" s="518">
        <f t="shared" si="38"/>
        <v>0</v>
      </c>
      <c r="CT27" s="518">
        <f t="shared" si="38"/>
        <v>0</v>
      </c>
      <c r="CU27" s="518">
        <f t="shared" si="38"/>
        <v>0</v>
      </c>
      <c r="CV27" s="518">
        <f t="shared" si="38"/>
        <v>0.3102086858432036</v>
      </c>
      <c r="CW27" s="521">
        <f t="shared" si="38"/>
        <v>9.7359831493144006E-2</v>
      </c>
      <c r="CX27" s="518">
        <f t="shared" si="38"/>
        <v>9.1646390916463913E-2</v>
      </c>
      <c r="CY27" s="518">
        <f t="shared" si="38"/>
        <v>9.3613933236574742E-2</v>
      </c>
      <c r="CZ27" s="518">
        <f t="shared" si="38"/>
        <v>7.3529411764705885E-2</v>
      </c>
      <c r="DA27" s="518">
        <f t="shared" si="38"/>
        <v>0.98192090395480225</v>
      </c>
      <c r="DB27" s="521">
        <f t="shared" si="38"/>
        <v>0.34924330616996507</v>
      </c>
      <c r="DC27" s="518">
        <f t="shared" si="38"/>
        <v>3.3222591362126248E-2</v>
      </c>
      <c r="DD27" s="518">
        <f t="shared" si="38"/>
        <v>-7.1905114899925876E-2</v>
      </c>
      <c r="DE27" s="518">
        <f t="shared" si="38"/>
        <v>-9.3399750933997508E-2</v>
      </c>
      <c r="DF27" s="518">
        <f t="shared" si="38"/>
        <v>0.8571428571428571</v>
      </c>
      <c r="DG27" s="521">
        <f t="shared" si="38"/>
        <v>0.14212024190679473</v>
      </c>
      <c r="DH27" s="518">
        <f t="shared" si="38"/>
        <v>1.18946474086661E-2</v>
      </c>
      <c r="DI27" s="518">
        <f t="shared" si="38"/>
        <v>-7.2635135135135129E-2</v>
      </c>
      <c r="DJ27" s="518">
        <f t="shared" si="38"/>
        <v>-3.8681948424068767E-2</v>
      </c>
      <c r="DK27" s="518">
        <f t="shared" si="38"/>
        <v>-0.75212636695018231</v>
      </c>
      <c r="DL27" s="521">
        <f t="shared" si="38"/>
        <v>-0.25245234129187488</v>
      </c>
      <c r="DM27" s="518">
        <f t="shared" si="38"/>
        <v>-0.23951715374841168</v>
      </c>
      <c r="DN27" s="518">
        <f t="shared" si="38"/>
        <v>3.629764065335753E-3</v>
      </c>
      <c r="DO27" s="518">
        <f t="shared" si="38"/>
        <v>2.4721878862793572E-2</v>
      </c>
      <c r="DP27" s="518">
        <f t="shared" si="38"/>
        <v>-0.17525773195876287</v>
      </c>
      <c r="DQ27" s="521">
        <f t="shared" si="38"/>
        <v>-9.5472744071450566E-2</v>
      </c>
      <c r="DR27" s="518">
        <f>DR26/DR$9</f>
        <v>2.3558586484810913E-2</v>
      </c>
      <c r="DS27" s="518">
        <f>DS26/DS$9</f>
        <v>5.7179161372299869E-3</v>
      </c>
      <c r="DT27" s="518">
        <f>DT26/DT$9</f>
        <v>7.6923076923076927E-3</v>
      </c>
      <c r="DU27" s="518">
        <f>DU26/DU$9</f>
        <v>0.18332347723240686</v>
      </c>
      <c r="DV27" s="521">
        <f t="shared" ref="DV27:EU27" si="39">DV26/DV$9</f>
        <v>5.6333739342265529E-2</v>
      </c>
      <c r="DW27" s="518">
        <f>DW26/DW$9</f>
        <v>0.45299684542586749</v>
      </c>
      <c r="DX27" s="518">
        <f>DX26/DX$9</f>
        <v>6.369426751592357E-3</v>
      </c>
      <c r="DY27" s="518">
        <f>DY26/DY$9</f>
        <v>5.5161544523246652E-3</v>
      </c>
      <c r="DZ27" s="518">
        <f>DZ26/DZ$9</f>
        <v>0.31774891774891773</v>
      </c>
      <c r="EA27" s="521">
        <f t="shared" si="39"/>
        <v>0.20306160088528219</v>
      </c>
      <c r="EB27" s="518">
        <f t="shared" si="39"/>
        <v>4.779411764705882E-2</v>
      </c>
      <c r="EC27" s="518">
        <f t="shared" si="39"/>
        <v>7.7519379844961239E-3</v>
      </c>
      <c r="ED27" s="518">
        <f t="shared" si="39"/>
        <v>-1.1635865845311431E-2</v>
      </c>
      <c r="EE27" s="518">
        <f t="shared" si="39"/>
        <v>-2.7690371302706105E-2</v>
      </c>
      <c r="EF27" s="521">
        <f t="shared" si="39"/>
        <v>0</v>
      </c>
      <c r="EG27" s="518">
        <f t="shared" si="39"/>
        <v>2.2906227630637079E-2</v>
      </c>
      <c r="EH27" s="518">
        <f t="shared" si="39"/>
        <v>3.678001387925052E-2</v>
      </c>
      <c r="EI27" s="518">
        <f>EI26/EI$9</f>
        <v>2.0993701889433169E-3</v>
      </c>
      <c r="EJ27" s="518">
        <f>EJ26/EJ$9</f>
        <v>0.29539951573849876</v>
      </c>
      <c r="EK27" s="521">
        <f t="shared" si="39"/>
        <v>8.2455503087540863E-2</v>
      </c>
      <c r="EL27" s="518">
        <f>EL26/EL$9</f>
        <v>8.7378640776699032E-2</v>
      </c>
      <c r="EM27" s="518">
        <f>EM26/EM$9</f>
        <v>3.5031847133757961E-2</v>
      </c>
      <c r="EN27" s="518">
        <f>EN26/EN$9</f>
        <v>4.5240339302544771E-2</v>
      </c>
      <c r="EO27" s="518">
        <f t="shared" si="39"/>
        <v>-6.2630480167014616E-3</v>
      </c>
      <c r="EP27" s="521">
        <f t="shared" si="39"/>
        <v>4.1343021799047856E-2</v>
      </c>
      <c r="EQ27" s="518">
        <f t="shared" si="39"/>
        <v>-1.201923076923077E-2</v>
      </c>
      <c r="ER27" s="518">
        <f t="shared" si="39"/>
        <v>-0.17818889970788704</v>
      </c>
      <c r="ES27" s="518">
        <f t="shared" si="39"/>
        <v>0.24177505738332059</v>
      </c>
      <c r="ET27" s="518">
        <f t="shared" si="39"/>
        <v>-2.8028933092224231E-2</v>
      </c>
      <c r="EU27" s="521">
        <f t="shared" si="39"/>
        <v>2.153558052434457E-2</v>
      </c>
      <c r="EV27" s="518">
        <f>EV26/EV$9</f>
        <v>-2.7439024390243903E-2</v>
      </c>
      <c r="EW27" s="518">
        <f>EW26/EW$9</f>
        <v>-2.0458265139116204E-2</v>
      </c>
      <c r="EX27" s="518">
        <f>EX26/EX$9</f>
        <v>0</v>
      </c>
      <c r="EY27" s="518">
        <f>EY26/EY$9</f>
        <v>0</v>
      </c>
      <c r="EZ27" s="521">
        <f>EZ26/EZ$9</f>
        <v>-9.7579283167573659E-3</v>
      </c>
      <c r="FA27" s="518">
        <f t="shared" ref="FA27:FJ27" si="40">FA26/FA$9</f>
        <v>0</v>
      </c>
      <c r="FB27" s="518">
        <f t="shared" si="40"/>
        <v>0</v>
      </c>
      <c r="FC27" s="518">
        <f t="shared" si="40"/>
        <v>0</v>
      </c>
      <c r="FD27" s="518">
        <f t="shared" si="40"/>
        <v>0</v>
      </c>
      <c r="FE27" s="521">
        <f t="shared" si="40"/>
        <v>0</v>
      </c>
      <c r="FF27" s="518">
        <f t="shared" si="40"/>
        <v>3.9308176100628931E-3</v>
      </c>
      <c r="FG27" s="518">
        <f t="shared" si="40"/>
        <v>4.5721750489875895E-3</v>
      </c>
      <c r="FH27" s="518">
        <f t="shared" si="40"/>
        <v>0</v>
      </c>
      <c r="FI27" s="518">
        <f t="shared" si="40"/>
        <v>0</v>
      </c>
      <c r="FJ27" s="521">
        <f t="shared" si="40"/>
        <v>1.7827960184222255E-3</v>
      </c>
      <c r="FK27" s="518">
        <f>FK26/FK$9</f>
        <v>0</v>
      </c>
      <c r="FL27" s="518">
        <f>FL26/FL$9</f>
        <v>0</v>
      </c>
      <c r="FM27" s="518">
        <f>FM26/FM$9</f>
        <v>0</v>
      </c>
      <c r="FN27" s="518">
        <f>FN26/FN$9</f>
        <v>0</v>
      </c>
      <c r="FO27" s="521">
        <f>FO26/FO$9</f>
        <v>0</v>
      </c>
      <c r="FP27" s="518">
        <f t="shared" ref="FP27:HM27" si="41">FP26/FP$9</f>
        <v>4.3541364296081275E-3</v>
      </c>
      <c r="FQ27" s="518">
        <f t="shared" si="41"/>
        <v>2.5974025974025974E-3</v>
      </c>
      <c r="FR27" s="518">
        <f t="shared" si="41"/>
        <v>1.8548574078367725E-3</v>
      </c>
      <c r="FS27" s="518">
        <f t="shared" si="41"/>
        <v>1.8648984666390386E-3</v>
      </c>
      <c r="FT27" s="521">
        <f t="shared" si="41"/>
        <v>2.555677254472435E-3</v>
      </c>
      <c r="FU27" s="518">
        <f t="shared" si="41"/>
        <v>0.12094445388143367</v>
      </c>
      <c r="FV27" s="518">
        <f t="shared" si="41"/>
        <v>0.18274809160305344</v>
      </c>
      <c r="FW27" s="518">
        <f t="shared" si="41"/>
        <v>0.19029649595687331</v>
      </c>
      <c r="FX27" s="518">
        <f t="shared" si="41"/>
        <v>0.19664225754599035</v>
      </c>
      <c r="FY27" s="521">
        <f t="shared" si="41"/>
        <v>0.17240794881572816</v>
      </c>
      <c r="FZ27" s="518">
        <f t="shared" si="41"/>
        <v>0.17522884363908089</v>
      </c>
      <c r="GA27" s="518">
        <f t="shared" si="41"/>
        <v>0.13808546370591529</v>
      </c>
      <c r="GB27" s="518">
        <f t="shared" si="41"/>
        <v>0.12051724137931034</v>
      </c>
      <c r="GC27" s="518">
        <f t="shared" si="41"/>
        <v>0.11284046692607004</v>
      </c>
      <c r="GD27" s="521">
        <f t="shared" si="41"/>
        <v>0.13549382716049382</v>
      </c>
      <c r="GE27" s="518">
        <f t="shared" si="41"/>
        <v>0.13265119678421342</v>
      </c>
      <c r="GF27" s="518">
        <f t="shared" si="41"/>
        <v>0.11122536418166239</v>
      </c>
      <c r="GG27" s="518">
        <f t="shared" si="41"/>
        <v>9.3855404018184485E-2</v>
      </c>
      <c r="GH27" s="518">
        <f t="shared" si="41"/>
        <v>0.10655523635413947</v>
      </c>
      <c r="GI27" s="521">
        <f t="shared" si="41"/>
        <v>0.10979251502811713</v>
      </c>
      <c r="GJ27" s="518">
        <f t="shared" si="41"/>
        <v>8.1876848615219142E-2</v>
      </c>
      <c r="GK27" s="518">
        <f t="shared" si="41"/>
        <v>8.6141834743005852E-2</v>
      </c>
      <c r="GL27" s="518">
        <f t="shared" si="41"/>
        <v>5.9377027903958469E-2</v>
      </c>
      <c r="GM27" s="518">
        <f t="shared" si="41"/>
        <v>5.9980525803310612E-2</v>
      </c>
      <c r="GN27" s="521">
        <f t="shared" si="41"/>
        <v>7.0325355812812143E-2</v>
      </c>
      <c r="GO27" s="518">
        <f t="shared" si="41"/>
        <v>5.6276211840436942E-2</v>
      </c>
      <c r="GP27" s="518">
        <f t="shared" si="41"/>
        <v>0</v>
      </c>
      <c r="GQ27" s="518">
        <f t="shared" si="41"/>
        <v>0</v>
      </c>
      <c r="GR27" s="518">
        <f t="shared" si="41"/>
        <v>0</v>
      </c>
      <c r="GS27" s="521">
        <f t="shared" si="41"/>
        <v>1.1618843146118383E-2</v>
      </c>
      <c r="GT27" s="518">
        <f t="shared" si="41"/>
        <v>0</v>
      </c>
      <c r="GU27" s="518">
        <f t="shared" si="41"/>
        <v>0</v>
      </c>
      <c r="GV27" s="518">
        <f t="shared" si="41"/>
        <v>0</v>
      </c>
      <c r="GW27" s="518">
        <f t="shared" si="41"/>
        <v>0</v>
      </c>
      <c r="GX27" s="521">
        <f t="shared" si="41"/>
        <v>0</v>
      </c>
      <c r="GY27" s="518">
        <f t="shared" si="41"/>
        <v>0</v>
      </c>
      <c r="GZ27" s="518">
        <f t="shared" si="41"/>
        <v>0</v>
      </c>
      <c r="HA27" s="518">
        <f t="shared" si="41"/>
        <v>0</v>
      </c>
      <c r="HB27" s="518">
        <f t="shared" si="41"/>
        <v>0</v>
      </c>
      <c r="HC27" s="521">
        <f t="shared" si="41"/>
        <v>0</v>
      </c>
      <c r="HD27" s="518">
        <f t="shared" si="41"/>
        <v>0</v>
      </c>
      <c r="HE27" s="518">
        <f t="shared" si="41"/>
        <v>0</v>
      </c>
      <c r="HF27" s="518">
        <f t="shared" si="41"/>
        <v>0</v>
      </c>
      <c r="HG27" s="518">
        <f t="shared" si="41"/>
        <v>0</v>
      </c>
      <c r="HH27" s="521">
        <f t="shared" si="41"/>
        <v>0</v>
      </c>
      <c r="HI27" s="518">
        <f t="shared" si="41"/>
        <v>0</v>
      </c>
      <c r="HJ27" s="518">
        <f t="shared" si="41"/>
        <v>0</v>
      </c>
      <c r="HK27" s="518">
        <f t="shared" si="41"/>
        <v>0</v>
      </c>
      <c r="HL27" s="518">
        <f t="shared" si="41"/>
        <v>0</v>
      </c>
      <c r="HM27" s="521">
        <f t="shared" si="41"/>
        <v>0</v>
      </c>
      <c r="HN27" s="521"/>
      <c r="HO27" s="538"/>
      <c r="HP27" s="453"/>
      <c r="HQ27" s="453"/>
      <c r="HR27" s="453"/>
      <c r="HS27" s="453"/>
      <c r="HT27" s="453"/>
      <c r="HU27" s="453"/>
      <c r="HV27" s="453"/>
      <c r="HW27" s="453"/>
      <c r="HX27" s="453"/>
      <c r="HY27" s="453"/>
      <c r="HZ27" s="453"/>
      <c r="IA27" s="453"/>
      <c r="IB27" s="453"/>
    </row>
    <row r="28" spans="1:236" s="509" customFormat="1" ht="15" customHeight="1">
      <c r="A28" s="532" t="s">
        <v>374</v>
      </c>
      <c r="L28" s="523"/>
      <c r="M28" s="523"/>
      <c r="N28" s="523"/>
      <c r="O28" s="523"/>
      <c r="P28" s="524"/>
      <c r="Q28" s="523"/>
      <c r="R28" s="523"/>
      <c r="S28" s="523"/>
      <c r="T28" s="523"/>
      <c r="U28" s="524"/>
      <c r="V28" s="523"/>
      <c r="W28" s="523"/>
      <c r="X28" s="523"/>
      <c r="Y28" s="523"/>
      <c r="Z28" s="524"/>
      <c r="AA28" s="523"/>
      <c r="AB28" s="523"/>
      <c r="AC28" s="523"/>
      <c r="AD28" s="523"/>
      <c r="AE28" s="524"/>
      <c r="AF28" s="523">
        <f>1.082-3.387</f>
        <v>-2.3049999999999997</v>
      </c>
      <c r="AG28" s="523">
        <f>0.091-4.043</f>
        <v>-3.952</v>
      </c>
      <c r="AH28" s="523">
        <f>0.346-4.413</f>
        <v>-4.0670000000000002</v>
      </c>
      <c r="AI28" s="523">
        <f>1.391-4.647</f>
        <v>-3.2560000000000002</v>
      </c>
      <c r="AJ28" s="524">
        <f>SUM(AF28:AI28)</f>
        <v>-13.58</v>
      </c>
      <c r="AK28" s="523">
        <f>0.739-4.182</f>
        <v>-3.4430000000000005</v>
      </c>
      <c r="AL28" s="523">
        <f>0.899-6.366</f>
        <v>-5.4669999999999996</v>
      </c>
      <c r="AM28" s="523">
        <f>0.205-0.394</f>
        <v>-0.18900000000000003</v>
      </c>
      <c r="AN28" s="523">
        <f>58-5.317+0.001</f>
        <v>52.683999999999997</v>
      </c>
      <c r="AO28" s="524">
        <f>SUM(AK28:AN28)</f>
        <v>43.584999999999994</v>
      </c>
      <c r="AP28" s="523">
        <f>-6.713+0.001</f>
        <v>-6.7119999999999997</v>
      </c>
      <c r="AQ28" s="523">
        <f>-6.657</f>
        <v>-6.657</v>
      </c>
      <c r="AR28" s="523">
        <f>-9.867</f>
        <v>-9.8670000000000009</v>
      </c>
      <c r="AS28" s="523">
        <f>0.706-7.526</f>
        <v>-6.82</v>
      </c>
      <c r="AT28" s="524">
        <f>SUM(AP28:AS28)</f>
        <v>-30.056000000000001</v>
      </c>
      <c r="AU28" s="523">
        <f>1.981-28.059</f>
        <v>-26.077999999999999</v>
      </c>
      <c r="AV28" s="523">
        <f>1.812-23.039</f>
        <v>-21.227</v>
      </c>
      <c r="AW28" s="523">
        <f>3.443-4.214</f>
        <v>-0.77100000000000035</v>
      </c>
      <c r="AX28" s="523">
        <f>7.601-4.079</f>
        <v>3.5220000000000002</v>
      </c>
      <c r="AY28" s="524">
        <f>SUM(AU28:AX28)</f>
        <v>-44.554000000000002</v>
      </c>
      <c r="AZ28" s="523">
        <f>9.41-13.322</f>
        <v>-3.911999999999999</v>
      </c>
      <c r="BA28" s="523">
        <f>9.958-9.718</f>
        <v>0.24000000000000021</v>
      </c>
      <c r="BB28" s="523">
        <f>14.151-5.532</f>
        <v>8.6189999999999998</v>
      </c>
      <c r="BC28" s="523">
        <f>11.757-6.525</f>
        <v>5.2319999999999993</v>
      </c>
      <c r="BD28" s="524">
        <f>SUM(AZ28:BC28)</f>
        <v>10.179</v>
      </c>
      <c r="BE28" s="523">
        <f>12.472+5.919</f>
        <v>18.390999999999998</v>
      </c>
      <c r="BF28" s="523">
        <f>17.663-8.518</f>
        <v>9.1449999999999996</v>
      </c>
      <c r="BG28" s="523">
        <f>21.182-10.071</f>
        <v>11.110999999999999</v>
      </c>
      <c r="BH28" s="523">
        <f>15.177-10.037</f>
        <v>5.1399999999999988</v>
      </c>
      <c r="BI28" s="524">
        <f>SUM(BE28:BH28)</f>
        <v>43.786999999999999</v>
      </c>
      <c r="BJ28" s="523">
        <f>20.763-10.768</f>
        <v>9.995000000000001</v>
      </c>
      <c r="BK28" s="523">
        <f>18.087-7.252</f>
        <v>10.835000000000001</v>
      </c>
      <c r="BL28" s="523">
        <f>18.033-6.757</f>
        <v>11.276000000000002</v>
      </c>
      <c r="BM28" s="523">
        <f>12.37-6.958</f>
        <v>5.411999999999999</v>
      </c>
      <c r="BN28" s="524">
        <f>SUM(BJ28:BM28)</f>
        <v>37.518000000000001</v>
      </c>
      <c r="BO28" s="523">
        <f>11.479-21.128</f>
        <v>-9.6490000000000009</v>
      </c>
      <c r="BP28" s="523">
        <f>11.244-19.935</f>
        <v>-8.6909999999999989</v>
      </c>
      <c r="BQ28" s="523">
        <f>-19.789+17.382</f>
        <v>-2.407</v>
      </c>
      <c r="BR28" s="523">
        <f>-25.449+19.932</f>
        <v>-5.517000000000003</v>
      </c>
      <c r="BS28" s="541">
        <f>SUM(BO28:BR28)</f>
        <v>-26.264000000000003</v>
      </c>
      <c r="BT28" s="523">
        <f>21.645-18.823</f>
        <v>2.8219999999999992</v>
      </c>
      <c r="BU28" s="509">
        <f>20.199-12.308</f>
        <v>7.8910000000000018</v>
      </c>
      <c r="BV28" s="523">
        <f>-10.749+9.946</f>
        <v>-0.80300000000000082</v>
      </c>
      <c r="BW28" s="523">
        <f>-5.784+9.57</f>
        <v>3.7860000000000005</v>
      </c>
      <c r="BX28" s="541">
        <f>SUM(BT28:BW28)</f>
        <v>13.696000000000002</v>
      </c>
      <c r="BY28" s="523">
        <f>12.158-9.538</f>
        <v>2.6199999999999992</v>
      </c>
      <c r="BZ28" s="523">
        <f>15.729-8.661</f>
        <v>7.0679999999999996</v>
      </c>
      <c r="CA28" s="523">
        <f>21.166-12.941</f>
        <v>8.2249999999999996</v>
      </c>
      <c r="CB28" s="523">
        <f>-0.992+22.296-3.55</f>
        <v>17.753999999999998</v>
      </c>
      <c r="CC28" s="541">
        <f>SUM(BY28:CB28)</f>
        <v>35.666999999999994</v>
      </c>
      <c r="CD28" s="523">
        <f>25.805-4.594</f>
        <v>21.210999999999999</v>
      </c>
      <c r="CE28" s="523">
        <f>26.364-4.971</f>
        <v>21.393000000000001</v>
      </c>
      <c r="CF28" s="523">
        <f>26.848-8.493</f>
        <v>18.354999999999997</v>
      </c>
      <c r="CG28" s="523">
        <f>30.943-16.952</f>
        <v>13.991</v>
      </c>
      <c r="CH28" s="541">
        <f>SUM(CD28:CG28)</f>
        <v>74.949999999999989</v>
      </c>
      <c r="CI28" s="523">
        <f>30.154-10.981</f>
        <v>19.173000000000002</v>
      </c>
      <c r="CJ28" s="523">
        <f>27.956+2.203</f>
        <v>30.158999999999999</v>
      </c>
      <c r="CK28" s="523">
        <f>25.148-2.502</f>
        <v>22.646000000000001</v>
      </c>
      <c r="CL28" s="523">
        <f>29.07+42.43-46</f>
        <v>25.5</v>
      </c>
      <c r="CM28" s="541">
        <f>SUM(CI28:CL28)</f>
        <v>97.478000000000009</v>
      </c>
      <c r="CN28" s="523">
        <f>-3.974+24.245</f>
        <v>20.271000000000001</v>
      </c>
      <c r="CO28" s="523">
        <f>-3.098+25.653</f>
        <v>22.555</v>
      </c>
      <c r="CP28" s="523">
        <f>-6.054+30.615</f>
        <v>24.561</v>
      </c>
      <c r="CQ28" s="523">
        <f>-0.445+24.447</f>
        <v>24.001999999999999</v>
      </c>
      <c r="CR28" s="541">
        <f>SUM(CN28:CQ28)</f>
        <v>91.388999999999996</v>
      </c>
      <c r="CS28" s="523">
        <f>-28.162+23.247+19.128</f>
        <v>14.213000000000001</v>
      </c>
      <c r="CT28" s="523">
        <f>-35.308+17.859-7.24</f>
        <v>-24.689</v>
      </c>
      <c r="CU28" s="523">
        <f>-31.188+17.637+1.975</f>
        <v>-11.575999999999999</v>
      </c>
      <c r="CV28" s="523">
        <f>-21+67</f>
        <v>46</v>
      </c>
      <c r="CW28" s="541">
        <f>SUM(CS28:CV28)</f>
        <v>23.948</v>
      </c>
      <c r="CX28" s="523">
        <f>-16+78-2</f>
        <v>60</v>
      </c>
      <c r="CY28" s="523">
        <f>-19+99+9</f>
        <v>89</v>
      </c>
      <c r="CZ28" s="523">
        <f>-19+95+1</f>
        <v>77</v>
      </c>
      <c r="DA28" s="523">
        <f>-19+95-1</f>
        <v>75</v>
      </c>
      <c r="DB28" s="541">
        <f>SUM(CX28:DA28)</f>
        <v>301</v>
      </c>
      <c r="DC28" s="523">
        <f>-15+95+1</f>
        <v>81</v>
      </c>
      <c r="DD28" s="523">
        <f>-10+95+10-36</f>
        <v>59</v>
      </c>
      <c r="DE28" s="523">
        <f>-7+87+4</f>
        <v>84</v>
      </c>
      <c r="DF28" s="523">
        <f>-7+89-37-21+39</f>
        <v>63</v>
      </c>
      <c r="DG28" s="541">
        <f>SUM(DC28:DF28)</f>
        <v>287</v>
      </c>
      <c r="DH28" s="523">
        <f>-6+74-129</f>
        <v>-61</v>
      </c>
      <c r="DI28" s="523">
        <f>-3+71-16+6</f>
        <v>58</v>
      </c>
      <c r="DJ28" s="523">
        <f>-3+70-64+66</f>
        <v>69</v>
      </c>
      <c r="DK28" s="523">
        <f>-3+71-13-11+25</f>
        <v>69</v>
      </c>
      <c r="DL28" s="541">
        <f>SUM(DH28:DK28)</f>
        <v>135</v>
      </c>
      <c r="DM28" s="523">
        <f>-3+49-304+325</f>
        <v>67</v>
      </c>
      <c r="DN28" s="523">
        <f>-3+55+1+7</f>
        <v>60</v>
      </c>
      <c r="DO28" s="523">
        <f>6+56-3-24</f>
        <v>35</v>
      </c>
      <c r="DP28" s="523">
        <f>-2+39-14+17</f>
        <v>40</v>
      </c>
      <c r="DQ28" s="541">
        <f>SUM(DM28:DP28)</f>
        <v>202</v>
      </c>
      <c r="DR28" s="523">
        <f>-3-11+48</f>
        <v>34</v>
      </c>
      <c r="DS28" s="523">
        <f>-2+47-4</f>
        <v>41</v>
      </c>
      <c r="DT28" s="523">
        <f>-3+42+7-5</f>
        <v>41</v>
      </c>
      <c r="DU28" s="523">
        <f>-2+43-2</f>
        <v>39</v>
      </c>
      <c r="DV28" s="541">
        <f>SUM(DR28:DU28)</f>
        <v>155</v>
      </c>
      <c r="DW28" s="523">
        <f>-2+43+1</f>
        <v>42</v>
      </c>
      <c r="DX28" s="523">
        <f>43+5-2</f>
        <v>46</v>
      </c>
      <c r="DY28" s="523">
        <f>-2+44-16</f>
        <v>26</v>
      </c>
      <c r="DZ28" s="523">
        <f>-2+45+4</f>
        <v>47</v>
      </c>
      <c r="EA28" s="541">
        <f>SUM(DW28:DZ28)</f>
        <v>161</v>
      </c>
      <c r="EB28" s="523">
        <f>-1+44+3</f>
        <v>46</v>
      </c>
      <c r="EC28" s="523">
        <f>42+2-2</f>
        <v>42</v>
      </c>
      <c r="ED28" s="523">
        <f>-1+47-2</f>
        <v>44</v>
      </c>
      <c r="EE28" s="523">
        <f>-1+44+2</f>
        <v>45</v>
      </c>
      <c r="EF28" s="541">
        <f>SUM(EB28:EE28)</f>
        <v>177</v>
      </c>
      <c r="EG28" s="523">
        <f>-1+47+21-15</f>
        <v>52</v>
      </c>
      <c r="EH28" s="523">
        <f>46+49-49</f>
        <v>46</v>
      </c>
      <c r="EI28" s="523">
        <f>43-1+2</f>
        <v>44</v>
      </c>
      <c r="EJ28" s="523">
        <f>41-3-1</f>
        <v>37</v>
      </c>
      <c r="EK28" s="524">
        <f>SUM(EG28:EJ28)</f>
        <v>179</v>
      </c>
      <c r="EL28" s="523">
        <v>40</v>
      </c>
      <c r="EM28" s="523">
        <v>43</v>
      </c>
      <c r="EN28" s="523">
        <v>39</v>
      </c>
      <c r="EO28" s="523">
        <f>41+2</f>
        <v>43</v>
      </c>
      <c r="EP28" s="541">
        <f>SUM(EL28:EO28)</f>
        <v>165</v>
      </c>
      <c r="EQ28" s="523">
        <f>40</f>
        <v>40</v>
      </c>
      <c r="ER28" s="523">
        <f>41</f>
        <v>41</v>
      </c>
      <c r="ES28" s="523">
        <f>41+63</f>
        <v>104</v>
      </c>
      <c r="ET28" s="523">
        <f>34</f>
        <v>34</v>
      </c>
      <c r="EU28" s="541">
        <f>SUM(EQ28:ET28)</f>
        <v>219</v>
      </c>
      <c r="EV28" s="523">
        <f>32+5</f>
        <v>37</v>
      </c>
      <c r="EW28" s="523">
        <f>32+3</f>
        <v>35</v>
      </c>
      <c r="EX28" s="523">
        <f>31+3</f>
        <v>34</v>
      </c>
      <c r="EY28" s="523">
        <f>31-2</f>
        <v>29</v>
      </c>
      <c r="EZ28" s="541">
        <f>SUM(EV28:EY28)</f>
        <v>135</v>
      </c>
      <c r="FA28" s="523">
        <f>31-1</f>
        <v>30</v>
      </c>
      <c r="FB28" s="523">
        <f>31-1</f>
        <v>30</v>
      </c>
      <c r="FC28" s="523">
        <f>30+6</f>
        <v>36</v>
      </c>
      <c r="FD28" s="523">
        <f>29-4</f>
        <v>25</v>
      </c>
      <c r="FE28" s="541">
        <f>SUM(FA28:FD28)</f>
        <v>121</v>
      </c>
      <c r="FF28" s="523">
        <f>27+7-60</f>
        <v>-26</v>
      </c>
      <c r="FG28" s="523">
        <f>25-3</f>
        <v>22</v>
      </c>
      <c r="FH28" s="523">
        <f>36+24</f>
        <v>60</v>
      </c>
      <c r="FI28" s="523">
        <f>18+125</f>
        <v>143</v>
      </c>
      <c r="FJ28" s="541">
        <f>SUM(FF28:FI28)</f>
        <v>199</v>
      </c>
      <c r="FK28" s="523">
        <f>13-4</f>
        <v>9</v>
      </c>
      <c r="FL28" s="523">
        <f>14-1-2</f>
        <v>11</v>
      </c>
      <c r="FM28" s="523">
        <f>11+37</f>
        <v>48</v>
      </c>
      <c r="FN28" s="523">
        <f>9+15+16</f>
        <v>40</v>
      </c>
      <c r="FO28" s="541">
        <f>SUM(FK28:FN28)</f>
        <v>108</v>
      </c>
      <c r="FP28" s="523">
        <f>9+11</f>
        <v>20</v>
      </c>
      <c r="FQ28" s="523">
        <f>10</f>
        <v>10</v>
      </c>
      <c r="FR28" s="523">
        <f>7-62</f>
        <v>-55</v>
      </c>
      <c r="FS28" s="523">
        <f>8-4</f>
        <v>4</v>
      </c>
      <c r="FT28" s="541">
        <f>SUM(FP28:FS28)</f>
        <v>-21</v>
      </c>
      <c r="FU28" s="523">
        <f>13+42</f>
        <v>55</v>
      </c>
      <c r="FV28" s="523">
        <f>25+4</f>
        <v>29</v>
      </c>
      <c r="FW28" s="523">
        <f>31-22</f>
        <v>9</v>
      </c>
      <c r="FX28" s="523">
        <f>19-32</f>
        <v>-13</v>
      </c>
      <c r="FY28" s="541">
        <f>SUM(FU28:FX28)</f>
        <v>80</v>
      </c>
      <c r="FZ28" s="523">
        <f>25-43</f>
        <v>-18</v>
      </c>
      <c r="GA28" s="523">
        <f>28-46</f>
        <v>-18</v>
      </c>
      <c r="GB28" s="523">
        <f>26-59</f>
        <v>-33</v>
      </c>
      <c r="GC28" s="523">
        <f>27-49</f>
        <v>-22</v>
      </c>
      <c r="GD28" s="541">
        <f>SUM(FZ28:GC28)</f>
        <v>-91</v>
      </c>
      <c r="GE28" s="523">
        <f>25-53</f>
        <v>-28</v>
      </c>
      <c r="GF28" s="523">
        <f>25-55</f>
        <v>-30</v>
      </c>
      <c r="GG28" s="523">
        <f>23-36</f>
        <v>-13</v>
      </c>
      <c r="GH28" s="523">
        <f>19-37</f>
        <v>-18</v>
      </c>
      <c r="GI28" s="541">
        <f>SUM(GE28:GH28)</f>
        <v>-89</v>
      </c>
      <c r="GJ28" s="523">
        <f>20-39</f>
        <v>-19</v>
      </c>
      <c r="GK28" s="523">
        <f>38-98</f>
        <v>-60</v>
      </c>
      <c r="GL28" s="523">
        <f>37-82</f>
        <v>-45</v>
      </c>
      <c r="GM28" s="523">
        <f>36-358</f>
        <v>-322</v>
      </c>
      <c r="GN28" s="541">
        <f>SUM(GJ28:GM28)</f>
        <v>-446</v>
      </c>
      <c r="GO28" s="523">
        <f>37-165</f>
        <v>-128</v>
      </c>
      <c r="GP28" s="540">
        <v>-60</v>
      </c>
      <c r="GQ28" s="540">
        <f>GP28</f>
        <v>-60</v>
      </c>
      <c r="GR28" s="540">
        <f>GQ28</f>
        <v>-60</v>
      </c>
      <c r="GS28" s="541">
        <f>SUM(GO28:GR28)</f>
        <v>-308</v>
      </c>
      <c r="GT28" s="540">
        <v>-80</v>
      </c>
      <c r="GU28" s="540">
        <f>GT28</f>
        <v>-80</v>
      </c>
      <c r="GV28" s="540">
        <f>GU28</f>
        <v>-80</v>
      </c>
      <c r="GW28" s="540">
        <f>GV28</f>
        <v>-80</v>
      </c>
      <c r="GX28" s="541">
        <f>SUM(GT28:GW28)</f>
        <v>-320</v>
      </c>
      <c r="GY28" s="540">
        <v>-225</v>
      </c>
      <c r="GZ28" s="540">
        <f>GY28</f>
        <v>-225</v>
      </c>
      <c r="HA28" s="540">
        <f>GZ28</f>
        <v>-225</v>
      </c>
      <c r="HB28" s="540">
        <f>HA28</f>
        <v>-225</v>
      </c>
      <c r="HC28" s="541">
        <f>SUM(GY28:HB28)</f>
        <v>-900</v>
      </c>
      <c r="HD28" s="540">
        <v>-400</v>
      </c>
      <c r="HE28" s="540">
        <f>HD28</f>
        <v>-400</v>
      </c>
      <c r="HF28" s="540">
        <f>HE28</f>
        <v>-400</v>
      </c>
      <c r="HG28" s="540">
        <f>HF28</f>
        <v>-400</v>
      </c>
      <c r="HH28" s="541">
        <f>SUM(HD28:HG28)</f>
        <v>-1600</v>
      </c>
      <c r="HI28" s="540">
        <v>-400</v>
      </c>
      <c r="HJ28" s="540">
        <f>HI28</f>
        <v>-400</v>
      </c>
      <c r="HK28" s="540">
        <f>HJ28</f>
        <v>-400</v>
      </c>
      <c r="HL28" s="540">
        <f>HK28</f>
        <v>-400</v>
      </c>
      <c r="HM28" s="541">
        <f>SUM(HI28:HL28)</f>
        <v>-1600</v>
      </c>
      <c r="HN28" s="541"/>
      <c r="HO28" s="538"/>
      <c r="HP28" s="453"/>
      <c r="HQ28" s="453"/>
      <c r="HR28" s="453"/>
      <c r="HS28" s="453"/>
      <c r="HT28" s="453"/>
      <c r="HU28" s="453"/>
      <c r="HV28" s="453"/>
      <c r="HW28" s="453"/>
      <c r="HX28" s="453"/>
      <c r="HY28" s="453"/>
      <c r="HZ28" s="453"/>
      <c r="IA28" s="453"/>
      <c r="IB28" s="453"/>
    </row>
    <row r="29" spans="1:236" s="509" customFormat="1" ht="15" customHeight="1">
      <c r="A29" s="517" t="s">
        <v>202</v>
      </c>
      <c r="L29" s="518"/>
      <c r="M29" s="518"/>
      <c r="N29" s="518"/>
      <c r="O29" s="518"/>
      <c r="P29" s="521"/>
      <c r="Q29" s="518"/>
      <c r="R29" s="518"/>
      <c r="S29" s="518"/>
      <c r="T29" s="518"/>
      <c r="U29" s="521"/>
      <c r="V29" s="518"/>
      <c r="W29" s="518"/>
      <c r="X29" s="518"/>
      <c r="Y29" s="518"/>
      <c r="Z29" s="521"/>
      <c r="AA29" s="518"/>
      <c r="AB29" s="518"/>
      <c r="AC29" s="518"/>
      <c r="AD29" s="518"/>
      <c r="AE29" s="521"/>
      <c r="AF29" s="518">
        <f t="shared" ref="AF29:CQ29" si="42">AF28/AF$9</f>
        <v>-5.6573718869114675E-3</v>
      </c>
      <c r="AG29" s="518">
        <f t="shared" si="42"/>
        <v>-9.6604186833279555E-3</v>
      </c>
      <c r="AH29" s="518">
        <f t="shared" si="42"/>
        <v>-9.7215018011191558E-3</v>
      </c>
      <c r="AI29" s="518">
        <f t="shared" si="42"/>
        <v>-7.876072800456697E-3</v>
      </c>
      <c r="AJ29" s="521">
        <f t="shared" si="42"/>
        <v>-8.2388914504817144E-3</v>
      </c>
      <c r="AK29" s="518">
        <f t="shared" si="42"/>
        <v>-6.7104545100179318E-3</v>
      </c>
      <c r="AL29" s="518">
        <f t="shared" si="42"/>
        <v>-1.0251323371404676E-2</v>
      </c>
      <c r="AM29" s="518">
        <f t="shared" si="42"/>
        <v>-3.4799323898849967E-4</v>
      </c>
      <c r="AN29" s="518">
        <f t="shared" si="42"/>
        <v>9.6638100548821645E-2</v>
      </c>
      <c r="AO29" s="521">
        <f t="shared" si="42"/>
        <v>2.041778101326722E-2</v>
      </c>
      <c r="AP29" s="518">
        <f t="shared" si="42"/>
        <v>-1.0824130457219527E-2</v>
      </c>
      <c r="AQ29" s="518">
        <f t="shared" si="42"/>
        <v>-1.0630551217315485E-2</v>
      </c>
      <c r="AR29" s="518">
        <f t="shared" si="42"/>
        <v>-1.6712822988388935E-2</v>
      </c>
      <c r="AS29" s="518">
        <f t="shared" si="42"/>
        <v>-1.1500280761986345E-2</v>
      </c>
      <c r="AT29" s="521">
        <f t="shared" si="42"/>
        <v>-1.2370129282173613E-2</v>
      </c>
      <c r="AU29" s="518">
        <f t="shared" si="42"/>
        <v>-4.7918825751729108E-2</v>
      </c>
      <c r="AV29" s="518">
        <f t="shared" si="42"/>
        <v>-4.6644853508307389E-2</v>
      </c>
      <c r="AW29" s="518">
        <f t="shared" si="42"/>
        <v>-1.6875993188315078E-3</v>
      </c>
      <c r="AX29" s="518">
        <f t="shared" si="42"/>
        <v>7.088401748552936E-3</v>
      </c>
      <c r="AY29" s="521">
        <f t="shared" si="42"/>
        <v>-2.2812886100954471E-2</v>
      </c>
      <c r="AZ29" s="518">
        <f t="shared" si="42"/>
        <v>-7.0869693604517382E-3</v>
      </c>
      <c r="BA29" s="518">
        <f t="shared" si="42"/>
        <v>4.0365917037949042E-4</v>
      </c>
      <c r="BB29" s="518">
        <f t="shared" si="42"/>
        <v>1.4445800175649131E-2</v>
      </c>
      <c r="BC29" s="518">
        <f t="shared" si="42"/>
        <v>8.5326931638971815E-3</v>
      </c>
      <c r="BD29" s="521">
        <f t="shared" si="42"/>
        <v>4.3197708344384911E-3</v>
      </c>
      <c r="BE29" s="518">
        <f t="shared" si="42"/>
        <v>3.400350555415859E-2</v>
      </c>
      <c r="BF29" s="518">
        <f t="shared" si="42"/>
        <v>1.7368167159825122E-2</v>
      </c>
      <c r="BG29" s="518">
        <f t="shared" si="42"/>
        <v>1.6198516751782622E-2</v>
      </c>
      <c r="BH29" s="518">
        <f t="shared" si="42"/>
        <v>6.5160619659744914E-3</v>
      </c>
      <c r="BI29" s="521">
        <f t="shared" si="42"/>
        <v>1.7224457652034248E-2</v>
      </c>
      <c r="BJ29" s="518">
        <f t="shared" si="42"/>
        <v>1.5825064558980233E-2</v>
      </c>
      <c r="BK29" s="518">
        <f t="shared" si="42"/>
        <v>1.8206748679653644E-2</v>
      </c>
      <c r="BL29" s="518">
        <f t="shared" si="42"/>
        <v>1.7028293908715301E-2</v>
      </c>
      <c r="BM29" s="518">
        <f t="shared" si="42"/>
        <v>5.5868113264031533E-3</v>
      </c>
      <c r="BN29" s="521">
        <f t="shared" si="42"/>
        <v>1.3129180950194637E-2</v>
      </c>
      <c r="BO29" s="518">
        <f t="shared" si="42"/>
        <v>-8.8358459344944143E-3</v>
      </c>
      <c r="BP29" s="518">
        <f t="shared" si="42"/>
        <v>-7.4254316977334107E-3</v>
      </c>
      <c r="BQ29" s="518">
        <f t="shared" si="42"/>
        <v>-1.9949459159967812E-3</v>
      </c>
      <c r="BR29" s="518">
        <f t="shared" si="42"/>
        <v>-4.6946319347295571E-3</v>
      </c>
      <c r="BS29" s="521">
        <f t="shared" si="42"/>
        <v>-5.655241703230297E-3</v>
      </c>
      <c r="BT29" s="518">
        <f t="shared" si="42"/>
        <v>2.3739281781573361E-3</v>
      </c>
      <c r="BU29" s="518">
        <f t="shared" si="42"/>
        <v>8.0090209324607427E-3</v>
      </c>
      <c r="BV29" s="518">
        <f t="shared" si="42"/>
        <v>-1.0484808126705587E-3</v>
      </c>
      <c r="BW29" s="518">
        <f t="shared" si="42"/>
        <v>3.9774213576811192E-3</v>
      </c>
      <c r="BX29" s="521">
        <f t="shared" si="42"/>
        <v>3.5192357995906219E-3</v>
      </c>
      <c r="BY29" s="518">
        <f t="shared" si="42"/>
        <v>2.9044212608070512E-3</v>
      </c>
      <c r="BZ29" s="518">
        <f t="shared" si="42"/>
        <v>1.1774132557275625E-2</v>
      </c>
      <c r="CA29" s="518">
        <f t="shared" si="42"/>
        <v>1.6183713183282274E-2</v>
      </c>
      <c r="CB29" s="518">
        <f t="shared" si="42"/>
        <v>2.5864254184694725E-2</v>
      </c>
      <c r="CC29" s="521">
        <f t="shared" si="42"/>
        <v>1.3224551905077772E-2</v>
      </c>
      <c r="CD29" s="518">
        <f t="shared" si="42"/>
        <v>2.9684209053186947E-2</v>
      </c>
      <c r="CE29" s="518">
        <f t="shared" si="42"/>
        <v>3.3154026045274704E-2</v>
      </c>
      <c r="CF29" s="518">
        <f t="shared" si="42"/>
        <v>1.9244903586755142E-2</v>
      </c>
      <c r="CG29" s="518">
        <f t="shared" si="42"/>
        <v>1.1605077335385988E-2</v>
      </c>
      <c r="CH29" s="521">
        <f t="shared" si="42"/>
        <v>2.1297647625802461E-2</v>
      </c>
      <c r="CI29" s="518">
        <f t="shared" si="42"/>
        <v>1.5506703557734225E-2</v>
      </c>
      <c r="CJ29" s="518">
        <f t="shared" si="42"/>
        <v>2.3900868337194105E-2</v>
      </c>
      <c r="CK29" s="518">
        <f t="shared" si="42"/>
        <v>1.8270874631593301E-2</v>
      </c>
      <c r="CL29" s="518">
        <f t="shared" si="42"/>
        <v>2.0178744106619736E-2</v>
      </c>
      <c r="CM29" s="521">
        <f t="shared" si="42"/>
        <v>1.9490006368172334E-2</v>
      </c>
      <c r="CN29" s="518">
        <f t="shared" si="42"/>
        <v>1.6525792660855614E-2</v>
      </c>
      <c r="CO29" s="518">
        <f t="shared" si="42"/>
        <v>1.7901958698899455E-2</v>
      </c>
      <c r="CP29" s="518">
        <f t="shared" si="42"/>
        <v>1.612931824226484E-2</v>
      </c>
      <c r="CQ29" s="518">
        <f t="shared" si="42"/>
        <v>1.3056798870245816E-2</v>
      </c>
      <c r="CR29" s="521">
        <f t="shared" ref="CR29:DQ29" si="43">CR28/CR$9</f>
        <v>1.5628524429862144E-2</v>
      </c>
      <c r="CS29" s="518">
        <f t="shared" si="43"/>
        <v>1.0669154860009099E-2</v>
      </c>
      <c r="CT29" s="518">
        <f t="shared" si="43"/>
        <v>-2.0297328026820854E-2</v>
      </c>
      <c r="CU29" s="518">
        <f t="shared" si="43"/>
        <v>-8.7193493328673356E-3</v>
      </c>
      <c r="CV29" s="518">
        <f t="shared" si="43"/>
        <v>2.5944726452340666E-2</v>
      </c>
      <c r="CW29" s="521">
        <f t="shared" si="43"/>
        <v>4.2392240810869321E-3</v>
      </c>
      <c r="CX29" s="518">
        <f t="shared" si="43"/>
        <v>4.8661800486618008E-2</v>
      </c>
      <c r="CY29" s="518">
        <f t="shared" si="43"/>
        <v>6.4586357039187234E-2</v>
      </c>
      <c r="CZ29" s="518">
        <f t="shared" si="43"/>
        <v>4.7181372549019607E-2</v>
      </c>
      <c r="DA29" s="518">
        <f t="shared" si="43"/>
        <v>4.2372881355932202E-2</v>
      </c>
      <c r="DB29" s="521">
        <f t="shared" si="43"/>
        <v>5.0058207217694994E-2</v>
      </c>
      <c r="DC29" s="518">
        <f t="shared" si="43"/>
        <v>5.3820598006644516E-2</v>
      </c>
      <c r="DD29" s="518">
        <f t="shared" si="43"/>
        <v>4.373610081541883E-2</v>
      </c>
      <c r="DE29" s="518">
        <f t="shared" si="43"/>
        <v>5.2303860523038606E-2</v>
      </c>
      <c r="DF29" s="518">
        <f t="shared" si="43"/>
        <v>5.4216867469879519E-2</v>
      </c>
      <c r="DG29" s="521">
        <f t="shared" si="43"/>
        <v>5.1049448594806118E-2</v>
      </c>
      <c r="DH29" s="518">
        <f t="shared" si="43"/>
        <v>-5.1826677994902294E-2</v>
      </c>
      <c r="DI29" s="518">
        <f t="shared" si="43"/>
        <v>4.8986486486486486E-2</v>
      </c>
      <c r="DJ29" s="518">
        <f t="shared" si="43"/>
        <v>4.9426934097421202E-2</v>
      </c>
      <c r="DK29" s="518">
        <f t="shared" si="43"/>
        <v>4.1919805589307413E-2</v>
      </c>
      <c r="DL29" s="521">
        <f t="shared" si="43"/>
        <v>2.4986118822876179E-2</v>
      </c>
      <c r="DM29" s="518">
        <f t="shared" si="43"/>
        <v>4.2566709021601014E-2</v>
      </c>
      <c r="DN29" s="518">
        <f t="shared" si="43"/>
        <v>3.6297640653357534E-2</v>
      </c>
      <c r="DO29" s="518">
        <f t="shared" si="43"/>
        <v>2.1631644004944377E-2</v>
      </c>
      <c r="DP29" s="518">
        <f t="shared" si="43"/>
        <v>2.4257125530624622E-2</v>
      </c>
      <c r="DQ29" s="521">
        <f t="shared" si="43"/>
        <v>3.1105635971666153E-2</v>
      </c>
      <c r="DR29" s="518">
        <f>DR28/DR$9</f>
        <v>2.1078735275883446E-2</v>
      </c>
      <c r="DS29" s="518">
        <f>DS28/DS$9</f>
        <v>2.6048284625158832E-2</v>
      </c>
      <c r="DT29" s="518">
        <f>DT28/DT$9</f>
        <v>2.42603550295858E-2</v>
      </c>
      <c r="DU29" s="518">
        <f>DU28/DU$9</f>
        <v>2.3063276167947958E-2</v>
      </c>
      <c r="DV29" s="521">
        <f t="shared" ref="DV29:EU29" si="44">DV28/DV$9</f>
        <v>2.3599269183922047E-2</v>
      </c>
      <c r="DW29" s="518">
        <f>DW28/DW$9</f>
        <v>2.6498422712933754E-2</v>
      </c>
      <c r="DX29" s="518">
        <f>DX28/DX$9</f>
        <v>3.2554847841472043E-2</v>
      </c>
      <c r="DY29" s="518">
        <f>DY28/DY$9</f>
        <v>2.048857368006304E-2</v>
      </c>
      <c r="DZ29" s="518">
        <f>DZ28/DZ$9</f>
        <v>4.069264069264069E-2</v>
      </c>
      <c r="EA29" s="521">
        <f t="shared" si="44"/>
        <v>2.9693839911471783E-2</v>
      </c>
      <c r="EB29" s="518">
        <f t="shared" si="44"/>
        <v>4.2279411764705885E-2</v>
      </c>
      <c r="EC29" s="518">
        <f t="shared" si="44"/>
        <v>3.6175710594315243E-2</v>
      </c>
      <c r="ED29" s="518">
        <f t="shared" si="44"/>
        <v>3.0116358658453114E-2</v>
      </c>
      <c r="EE29" s="518">
        <f t="shared" si="44"/>
        <v>2.8319697923222153E-2</v>
      </c>
      <c r="EF29" s="521">
        <f t="shared" si="44"/>
        <v>3.3402528779014909E-2</v>
      </c>
      <c r="EG29" s="518">
        <f t="shared" si="44"/>
        <v>3.7222619899785252E-2</v>
      </c>
      <c r="EH29" s="518">
        <f t="shared" si="44"/>
        <v>3.1922276197085354E-2</v>
      </c>
      <c r="EI29" s="518">
        <f>EI28/EI$9</f>
        <v>3.0790762771168649E-2</v>
      </c>
      <c r="EJ29" s="518">
        <f>EJ28/EJ$9</f>
        <v>2.9862792574656981E-2</v>
      </c>
      <c r="EK29" s="521">
        <f t="shared" si="44"/>
        <v>3.2509989102796948E-2</v>
      </c>
      <c r="EL29" s="518">
        <f>EL28/EL$9</f>
        <v>3.8834951456310676E-2</v>
      </c>
      <c r="EM29" s="518">
        <f>EM28/EM$9</f>
        <v>4.5647558386411886E-2</v>
      </c>
      <c r="EN29" s="518">
        <f>EN28/EN$9</f>
        <v>3.6757775683317624E-2</v>
      </c>
      <c r="EO29" s="518">
        <f t="shared" si="44"/>
        <v>4.4885177453027142E-2</v>
      </c>
      <c r="EP29" s="521">
        <f t="shared" si="44"/>
        <v>4.1343021799047856E-2</v>
      </c>
      <c r="EQ29" s="518">
        <f t="shared" si="44"/>
        <v>4.807692307692308E-2</v>
      </c>
      <c r="ER29" s="518">
        <f t="shared" si="44"/>
        <v>3.9922103213242452E-2</v>
      </c>
      <c r="ES29" s="518">
        <f t="shared" si="44"/>
        <v>7.957153787299158E-2</v>
      </c>
      <c r="ET29" s="518">
        <f t="shared" si="44"/>
        <v>3.074141048824593E-2</v>
      </c>
      <c r="EU29" s="521">
        <f t="shared" si="44"/>
        <v>5.1264044943820225E-2</v>
      </c>
      <c r="EV29" s="518">
        <f>EV28/EV$9</f>
        <v>3.7601626016260166E-2</v>
      </c>
      <c r="EW29" s="518">
        <f>EW28/EW$9</f>
        <v>2.8641571194762683E-2</v>
      </c>
      <c r="EX29" s="518">
        <f>EX28/EX$9</f>
        <v>2.0693852708460133E-2</v>
      </c>
      <c r="EY29" s="518">
        <f>EY28/EY$9</f>
        <v>1.9594594594594596E-2</v>
      </c>
      <c r="EZ29" s="521">
        <f>EZ28/EZ$9</f>
        <v>2.533308313004316E-2</v>
      </c>
      <c r="FA29" s="518">
        <f t="shared" ref="FA29:FJ29" si="45">FA28/FA$9</f>
        <v>1.8214936247723135E-2</v>
      </c>
      <c r="FB29" s="518">
        <f t="shared" si="45"/>
        <v>1.7084282460136675E-2</v>
      </c>
      <c r="FC29" s="518">
        <f t="shared" si="45"/>
        <v>2.1778584392014518E-2</v>
      </c>
      <c r="FD29" s="518">
        <f t="shared" si="45"/>
        <v>1.7618040873854827E-2</v>
      </c>
      <c r="FE29" s="521">
        <f t="shared" si="45"/>
        <v>1.8687258687258686E-2</v>
      </c>
      <c r="FF29" s="518">
        <f t="shared" si="45"/>
        <v>-2.0440251572327043E-2</v>
      </c>
      <c r="FG29" s="518">
        <f t="shared" si="45"/>
        <v>1.4369693011103853E-2</v>
      </c>
      <c r="FH29" s="518">
        <f t="shared" si="45"/>
        <v>3.3314825097168238E-2</v>
      </c>
      <c r="FI29" s="518">
        <f t="shared" si="45"/>
        <v>6.7230841560883881E-2</v>
      </c>
      <c r="FJ29" s="521">
        <f t="shared" si="45"/>
        <v>2.9564700638835241E-2</v>
      </c>
      <c r="FK29" s="518">
        <f>FK28/FK$9</f>
        <v>5.0391937290033594E-3</v>
      </c>
      <c r="FL29" s="518">
        <f>FL28/FL$9</f>
        <v>5.693581780538302E-3</v>
      </c>
      <c r="FM29" s="518">
        <f>FM28/FM$9</f>
        <v>1.7136736879685827E-2</v>
      </c>
      <c r="FN29" s="518">
        <f>FN28/FN$9</f>
        <v>1.2330456226880395E-2</v>
      </c>
      <c r="FO29" s="521">
        <f>FO28/FO$9</f>
        <v>1.106217351224009E-2</v>
      </c>
      <c r="FP29" s="518">
        <f t="shared" ref="FP29:HM29" si="46">FP28/FP$9</f>
        <v>5.8055152394775036E-3</v>
      </c>
      <c r="FQ29" s="518">
        <f t="shared" si="46"/>
        <v>2.5974025974025974E-3</v>
      </c>
      <c r="FR29" s="518">
        <f t="shared" si="46"/>
        <v>-1.2752144678877812E-2</v>
      </c>
      <c r="FS29" s="518">
        <f t="shared" si="46"/>
        <v>8.2884376295068376E-4</v>
      </c>
      <c r="FT29" s="521">
        <f t="shared" si="46"/>
        <v>-1.2778386272362175E-3</v>
      </c>
      <c r="FU29" s="518">
        <f t="shared" si="46"/>
        <v>9.3426193307287238E-3</v>
      </c>
      <c r="FV29" s="518">
        <f t="shared" si="46"/>
        <v>4.4274809160305345E-3</v>
      </c>
      <c r="FW29" s="518">
        <f t="shared" si="46"/>
        <v>1.6172506738544475E-3</v>
      </c>
      <c r="FX29" s="518">
        <f t="shared" si="46"/>
        <v>-2.3218431862832649E-3</v>
      </c>
      <c r="FY29" s="521">
        <f t="shared" si="46"/>
        <v>3.389686877674675E-3</v>
      </c>
      <c r="FZ29" s="518">
        <f t="shared" si="46"/>
        <v>-3.3626004109844946E-3</v>
      </c>
      <c r="GA29" s="518">
        <f t="shared" si="46"/>
        <v>-3.3588356036573989E-3</v>
      </c>
      <c r="GB29" s="518">
        <f t="shared" si="46"/>
        <v>-5.6896551724137934E-3</v>
      </c>
      <c r="GC29" s="518">
        <f t="shared" si="46"/>
        <v>-3.5667963683527885E-3</v>
      </c>
      <c r="GD29" s="521">
        <f t="shared" si="46"/>
        <v>-4.012345679012346E-3</v>
      </c>
      <c r="GE29" s="518">
        <f t="shared" si="46"/>
        <v>-5.1160241183994155E-3</v>
      </c>
      <c r="GF29" s="518">
        <f t="shared" si="46"/>
        <v>-5.1413881748071976E-3</v>
      </c>
      <c r="GG29" s="518">
        <f t="shared" si="46"/>
        <v>-1.9064378941193723E-3</v>
      </c>
      <c r="GH29" s="518">
        <f t="shared" si="46"/>
        <v>-2.3504831548707234E-3</v>
      </c>
      <c r="GI29" s="521">
        <f t="shared" si="46"/>
        <v>-3.4516191584254411E-3</v>
      </c>
      <c r="GJ29" s="518">
        <f t="shared" si="46"/>
        <v>-2.554450121000269E-3</v>
      </c>
      <c r="GK29" s="518">
        <f t="shared" si="46"/>
        <v>-7.8074170461938843E-3</v>
      </c>
      <c r="GL29" s="518">
        <f t="shared" si="46"/>
        <v>-4.8669695003244647E-3</v>
      </c>
      <c r="GM29" s="518">
        <f t="shared" si="46"/>
        <v>-3.1353456669912363E-2</v>
      </c>
      <c r="GN29" s="521">
        <f t="shared" si="46"/>
        <v>-1.2875660382805508E-2</v>
      </c>
      <c r="GO29" s="518">
        <f t="shared" si="46"/>
        <v>-1.2484150980200916E-2</v>
      </c>
      <c r="GP29" s="518">
        <f t="shared" si="46"/>
        <v>-5.3463954997964485E-3</v>
      </c>
      <c r="GQ29" s="518">
        <f t="shared" si="46"/>
        <v>-5.0026597332490721E-3</v>
      </c>
      <c r="GR29" s="518">
        <f t="shared" si="46"/>
        <v>-3.7056307105094608E-3</v>
      </c>
      <c r="GS29" s="521">
        <f t="shared" si="46"/>
        <v>-6.2020861161255839E-3</v>
      </c>
      <c r="GT29" s="518">
        <f t="shared" si="46"/>
        <v>-4.5885148483191468E-3</v>
      </c>
      <c r="GU29" s="518">
        <f t="shared" si="46"/>
        <v>-4.1641682886168312E-3</v>
      </c>
      <c r="GV29" s="518">
        <f t="shared" si="46"/>
        <v>-3.6140499688877164E-3</v>
      </c>
      <c r="GW29" s="518">
        <f t="shared" si="46"/>
        <v>-3.2628412980214047E-3</v>
      </c>
      <c r="GX29" s="521">
        <f t="shared" si="46"/>
        <v>-3.8415046268057353E-3</v>
      </c>
      <c r="GY29" s="518">
        <f t="shared" si="46"/>
        <v>-9.3979199134516956E-3</v>
      </c>
      <c r="GZ29" s="518">
        <f t="shared" si="46"/>
        <v>-8.9881041992513656E-3</v>
      </c>
      <c r="HA29" s="518">
        <f t="shared" si="46"/>
        <v>-8.3730497142792473E-3</v>
      </c>
      <c r="HB29" s="518">
        <f t="shared" si="46"/>
        <v>-7.8255194200263813E-3</v>
      </c>
      <c r="HC29" s="521">
        <f t="shared" si="46"/>
        <v>-8.6043241226970227E-3</v>
      </c>
      <c r="HD29" s="518">
        <f t="shared" si="46"/>
        <v>-1.4196194734400022E-2</v>
      </c>
      <c r="HE29" s="518">
        <f t="shared" si="46"/>
        <v>-1.3615500573741767E-2</v>
      </c>
      <c r="HF29" s="518">
        <f t="shared" si="46"/>
        <v>-1.2611879761870285E-2</v>
      </c>
      <c r="HG29" s="518">
        <f t="shared" si="46"/>
        <v>-1.2079400255952031E-2</v>
      </c>
      <c r="HH29" s="521">
        <f t="shared" si="46"/>
        <v>-1.3073476097754961E-2</v>
      </c>
      <c r="HI29" s="518">
        <f t="shared" si="46"/>
        <v>-1.2612884767982968E-2</v>
      </c>
      <c r="HJ29" s="518">
        <f t="shared" si="46"/>
        <v>-1.2101066334306874E-2</v>
      </c>
      <c r="HK29" s="518">
        <f t="shared" si="46"/>
        <v>-1.101274282949192E-2</v>
      </c>
      <c r="HL29" s="518">
        <f t="shared" si="46"/>
        <v>-1.0527089064658317E-2</v>
      </c>
      <c r="HM29" s="521">
        <f t="shared" si="46"/>
        <v>-1.1503565775081371E-2</v>
      </c>
      <c r="HN29" s="521"/>
      <c r="HO29" s="538"/>
      <c r="HP29" s="453"/>
      <c r="HQ29" s="453"/>
      <c r="HR29" s="453"/>
      <c r="HS29" s="453"/>
      <c r="HT29" s="453"/>
      <c r="HU29" s="453"/>
      <c r="HV29" s="453"/>
      <c r="HW29" s="453"/>
      <c r="HX29" s="453"/>
      <c r="HY29" s="453"/>
      <c r="HZ29" s="453"/>
      <c r="IA29" s="453"/>
      <c r="IB29" s="453"/>
    </row>
    <row r="30" spans="1:236" s="509" customFormat="1" ht="15" customHeight="1">
      <c r="A30" s="522" t="s">
        <v>375</v>
      </c>
      <c r="L30" s="518"/>
      <c r="M30" s="518"/>
      <c r="N30" s="518"/>
      <c r="O30" s="518"/>
      <c r="P30" s="521"/>
      <c r="Q30" s="518"/>
      <c r="R30" s="518"/>
      <c r="S30" s="518"/>
      <c r="T30" s="518"/>
      <c r="U30" s="521"/>
      <c r="V30" s="518"/>
      <c r="W30" s="518"/>
      <c r="X30" s="518"/>
      <c r="Y30" s="518"/>
      <c r="Z30" s="521"/>
      <c r="AA30" s="518"/>
      <c r="AB30" s="518"/>
      <c r="AC30" s="518"/>
      <c r="AD30" s="518"/>
      <c r="AE30" s="521"/>
      <c r="AF30" s="523">
        <v>0</v>
      </c>
      <c r="AG30" s="523">
        <v>0</v>
      </c>
      <c r="AH30" s="523">
        <v>0</v>
      </c>
      <c r="AI30" s="523">
        <v>0</v>
      </c>
      <c r="AJ30" s="524">
        <f>SUM(AF30:AI30)</f>
        <v>0</v>
      </c>
      <c r="AK30" s="523">
        <v>0</v>
      </c>
      <c r="AL30" s="523">
        <v>0</v>
      </c>
      <c r="AM30" s="523">
        <v>0</v>
      </c>
      <c r="AN30" s="523">
        <v>0</v>
      </c>
      <c r="AO30" s="524">
        <f>SUM(AK30:AN30)</f>
        <v>0</v>
      </c>
      <c r="AP30" s="523">
        <v>0</v>
      </c>
      <c r="AQ30" s="523">
        <v>0</v>
      </c>
      <c r="AR30" s="523">
        <v>0</v>
      </c>
      <c r="AS30" s="523">
        <v>0</v>
      </c>
      <c r="AT30" s="524">
        <f>SUM(AP30:AS30)</f>
        <v>0</v>
      </c>
      <c r="AU30" s="523">
        <v>0</v>
      </c>
      <c r="AV30" s="523">
        <v>0</v>
      </c>
      <c r="AW30" s="523">
        <v>0</v>
      </c>
      <c r="AX30" s="523">
        <v>0</v>
      </c>
      <c r="AY30" s="524">
        <f>SUM(AU30:AX30)</f>
        <v>0</v>
      </c>
      <c r="AZ30" s="523">
        <v>0</v>
      </c>
      <c r="BA30" s="523">
        <v>0</v>
      </c>
      <c r="BB30" s="523">
        <v>0</v>
      </c>
      <c r="BC30" s="523">
        <v>0</v>
      </c>
      <c r="BD30" s="524">
        <f>SUM(AZ30:BC30)</f>
        <v>0</v>
      </c>
      <c r="BE30" s="523">
        <v>0</v>
      </c>
      <c r="BF30" s="523">
        <v>0</v>
      </c>
      <c r="BG30" s="523">
        <v>0</v>
      </c>
      <c r="BH30" s="523">
        <v>0</v>
      </c>
      <c r="BI30" s="524">
        <f>SUM(BE30:BH30)</f>
        <v>0</v>
      </c>
      <c r="BJ30" s="523">
        <v>0</v>
      </c>
      <c r="BK30" s="523">
        <v>0</v>
      </c>
      <c r="BL30" s="523">
        <v>0</v>
      </c>
      <c r="BM30" s="523">
        <v>0</v>
      </c>
      <c r="BN30" s="524">
        <f>SUM(BJ30:BM30)</f>
        <v>0</v>
      </c>
      <c r="BO30" s="523">
        <v>0</v>
      </c>
      <c r="BP30" s="523">
        <v>0</v>
      </c>
      <c r="BQ30" s="523">
        <v>0</v>
      </c>
      <c r="BR30" s="523">
        <v>0</v>
      </c>
      <c r="BS30" s="524">
        <f>SUM(BO30:BR30)</f>
        <v>0</v>
      </c>
      <c r="BT30" s="523">
        <v>0</v>
      </c>
      <c r="BU30" s="523">
        <v>0</v>
      </c>
      <c r="BV30" s="523">
        <v>0</v>
      </c>
      <c r="BW30" s="523">
        <v>0</v>
      </c>
      <c r="BX30" s="524">
        <f>SUM(BT30:BW30)</f>
        <v>0</v>
      </c>
      <c r="BY30" s="523">
        <v>0</v>
      </c>
      <c r="BZ30" s="523">
        <v>0</v>
      </c>
      <c r="CA30" s="523">
        <v>0</v>
      </c>
      <c r="CB30" s="523">
        <v>0</v>
      </c>
      <c r="CC30" s="524">
        <f>SUM(BY30:CB30)</f>
        <v>0</v>
      </c>
      <c r="CD30" s="523">
        <v>0</v>
      </c>
      <c r="CE30" s="523">
        <v>0</v>
      </c>
      <c r="CF30" s="523">
        <v>-25.353000000000002</v>
      </c>
      <c r="CG30" s="523">
        <v>-19.408000000000001</v>
      </c>
      <c r="CH30" s="524">
        <f>SUM(CD30:CG30)</f>
        <v>-44.761000000000003</v>
      </c>
      <c r="CI30" s="523">
        <v>-5.351</v>
      </c>
      <c r="CJ30" s="523">
        <v>6.5270000000000001</v>
      </c>
      <c r="CK30" s="523">
        <v>-3.008</v>
      </c>
      <c r="CL30" s="523">
        <v>-16.831</v>
      </c>
      <c r="CM30" s="524">
        <f>SUM(CI30:CL30)</f>
        <v>-18.663</v>
      </c>
      <c r="CN30" s="523">
        <v>-46.853000000000002</v>
      </c>
      <c r="CO30" s="523">
        <v>-37.905000000000001</v>
      </c>
      <c r="CP30" s="523">
        <v>-21.227</v>
      </c>
      <c r="CQ30" s="523">
        <v>-19.166</v>
      </c>
      <c r="CR30" s="524">
        <f>SUM(CN30:CQ30)</f>
        <v>-125.15100000000001</v>
      </c>
      <c r="CS30" s="523">
        <v>6.3470000000000004</v>
      </c>
      <c r="CT30" s="523">
        <v>7.1829999999999998</v>
      </c>
      <c r="CU30" s="523">
        <v>6.9409999999999998</v>
      </c>
      <c r="CV30" s="523">
        <v>7</v>
      </c>
      <c r="CW30" s="524">
        <f>SUM(CS30:CV30)</f>
        <v>27.471</v>
      </c>
      <c r="CX30" s="523">
        <f>8</f>
        <v>8</v>
      </c>
      <c r="CY30" s="523">
        <v>9</v>
      </c>
      <c r="CZ30" s="523">
        <v>9</v>
      </c>
      <c r="DA30" s="523">
        <v>9</v>
      </c>
      <c r="DB30" s="524">
        <f>SUM(CX30:DA30)</f>
        <v>35</v>
      </c>
      <c r="DC30" s="523">
        <v>13</v>
      </c>
      <c r="DD30" s="523">
        <v>7</v>
      </c>
      <c r="DE30" s="523">
        <v>7</v>
      </c>
      <c r="DF30" s="523">
        <f>6+20</f>
        <v>26</v>
      </c>
      <c r="DG30" s="524">
        <f>SUM(DC30:DF30)</f>
        <v>53</v>
      </c>
      <c r="DH30" s="523">
        <v>-6</v>
      </c>
      <c r="DI30" s="523">
        <v>-25</v>
      </c>
      <c r="DJ30" s="523">
        <v>-29</v>
      </c>
      <c r="DK30" s="523">
        <v>-23</v>
      </c>
      <c r="DL30" s="524">
        <f>SUM(DH30:DK30)</f>
        <v>-83</v>
      </c>
      <c r="DM30" s="523">
        <v>0</v>
      </c>
      <c r="DN30" s="523">
        <v>0</v>
      </c>
      <c r="DO30" s="523">
        <v>0</v>
      </c>
      <c r="DP30" s="523">
        <v>0</v>
      </c>
      <c r="DQ30" s="524">
        <f>SUM(DM30:DP30)</f>
        <v>0</v>
      </c>
      <c r="DR30" s="523">
        <v>0</v>
      </c>
      <c r="DS30" s="523">
        <v>0</v>
      </c>
      <c r="DT30" s="523">
        <v>0</v>
      </c>
      <c r="DU30" s="523">
        <v>0</v>
      </c>
      <c r="DV30" s="524">
        <f>SUM(DR30:DU30)</f>
        <v>0</v>
      </c>
      <c r="DW30" s="523">
        <v>0</v>
      </c>
      <c r="DX30" s="523">
        <v>0</v>
      </c>
      <c r="DY30" s="523">
        <v>0</v>
      </c>
      <c r="DZ30" s="523">
        <v>0</v>
      </c>
      <c r="EA30" s="524">
        <f>SUM(DW30:DZ30)</f>
        <v>0</v>
      </c>
      <c r="EB30" s="523">
        <v>0</v>
      </c>
      <c r="EC30" s="523">
        <v>0</v>
      </c>
      <c r="ED30" s="523">
        <v>0</v>
      </c>
      <c r="EE30" s="523">
        <v>0</v>
      </c>
      <c r="EF30" s="524">
        <f>SUM(EB30:EE30)</f>
        <v>0</v>
      </c>
      <c r="EG30" s="523">
        <v>0</v>
      </c>
      <c r="EH30" s="523">
        <v>0</v>
      </c>
      <c r="EI30" s="523">
        <v>0</v>
      </c>
      <c r="EJ30" s="523">
        <v>0</v>
      </c>
      <c r="EK30" s="524">
        <f>SUM(EG30:EJ30)</f>
        <v>0</v>
      </c>
      <c r="EL30" s="523">
        <v>0</v>
      </c>
      <c r="EM30" s="523">
        <v>0</v>
      </c>
      <c r="EN30" s="523">
        <v>0</v>
      </c>
      <c r="EO30" s="523">
        <v>0</v>
      </c>
      <c r="EP30" s="524">
        <f>SUM(EL30:EO30)</f>
        <v>0</v>
      </c>
      <c r="EQ30" s="523">
        <v>0</v>
      </c>
      <c r="ER30" s="523">
        <v>0</v>
      </c>
      <c r="ES30" s="523">
        <v>0</v>
      </c>
      <c r="ET30" s="523">
        <v>7</v>
      </c>
      <c r="EU30" s="524">
        <f>SUM(EQ30:ET30)</f>
        <v>7</v>
      </c>
      <c r="EV30" s="523">
        <v>0</v>
      </c>
      <c r="EW30" s="523">
        <v>0</v>
      </c>
      <c r="EX30" s="523">
        <v>0</v>
      </c>
      <c r="EY30" s="523">
        <v>0</v>
      </c>
      <c r="EZ30" s="524">
        <f>SUM(EV30:EY30)</f>
        <v>0</v>
      </c>
      <c r="FA30" s="523">
        <v>0</v>
      </c>
      <c r="FB30" s="523">
        <v>0</v>
      </c>
      <c r="FC30" s="523">
        <v>0</v>
      </c>
      <c r="FD30" s="523">
        <v>0</v>
      </c>
      <c r="FE30" s="524">
        <f>SUM(FA30:FD30)</f>
        <v>0</v>
      </c>
      <c r="FF30" s="523">
        <v>0</v>
      </c>
      <c r="FG30" s="523">
        <v>0</v>
      </c>
      <c r="FH30" s="523">
        <v>0</v>
      </c>
      <c r="FI30" s="523">
        <v>0</v>
      </c>
      <c r="FJ30" s="524">
        <f>SUM(FF30:FI30)</f>
        <v>0</v>
      </c>
      <c r="FK30" s="523">
        <v>0</v>
      </c>
      <c r="FL30" s="523">
        <v>0</v>
      </c>
      <c r="FM30" s="523">
        <v>0</v>
      </c>
      <c r="FN30" s="523">
        <v>0</v>
      </c>
      <c r="FO30" s="524">
        <f>SUM(FK30:FN30)</f>
        <v>0</v>
      </c>
      <c r="FP30" s="523">
        <v>0</v>
      </c>
      <c r="FQ30" s="523">
        <v>0</v>
      </c>
      <c r="FR30" s="523">
        <v>0</v>
      </c>
      <c r="FS30" s="523">
        <v>0</v>
      </c>
      <c r="FT30" s="524">
        <f>SUM(FP30:FS30)</f>
        <v>0</v>
      </c>
      <c r="FU30" s="523">
        <v>0</v>
      </c>
      <c r="FV30" s="523">
        <v>0</v>
      </c>
      <c r="FW30" s="523">
        <v>0</v>
      </c>
      <c r="FX30" s="523">
        <v>0</v>
      </c>
      <c r="FY30" s="524">
        <f>SUM(FU30:FX30)</f>
        <v>0</v>
      </c>
      <c r="FZ30" s="523">
        <v>0</v>
      </c>
      <c r="GA30" s="523">
        <v>0</v>
      </c>
      <c r="GB30" s="523">
        <v>0</v>
      </c>
      <c r="GC30" s="523">
        <v>0</v>
      </c>
      <c r="GD30" s="524">
        <f>SUM(FZ30:GC30)</f>
        <v>0</v>
      </c>
      <c r="GE30" s="523">
        <v>0</v>
      </c>
      <c r="GF30" s="523">
        <v>0</v>
      </c>
      <c r="GG30" s="523">
        <v>0</v>
      </c>
      <c r="GH30" s="523">
        <v>0</v>
      </c>
      <c r="GI30" s="524">
        <f>SUM(GE30:GH30)</f>
        <v>0</v>
      </c>
      <c r="GJ30" s="523">
        <v>0</v>
      </c>
      <c r="GK30" s="523">
        <v>0</v>
      </c>
      <c r="GL30" s="523">
        <v>0</v>
      </c>
      <c r="GM30" s="523">
        <v>0</v>
      </c>
      <c r="GN30" s="524">
        <f>SUM(GJ30:GM30)</f>
        <v>0</v>
      </c>
      <c r="GO30" s="523">
        <v>0</v>
      </c>
      <c r="GP30" s="523">
        <v>0</v>
      </c>
      <c r="GQ30" s="523">
        <v>0</v>
      </c>
      <c r="GR30" s="523">
        <v>0</v>
      </c>
      <c r="GS30" s="524">
        <f>SUM(GO30:GR30)</f>
        <v>0</v>
      </c>
      <c r="GT30" s="523">
        <v>0</v>
      </c>
      <c r="GU30" s="523">
        <v>0</v>
      </c>
      <c r="GV30" s="523">
        <v>0</v>
      </c>
      <c r="GW30" s="523">
        <v>0</v>
      </c>
      <c r="GX30" s="524">
        <f>SUM(GT30:GW30)</f>
        <v>0</v>
      </c>
      <c r="GY30" s="523">
        <v>0</v>
      </c>
      <c r="GZ30" s="523">
        <v>0</v>
      </c>
      <c r="HA30" s="523">
        <v>0</v>
      </c>
      <c r="HB30" s="523">
        <v>0</v>
      </c>
      <c r="HC30" s="524">
        <f>SUM(GY30:HB30)</f>
        <v>0</v>
      </c>
      <c r="HD30" s="523">
        <v>0</v>
      </c>
      <c r="HE30" s="523">
        <v>0</v>
      </c>
      <c r="HF30" s="523">
        <v>0</v>
      </c>
      <c r="HG30" s="523">
        <v>0</v>
      </c>
      <c r="HH30" s="524">
        <f>SUM(HD30:HG30)</f>
        <v>0</v>
      </c>
      <c r="HI30" s="523">
        <v>0</v>
      </c>
      <c r="HJ30" s="523">
        <v>0</v>
      </c>
      <c r="HK30" s="523">
        <v>0</v>
      </c>
      <c r="HL30" s="523">
        <v>0</v>
      </c>
      <c r="HM30" s="524">
        <f>SUM(HI30:HL30)</f>
        <v>0</v>
      </c>
      <c r="HN30" s="524"/>
      <c r="HO30" s="538"/>
      <c r="HP30" s="453"/>
      <c r="HQ30" s="453"/>
      <c r="HR30" s="453"/>
      <c r="HS30" s="453"/>
      <c r="HT30" s="453"/>
      <c r="HU30" s="453"/>
      <c r="HV30" s="453"/>
      <c r="HW30" s="453"/>
      <c r="HX30" s="453"/>
      <c r="HY30" s="453"/>
      <c r="HZ30" s="453"/>
      <c r="IA30" s="453"/>
      <c r="IB30" s="453"/>
    </row>
    <row r="31" spans="1:236" s="509" customFormat="1" ht="15" customHeight="1">
      <c r="A31" s="517" t="s">
        <v>202</v>
      </c>
      <c r="L31" s="518"/>
      <c r="M31" s="518"/>
      <c r="N31" s="518"/>
      <c r="O31" s="518"/>
      <c r="P31" s="521"/>
      <c r="Q31" s="518"/>
      <c r="R31" s="518"/>
      <c r="S31" s="518"/>
      <c r="T31" s="518"/>
      <c r="U31" s="521"/>
      <c r="V31" s="518"/>
      <c r="W31" s="518"/>
      <c r="X31" s="518"/>
      <c r="Y31" s="518"/>
      <c r="Z31" s="521"/>
      <c r="AA31" s="518"/>
      <c r="AB31" s="518"/>
      <c r="AC31" s="518"/>
      <c r="AD31" s="518"/>
      <c r="AE31" s="521"/>
      <c r="AF31" s="518">
        <f t="shared" ref="AF31:CQ31" si="47">AF30/AF$9</f>
        <v>0</v>
      </c>
      <c r="AG31" s="518">
        <f t="shared" si="47"/>
        <v>0</v>
      </c>
      <c r="AH31" s="518">
        <f t="shared" si="47"/>
        <v>0</v>
      </c>
      <c r="AI31" s="518">
        <f t="shared" si="47"/>
        <v>0</v>
      </c>
      <c r="AJ31" s="521">
        <f t="shared" si="47"/>
        <v>0</v>
      </c>
      <c r="AK31" s="518">
        <f t="shared" si="47"/>
        <v>0</v>
      </c>
      <c r="AL31" s="518">
        <f t="shared" si="47"/>
        <v>0</v>
      </c>
      <c r="AM31" s="518">
        <f t="shared" si="47"/>
        <v>0</v>
      </c>
      <c r="AN31" s="518">
        <f t="shared" si="47"/>
        <v>0</v>
      </c>
      <c r="AO31" s="521">
        <f t="shared" si="47"/>
        <v>0</v>
      </c>
      <c r="AP31" s="518">
        <f t="shared" si="47"/>
        <v>0</v>
      </c>
      <c r="AQ31" s="518">
        <f t="shared" si="47"/>
        <v>0</v>
      </c>
      <c r="AR31" s="518">
        <f t="shared" si="47"/>
        <v>0</v>
      </c>
      <c r="AS31" s="518">
        <f t="shared" si="47"/>
        <v>0</v>
      </c>
      <c r="AT31" s="521">
        <f t="shared" si="47"/>
        <v>0</v>
      </c>
      <c r="AU31" s="518">
        <f t="shared" si="47"/>
        <v>0</v>
      </c>
      <c r="AV31" s="518">
        <f t="shared" si="47"/>
        <v>0</v>
      </c>
      <c r="AW31" s="518">
        <f t="shared" si="47"/>
        <v>0</v>
      </c>
      <c r="AX31" s="518">
        <f t="shared" si="47"/>
        <v>0</v>
      </c>
      <c r="AY31" s="521">
        <f t="shared" si="47"/>
        <v>0</v>
      </c>
      <c r="AZ31" s="518">
        <f t="shared" si="47"/>
        <v>0</v>
      </c>
      <c r="BA31" s="518">
        <f t="shared" si="47"/>
        <v>0</v>
      </c>
      <c r="BB31" s="518">
        <f t="shared" si="47"/>
        <v>0</v>
      </c>
      <c r="BC31" s="518">
        <f t="shared" si="47"/>
        <v>0</v>
      </c>
      <c r="BD31" s="521">
        <f t="shared" si="47"/>
        <v>0</v>
      </c>
      <c r="BE31" s="518">
        <f t="shared" si="47"/>
        <v>0</v>
      </c>
      <c r="BF31" s="518">
        <f t="shared" si="47"/>
        <v>0</v>
      </c>
      <c r="BG31" s="518">
        <f t="shared" si="47"/>
        <v>0</v>
      </c>
      <c r="BH31" s="518">
        <f t="shared" si="47"/>
        <v>0</v>
      </c>
      <c r="BI31" s="521">
        <f t="shared" si="47"/>
        <v>0</v>
      </c>
      <c r="BJ31" s="518">
        <f t="shared" si="47"/>
        <v>0</v>
      </c>
      <c r="BK31" s="518">
        <f t="shared" si="47"/>
        <v>0</v>
      </c>
      <c r="BL31" s="518">
        <f t="shared" si="47"/>
        <v>0</v>
      </c>
      <c r="BM31" s="518">
        <f t="shared" si="47"/>
        <v>0</v>
      </c>
      <c r="BN31" s="521">
        <f t="shared" si="47"/>
        <v>0</v>
      </c>
      <c r="BO31" s="518">
        <f t="shared" si="47"/>
        <v>0</v>
      </c>
      <c r="BP31" s="518">
        <f t="shared" si="47"/>
        <v>0</v>
      </c>
      <c r="BQ31" s="518">
        <f t="shared" si="47"/>
        <v>0</v>
      </c>
      <c r="BR31" s="518">
        <f t="shared" si="47"/>
        <v>0</v>
      </c>
      <c r="BS31" s="521">
        <f t="shared" si="47"/>
        <v>0</v>
      </c>
      <c r="BT31" s="518">
        <f t="shared" si="47"/>
        <v>0</v>
      </c>
      <c r="BU31" s="518">
        <f t="shared" si="47"/>
        <v>0</v>
      </c>
      <c r="BV31" s="518">
        <f t="shared" si="47"/>
        <v>0</v>
      </c>
      <c r="BW31" s="518">
        <f t="shared" si="47"/>
        <v>0</v>
      </c>
      <c r="BX31" s="521">
        <f t="shared" si="47"/>
        <v>0</v>
      </c>
      <c r="BY31" s="518">
        <f t="shared" si="47"/>
        <v>0</v>
      </c>
      <c r="BZ31" s="518">
        <f t="shared" si="47"/>
        <v>0</v>
      </c>
      <c r="CA31" s="518">
        <f t="shared" si="47"/>
        <v>0</v>
      </c>
      <c r="CB31" s="518">
        <f t="shared" si="47"/>
        <v>0</v>
      </c>
      <c r="CC31" s="521">
        <f t="shared" si="47"/>
        <v>0</v>
      </c>
      <c r="CD31" s="518">
        <f t="shared" si="47"/>
        <v>0</v>
      </c>
      <c r="CE31" s="518">
        <f t="shared" si="47"/>
        <v>0</v>
      </c>
      <c r="CF31" s="518">
        <f t="shared" si="47"/>
        <v>-2.6582186904658307E-2</v>
      </c>
      <c r="CG31" s="518">
        <f t="shared" si="47"/>
        <v>-1.6098301831546799E-2</v>
      </c>
      <c r="CH31" s="521">
        <f t="shared" si="47"/>
        <v>-1.2719199538072637E-2</v>
      </c>
      <c r="CI31" s="518">
        <f t="shared" si="47"/>
        <v>-4.3277719051497332E-3</v>
      </c>
      <c r="CJ31" s="518">
        <f t="shared" si="47"/>
        <v>5.1726173824352909E-3</v>
      </c>
      <c r="CK31" s="518">
        <f t="shared" si="47"/>
        <v>-2.4268652694441686E-3</v>
      </c>
      <c r="CL31" s="518">
        <f t="shared" si="47"/>
        <v>-1.3318762433667326E-2</v>
      </c>
      <c r="CM31" s="521">
        <f t="shared" si="47"/>
        <v>-3.7315290511623161E-3</v>
      </c>
      <c r="CN31" s="518">
        <f t="shared" si="47"/>
        <v>-3.8196584457553556E-2</v>
      </c>
      <c r="CO31" s="518">
        <f t="shared" si="47"/>
        <v>-3.0085291264987091E-2</v>
      </c>
      <c r="CP31" s="518">
        <f t="shared" si="47"/>
        <v>-1.3939865572597035E-2</v>
      </c>
      <c r="CQ31" s="518">
        <f t="shared" si="47"/>
        <v>-1.042607312503672E-2</v>
      </c>
      <c r="CR31" s="521">
        <f t="shared" ref="CR31:DQ31" si="48">CR30/CR$9</f>
        <v>-2.1402197867595417E-2</v>
      </c>
      <c r="CS31" s="518">
        <f t="shared" si="48"/>
        <v>4.7644498625538422E-3</v>
      </c>
      <c r="CT31" s="518">
        <f t="shared" si="48"/>
        <v>5.9052900974788033E-3</v>
      </c>
      <c r="CU31" s="518">
        <f t="shared" si="48"/>
        <v>5.2281447580711975E-3</v>
      </c>
      <c r="CV31" s="518">
        <f t="shared" si="48"/>
        <v>3.948110547095319E-3</v>
      </c>
      <c r="CW31" s="521">
        <f t="shared" si="48"/>
        <v>4.8628580562693801E-3</v>
      </c>
      <c r="CX31" s="518">
        <f t="shared" si="48"/>
        <v>6.4882400648824008E-3</v>
      </c>
      <c r="CY31" s="518">
        <f t="shared" si="48"/>
        <v>6.5312046444121917E-3</v>
      </c>
      <c r="CZ31" s="518">
        <f t="shared" si="48"/>
        <v>5.5147058823529415E-3</v>
      </c>
      <c r="DA31" s="518">
        <f t="shared" si="48"/>
        <v>5.084745762711864E-3</v>
      </c>
      <c r="DB31" s="521">
        <f t="shared" si="48"/>
        <v>5.8207217694994182E-3</v>
      </c>
      <c r="DC31" s="518">
        <f t="shared" si="48"/>
        <v>8.6378737541528243E-3</v>
      </c>
      <c r="DD31" s="518">
        <f t="shared" si="48"/>
        <v>5.1890289103039286E-3</v>
      </c>
      <c r="DE31" s="518">
        <f t="shared" si="48"/>
        <v>4.3586550435865505E-3</v>
      </c>
      <c r="DF31" s="518">
        <f t="shared" si="48"/>
        <v>2.2375215146299483E-2</v>
      </c>
      <c r="DG31" s="521">
        <f t="shared" si="48"/>
        <v>9.4272500889363217E-3</v>
      </c>
      <c r="DH31" s="518">
        <f t="shared" si="48"/>
        <v>-5.0977060322854716E-3</v>
      </c>
      <c r="DI31" s="518">
        <f t="shared" si="48"/>
        <v>-2.1114864864864864E-2</v>
      </c>
      <c r="DJ31" s="518">
        <f t="shared" si="48"/>
        <v>-2.0773638968481375E-2</v>
      </c>
      <c r="DK31" s="518">
        <f t="shared" si="48"/>
        <v>-1.3973268529769137E-2</v>
      </c>
      <c r="DL31" s="521">
        <f t="shared" si="48"/>
        <v>-1.5361836017027578E-2</v>
      </c>
      <c r="DM31" s="518">
        <f t="shared" si="48"/>
        <v>0</v>
      </c>
      <c r="DN31" s="518">
        <f t="shared" si="48"/>
        <v>0</v>
      </c>
      <c r="DO31" s="518">
        <f t="shared" si="48"/>
        <v>0</v>
      </c>
      <c r="DP31" s="518">
        <f t="shared" si="48"/>
        <v>0</v>
      </c>
      <c r="DQ31" s="521">
        <f t="shared" si="48"/>
        <v>0</v>
      </c>
      <c r="DR31" s="518">
        <f>DR30/DR$9</f>
        <v>0</v>
      </c>
      <c r="DS31" s="518">
        <f>DS30/DS$9</f>
        <v>0</v>
      </c>
      <c r="DT31" s="518">
        <f>DT30/DT$9</f>
        <v>0</v>
      </c>
      <c r="DU31" s="518">
        <f>DU30/DU$9</f>
        <v>0</v>
      </c>
      <c r="DV31" s="521">
        <f t="shared" ref="DV31:EU31" si="49">DV30/DV$9</f>
        <v>0</v>
      </c>
      <c r="DW31" s="518">
        <f>DW30/DW$9</f>
        <v>0</v>
      </c>
      <c r="DX31" s="518">
        <f>DX30/DX$9</f>
        <v>0</v>
      </c>
      <c r="DY31" s="518">
        <f>DY30/DY$9</f>
        <v>0</v>
      </c>
      <c r="DZ31" s="518">
        <f>DZ30/DZ$9</f>
        <v>0</v>
      </c>
      <c r="EA31" s="521">
        <f t="shared" si="49"/>
        <v>0</v>
      </c>
      <c r="EB31" s="518">
        <f t="shared" si="49"/>
        <v>0</v>
      </c>
      <c r="EC31" s="518">
        <f t="shared" si="49"/>
        <v>0</v>
      </c>
      <c r="ED31" s="518">
        <f t="shared" si="49"/>
        <v>0</v>
      </c>
      <c r="EE31" s="518">
        <f t="shared" si="49"/>
        <v>0</v>
      </c>
      <c r="EF31" s="521">
        <f t="shared" si="49"/>
        <v>0</v>
      </c>
      <c r="EG31" s="518">
        <f t="shared" si="49"/>
        <v>0</v>
      </c>
      <c r="EH31" s="518">
        <f t="shared" si="49"/>
        <v>0</v>
      </c>
      <c r="EI31" s="518">
        <f>EI30/EI$9</f>
        <v>0</v>
      </c>
      <c r="EJ31" s="518">
        <f>EJ30/EJ$9</f>
        <v>0</v>
      </c>
      <c r="EK31" s="521">
        <f t="shared" si="49"/>
        <v>0</v>
      </c>
      <c r="EL31" s="518">
        <f>EL30/EL$9</f>
        <v>0</v>
      </c>
      <c r="EM31" s="518">
        <f>EM30/EM$9</f>
        <v>0</v>
      </c>
      <c r="EN31" s="518">
        <f>EN30/EN$9</f>
        <v>0</v>
      </c>
      <c r="EO31" s="518">
        <f t="shared" si="49"/>
        <v>0</v>
      </c>
      <c r="EP31" s="521">
        <f t="shared" si="49"/>
        <v>0</v>
      </c>
      <c r="EQ31" s="518">
        <f t="shared" si="49"/>
        <v>0</v>
      </c>
      <c r="ER31" s="518">
        <f t="shared" si="49"/>
        <v>0</v>
      </c>
      <c r="ES31" s="518">
        <f t="shared" si="49"/>
        <v>0</v>
      </c>
      <c r="ET31" s="518">
        <f t="shared" si="49"/>
        <v>6.3291139240506328E-3</v>
      </c>
      <c r="EU31" s="521">
        <f t="shared" si="49"/>
        <v>1.6385767790262173E-3</v>
      </c>
      <c r="EV31" s="518">
        <f>EV30/EV$9</f>
        <v>0</v>
      </c>
      <c r="EW31" s="518">
        <f>EW30/EW$9</f>
        <v>0</v>
      </c>
      <c r="EX31" s="518">
        <f>EX30/EX$9</f>
        <v>0</v>
      </c>
      <c r="EY31" s="518">
        <f>EY30/EY$9</f>
        <v>0</v>
      </c>
      <c r="EZ31" s="521">
        <f>EZ30/EZ$9</f>
        <v>0</v>
      </c>
      <c r="FA31" s="518">
        <f t="shared" ref="FA31:FJ31" si="50">FA30/FA$9</f>
        <v>0</v>
      </c>
      <c r="FB31" s="518">
        <f t="shared" si="50"/>
        <v>0</v>
      </c>
      <c r="FC31" s="518">
        <f t="shared" si="50"/>
        <v>0</v>
      </c>
      <c r="FD31" s="518">
        <f t="shared" si="50"/>
        <v>0</v>
      </c>
      <c r="FE31" s="521">
        <f t="shared" si="50"/>
        <v>0</v>
      </c>
      <c r="FF31" s="518">
        <f t="shared" si="50"/>
        <v>0</v>
      </c>
      <c r="FG31" s="518">
        <f t="shared" si="50"/>
        <v>0</v>
      </c>
      <c r="FH31" s="518">
        <f t="shared" si="50"/>
        <v>0</v>
      </c>
      <c r="FI31" s="518">
        <f t="shared" si="50"/>
        <v>0</v>
      </c>
      <c r="FJ31" s="521">
        <f t="shared" si="50"/>
        <v>0</v>
      </c>
      <c r="FK31" s="518">
        <f>FK30/FK$9</f>
        <v>0</v>
      </c>
      <c r="FL31" s="518">
        <f>FL30/FL$9</f>
        <v>0</v>
      </c>
      <c r="FM31" s="518">
        <f>FM30/FM$9</f>
        <v>0</v>
      </c>
      <c r="FN31" s="518">
        <f>FN30/FN$9</f>
        <v>0</v>
      </c>
      <c r="FO31" s="521">
        <f>FO30/FO$9</f>
        <v>0</v>
      </c>
      <c r="FP31" s="518">
        <f t="shared" ref="FP31:HM31" si="51">FP30/FP$9</f>
        <v>0</v>
      </c>
      <c r="FQ31" s="518">
        <f t="shared" si="51"/>
        <v>0</v>
      </c>
      <c r="FR31" s="518">
        <f t="shared" si="51"/>
        <v>0</v>
      </c>
      <c r="FS31" s="518">
        <f t="shared" si="51"/>
        <v>0</v>
      </c>
      <c r="FT31" s="521">
        <f t="shared" si="51"/>
        <v>0</v>
      </c>
      <c r="FU31" s="518">
        <f t="shared" si="51"/>
        <v>0</v>
      </c>
      <c r="FV31" s="518">
        <f t="shared" si="51"/>
        <v>0</v>
      </c>
      <c r="FW31" s="518">
        <f t="shared" si="51"/>
        <v>0</v>
      </c>
      <c r="FX31" s="518">
        <f t="shared" si="51"/>
        <v>0</v>
      </c>
      <c r="FY31" s="521">
        <f t="shared" si="51"/>
        <v>0</v>
      </c>
      <c r="FZ31" s="518">
        <f t="shared" si="51"/>
        <v>0</v>
      </c>
      <c r="GA31" s="518">
        <f t="shared" si="51"/>
        <v>0</v>
      </c>
      <c r="GB31" s="518">
        <f t="shared" si="51"/>
        <v>0</v>
      </c>
      <c r="GC31" s="518">
        <f t="shared" si="51"/>
        <v>0</v>
      </c>
      <c r="GD31" s="521">
        <f t="shared" si="51"/>
        <v>0</v>
      </c>
      <c r="GE31" s="518">
        <f t="shared" si="51"/>
        <v>0</v>
      </c>
      <c r="GF31" s="518">
        <f t="shared" si="51"/>
        <v>0</v>
      </c>
      <c r="GG31" s="518">
        <f t="shared" si="51"/>
        <v>0</v>
      </c>
      <c r="GH31" s="518">
        <f t="shared" si="51"/>
        <v>0</v>
      </c>
      <c r="GI31" s="521">
        <f t="shared" si="51"/>
        <v>0</v>
      </c>
      <c r="GJ31" s="518">
        <f t="shared" si="51"/>
        <v>0</v>
      </c>
      <c r="GK31" s="518">
        <f t="shared" si="51"/>
        <v>0</v>
      </c>
      <c r="GL31" s="518">
        <f t="shared" si="51"/>
        <v>0</v>
      </c>
      <c r="GM31" s="518">
        <f t="shared" si="51"/>
        <v>0</v>
      </c>
      <c r="GN31" s="521">
        <f t="shared" si="51"/>
        <v>0</v>
      </c>
      <c r="GO31" s="518">
        <f t="shared" si="51"/>
        <v>0</v>
      </c>
      <c r="GP31" s="518">
        <f t="shared" si="51"/>
        <v>0</v>
      </c>
      <c r="GQ31" s="518">
        <f t="shared" si="51"/>
        <v>0</v>
      </c>
      <c r="GR31" s="518">
        <f t="shared" si="51"/>
        <v>0</v>
      </c>
      <c r="GS31" s="521">
        <f t="shared" si="51"/>
        <v>0</v>
      </c>
      <c r="GT31" s="518">
        <f t="shared" si="51"/>
        <v>0</v>
      </c>
      <c r="GU31" s="518">
        <f t="shared" si="51"/>
        <v>0</v>
      </c>
      <c r="GV31" s="518">
        <f t="shared" si="51"/>
        <v>0</v>
      </c>
      <c r="GW31" s="518">
        <f t="shared" si="51"/>
        <v>0</v>
      </c>
      <c r="GX31" s="521">
        <f t="shared" si="51"/>
        <v>0</v>
      </c>
      <c r="GY31" s="518">
        <f t="shared" si="51"/>
        <v>0</v>
      </c>
      <c r="GZ31" s="518">
        <f t="shared" si="51"/>
        <v>0</v>
      </c>
      <c r="HA31" s="518">
        <f t="shared" si="51"/>
        <v>0</v>
      </c>
      <c r="HB31" s="518">
        <f t="shared" si="51"/>
        <v>0</v>
      </c>
      <c r="HC31" s="521">
        <f t="shared" si="51"/>
        <v>0</v>
      </c>
      <c r="HD31" s="518">
        <f t="shared" si="51"/>
        <v>0</v>
      </c>
      <c r="HE31" s="518">
        <f t="shared" si="51"/>
        <v>0</v>
      </c>
      <c r="HF31" s="518">
        <f t="shared" si="51"/>
        <v>0</v>
      </c>
      <c r="HG31" s="518">
        <f t="shared" si="51"/>
        <v>0</v>
      </c>
      <c r="HH31" s="521">
        <f t="shared" si="51"/>
        <v>0</v>
      </c>
      <c r="HI31" s="518">
        <f t="shared" si="51"/>
        <v>0</v>
      </c>
      <c r="HJ31" s="518">
        <f t="shared" si="51"/>
        <v>0</v>
      </c>
      <c r="HK31" s="518">
        <f t="shared" si="51"/>
        <v>0</v>
      </c>
      <c r="HL31" s="518">
        <f t="shared" si="51"/>
        <v>0</v>
      </c>
      <c r="HM31" s="521">
        <f t="shared" si="51"/>
        <v>0</v>
      </c>
      <c r="HN31" s="521"/>
      <c r="HO31" s="538"/>
      <c r="HP31" s="453"/>
      <c r="HQ31" s="453"/>
      <c r="HR31" s="453"/>
      <c r="HS31" s="453"/>
      <c r="HT31" s="453"/>
      <c r="HU31" s="453"/>
      <c r="HV31" s="453"/>
      <c r="HW31" s="453"/>
      <c r="HX31" s="453"/>
      <c r="HY31" s="453"/>
      <c r="HZ31" s="453"/>
      <c r="IA31" s="453"/>
      <c r="IB31" s="453"/>
    </row>
    <row r="32" spans="1:236" s="257" customFormat="1" ht="15" customHeight="1">
      <c r="A32" s="236" t="s">
        <v>376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8"/>
      <c r="M32" s="238"/>
      <c r="N32" s="238"/>
      <c r="O32" s="238"/>
      <c r="P32" s="239"/>
      <c r="Q32" s="238"/>
      <c r="R32" s="238"/>
      <c r="S32" s="238"/>
      <c r="T32" s="238"/>
      <c r="U32" s="239"/>
      <c r="V32" s="238"/>
      <c r="W32" s="238"/>
      <c r="X32" s="238"/>
      <c r="Y32" s="238"/>
      <c r="Z32" s="239"/>
      <c r="AA32" s="238"/>
      <c r="AB32" s="238"/>
      <c r="AC32" s="238"/>
      <c r="AD32" s="238"/>
      <c r="AE32" s="239"/>
      <c r="AF32" s="238">
        <f>AF24-AF26-AF28-AF30</f>
        <v>85.348000000000013</v>
      </c>
      <c r="AG32" s="238">
        <f>AG24-AG26-AG28-AG30</f>
        <v>89.536999999999964</v>
      </c>
      <c r="AH32" s="238">
        <f>AH24-AH26-AH28-AH30</f>
        <v>85.534999999999968</v>
      </c>
      <c r="AI32" s="238">
        <f>AI24-AI26-AI28-AI30</f>
        <v>58.213000000000022</v>
      </c>
      <c r="AJ32" s="239">
        <f>SUM(AF32:AI32)</f>
        <v>318.63299999999998</v>
      </c>
      <c r="AK32" s="238">
        <f>AK24-AK26-AK28-AK30</f>
        <v>124.97100000000002</v>
      </c>
      <c r="AL32" s="238">
        <f>AL24-AL26-AL28-AL30</f>
        <v>143.52100000000004</v>
      </c>
      <c r="AM32" s="238">
        <f>AM24-AM26-AM28-AM30</f>
        <v>135.76600000000002</v>
      </c>
      <c r="AN32" s="238">
        <f>AN24-AN26-AN28-AN30</f>
        <v>65.296000000000006</v>
      </c>
      <c r="AO32" s="239">
        <f>SUM(AK32:AN32)</f>
        <v>469.55400000000009</v>
      </c>
      <c r="AP32" s="238">
        <f>AP24-AP26-AP28-AP30</f>
        <v>146.59</v>
      </c>
      <c r="AQ32" s="238">
        <f>AQ24-AQ26-AQ28-AQ30</f>
        <v>133.51600000000008</v>
      </c>
      <c r="AR32" s="238">
        <f>AR24-AR26-AR28-AR30</f>
        <v>60.368999999999986</v>
      </c>
      <c r="AS32" s="238">
        <f>AS24-AS26-AS28-AS30</f>
        <v>37.857999999999954</v>
      </c>
      <c r="AT32" s="239">
        <f>SUM(AP32:AS32)</f>
        <v>378.33300000000003</v>
      </c>
      <c r="AU32" s="238">
        <f>AU24-AU26-AU28-AU30</f>
        <v>3.763999999999978</v>
      </c>
      <c r="AV32" s="238">
        <f>AV24-AV26-AV28-AV30</f>
        <v>-79.305999999999997</v>
      </c>
      <c r="AW32" s="238">
        <f>AW24-AW26-AW28-AW30</f>
        <v>-76.146999999999991</v>
      </c>
      <c r="AX32" s="238">
        <f>AX24-AX26-AX28-AX30</f>
        <v>-57.067000000000014</v>
      </c>
      <c r="AY32" s="239">
        <f>SUM(AU32:AX32)</f>
        <v>-208.75600000000003</v>
      </c>
      <c r="AZ32" s="238">
        <f>AZ24-AZ26-AZ28-AZ30</f>
        <v>7.4079999999999941</v>
      </c>
      <c r="BA32" s="238">
        <f>BA24-BA26-BA28-BA30</f>
        <v>9.050999999999954</v>
      </c>
      <c r="BB32" s="238">
        <f>BB24-BB26-BB28-BB30</f>
        <v>-67.047000000000011</v>
      </c>
      <c r="BC32" s="238">
        <f>BC24-BC26-BC28-BC30</f>
        <v>-50.2439999999999</v>
      </c>
      <c r="BD32" s="239">
        <f>SUM(AZ32:BC32)</f>
        <v>-100.83199999999997</v>
      </c>
      <c r="BE32" s="238">
        <f>BE24-BE26-BE28-BE30</f>
        <v>-117.46000000000001</v>
      </c>
      <c r="BF32" s="238">
        <f>BF24-BF26-BF28-BF30</f>
        <v>-113.10299999999995</v>
      </c>
      <c r="BG32" s="238">
        <f>BG24-BG26-BG28-BG30</f>
        <v>-1.6019999999999843</v>
      </c>
      <c r="BH32" s="238">
        <f>BH24-BH26-BH28-BH30</f>
        <v>24.736000000000018</v>
      </c>
      <c r="BI32" s="239">
        <f>SUM(BE32:BH32)</f>
        <v>-207.42899999999992</v>
      </c>
      <c r="BJ32" s="238">
        <f>BJ24-BJ26-BJ28-BJ30</f>
        <v>-131.10499999999996</v>
      </c>
      <c r="BK32" s="238">
        <f>BK24-BK26-BK28-BK30</f>
        <v>248.68200000000004</v>
      </c>
      <c r="BL32" s="238">
        <f>BL24-BL26-BL28-BL30</f>
        <v>-110.26599999999992</v>
      </c>
      <c r="BM32" s="238">
        <f>BM24-BM26-BM28-BM30</f>
        <v>66.313999999999965</v>
      </c>
      <c r="BN32" s="239">
        <f>SUM(BJ32:BM32)</f>
        <v>73.625000000000128</v>
      </c>
      <c r="BO32" s="238">
        <f>BO24-BO26-BO28-BO30</f>
        <v>190.3179999999999</v>
      </c>
      <c r="BP32" s="238">
        <f>BP24-BP26-BP28-BP30</f>
        <v>258.88799999999986</v>
      </c>
      <c r="BQ32" s="238">
        <f>BQ24-BQ26-BQ28-BQ30</f>
        <v>579.16999999999996</v>
      </c>
      <c r="BR32" s="238">
        <f>BR24-BR26-BR28-BR30</f>
        <v>200.47900000000004</v>
      </c>
      <c r="BS32" s="239">
        <f>SUM(BO32:BR32)</f>
        <v>1228.8549999999998</v>
      </c>
      <c r="BT32" s="238">
        <f>BT24-BT26-BT28-BT30</f>
        <v>164.19700000000003</v>
      </c>
      <c r="BU32" s="238">
        <f>BU24-BU26-BU28-BU30</f>
        <v>13.769000000000052</v>
      </c>
      <c r="BV32" s="238">
        <f>BV24-BV26-BV28-BV30</f>
        <v>-250.76</v>
      </c>
      <c r="BW32" s="238">
        <f>BW24-BW26-BW28-BW30</f>
        <v>-21.129999999999995</v>
      </c>
      <c r="BX32" s="239">
        <f>SUM(BT32:BW32)</f>
        <v>-93.923999999999893</v>
      </c>
      <c r="BY32" s="238">
        <f>BY24-BY26-BY28-BY30</f>
        <v>-16.163000000000061</v>
      </c>
      <c r="BZ32" s="238">
        <f>BZ24-BZ26-BZ28-BZ30</f>
        <v>-303.73199999999997</v>
      </c>
      <c r="CA32" s="238">
        <f>CA24-CA26-CA28-CA30</f>
        <v>-333.40900000000011</v>
      </c>
      <c r="CB32" s="238">
        <f>CB24-CB26-CB28-CB30</f>
        <v>-854.76900000000012</v>
      </c>
      <c r="CC32" s="239">
        <f>SUM(BY32:CB32)</f>
        <v>-1508.0730000000003</v>
      </c>
      <c r="CD32" s="238">
        <f>CD24-CD26-CD28-CD30</f>
        <v>-144.53800000000007</v>
      </c>
      <c r="CE32" s="238">
        <f>CE24-CE26-CE28-CE30</f>
        <v>-144.89099999999996</v>
      </c>
      <c r="CF32" s="238">
        <f>CF24-CF26-CF28-CF30</f>
        <v>-31.23099999999998</v>
      </c>
      <c r="CG32" s="238">
        <f>CG24-CG26-CG28-CG30</f>
        <v>43.19300000000004</v>
      </c>
      <c r="CH32" s="239">
        <f>SUM(CD32:CG32)</f>
        <v>-277.46699999999998</v>
      </c>
      <c r="CI32" s="238">
        <f>CI24-CI26-CI28-CI30</f>
        <v>47.463999999999942</v>
      </c>
      <c r="CJ32" s="238">
        <f>CJ24-CJ26-CJ28-CJ30</f>
        <v>35.75400000000004</v>
      </c>
      <c r="CK32" s="238">
        <f>CK24-CK26-CK28-CK30</f>
        <v>48.720000000000034</v>
      </c>
      <c r="CL32" s="238">
        <f>CL24-CL26-CL28-CL30</f>
        <v>-34.943999999999974</v>
      </c>
      <c r="CM32" s="239">
        <f>SUM(CI32:CL32)</f>
        <v>96.994000000000042</v>
      </c>
      <c r="CN32" s="238">
        <f>CN24-CN26-CN28-CN30</f>
        <v>-19.075000000000038</v>
      </c>
      <c r="CO32" s="238">
        <f>CO24-CO26-CO28-CO30</f>
        <v>8.2189999999999444</v>
      </c>
      <c r="CP32" s="238">
        <f>CP24-CP26-CP28-CP30</f>
        <v>75.394000000000176</v>
      </c>
      <c r="CQ32" s="238">
        <f>CQ24-CQ26-CQ28-CQ30</f>
        <v>91.199000000000012</v>
      </c>
      <c r="CR32" s="239">
        <f>SUM(CN32:CQ32)</f>
        <v>155.73700000000008</v>
      </c>
      <c r="CS32" s="238">
        <f>CS24-CS26-CS28-CS30</f>
        <v>238.03999999999985</v>
      </c>
      <c r="CT32" s="238">
        <f>CT24-CT26-CT28-CT30</f>
        <v>119.61500000000004</v>
      </c>
      <c r="CU32" s="238">
        <f>CU24-CU26-CU28-CU30</f>
        <v>123.80700000000007</v>
      </c>
      <c r="CV32" s="238">
        <f>CV24-CV26-CV28-CV30</f>
        <v>-579</v>
      </c>
      <c r="CW32" s="239">
        <f>SUM(CS32:CV32)</f>
        <v>-97.538000000000068</v>
      </c>
      <c r="CX32" s="238">
        <f>CX24-CX26-CX28-CX30</f>
        <v>-572</v>
      </c>
      <c r="CY32" s="238">
        <f>CY24-CY26-CY28-CY30</f>
        <v>-555</v>
      </c>
      <c r="CZ32" s="238">
        <f>CZ24-CZ26-CZ28-CZ30</f>
        <v>-354</v>
      </c>
      <c r="DA32" s="238">
        <f>DA24-DA26-DA28-DA30</f>
        <v>-1831</v>
      </c>
      <c r="DB32" s="239">
        <f>SUM(CX32:DA32)</f>
        <v>-3312</v>
      </c>
      <c r="DC32" s="238">
        <f>DC24-DC26-DC28-DC30</f>
        <v>-358</v>
      </c>
      <c r="DD32" s="238">
        <f>DD24-DD26-DD28-DD30</f>
        <v>-245</v>
      </c>
      <c r="DE32" s="238">
        <f>DE24-DE26-DE28-DE30</f>
        <v>31</v>
      </c>
      <c r="DF32" s="238">
        <f>DF24-DF26-DF28-DF30</f>
        <v>-1345</v>
      </c>
      <c r="DG32" s="239">
        <f>SUM(DC32:DF32)</f>
        <v>-1917</v>
      </c>
      <c r="DH32" s="238">
        <f>DH24-DH26-DH28-DH30</f>
        <v>-92</v>
      </c>
      <c r="DI32" s="238">
        <f>DI24-DI26-DI28-DI30</f>
        <v>-152</v>
      </c>
      <c r="DJ32" s="238">
        <f>DJ24-DJ26-DJ28-DJ30</f>
        <v>61</v>
      </c>
      <c r="DK32" s="238">
        <f>DK24-DK26-DK28-DK30</f>
        <v>1361</v>
      </c>
      <c r="DL32" s="239">
        <f>SUM(DH32:DK32)</f>
        <v>1178</v>
      </c>
      <c r="DM32" s="238">
        <f>DM24-DM26-DM28-DM30</f>
        <v>440</v>
      </c>
      <c r="DN32" s="238">
        <f>DN24-DN26-DN28-DN30</f>
        <v>72</v>
      </c>
      <c r="DO32" s="238">
        <f>DO24-DO26-DO28-DO30</f>
        <v>69</v>
      </c>
      <c r="DP32" s="238">
        <f>DP24-DP26-DP28-DP30</f>
        <v>390</v>
      </c>
      <c r="DQ32" s="239">
        <f>SUM(DM32:DP32)</f>
        <v>971</v>
      </c>
      <c r="DR32" s="238">
        <f>DR24-DR26-DR28-DR30</f>
        <v>20</v>
      </c>
      <c r="DS32" s="238">
        <f>DS24-DS26-DS28-DS30</f>
        <v>64</v>
      </c>
      <c r="DT32" s="238">
        <f>DT24-DT26-DT28-DT30</f>
        <v>92</v>
      </c>
      <c r="DU32" s="238">
        <f>DU24-DU26-DU28-DU30</f>
        <v>-177</v>
      </c>
      <c r="DV32" s="239">
        <f>SUM(DR32:DU32)</f>
        <v>-1</v>
      </c>
      <c r="DW32" s="238">
        <f>DW24-DW26-DW28-DW30</f>
        <v>-622</v>
      </c>
      <c r="DX32" s="238">
        <f>DX24-DX26-DX28-DX30</f>
        <v>31</v>
      </c>
      <c r="DY32" s="238">
        <f>DY24-DY26-DY28-DY30</f>
        <v>-157</v>
      </c>
      <c r="DZ32" s="238">
        <f>DZ24-DZ26-DZ28-DZ30</f>
        <v>-469</v>
      </c>
      <c r="EA32" s="239">
        <f>SUM(DW32:DZ32)</f>
        <v>-1217</v>
      </c>
      <c r="EB32" s="238">
        <f>EB24-EB26-EB28-EB30</f>
        <v>-144</v>
      </c>
      <c r="EC32" s="238">
        <f>EC24-EC26-EC28-EC30</f>
        <v>-71</v>
      </c>
      <c r="ED32" s="238">
        <f>ED24-ED26-ED28-ED30</f>
        <v>51</v>
      </c>
      <c r="EE32" s="238">
        <f>EE24-EE26-EE28-EE30</f>
        <v>90</v>
      </c>
      <c r="EF32" s="239">
        <f>SUM(EB32:EE32)</f>
        <v>-74</v>
      </c>
      <c r="EG32" s="238">
        <f>EG24-EG26-EG28-EG30</f>
        <v>-18</v>
      </c>
      <c r="EH32" s="238">
        <f>EH24-EH26-EH28-EH30</f>
        <v>-32</v>
      </c>
      <c r="EI32" s="238">
        <f>EI24-EI26-EI28-EI30</f>
        <v>19</v>
      </c>
      <c r="EJ32" s="238">
        <f>EJ24-EJ26-EJ28-EJ30</f>
        <v>-367</v>
      </c>
      <c r="EK32" s="239">
        <f>SUM(EG32:EJ32)</f>
        <v>-398</v>
      </c>
      <c r="EL32" s="238">
        <f>EL24-EL26-EL28-EL30</f>
        <v>-177</v>
      </c>
      <c r="EM32" s="238">
        <f>EM24-EM26-EM28-EM30</f>
        <v>-180</v>
      </c>
      <c r="EN32" s="238">
        <f>EN24-EN26-EN28-EN30</f>
        <v>-197</v>
      </c>
      <c r="EO32" s="238">
        <f>EO24-EO26-EO28-EO30</f>
        <v>-92</v>
      </c>
      <c r="EP32" s="239">
        <f>SUM(EL32:EO32)</f>
        <v>-646</v>
      </c>
      <c r="EQ32" s="238">
        <f>EQ24-EQ26-EQ28-EQ30</f>
        <v>-108</v>
      </c>
      <c r="ER32" s="238">
        <f>ER24-ER26-ER28-ER30</f>
        <v>101</v>
      </c>
      <c r="ES32" s="238">
        <f>ES24-ES26-ES28-ES30</f>
        <v>-397</v>
      </c>
      <c r="ET32" s="238">
        <f>ET24-ET26-ET28-ET30</f>
        <v>-44</v>
      </c>
      <c r="EU32" s="239">
        <f>SUM(EQ32:ET32)</f>
        <v>-448</v>
      </c>
      <c r="EV32" s="238">
        <f>EV24-EV26-EV28-EV30</f>
        <v>-66</v>
      </c>
      <c r="EW32" s="238">
        <f>EW24-EW26-EW28-EW30</f>
        <v>-10</v>
      </c>
      <c r="EX32" s="238">
        <f>EX24-EX26-EX28-EX30</f>
        <v>92</v>
      </c>
      <c r="EY32" s="238">
        <f>EY24-EY26-EY28-EY30</f>
        <v>53</v>
      </c>
      <c r="EZ32" s="239">
        <f>SUM(EV32:EY32)</f>
        <v>69</v>
      </c>
      <c r="FA32" s="238">
        <f>FA24-FA26-FA28-FA30</f>
        <v>90</v>
      </c>
      <c r="FB32" s="238">
        <f>FB24-FB26-FB28-FB30</f>
        <v>123</v>
      </c>
      <c r="FC32" s="238">
        <f>FC24-FC26-FC28-FC30</f>
        <v>114</v>
      </c>
      <c r="FD32" s="238">
        <f>FD24-FD26-FD28-FD30</f>
        <v>3</v>
      </c>
      <c r="FE32" s="239">
        <f>SUM(FA32:FD32)</f>
        <v>330</v>
      </c>
      <c r="FF32" s="238">
        <f>FF24-FF26-FF28-FF30</f>
        <v>4</v>
      </c>
      <c r="FG32" s="238">
        <f>FG24-FG26-FG28-FG30</f>
        <v>37</v>
      </c>
      <c r="FH32" s="238">
        <f>FH24-FH26-FH28-FH30</f>
        <v>126</v>
      </c>
      <c r="FI32" s="238">
        <f>FI24-FI26-FI28-FI30</f>
        <v>205</v>
      </c>
      <c r="FJ32" s="239">
        <f>SUM(FF32:FI32)</f>
        <v>372</v>
      </c>
      <c r="FK32" s="238">
        <f>FK24-FK26-FK28-FK30</f>
        <v>168</v>
      </c>
      <c r="FL32" s="238">
        <f>FL24-FL26-FL28-FL30</f>
        <v>162</v>
      </c>
      <c r="FM32" s="238">
        <f>FM24-FM26-FM28-FM30</f>
        <v>401</v>
      </c>
      <c r="FN32" s="238">
        <f>FN24-FN26-FN28-FN30</f>
        <v>544</v>
      </c>
      <c r="FO32" s="239">
        <f>SUM(FK32:FN32)</f>
        <v>1275</v>
      </c>
      <c r="FP32" s="238">
        <f>FP24-FP26-FP28-FP30</f>
        <v>642</v>
      </c>
      <c r="FQ32" s="238">
        <f>FQ24-FQ26-FQ28-FQ30</f>
        <v>821</v>
      </c>
      <c r="FR32" s="238">
        <f>FR24-FR26-FR28-FR30</f>
        <v>1003</v>
      </c>
      <c r="FS32" s="238">
        <f>FS24-FS26-FS28-FS30</f>
        <v>1203</v>
      </c>
      <c r="FT32" s="239">
        <f>SUM(FP32:FS32)</f>
        <v>3669</v>
      </c>
      <c r="FU32" s="238">
        <f>FU24-FU26-FU28-FU30</f>
        <v>896</v>
      </c>
      <c r="FV32" s="238">
        <f>FV24-FV26-FV28-FV30</f>
        <v>497</v>
      </c>
      <c r="FW32" s="238">
        <f>FW24-FW26-FW28-FW30</f>
        <v>-73</v>
      </c>
      <c r="FX32" s="238">
        <f>FX24-FX26-FX28-FX30</f>
        <v>-136</v>
      </c>
      <c r="FY32" s="239">
        <f>SUM(FU32:FX32)</f>
        <v>1184</v>
      </c>
      <c r="FZ32" s="238">
        <f>FZ24-FZ26-FZ28-FZ30</f>
        <v>-127</v>
      </c>
      <c r="GA32" s="238">
        <f>GA24-GA26-GA28-GA30</f>
        <v>-2</v>
      </c>
      <c r="GB32" s="238">
        <f>GB24-GB26-GB28-GB30</f>
        <v>257</v>
      </c>
      <c r="GC32" s="238">
        <f>GC24-GC26-GC28-GC30</f>
        <v>364</v>
      </c>
      <c r="GD32" s="239">
        <f>SUM(FZ32:GC32)</f>
        <v>492</v>
      </c>
      <c r="GE32" s="238">
        <f>GE24-GE26-GE28-GE30</f>
        <v>64</v>
      </c>
      <c r="GF32" s="238">
        <f>GF24-GF26-GF28-GF30</f>
        <v>299</v>
      </c>
      <c r="GG32" s="238">
        <f>GG24-GG26-GG28-GG30</f>
        <v>737</v>
      </c>
      <c r="GH32" s="238">
        <f>GH24-GH26-GH28-GH30</f>
        <v>889</v>
      </c>
      <c r="GI32" s="239">
        <f>SUM(GE32:GH32)</f>
        <v>1989</v>
      </c>
      <c r="GJ32" s="238">
        <f>GJ24-GJ26-GJ28-GJ30</f>
        <v>825</v>
      </c>
      <c r="GK32" s="238">
        <f>GK24-GK26-GK28-GK30</f>
        <v>-74</v>
      </c>
      <c r="GL32" s="238">
        <f>GL24-GL26-GL28-GL30</f>
        <v>1315</v>
      </c>
      <c r="GM32" s="238">
        <f>GM24-GM26-GM28-GM30</f>
        <v>2074</v>
      </c>
      <c r="GN32" s="239">
        <f>SUM(GJ32:GM32)</f>
        <v>4140</v>
      </c>
      <c r="GO32" s="238">
        <f>GO24-GO26-GO28-GO30</f>
        <v>1604</v>
      </c>
      <c r="GP32" s="238">
        <f>GP24-GP26-GP28-GP30</f>
        <v>2545.2186981914656</v>
      </c>
      <c r="GQ32" s="238">
        <f>GQ24-GQ26-GQ28-GQ30</f>
        <v>2739.2098743604392</v>
      </c>
      <c r="GR32" s="238">
        <f>GR24-GR26-GR28-GR30</f>
        <v>4515.7383411691271</v>
      </c>
      <c r="GS32" s="239">
        <f>SUM(GO32:GR32)</f>
        <v>11404.166913721032</v>
      </c>
      <c r="GT32" s="238">
        <f>GT24-GT26-GT28-GT30</f>
        <v>4908.5395961387894</v>
      </c>
      <c r="GU32" s="238">
        <f>GU24-GU26-GU28-GU30</f>
        <v>5508.2140449436138</v>
      </c>
      <c r="GV32" s="238">
        <f>GV24-GV26-GV28-GV30</f>
        <v>6493.1272332223089</v>
      </c>
      <c r="GW32" s="238">
        <f>GW24-GW26-GW28-GW30</f>
        <v>7181.6913335871031</v>
      </c>
      <c r="GX32" s="239">
        <f>SUM(GT32:GW32)</f>
        <v>24091.572207891815</v>
      </c>
      <c r="GY32" s="238">
        <f>GY24-GY26-GY28-GY30</f>
        <v>7201.0992911251651</v>
      </c>
      <c r="GZ32" s="238">
        <f>GZ24-GZ26-GZ28-GZ30</f>
        <v>7788.8854211582384</v>
      </c>
      <c r="HA32" s="238">
        <f>HA24-HA26-HA28-HA30</f>
        <v>8834.3716758926403</v>
      </c>
      <c r="HB32" s="238">
        <f>HB24-HB26-HB28-HB30</f>
        <v>9772.4874952382361</v>
      </c>
      <c r="HC32" s="239">
        <f>SUM(GY32:HB32)</f>
        <v>33596.84388341428</v>
      </c>
      <c r="HD32" s="238">
        <f>HD24-HD26-HD28-HD30</f>
        <v>9391.9006547147965</v>
      </c>
      <c r="HE32" s="238">
        <f>HE24-HE26-HE28-HE30</f>
        <v>9851.7286334471355</v>
      </c>
      <c r="HF32" s="238">
        <f>HF24-HF26-HF28-HF30</f>
        <v>10963.329425201788</v>
      </c>
      <c r="HG32" s="238">
        <f>HG24-HG26-HG28-HG30</f>
        <v>11440.000468215172</v>
      </c>
      <c r="HH32" s="239">
        <f>SUM(HD32:HG32)</f>
        <v>41646.959181578888</v>
      </c>
      <c r="HI32" s="238">
        <f>HI24-HI26-HI28-HI30</f>
        <v>10656.200459722913</v>
      </c>
      <c r="HJ32" s="238">
        <f>HJ24-HJ26-HJ28-HJ30</f>
        <v>11242.401832567602</v>
      </c>
      <c r="HK32" s="238">
        <f>HK24-HK26-HK28-HK30</f>
        <v>12918.304415072267</v>
      </c>
      <c r="HL32" s="238">
        <f>HL24-HL26-HL28-HL30</f>
        <v>13777.093044496452</v>
      </c>
      <c r="HM32" s="239">
        <f>SUM(HI32:HL32)</f>
        <v>48593.999751859235</v>
      </c>
      <c r="HN32" s="246"/>
      <c r="HP32"/>
      <c r="HQ32"/>
      <c r="HR32"/>
      <c r="HS32"/>
      <c r="HT32"/>
      <c r="HU32"/>
      <c r="HV32"/>
      <c r="HW32"/>
      <c r="HX32"/>
      <c r="HY32"/>
      <c r="HZ32"/>
    </row>
    <row r="33" spans="1:234" s="509" customFormat="1" ht="15" customHeight="1">
      <c r="A33" s="517" t="s">
        <v>202</v>
      </c>
      <c r="L33" s="518"/>
      <c r="M33" s="518"/>
      <c r="N33" s="518"/>
      <c r="O33" s="518"/>
      <c r="P33" s="521"/>
      <c r="Q33" s="518"/>
      <c r="R33" s="518"/>
      <c r="S33" s="518"/>
      <c r="T33" s="518"/>
      <c r="U33" s="521"/>
      <c r="V33" s="518"/>
      <c r="W33" s="518"/>
      <c r="X33" s="518"/>
      <c r="Y33" s="518"/>
      <c r="Z33" s="521"/>
      <c r="AA33" s="518"/>
      <c r="AB33" s="518"/>
      <c r="AC33" s="518"/>
      <c r="AD33" s="518"/>
      <c r="AE33" s="521"/>
      <c r="AF33" s="518">
        <f t="shared" ref="AF33:CQ33" si="52">AF32/AF$9</f>
        <v>0.20947738646599567</v>
      </c>
      <c r="AG33" s="518">
        <f t="shared" si="52"/>
        <v>0.21886763857518593</v>
      </c>
      <c r="AH33" s="518">
        <f t="shared" si="52"/>
        <v>0.20445750099796575</v>
      </c>
      <c r="AI33" s="518">
        <f t="shared" si="52"/>
        <v>0.14081382860349687</v>
      </c>
      <c r="AJ33" s="521">
        <f t="shared" si="52"/>
        <v>0.1933124226466377</v>
      </c>
      <c r="AK33" s="518">
        <f t="shared" si="52"/>
        <v>0.24357020347704064</v>
      </c>
      <c r="AL33" s="518">
        <f t="shared" si="52"/>
        <v>0.26912020881422555</v>
      </c>
      <c r="AM33" s="518">
        <f t="shared" si="52"/>
        <v>0.249976984574141</v>
      </c>
      <c r="AN33" s="518">
        <f t="shared" si="52"/>
        <v>0.11977225369060547</v>
      </c>
      <c r="AO33" s="521">
        <f t="shared" si="52"/>
        <v>0.2199667487875113</v>
      </c>
      <c r="AP33" s="518">
        <f t="shared" si="52"/>
        <v>0.2363988801733925</v>
      </c>
      <c r="AQ33" s="518">
        <f t="shared" si="52"/>
        <v>0.21321145806385686</v>
      </c>
      <c r="AR33" s="518">
        <f t="shared" si="52"/>
        <v>0.10225361416702658</v>
      </c>
      <c r="AS33" s="518">
        <f t="shared" si="52"/>
        <v>6.3838362036257854E-2</v>
      </c>
      <c r="AT33" s="521">
        <f t="shared" si="52"/>
        <v>0.15571027820443803</v>
      </c>
      <c r="AU33" s="518">
        <f t="shared" si="52"/>
        <v>6.9164222766127503E-3</v>
      </c>
      <c r="AV33" s="518">
        <f t="shared" si="52"/>
        <v>-0.17426940935270294</v>
      </c>
      <c r="AW33" s="518">
        <f t="shared" si="52"/>
        <v>-0.16667396281590499</v>
      </c>
      <c r="AX33" s="518">
        <f t="shared" si="52"/>
        <v>-0.11485344196044023</v>
      </c>
      <c r="AY33" s="521">
        <f t="shared" si="52"/>
        <v>-0.10688887307291943</v>
      </c>
      <c r="AZ33" s="518">
        <f t="shared" si="52"/>
        <v>1.3420314167235799E-2</v>
      </c>
      <c r="BA33" s="518">
        <f t="shared" si="52"/>
        <v>1.5222996462936442E-2</v>
      </c>
      <c r="BB33" s="518">
        <f t="shared" si="52"/>
        <v>-0.11237354268206838</v>
      </c>
      <c r="BC33" s="518">
        <f t="shared" si="52"/>
        <v>-8.1941252929443653E-2</v>
      </c>
      <c r="BD33" s="521">
        <f t="shared" si="52"/>
        <v>-4.2791151663041732E-2</v>
      </c>
      <c r="BE33" s="518">
        <f t="shared" si="52"/>
        <v>-0.21717425710355437</v>
      </c>
      <c r="BF33" s="518">
        <f t="shared" si="52"/>
        <v>-0.21480500932506286</v>
      </c>
      <c r="BG33" s="518">
        <f t="shared" si="52"/>
        <v>-2.3355255005270011E-3</v>
      </c>
      <c r="BH33" s="518">
        <f t="shared" si="52"/>
        <v>3.1358231282168324E-2</v>
      </c>
      <c r="BI33" s="521">
        <f t="shared" si="52"/>
        <v>-8.1596182115783469E-2</v>
      </c>
      <c r="BJ33" s="518">
        <f t="shared" si="52"/>
        <v>-0.20757829804953501</v>
      </c>
      <c r="BK33" s="518">
        <f t="shared" si="52"/>
        <v>0.41787638903125313</v>
      </c>
      <c r="BL33" s="518">
        <f t="shared" si="52"/>
        <v>-0.16651665982071653</v>
      </c>
      <c r="BM33" s="518">
        <f t="shared" si="52"/>
        <v>6.8455987860143869E-2</v>
      </c>
      <c r="BN33" s="521">
        <f t="shared" si="52"/>
        <v>2.5764591594916623E-2</v>
      </c>
      <c r="BO33" s="518">
        <f t="shared" si="52"/>
        <v>0.17427925448866274</v>
      </c>
      <c r="BP33" s="518">
        <f t="shared" si="52"/>
        <v>0.22118917976789856</v>
      </c>
      <c r="BQ33" s="518">
        <f t="shared" si="52"/>
        <v>0.48002194689150623</v>
      </c>
      <c r="BR33" s="518">
        <f t="shared" si="52"/>
        <v>0.17059545326130987</v>
      </c>
      <c r="BS33" s="521">
        <f t="shared" si="52"/>
        <v>0.26460067176450902</v>
      </c>
      <c r="BT33" s="518">
        <f t="shared" si="52"/>
        <v>0.13812611093866065</v>
      </c>
      <c r="BU33" s="518">
        <f t="shared" si="52"/>
        <v>1.3974934636808056E-2</v>
      </c>
      <c r="BV33" s="518">
        <f t="shared" si="52"/>
        <v>-0.32741849138887802</v>
      </c>
      <c r="BW33" s="518">
        <f t="shared" si="52"/>
        <v>-2.219833948436398E-2</v>
      </c>
      <c r="BX33" s="521">
        <f t="shared" si="52"/>
        <v>-2.4134105084750963E-2</v>
      </c>
      <c r="BY33" s="518">
        <f t="shared" si="52"/>
        <v>-1.791761864062006E-2</v>
      </c>
      <c r="BZ33" s="518">
        <f t="shared" si="52"/>
        <v>-0.50596785935009048</v>
      </c>
      <c r="CA33" s="518">
        <f t="shared" si="52"/>
        <v>-0.65602378464741173</v>
      </c>
      <c r="CB33" s="518">
        <f t="shared" si="52"/>
        <v>-1.2452384074122638</v>
      </c>
      <c r="CC33" s="521">
        <f t="shared" si="52"/>
        <v>-0.55916083957569629</v>
      </c>
      <c r="CD33" s="518">
        <f t="shared" si="52"/>
        <v>-0.20227694159301954</v>
      </c>
      <c r="CE33" s="518">
        <f t="shared" si="52"/>
        <v>-0.22454634636216969</v>
      </c>
      <c r="CF33" s="518">
        <f t="shared" si="52"/>
        <v>-3.2745169377169682E-2</v>
      </c>
      <c r="CG33" s="518">
        <f t="shared" si="52"/>
        <v>3.5827182141900324E-2</v>
      </c>
      <c r="CH33" s="521">
        <f t="shared" si="52"/>
        <v>-7.8844488242675551E-2</v>
      </c>
      <c r="CI33" s="518">
        <f t="shared" si="52"/>
        <v>3.8387846328915468E-2</v>
      </c>
      <c r="CJ33" s="518">
        <f t="shared" si="52"/>
        <v>2.8334880020161116E-2</v>
      </c>
      <c r="CK33" s="518">
        <f t="shared" si="52"/>
        <v>3.9307472050305846E-2</v>
      </c>
      <c r="CL33" s="518">
        <f t="shared" si="52"/>
        <v>-2.7652001335753709E-2</v>
      </c>
      <c r="CM33" s="521">
        <f t="shared" si="52"/>
        <v>1.9393234141801309E-2</v>
      </c>
      <c r="CN33" s="518">
        <f t="shared" si="52"/>
        <v>-1.5550761926191184E-2</v>
      </c>
      <c r="CO33" s="518">
        <f t="shared" si="52"/>
        <v>6.5234404143761299E-3</v>
      </c>
      <c r="CP33" s="518">
        <f t="shared" si="52"/>
        <v>4.9511576057868906E-2</v>
      </c>
      <c r="CQ33" s="518">
        <f t="shared" si="52"/>
        <v>4.9611157410530307E-2</v>
      </c>
      <c r="CR33" s="521">
        <f t="shared" ref="CR33:DQ33" si="53">CR32/CR$9</f>
        <v>2.6632740364085854E-2</v>
      </c>
      <c r="CS33" s="518">
        <f t="shared" si="53"/>
        <v>0.17868751304274708</v>
      </c>
      <c r="CT33" s="518">
        <f t="shared" si="53"/>
        <v>9.8337919394393333E-2</v>
      </c>
      <c r="CU33" s="518">
        <f t="shared" si="53"/>
        <v>9.3254706535444626E-2</v>
      </c>
      <c r="CV33" s="518">
        <f t="shared" si="53"/>
        <v>-0.32656514382402707</v>
      </c>
      <c r="CW33" s="521">
        <f t="shared" si="53"/>
        <v>-1.7265969534869613E-2</v>
      </c>
      <c r="CX33" s="518">
        <f t="shared" si="53"/>
        <v>-0.46390916463909165</v>
      </c>
      <c r="CY33" s="518">
        <f t="shared" si="53"/>
        <v>-0.40275761973875179</v>
      </c>
      <c r="CZ33" s="518">
        <f t="shared" si="53"/>
        <v>-0.21691176470588236</v>
      </c>
      <c r="DA33" s="518">
        <f t="shared" si="53"/>
        <v>-1.0344632768361581</v>
      </c>
      <c r="DB33" s="521">
        <f t="shared" si="53"/>
        <v>-0.55080658573091634</v>
      </c>
      <c r="DC33" s="518">
        <f t="shared" si="53"/>
        <v>-0.23787375415282391</v>
      </c>
      <c r="DD33" s="518">
        <f t="shared" si="53"/>
        <v>-0.1816160118606375</v>
      </c>
      <c r="DE33" s="518">
        <f t="shared" si="53"/>
        <v>1.9302615193026153E-2</v>
      </c>
      <c r="DF33" s="518">
        <f t="shared" si="53"/>
        <v>-1.157487091222031</v>
      </c>
      <c r="DG33" s="521">
        <f t="shared" si="53"/>
        <v>-0.3409818569903949</v>
      </c>
      <c r="DH33" s="518">
        <f t="shared" si="53"/>
        <v>-7.8164825828377235E-2</v>
      </c>
      <c r="DI33" s="518">
        <f t="shared" si="53"/>
        <v>-0.12837837837837837</v>
      </c>
      <c r="DJ33" s="518">
        <f t="shared" si="53"/>
        <v>4.3696275071633241E-2</v>
      </c>
      <c r="DK33" s="518">
        <f t="shared" si="53"/>
        <v>0.82685297691373028</v>
      </c>
      <c r="DL33" s="521">
        <f t="shared" si="53"/>
        <v>0.21802702202480104</v>
      </c>
      <c r="DM33" s="518">
        <f t="shared" si="53"/>
        <v>0.27954256670902161</v>
      </c>
      <c r="DN33" s="518">
        <f t="shared" si="53"/>
        <v>4.3557168784029036E-2</v>
      </c>
      <c r="DO33" s="518">
        <f t="shared" si="53"/>
        <v>4.2645241038318911E-2</v>
      </c>
      <c r="DP33" s="518">
        <f t="shared" si="53"/>
        <v>0.23650697392359005</v>
      </c>
      <c r="DQ33" s="521">
        <f t="shared" si="53"/>
        <v>0.14952263627964274</v>
      </c>
      <c r="DR33" s="518">
        <f>DR32/DR$9</f>
        <v>1.2399256044637322E-2</v>
      </c>
      <c r="DS33" s="518">
        <f>DS32/DS$9</f>
        <v>4.0660736975857689E-2</v>
      </c>
      <c r="DT33" s="518">
        <f>DT32/DT$9</f>
        <v>5.4437869822485205E-2</v>
      </c>
      <c r="DU33" s="518">
        <f>DU32/DU$9</f>
        <v>-0.10467179183914843</v>
      </c>
      <c r="DV33" s="521">
        <f t="shared" ref="DV33:EU33" si="54">DV32/DV$9</f>
        <v>-1.5225334957369061E-4</v>
      </c>
      <c r="DW33" s="518">
        <f>DW32/DW$9</f>
        <v>-0.39242902208201891</v>
      </c>
      <c r="DX33" s="518">
        <f>DX32/DX$9</f>
        <v>2.1939136588818117E-2</v>
      </c>
      <c r="DY33" s="518">
        <f>DY32/DY$9</f>
        <v>-0.12371946414499606</v>
      </c>
      <c r="DZ33" s="518">
        <f>DZ32/DZ$9</f>
        <v>-0.40606060606060607</v>
      </c>
      <c r="EA33" s="521">
        <f t="shared" si="54"/>
        <v>-0.22445592032460346</v>
      </c>
      <c r="EB33" s="518">
        <f t="shared" si="54"/>
        <v>-0.13235294117647059</v>
      </c>
      <c r="EC33" s="518">
        <f t="shared" si="54"/>
        <v>-6.1154177433247199E-2</v>
      </c>
      <c r="ED33" s="518">
        <f t="shared" si="54"/>
        <v>3.4907597535934289E-2</v>
      </c>
      <c r="EE33" s="518">
        <f t="shared" si="54"/>
        <v>5.6639395846444306E-2</v>
      </c>
      <c r="EF33" s="521">
        <f t="shared" si="54"/>
        <v>-1.3964899037554256E-2</v>
      </c>
      <c r="EG33" s="518">
        <f t="shared" si="54"/>
        <v>-1.2884753042233358E-2</v>
      </c>
      <c r="EH33" s="518">
        <f t="shared" si="54"/>
        <v>-2.220680083275503E-2</v>
      </c>
      <c r="EI33" s="518">
        <f>EI32/EI$9</f>
        <v>1.3296011196641007E-2</v>
      </c>
      <c r="EJ33" s="518">
        <f>EJ32/EJ$9</f>
        <v>-0.29620661824051653</v>
      </c>
      <c r="EK33" s="521">
        <f t="shared" si="54"/>
        <v>-7.2284780239738472E-2</v>
      </c>
      <c r="EL33" s="518">
        <f>EL32/EL$9</f>
        <v>-0.17184466019417477</v>
      </c>
      <c r="EM33" s="518">
        <f>EM32/EM$9</f>
        <v>-0.19108280254777071</v>
      </c>
      <c r="EN33" s="518">
        <f>EN32/EN$9</f>
        <v>-0.18567389255419417</v>
      </c>
      <c r="EO33" s="518">
        <f t="shared" si="54"/>
        <v>-9.6033402922755737E-2</v>
      </c>
      <c r="EP33" s="521">
        <f t="shared" si="54"/>
        <v>-0.16186419443748434</v>
      </c>
      <c r="EQ33" s="518">
        <f t="shared" si="54"/>
        <v>-0.12980769230769232</v>
      </c>
      <c r="ER33" s="518">
        <f t="shared" si="54"/>
        <v>9.8344693281402148E-2</v>
      </c>
      <c r="ES33" s="518">
        <f t="shared" si="54"/>
        <v>-0.30374904361132365</v>
      </c>
      <c r="ET33" s="518">
        <f t="shared" si="54"/>
        <v>-3.9783001808318265E-2</v>
      </c>
      <c r="EU33" s="521">
        <f t="shared" si="54"/>
        <v>-0.10486891385767791</v>
      </c>
      <c r="EV33" s="518">
        <f>EV32/EV$9</f>
        <v>-6.7073170731707321E-2</v>
      </c>
      <c r="EW33" s="518">
        <f>EW32/EW$9</f>
        <v>-8.1833060556464818E-3</v>
      </c>
      <c r="EX33" s="518">
        <f>EX32/EX$9</f>
        <v>5.5995130858186241E-2</v>
      </c>
      <c r="EY33" s="518">
        <f>EY32/EY$9</f>
        <v>3.5810810810810813E-2</v>
      </c>
      <c r="EZ33" s="521">
        <f>EZ32/EZ$9</f>
        <v>1.2948020266466504E-2</v>
      </c>
      <c r="FA33" s="518">
        <f t="shared" ref="FA33:FJ33" si="55">FA32/FA$9</f>
        <v>5.4644808743169397E-2</v>
      </c>
      <c r="FB33" s="518">
        <f t="shared" si="55"/>
        <v>7.0045558086560364E-2</v>
      </c>
      <c r="FC33" s="518">
        <f t="shared" si="55"/>
        <v>6.8965517241379309E-2</v>
      </c>
      <c r="FD33" s="518">
        <f t="shared" si="55"/>
        <v>2.1141649048625794E-3</v>
      </c>
      <c r="FE33" s="521">
        <f t="shared" si="55"/>
        <v>5.0965250965250966E-2</v>
      </c>
      <c r="FF33" s="518">
        <f t="shared" si="55"/>
        <v>3.1446540880503146E-3</v>
      </c>
      <c r="FG33" s="518">
        <f t="shared" si="55"/>
        <v>2.4167210973220117E-2</v>
      </c>
      <c r="FH33" s="518">
        <f t="shared" si="55"/>
        <v>6.9961132704053297E-2</v>
      </c>
      <c r="FI33" s="518">
        <f t="shared" si="55"/>
        <v>9.6379877762106256E-2</v>
      </c>
      <c r="FJ33" s="521">
        <f t="shared" si="55"/>
        <v>5.5266676571088989E-2</v>
      </c>
      <c r="FK33" s="518">
        <f>FK32/FK$9</f>
        <v>9.4064949608062706E-2</v>
      </c>
      <c r="FL33" s="518">
        <f>FL32/FL$9</f>
        <v>8.3850931677018639E-2</v>
      </c>
      <c r="FM33" s="518">
        <f>FM32/FM$9</f>
        <v>0.14316315601570867</v>
      </c>
      <c r="FN33" s="518">
        <f>FN32/FN$9</f>
        <v>0.16769420468557336</v>
      </c>
      <c r="FO33" s="521">
        <f>FO32/FO$9</f>
        <v>0.1305951039639455</v>
      </c>
      <c r="FP33" s="518">
        <f t="shared" ref="FP33:HM33" si="56">FP32/FP$9</f>
        <v>0.18635703918722787</v>
      </c>
      <c r="FQ33" s="518">
        <f t="shared" si="56"/>
        <v>0.21324675324675324</v>
      </c>
      <c r="FR33" s="518">
        <f t="shared" si="56"/>
        <v>0.23255274750753535</v>
      </c>
      <c r="FS33" s="518">
        <f t="shared" si="56"/>
        <v>0.24927476170741816</v>
      </c>
      <c r="FT33" s="521">
        <f t="shared" si="56"/>
        <v>0.22325666301569916</v>
      </c>
      <c r="FU33" s="518">
        <f t="shared" si="56"/>
        <v>0.15219976218787157</v>
      </c>
      <c r="FV33" s="518">
        <f t="shared" si="56"/>
        <v>7.5877862595419843E-2</v>
      </c>
      <c r="FW33" s="518">
        <f t="shared" si="56"/>
        <v>-1.311769991015274E-2</v>
      </c>
      <c r="FX33" s="518">
        <f t="shared" si="56"/>
        <v>-2.4290051794963387E-2</v>
      </c>
      <c r="FY33" s="521">
        <f t="shared" si="56"/>
        <v>5.0167365789585187E-2</v>
      </c>
      <c r="FZ33" s="518">
        <f t="shared" si="56"/>
        <v>-2.3725014010835047E-2</v>
      </c>
      <c r="GA33" s="518">
        <f t="shared" si="56"/>
        <v>-3.7320395596193321E-4</v>
      </c>
      <c r="GB33" s="518">
        <f t="shared" si="56"/>
        <v>4.4310344827586209E-2</v>
      </c>
      <c r="GC33" s="518">
        <f t="shared" si="56"/>
        <v>5.901426718547341E-2</v>
      </c>
      <c r="GD33" s="521">
        <f t="shared" si="56"/>
        <v>2.1693121693121695E-2</v>
      </c>
      <c r="GE33" s="518">
        <f t="shared" si="56"/>
        <v>1.1693769413484378E-2</v>
      </c>
      <c r="GF33" s="518">
        <f t="shared" si="56"/>
        <v>5.1242502142245072E-2</v>
      </c>
      <c r="GG33" s="518">
        <f t="shared" si="56"/>
        <v>0.10808036368969057</v>
      </c>
      <c r="GH33" s="518">
        <f t="shared" si="56"/>
        <v>0.11608775137111517</v>
      </c>
      <c r="GI33" s="521">
        <f t="shared" si="56"/>
        <v>7.7137870855148338E-2</v>
      </c>
      <c r="GJ33" s="518">
        <f t="shared" si="56"/>
        <v>0.11091691314869588</v>
      </c>
      <c r="GK33" s="518">
        <f t="shared" si="56"/>
        <v>-9.6291476903057911E-3</v>
      </c>
      <c r="GL33" s="518">
        <f t="shared" si="56"/>
        <v>0.14222366428725935</v>
      </c>
      <c r="GM33" s="518">
        <f t="shared" si="56"/>
        <v>0.20194741966893864</v>
      </c>
      <c r="GN33" s="521">
        <f t="shared" si="56"/>
        <v>0.11951846184936055</v>
      </c>
      <c r="GO33" s="518">
        <f t="shared" si="56"/>
        <v>0.15644201697064275</v>
      </c>
      <c r="GP33" s="518">
        <f t="shared" si="56"/>
        <v>0.22679576323347711</v>
      </c>
      <c r="GQ33" s="518">
        <f t="shared" si="56"/>
        <v>0.22838891565635364</v>
      </c>
      <c r="GR33" s="518">
        <f t="shared" si="56"/>
        <v>0.2788943112943561</v>
      </c>
      <c r="GS33" s="521">
        <f t="shared" si="56"/>
        <v>0.22964164052457131</v>
      </c>
      <c r="GT33" s="518">
        <f t="shared" si="56"/>
        <v>0.28153633525556626</v>
      </c>
      <c r="GU33" s="518">
        <f t="shared" si="56"/>
        <v>0.28671412816085051</v>
      </c>
      <c r="GV33" s="518">
        <f t="shared" si="56"/>
        <v>0.29333107844013834</v>
      </c>
      <c r="GW33" s="518">
        <f t="shared" si="56"/>
        <v>0.2929089884108802</v>
      </c>
      <c r="GX33" s="521">
        <f t="shared" si="56"/>
        <v>0.28921214407387774</v>
      </c>
      <c r="GY33" s="518">
        <f t="shared" si="56"/>
        <v>0.30077935300803593</v>
      </c>
      <c r="GZ33" s="518">
        <f t="shared" si="56"/>
        <v>0.31114361671733382</v>
      </c>
      <c r="HA33" s="518">
        <f t="shared" si="56"/>
        <v>0.32875836994075358</v>
      </c>
      <c r="HB33" s="518">
        <f t="shared" si="56"/>
        <v>0.33988795855978571</v>
      </c>
      <c r="HC33" s="521">
        <f t="shared" si="56"/>
        <v>0.32119792696949712</v>
      </c>
      <c r="HD33" s="518">
        <f t="shared" si="56"/>
        <v>0.3333231265511758</v>
      </c>
      <c r="HE33" s="518">
        <f t="shared" si="56"/>
        <v>0.33534054215261916</v>
      </c>
      <c r="HF33" s="518">
        <f t="shared" si="56"/>
        <v>0.34567048125104854</v>
      </c>
      <c r="HG33" s="518">
        <f t="shared" si="56"/>
        <v>0.34547086145962425</v>
      </c>
      <c r="HH33" s="521">
        <f t="shared" si="56"/>
        <v>0.34029407837784259</v>
      </c>
      <c r="HI33" s="518">
        <f t="shared" si="56"/>
        <v>0.33601357115753061</v>
      </c>
      <c r="HJ33" s="518">
        <f t="shared" si="56"/>
        <v>0.34011262583208429</v>
      </c>
      <c r="HK33" s="518">
        <f t="shared" si="56"/>
        <v>0.35566491079070228</v>
      </c>
      <c r="HL33" s="518">
        <f t="shared" si="56"/>
        <v>0.36258171382874693</v>
      </c>
      <c r="HM33" s="521">
        <f t="shared" si="56"/>
        <v>0.34937767026237532</v>
      </c>
      <c r="HN33" s="521"/>
      <c r="HO33" s="538"/>
      <c r="HP33" s="453"/>
      <c r="HQ33" s="453"/>
      <c r="HR33" s="453"/>
      <c r="HS33" s="453"/>
      <c r="HT33" s="453"/>
      <c r="HU33" s="453"/>
      <c r="HV33" s="453"/>
      <c r="HW33" s="453"/>
      <c r="HX33" s="453"/>
      <c r="HY33" s="453"/>
      <c r="HZ33" s="453"/>
    </row>
    <row r="34" spans="1:234" s="509" customFormat="1" ht="15" customHeight="1">
      <c r="A34" s="522" t="s">
        <v>377</v>
      </c>
      <c r="L34" s="523"/>
      <c r="M34" s="523"/>
      <c r="N34" s="523"/>
      <c r="O34" s="523"/>
      <c r="P34" s="524"/>
      <c r="Q34" s="523"/>
      <c r="R34" s="523"/>
      <c r="S34" s="523"/>
      <c r="T34" s="523"/>
      <c r="U34" s="524"/>
      <c r="V34" s="525"/>
      <c r="W34" s="525"/>
      <c r="X34" s="525"/>
      <c r="Y34" s="526"/>
      <c r="Z34" s="524"/>
      <c r="AA34" s="527"/>
      <c r="AB34" s="527"/>
      <c r="AC34" s="527"/>
      <c r="AD34" s="527"/>
      <c r="AE34" s="524"/>
      <c r="AF34" s="261">
        <v>23.896999999999998</v>
      </c>
      <c r="AG34" s="261">
        <v>25.071999999999999</v>
      </c>
      <c r="AH34" s="261">
        <v>23.949000000000002</v>
      </c>
      <c r="AI34" s="261">
        <v>16.3</v>
      </c>
      <c r="AJ34" s="524">
        <f>SUM(AF34:AI34)</f>
        <v>89.217999999999989</v>
      </c>
      <c r="AK34" s="261">
        <v>39.99</v>
      </c>
      <c r="AL34" s="261">
        <v>47.362000000000002</v>
      </c>
      <c r="AM34" s="261">
        <v>44.802999999999997</v>
      </c>
      <c r="AN34" s="261">
        <v>21.547999999999998</v>
      </c>
      <c r="AO34" s="524">
        <f>SUM(AK34:AN34)</f>
        <v>153.703</v>
      </c>
      <c r="AP34" s="261">
        <v>48.375</v>
      </c>
      <c r="AQ34" s="261">
        <v>44.06</v>
      </c>
      <c r="AR34" s="261">
        <v>16.516999999999999</v>
      </c>
      <c r="AS34" s="261">
        <v>3.786</v>
      </c>
      <c r="AT34" s="524">
        <f>SUM(AP34:AS34)</f>
        <v>112.738</v>
      </c>
      <c r="AU34" s="261">
        <v>0</v>
      </c>
      <c r="AV34" s="261">
        <v>-31.722999999999999</v>
      </c>
      <c r="AW34" s="261">
        <v>-30.459</v>
      </c>
      <c r="AX34" s="261">
        <v>-22.826000000000001</v>
      </c>
      <c r="AY34" s="524">
        <f>SUM(AU34:AX34)</f>
        <v>-85.00800000000001</v>
      </c>
      <c r="AZ34" s="261">
        <v>2.1480000000000001</v>
      </c>
      <c r="BA34" s="261">
        <v>2.63</v>
      </c>
      <c r="BB34" s="261">
        <v>-30.071999999999999</v>
      </c>
      <c r="BC34" s="261">
        <v>-29.861000000000001</v>
      </c>
      <c r="BD34" s="524">
        <f>SUM(AZ34:BC34)</f>
        <v>-55.155000000000001</v>
      </c>
      <c r="BE34" s="261">
        <v>-46.997</v>
      </c>
      <c r="BF34" s="261">
        <v>-44.11</v>
      </c>
      <c r="BG34" s="261">
        <v>-0.63500000000000001</v>
      </c>
      <c r="BH34" s="261">
        <v>-0.13600000000000001</v>
      </c>
      <c r="BI34" s="524">
        <f>SUM(BE34:BH34)</f>
        <v>-91.878</v>
      </c>
      <c r="BJ34" s="261">
        <v>-5.4729999999999999</v>
      </c>
      <c r="BK34" s="261">
        <v>172.82300000000001</v>
      </c>
      <c r="BL34" s="261">
        <v>0</v>
      </c>
      <c r="BM34" s="261">
        <v>0</v>
      </c>
      <c r="BN34" s="524">
        <f>SUM(BJ34:BM34)</f>
        <v>167.35</v>
      </c>
      <c r="BO34" s="526">
        <v>0</v>
      </c>
      <c r="BP34" s="526">
        <v>51.777999999999999</v>
      </c>
      <c r="BQ34" s="526">
        <f>175.009</f>
        <v>175.00899999999999</v>
      </c>
      <c r="BR34" s="526">
        <v>30.081</v>
      </c>
      <c r="BS34" s="524">
        <f>SUM(BO34:BR34)</f>
        <v>256.86799999999999</v>
      </c>
      <c r="BT34" s="261">
        <v>52.542999999999999</v>
      </c>
      <c r="BU34" s="261">
        <v>3.7170000000000001</v>
      </c>
      <c r="BV34" s="526">
        <v>-65.018000000000001</v>
      </c>
      <c r="BW34" s="526">
        <v>-5.7050000000000001</v>
      </c>
      <c r="BX34" s="533">
        <f>SUM(BT34:BW34)</f>
        <v>-14.463000000000003</v>
      </c>
      <c r="BY34" s="261">
        <v>-4.0410000000000004</v>
      </c>
      <c r="BZ34" s="261">
        <v>-121.49299999999999</v>
      </c>
      <c r="CA34" s="261">
        <v>-73.349999999999994</v>
      </c>
      <c r="CB34" s="526">
        <f>243.47-243.47</f>
        <v>0</v>
      </c>
      <c r="CC34" s="533">
        <f>SUM(BY34:CB34)</f>
        <v>-198.88399999999999</v>
      </c>
      <c r="CD34" s="261">
        <v>2.9359999999999999</v>
      </c>
      <c r="CE34" s="261">
        <v>0</v>
      </c>
      <c r="CF34" s="261">
        <v>0</v>
      </c>
      <c r="CG34" s="261">
        <v>0</v>
      </c>
      <c r="CH34" s="533">
        <f>SUM(CD34:CG34)</f>
        <v>2.9359999999999999</v>
      </c>
      <c r="CI34" s="261">
        <v>2.3730000000000002</v>
      </c>
      <c r="CJ34" s="261">
        <v>3.5739999999999998</v>
      </c>
      <c r="CK34" s="261">
        <v>4.8719999999999999</v>
      </c>
      <c r="CL34" s="261">
        <v>-4.9809999999999999</v>
      </c>
      <c r="CM34" s="533">
        <f>SUM(CI34:CL34)</f>
        <v>5.8379999999999992</v>
      </c>
      <c r="CN34" s="526">
        <v>-1.6519999999999999</v>
      </c>
      <c r="CO34" s="261">
        <v>-3.1</v>
      </c>
      <c r="CP34" s="523">
        <v>-0.60599999999999998</v>
      </c>
      <c r="CQ34" s="523">
        <v>-1.284</v>
      </c>
      <c r="CR34" s="533">
        <f>SUM(CN34:CQ34)</f>
        <v>-6.6419999999999995</v>
      </c>
      <c r="CS34" s="523">
        <v>35.273000000000003</v>
      </c>
      <c r="CT34" s="523">
        <v>18.300999999999998</v>
      </c>
      <c r="CU34" s="523">
        <v>-20.852</v>
      </c>
      <c r="CV34" s="523">
        <v>-10</v>
      </c>
      <c r="CW34" s="533">
        <f>SUM(CS34:CV34)</f>
        <v>22.721999999999994</v>
      </c>
      <c r="CX34" s="523">
        <v>23</v>
      </c>
      <c r="CY34" s="523">
        <v>32</v>
      </c>
      <c r="CZ34" s="523">
        <v>27</v>
      </c>
      <c r="DA34" s="523">
        <f>-59+63</f>
        <v>4</v>
      </c>
      <c r="DB34" s="533">
        <f>SUM(CX34:DA34)</f>
        <v>86</v>
      </c>
      <c r="DC34" s="523">
        <v>0</v>
      </c>
      <c r="DD34" s="523">
        <v>0</v>
      </c>
      <c r="DE34" s="523">
        <v>-1</v>
      </c>
      <c r="DF34" s="523">
        <v>69</v>
      </c>
      <c r="DG34" s="524">
        <f>SUM(DC34:DF34)</f>
        <v>68</v>
      </c>
      <c r="DH34" s="523">
        <v>-1</v>
      </c>
      <c r="DI34" s="523">
        <v>-19</v>
      </c>
      <c r="DJ34" s="523">
        <v>-24</v>
      </c>
      <c r="DK34" s="523">
        <v>20</v>
      </c>
      <c r="DL34" s="524">
        <f>SUM(DH34:DK34)</f>
        <v>-24</v>
      </c>
      <c r="DM34" s="523">
        <v>0</v>
      </c>
      <c r="DN34" s="523">
        <v>-5</v>
      </c>
      <c r="DO34" s="523">
        <v>1</v>
      </c>
      <c r="DP34" s="523">
        <f>42</f>
        <v>42</v>
      </c>
      <c r="DQ34" s="524">
        <f>SUM(DM34:DP34)</f>
        <v>38</v>
      </c>
      <c r="DR34" s="523">
        <v>2</v>
      </c>
      <c r="DS34" s="523">
        <v>3</v>
      </c>
      <c r="DT34" s="523">
        <v>-5</v>
      </c>
      <c r="DU34" s="523">
        <v>-4</v>
      </c>
      <c r="DV34" s="524">
        <f>SUM(DR34:DU34)</f>
        <v>-4</v>
      </c>
      <c r="DW34" s="523">
        <f>-32+36</f>
        <v>4</v>
      </c>
      <c r="DX34" s="523">
        <v>-6</v>
      </c>
      <c r="DY34" s="523">
        <v>0</v>
      </c>
      <c r="DZ34" s="523">
        <v>4</v>
      </c>
      <c r="EA34" s="524">
        <f>SUM(DW34:DZ34)</f>
        <v>2</v>
      </c>
      <c r="EB34" s="523">
        <v>2</v>
      </c>
      <c r="EC34" s="523">
        <v>3</v>
      </c>
      <c r="ED34" s="523">
        <v>3</v>
      </c>
      <c r="EE34" s="523">
        <v>1</v>
      </c>
      <c r="EF34" s="524">
        <f>SUM(EB34:EE34)</f>
        <v>9</v>
      </c>
      <c r="EG34" s="523">
        <v>2</v>
      </c>
      <c r="EH34" s="523">
        <v>4</v>
      </c>
      <c r="EI34" s="523">
        <v>2</v>
      </c>
      <c r="EJ34" s="523">
        <v>-3</v>
      </c>
      <c r="EK34" s="524">
        <f>SUM(EG34:EJ34)</f>
        <v>5</v>
      </c>
      <c r="EL34" s="523">
        <v>3</v>
      </c>
      <c r="EM34" s="523">
        <v>1</v>
      </c>
      <c r="EN34" s="523">
        <v>0</v>
      </c>
      <c r="EO34" s="523">
        <f>10-13</f>
        <v>-3</v>
      </c>
      <c r="EP34" s="524">
        <f>SUM(EL34:EO34)</f>
        <v>1</v>
      </c>
      <c r="EQ34" s="523">
        <v>1</v>
      </c>
      <c r="ER34" s="523">
        <f>29</f>
        <v>29</v>
      </c>
      <c r="ES34" s="523">
        <f>4</f>
        <v>4</v>
      </c>
      <c r="ET34" s="523">
        <f>5</f>
        <v>5</v>
      </c>
      <c r="EU34" s="524">
        <f>SUM(EQ34:ET34)</f>
        <v>39</v>
      </c>
      <c r="EV34" s="523">
        <v>5</v>
      </c>
      <c r="EW34" s="523">
        <v>3</v>
      </c>
      <c r="EX34" s="523">
        <v>19</v>
      </c>
      <c r="EY34" s="523">
        <v>-8</v>
      </c>
      <c r="EZ34" s="524">
        <f>SUM(EV34:EY34)</f>
        <v>19</v>
      </c>
      <c r="FA34" s="523">
        <v>8</v>
      </c>
      <c r="FB34" s="523">
        <v>6</v>
      </c>
      <c r="FC34" s="523">
        <v>12</v>
      </c>
      <c r="FD34" s="523">
        <v>-35</v>
      </c>
      <c r="FE34" s="524">
        <f>SUM(FA34:FD34)</f>
        <v>-9</v>
      </c>
      <c r="FF34" s="523">
        <v>-13</v>
      </c>
      <c r="FG34" s="523">
        <v>2</v>
      </c>
      <c r="FH34" s="523">
        <v>7</v>
      </c>
      <c r="FI34" s="523">
        <v>35</v>
      </c>
      <c r="FJ34" s="524">
        <f>SUM(FF34:FI34)</f>
        <v>31</v>
      </c>
      <c r="FK34" s="523">
        <f>6</f>
        <v>6</v>
      </c>
      <c r="FL34" s="523">
        <f>4+2</f>
        <v>6</v>
      </c>
      <c r="FM34" s="523">
        <v>12</v>
      </c>
      <c r="FN34" s="523">
        <f>-1232+1301-50</f>
        <v>19</v>
      </c>
      <c r="FO34" s="524">
        <f>SUM(FK34:FN34)</f>
        <v>43</v>
      </c>
      <c r="FP34" s="523">
        <f>89</f>
        <v>89</v>
      </c>
      <c r="FQ34" s="523">
        <f>113</f>
        <v>113</v>
      </c>
      <c r="FR34" s="523">
        <v>82</v>
      </c>
      <c r="FS34" s="523">
        <f>229</f>
        <v>229</v>
      </c>
      <c r="FT34" s="524">
        <f>SUM(FP34:FS34)</f>
        <v>513</v>
      </c>
      <c r="FU34" s="523">
        <v>113</v>
      </c>
      <c r="FV34" s="523">
        <f>54</f>
        <v>54</v>
      </c>
      <c r="FW34" s="523">
        <f>-135</f>
        <v>-135</v>
      </c>
      <c r="FX34" s="523">
        <v>-154</v>
      </c>
      <c r="FY34" s="524">
        <f>SUM(FU34:FX34)</f>
        <v>-122</v>
      </c>
      <c r="FZ34" s="523">
        <v>13</v>
      </c>
      <c r="GA34" s="523">
        <v>-23</v>
      </c>
      <c r="GB34" s="523">
        <v>-39</v>
      </c>
      <c r="GC34" s="523">
        <v>-297</v>
      </c>
      <c r="GD34" s="524">
        <f>SUM(FZ34:GC34)</f>
        <v>-346</v>
      </c>
      <c r="GE34" s="523">
        <v>-52</v>
      </c>
      <c r="GF34" s="523">
        <v>41</v>
      </c>
      <c r="GG34" s="523">
        <v>-27</v>
      </c>
      <c r="GH34" s="523">
        <v>419</v>
      </c>
      <c r="GI34" s="524">
        <f>SUM(GE34:GH34)</f>
        <v>381</v>
      </c>
      <c r="GJ34" s="523">
        <v>123</v>
      </c>
      <c r="GK34" s="523">
        <v>-834</v>
      </c>
      <c r="GL34" s="523">
        <v>153</v>
      </c>
      <c r="GM34" s="523">
        <v>455</v>
      </c>
      <c r="GN34" s="524">
        <f>SUM(GJ34:GM34)</f>
        <v>-103</v>
      </c>
      <c r="GO34" s="523">
        <v>238</v>
      </c>
      <c r="GP34" s="523">
        <f>(GP32+GP54)*GP35</f>
        <v>395.45463076489051</v>
      </c>
      <c r="GQ34" s="523">
        <f>(GQ32+GQ54)*GQ35</f>
        <v>421.9650076668571</v>
      </c>
      <c r="GR34" s="523">
        <f>(GR32+GR54)*GR35</f>
        <v>654.23106283198661</v>
      </c>
      <c r="GS34" s="524">
        <f>SUM(GO34:GR34)</f>
        <v>1709.6507012637339</v>
      </c>
      <c r="GT34" s="523">
        <f>(GT32+GT54)*GT35</f>
        <v>705.29522597804271</v>
      </c>
      <c r="GU34" s="523">
        <f>(GU32+GU54)*GU35</f>
        <v>784.59660589226985</v>
      </c>
      <c r="GV34" s="523">
        <f>(GV32+GV54)*GV35</f>
        <v>914.00589596949214</v>
      </c>
      <c r="GW34" s="523">
        <f>(GW32+GW54)*GW35</f>
        <v>1004.9172161299273</v>
      </c>
      <c r="GX34" s="524">
        <f>SUM(GT34:GW34)</f>
        <v>3408.8149439697318</v>
      </c>
      <c r="GY34" s="523">
        <f>(GY32+GY54)*GY35</f>
        <v>1007.4402506098753</v>
      </c>
      <c r="GZ34" s="523">
        <f>(GZ32+GZ54)*GZ35</f>
        <v>1085.2783943694469</v>
      </c>
      <c r="HA34" s="523">
        <f>(HA32+HA54)*HA35</f>
        <v>1222.6460732772966</v>
      </c>
      <c r="HB34" s="523">
        <f>(HB32+HB54)*HB35</f>
        <v>1346.0846849004492</v>
      </c>
      <c r="HC34" s="524">
        <f>SUM(GY34:HB34)</f>
        <v>4661.4494031570684</v>
      </c>
      <c r="HD34" s="523">
        <f>(HD32+HD54)*HD35</f>
        <v>1296.6083956324021</v>
      </c>
      <c r="HE34" s="523">
        <f>(HE32+HE54)*HE35</f>
        <v>1357.8992590779958</v>
      </c>
      <c r="HF34" s="523">
        <f>(HF32+HF54)*HF35</f>
        <v>1503.9508527406981</v>
      </c>
      <c r="HG34" s="523">
        <f>(HG32+HG54)*HG35</f>
        <v>1567.4924488817271</v>
      </c>
      <c r="HH34" s="524">
        <f>SUM(HD34:HG34)</f>
        <v>5725.9509563328229</v>
      </c>
      <c r="HI34" s="523">
        <f>(HI32+HI54)*HI35</f>
        <v>1465.5984477777336</v>
      </c>
      <c r="HJ34" s="523">
        <f>(HJ32+HJ54)*HJ35</f>
        <v>1543.4104740078183</v>
      </c>
      <c r="HK34" s="523">
        <f>(HK32+HK54)*HK35</f>
        <v>1762.9157744489053</v>
      </c>
      <c r="HL34" s="523">
        <f>(HL32+HL54)*HL35</f>
        <v>1876.2290202838396</v>
      </c>
      <c r="HM34" s="524">
        <f>SUM(HI34:HL34)</f>
        <v>6648.1537165182963</v>
      </c>
      <c r="HN34" s="524"/>
      <c r="HO34" s="542"/>
      <c r="HP34" s="453"/>
      <c r="HQ34" s="453"/>
      <c r="HR34" s="453"/>
      <c r="HS34" s="453"/>
      <c r="HT34" s="453"/>
      <c r="HU34" s="453"/>
      <c r="HV34" s="453"/>
      <c r="HW34" s="453"/>
      <c r="HX34" s="453"/>
      <c r="HY34" s="453"/>
      <c r="HZ34" s="453"/>
    </row>
    <row r="35" spans="1:234" s="509" customFormat="1" ht="15" customHeight="1">
      <c r="A35" s="517" t="s">
        <v>378</v>
      </c>
      <c r="L35" s="518"/>
      <c r="M35" s="518"/>
      <c r="N35" s="518"/>
      <c r="O35" s="518"/>
      <c r="P35" s="521"/>
      <c r="Q35" s="518"/>
      <c r="R35" s="518"/>
      <c r="S35" s="518"/>
      <c r="T35" s="518"/>
      <c r="U35" s="521"/>
      <c r="V35" s="518"/>
      <c r="W35" s="518"/>
      <c r="X35" s="518"/>
      <c r="Y35" s="518"/>
      <c r="Z35" s="521"/>
      <c r="AA35" s="518"/>
      <c r="AB35" s="518"/>
      <c r="AC35" s="518"/>
      <c r="AD35" s="518"/>
      <c r="AE35" s="521"/>
      <c r="AF35" s="518">
        <f t="shared" ref="AF35:CQ35" si="57">AF34/AF$32</f>
        <v>0.2799948446360781</v>
      </c>
      <c r="AG35" s="518">
        <f t="shared" si="57"/>
        <v>0.28001831645018271</v>
      </c>
      <c r="AH35" s="518">
        <f t="shared" si="57"/>
        <v>0.279990647103525</v>
      </c>
      <c r="AI35" s="518">
        <f t="shared" si="57"/>
        <v>0.28000618418566292</v>
      </c>
      <c r="AJ35" s="521">
        <f t="shared" si="57"/>
        <v>0.28000238518923021</v>
      </c>
      <c r="AK35" s="518">
        <f t="shared" si="57"/>
        <v>0.31999423866336985</v>
      </c>
      <c r="AL35" s="518">
        <f t="shared" si="57"/>
        <v>0.33000048773350232</v>
      </c>
      <c r="AM35" s="518">
        <f t="shared" si="57"/>
        <v>0.3300016204351604</v>
      </c>
      <c r="AN35" s="518">
        <f t="shared" si="57"/>
        <v>0.33000490075961769</v>
      </c>
      <c r="AO35" s="521">
        <f t="shared" si="57"/>
        <v>0.32733828271082765</v>
      </c>
      <c r="AP35" s="518">
        <f t="shared" si="57"/>
        <v>0.33000204652431953</v>
      </c>
      <c r="AQ35" s="518">
        <f t="shared" si="57"/>
        <v>0.32999790287306374</v>
      </c>
      <c r="AR35" s="518">
        <f t="shared" si="57"/>
        <v>0.2736006890953967</v>
      </c>
      <c r="AS35" s="518">
        <f t="shared" si="57"/>
        <v>0.10000528289925523</v>
      </c>
      <c r="AT35" s="521">
        <f t="shared" si="57"/>
        <v>0.29798616562657765</v>
      </c>
      <c r="AU35" s="518">
        <f t="shared" si="57"/>
        <v>0</v>
      </c>
      <c r="AV35" s="518">
        <f t="shared" si="57"/>
        <v>0.40000756563185635</v>
      </c>
      <c r="AW35" s="518">
        <f t="shared" si="57"/>
        <v>0.40000262649874591</v>
      </c>
      <c r="AX35" s="518">
        <f t="shared" si="57"/>
        <v>0.39998598139029551</v>
      </c>
      <c r="AY35" s="521">
        <f t="shared" si="57"/>
        <v>0.40721224779168025</v>
      </c>
      <c r="AZ35" s="518">
        <f t="shared" si="57"/>
        <v>0.28995680345572378</v>
      </c>
      <c r="BA35" s="518">
        <f t="shared" si="57"/>
        <v>0.29057562700254264</v>
      </c>
      <c r="BB35" s="518">
        <f t="shared" si="57"/>
        <v>0.44852118663027418</v>
      </c>
      <c r="BC35" s="518">
        <f t="shared" si="57"/>
        <v>0.59431971976753561</v>
      </c>
      <c r="BD35" s="521">
        <f t="shared" si="57"/>
        <v>0.54699896858140296</v>
      </c>
      <c r="BE35" s="518">
        <f t="shared" si="57"/>
        <v>0.40011067597479988</v>
      </c>
      <c r="BF35" s="518">
        <f t="shared" si="57"/>
        <v>0.38999849694526245</v>
      </c>
      <c r="BG35" s="518">
        <f t="shared" si="57"/>
        <v>0.39637952559301265</v>
      </c>
      <c r="BH35" s="518">
        <f t="shared" si="57"/>
        <v>-5.4980595084087929E-3</v>
      </c>
      <c r="BI35" s="521">
        <f t="shared" si="57"/>
        <v>0.44293710136962544</v>
      </c>
      <c r="BJ35" s="518">
        <f t="shared" si="57"/>
        <v>4.1745166088249887E-2</v>
      </c>
      <c r="BK35" s="518">
        <f t="shared" si="57"/>
        <v>0.69495580701458082</v>
      </c>
      <c r="BL35" s="518">
        <f t="shared" si="57"/>
        <v>0</v>
      </c>
      <c r="BM35" s="518">
        <f t="shared" si="57"/>
        <v>0</v>
      </c>
      <c r="BN35" s="521">
        <f t="shared" si="57"/>
        <v>2.2730050933786039</v>
      </c>
      <c r="BO35" s="518">
        <f t="shared" si="57"/>
        <v>0</v>
      </c>
      <c r="BP35" s="518">
        <f t="shared" si="57"/>
        <v>0.20000154506968273</v>
      </c>
      <c r="BQ35" s="518">
        <f t="shared" si="57"/>
        <v>0.30217207382979089</v>
      </c>
      <c r="BR35" s="518">
        <f t="shared" si="57"/>
        <v>0.1500456406905461</v>
      </c>
      <c r="BS35" s="521">
        <f t="shared" si="57"/>
        <v>0.20903035752794272</v>
      </c>
      <c r="BT35" s="518">
        <f t="shared" si="57"/>
        <v>0.31999975639018979</v>
      </c>
      <c r="BU35" s="518">
        <f t="shared" si="57"/>
        <v>0.26995424504321203</v>
      </c>
      <c r="BV35" s="518">
        <f t="shared" si="57"/>
        <v>0.25928377731695645</v>
      </c>
      <c r="BW35" s="518">
        <f t="shared" si="57"/>
        <v>0.26999526739233326</v>
      </c>
      <c r="BX35" s="521">
        <f t="shared" si="57"/>
        <v>0.15398620160981238</v>
      </c>
      <c r="BY35" s="518">
        <f t="shared" si="57"/>
        <v>0.25001546742560077</v>
      </c>
      <c r="BZ35" s="518">
        <f t="shared" si="57"/>
        <v>0.40000065847523475</v>
      </c>
      <c r="CA35" s="518">
        <f t="shared" si="57"/>
        <v>0.220000059986383</v>
      </c>
      <c r="CB35" s="518">
        <f t="shared" si="57"/>
        <v>0</v>
      </c>
      <c r="CC35" s="521">
        <f t="shared" si="57"/>
        <v>0.13187955755457459</v>
      </c>
      <c r="CD35" s="518">
        <f t="shared" si="57"/>
        <v>-2.0312997274073243E-2</v>
      </c>
      <c r="CE35" s="518">
        <f t="shared" si="57"/>
        <v>0</v>
      </c>
      <c r="CF35" s="518">
        <f t="shared" si="57"/>
        <v>0</v>
      </c>
      <c r="CG35" s="518">
        <f t="shared" si="57"/>
        <v>0</v>
      </c>
      <c r="CH35" s="521">
        <f t="shared" si="57"/>
        <v>-1.0581438513408802E-2</v>
      </c>
      <c r="CI35" s="518">
        <f t="shared" si="57"/>
        <v>4.9995786280128164E-2</v>
      </c>
      <c r="CJ35" s="518">
        <f t="shared" si="57"/>
        <v>9.9960843541981204E-2</v>
      </c>
      <c r="CK35" s="518">
        <f t="shared" si="57"/>
        <v>9.9999999999999922E-2</v>
      </c>
      <c r="CL35" s="518">
        <f t="shared" si="57"/>
        <v>0.14254235347985358</v>
      </c>
      <c r="CM35" s="521">
        <f t="shared" si="57"/>
        <v>6.0189290059178883E-2</v>
      </c>
      <c r="CN35" s="518">
        <f t="shared" si="57"/>
        <v>8.6605504587155782E-2</v>
      </c>
      <c r="CO35" s="518">
        <f t="shared" si="57"/>
        <v>-0.37717483878817631</v>
      </c>
      <c r="CP35" s="518">
        <f t="shared" si="57"/>
        <v>-8.0377748892484623E-3</v>
      </c>
      <c r="CQ35" s="518">
        <f t="shared" si="57"/>
        <v>-1.407910174453667E-2</v>
      </c>
      <c r="CR35" s="521">
        <f t="shared" ref="CR35:EU35" si="58">CR34/CR$32</f>
        <v>-4.2648824620995625E-2</v>
      </c>
      <c r="CS35" s="518">
        <f t="shared" si="58"/>
        <v>0.14818097798689306</v>
      </c>
      <c r="CT35" s="518">
        <f t="shared" si="58"/>
        <v>0.15299920578522755</v>
      </c>
      <c r="CU35" s="518">
        <f t="shared" si="58"/>
        <v>-0.16842343324690839</v>
      </c>
      <c r="CV35" s="518">
        <f t="shared" si="58"/>
        <v>1.7271157167530225E-2</v>
      </c>
      <c r="CW35" s="521">
        <f t="shared" si="58"/>
        <v>-0.23295536098751235</v>
      </c>
      <c r="CX35" s="518">
        <f t="shared" si="58"/>
        <v>-4.0209790209790208E-2</v>
      </c>
      <c r="CY35" s="518">
        <f t="shared" si="58"/>
        <v>-5.7657657657657659E-2</v>
      </c>
      <c r="CZ35" s="518">
        <f t="shared" si="58"/>
        <v>-7.6271186440677971E-2</v>
      </c>
      <c r="DA35" s="518">
        <f t="shared" si="58"/>
        <v>-2.1845985800109228E-3</v>
      </c>
      <c r="DB35" s="521">
        <f>DB34/DB$32</f>
        <v>-2.5966183574879228E-2</v>
      </c>
      <c r="DC35" s="518">
        <f t="shared" si="58"/>
        <v>0</v>
      </c>
      <c r="DD35" s="518">
        <f t="shared" si="58"/>
        <v>0</v>
      </c>
      <c r="DE35" s="518">
        <f t="shared" si="58"/>
        <v>-3.2258064516129031E-2</v>
      </c>
      <c r="DF35" s="518">
        <f t="shared" si="58"/>
        <v>-5.1301115241635685E-2</v>
      </c>
      <c r="DG35" s="521">
        <f t="shared" si="58"/>
        <v>-3.5472091810119982E-2</v>
      </c>
      <c r="DH35" s="518">
        <f t="shared" si="58"/>
        <v>1.0869565217391304E-2</v>
      </c>
      <c r="DI35" s="518">
        <f t="shared" si="58"/>
        <v>0.125</v>
      </c>
      <c r="DJ35" s="518">
        <f t="shared" si="58"/>
        <v>-0.39344262295081966</v>
      </c>
      <c r="DK35" s="518">
        <f t="shared" si="58"/>
        <v>1.4695077149155033E-2</v>
      </c>
      <c r="DL35" s="521">
        <f t="shared" si="58"/>
        <v>-2.037351443123939E-2</v>
      </c>
      <c r="DM35" s="518">
        <f t="shared" si="58"/>
        <v>0</v>
      </c>
      <c r="DN35" s="518">
        <f t="shared" si="58"/>
        <v>-6.9444444444444448E-2</v>
      </c>
      <c r="DO35" s="518">
        <f t="shared" si="58"/>
        <v>1.4492753623188406E-2</v>
      </c>
      <c r="DP35" s="518">
        <f t="shared" si="58"/>
        <v>0.1076923076923077</v>
      </c>
      <c r="DQ35" s="521">
        <f t="shared" si="58"/>
        <v>3.9134912461380018E-2</v>
      </c>
      <c r="DR35" s="518">
        <f>DR34/DR$32</f>
        <v>0.1</v>
      </c>
      <c r="DS35" s="518">
        <f>DS34/DS$32</f>
        <v>4.6875E-2</v>
      </c>
      <c r="DT35" s="518">
        <f>DT34/DT$32</f>
        <v>-5.434782608695652E-2</v>
      </c>
      <c r="DU35" s="518">
        <f>DU34/DU$32</f>
        <v>2.2598870056497175E-2</v>
      </c>
      <c r="DV35" s="521">
        <f t="shared" si="58"/>
        <v>4</v>
      </c>
      <c r="DW35" s="518">
        <f t="shared" si="58"/>
        <v>-6.4308681672025723E-3</v>
      </c>
      <c r="DX35" s="518">
        <f t="shared" si="58"/>
        <v>-0.19354838709677419</v>
      </c>
      <c r="DY35" s="518">
        <f t="shared" si="58"/>
        <v>0</v>
      </c>
      <c r="DZ35" s="518">
        <f t="shared" si="58"/>
        <v>-8.5287846481876331E-3</v>
      </c>
      <c r="EA35" s="521">
        <f t="shared" si="58"/>
        <v>-1.6433853738701725E-3</v>
      </c>
      <c r="EB35" s="518">
        <f t="shared" si="58"/>
        <v>-1.3888888888888888E-2</v>
      </c>
      <c r="EC35" s="518">
        <f t="shared" si="58"/>
        <v>-4.2253521126760563E-2</v>
      </c>
      <c r="ED35" s="518">
        <f t="shared" si="58"/>
        <v>5.8823529411764705E-2</v>
      </c>
      <c r="EE35" s="518">
        <f t="shared" si="58"/>
        <v>1.1111111111111112E-2</v>
      </c>
      <c r="EF35" s="521">
        <f t="shared" si="58"/>
        <v>-0.12162162162162163</v>
      </c>
      <c r="EG35" s="518">
        <f>EG34/EG$32</f>
        <v>-0.1111111111111111</v>
      </c>
      <c r="EH35" s="518">
        <f>EH34/EH$32</f>
        <v>-0.125</v>
      </c>
      <c r="EI35" s="518">
        <f>EI34/EI$32</f>
        <v>0.10526315789473684</v>
      </c>
      <c r="EJ35" s="518">
        <f>EJ34/EJ$32</f>
        <v>8.1743869209809257E-3</v>
      </c>
      <c r="EK35" s="521">
        <f t="shared" si="58"/>
        <v>-1.2562814070351759E-2</v>
      </c>
      <c r="EL35" s="518">
        <f t="shared" si="58"/>
        <v>-1.6949152542372881E-2</v>
      </c>
      <c r="EM35" s="518">
        <f t="shared" si="58"/>
        <v>-5.5555555555555558E-3</v>
      </c>
      <c r="EN35" s="518">
        <f>EN34/EN$32</f>
        <v>0</v>
      </c>
      <c r="EO35" s="518">
        <f t="shared" si="58"/>
        <v>3.2608695652173912E-2</v>
      </c>
      <c r="EP35" s="521">
        <f t="shared" si="58"/>
        <v>-1.5479876160990713E-3</v>
      </c>
      <c r="EQ35" s="518">
        <f t="shared" si="58"/>
        <v>-9.2592592592592587E-3</v>
      </c>
      <c r="ER35" s="518">
        <f t="shared" si="58"/>
        <v>0.28712871287128711</v>
      </c>
      <c r="ES35" s="518">
        <f t="shared" si="58"/>
        <v>-1.0075566750629723E-2</v>
      </c>
      <c r="ET35" s="518">
        <f t="shared" si="58"/>
        <v>-0.11363636363636363</v>
      </c>
      <c r="EU35" s="521">
        <f t="shared" si="58"/>
        <v>-8.7053571428571425E-2</v>
      </c>
      <c r="EV35" s="518">
        <f>EV34/EV$32</f>
        <v>-7.575757575757576E-2</v>
      </c>
      <c r="EW35" s="518">
        <f>EW34/EW$32</f>
        <v>-0.3</v>
      </c>
      <c r="EX35" s="518">
        <f>EX34/EX$32</f>
        <v>0.20652173913043478</v>
      </c>
      <c r="EY35" s="518">
        <f>EY34/EY$32</f>
        <v>-0.15094339622641509</v>
      </c>
      <c r="EZ35" s="521">
        <f>EZ34/EZ$32</f>
        <v>0.27536231884057971</v>
      </c>
      <c r="FA35" s="543">
        <f t="shared" ref="FA35:GO35" si="59">FA34/FA$32</f>
        <v>8.8888888888888892E-2</v>
      </c>
      <c r="FB35" s="543">
        <f t="shared" si="59"/>
        <v>4.878048780487805E-2</v>
      </c>
      <c r="FC35" s="518">
        <f t="shared" si="59"/>
        <v>0.10526315789473684</v>
      </c>
      <c r="FD35" s="518">
        <f t="shared" si="59"/>
        <v>-11.666666666666666</v>
      </c>
      <c r="FE35" s="521">
        <f t="shared" si="59"/>
        <v>-2.7272727272727271E-2</v>
      </c>
      <c r="FF35" s="518">
        <f t="shared" si="59"/>
        <v>-3.25</v>
      </c>
      <c r="FG35" s="518">
        <f t="shared" si="59"/>
        <v>5.4054054054054057E-2</v>
      </c>
      <c r="FH35" s="518">
        <f t="shared" si="59"/>
        <v>5.5555555555555552E-2</v>
      </c>
      <c r="FI35" s="518">
        <f t="shared" si="59"/>
        <v>0.17073170731707318</v>
      </c>
      <c r="FJ35" s="521">
        <f t="shared" si="59"/>
        <v>8.3333333333333329E-2</v>
      </c>
      <c r="FK35" s="518">
        <f t="shared" si="59"/>
        <v>3.5714285714285712E-2</v>
      </c>
      <c r="FL35" s="518">
        <f t="shared" si="59"/>
        <v>3.7037037037037035E-2</v>
      </c>
      <c r="FM35" s="518">
        <f t="shared" si="59"/>
        <v>2.9925187032418952E-2</v>
      </c>
      <c r="FN35" s="518">
        <f t="shared" si="59"/>
        <v>3.4926470588235295E-2</v>
      </c>
      <c r="FO35" s="521">
        <f t="shared" si="59"/>
        <v>3.3725490196078428E-2</v>
      </c>
      <c r="FP35" s="518">
        <f t="shared" si="59"/>
        <v>0.13862928348909656</v>
      </c>
      <c r="FQ35" s="518">
        <f>FQ34/FQ$32</f>
        <v>0.13763702801461633</v>
      </c>
      <c r="FR35" s="518">
        <f>FR34/FR$32</f>
        <v>8.175473579262213E-2</v>
      </c>
      <c r="FS35" s="518">
        <f>FS34/FS$32</f>
        <v>0.19035743973399832</v>
      </c>
      <c r="FT35" s="521">
        <f t="shared" si="59"/>
        <v>0.13982011447260834</v>
      </c>
      <c r="FU35" s="518">
        <f t="shared" si="59"/>
        <v>0.12611607142857142</v>
      </c>
      <c r="FV35" s="518">
        <f t="shared" si="59"/>
        <v>0.10865191146881288</v>
      </c>
      <c r="FW35" s="518">
        <f t="shared" si="59"/>
        <v>1.8493150684931507</v>
      </c>
      <c r="FX35" s="518">
        <f t="shared" si="59"/>
        <v>1.1323529411764706</v>
      </c>
      <c r="FY35" s="521">
        <f t="shared" si="59"/>
        <v>-0.10304054054054054</v>
      </c>
      <c r="FZ35" s="518">
        <f t="shared" si="59"/>
        <v>-0.10236220472440945</v>
      </c>
      <c r="GA35" s="518">
        <f t="shared" si="59"/>
        <v>11.5</v>
      </c>
      <c r="GB35" s="518">
        <f t="shared" si="59"/>
        <v>-0.1517509727626459</v>
      </c>
      <c r="GC35" s="518">
        <f t="shared" si="59"/>
        <v>-0.81593406593406592</v>
      </c>
      <c r="GD35" s="521">
        <f t="shared" si="59"/>
        <v>-0.7032520325203252</v>
      </c>
      <c r="GE35" s="518">
        <f t="shared" si="59"/>
        <v>-0.8125</v>
      </c>
      <c r="GF35" s="518">
        <f t="shared" si="59"/>
        <v>0.13712374581939799</v>
      </c>
      <c r="GG35" s="518">
        <f t="shared" si="59"/>
        <v>-3.6635006784260515E-2</v>
      </c>
      <c r="GH35" s="518">
        <f t="shared" si="59"/>
        <v>0.47131608548931386</v>
      </c>
      <c r="GI35" s="521">
        <f t="shared" si="59"/>
        <v>0.19155354449472098</v>
      </c>
      <c r="GJ35" s="518">
        <f t="shared" si="59"/>
        <v>0.14909090909090908</v>
      </c>
      <c r="GK35" s="518">
        <f t="shared" si="59"/>
        <v>11.27027027027027</v>
      </c>
      <c r="GL35" s="518">
        <f t="shared" si="59"/>
        <v>0.11634980988593156</v>
      </c>
      <c r="GM35" s="518">
        <f t="shared" si="59"/>
        <v>0.21938283510125361</v>
      </c>
      <c r="GN35" s="521">
        <f>(GN34)/(GN$32+GN54)</f>
        <v>-1.7826237452405677E-2</v>
      </c>
      <c r="GO35" s="518">
        <f t="shared" si="59"/>
        <v>0.14837905236907731</v>
      </c>
      <c r="GP35" s="544">
        <v>0.13</v>
      </c>
      <c r="GQ35" s="544">
        <f>GP35</f>
        <v>0.13</v>
      </c>
      <c r="GR35" s="544">
        <f>GQ35</f>
        <v>0.13</v>
      </c>
      <c r="GS35" s="521">
        <f>(GS34)/(GS$32+GS54)</f>
        <v>0.12747751724649875</v>
      </c>
      <c r="GT35" s="544">
        <f>GR35</f>
        <v>0.13</v>
      </c>
      <c r="GU35" s="544">
        <f>GT35</f>
        <v>0.13</v>
      </c>
      <c r="GV35" s="544">
        <f>GU35</f>
        <v>0.13</v>
      </c>
      <c r="GW35" s="544">
        <f>GV35</f>
        <v>0.13</v>
      </c>
      <c r="GX35" s="521">
        <f>(GX34)/(GX$32+GX54)</f>
        <v>0.13</v>
      </c>
      <c r="GY35" s="544">
        <f>GW35</f>
        <v>0.13</v>
      </c>
      <c r="GZ35" s="544">
        <f>GY35</f>
        <v>0.13</v>
      </c>
      <c r="HA35" s="544">
        <f>GZ35</f>
        <v>0.13</v>
      </c>
      <c r="HB35" s="544">
        <f>HA35</f>
        <v>0.13</v>
      </c>
      <c r="HC35" s="521">
        <f>(HC34)/(HC$32+HC54)</f>
        <v>0.13</v>
      </c>
      <c r="HD35" s="544">
        <f>HB35</f>
        <v>0.13</v>
      </c>
      <c r="HE35" s="544">
        <f>HD35</f>
        <v>0.13</v>
      </c>
      <c r="HF35" s="544">
        <f>HE35</f>
        <v>0.13</v>
      </c>
      <c r="HG35" s="544">
        <f>HF35</f>
        <v>0.13</v>
      </c>
      <c r="HH35" s="521">
        <f>(HH34)/(HH$32+HH54)</f>
        <v>0.13</v>
      </c>
      <c r="HI35" s="544">
        <f>HG35</f>
        <v>0.13</v>
      </c>
      <c r="HJ35" s="544">
        <f>HI35</f>
        <v>0.13</v>
      </c>
      <c r="HK35" s="544">
        <f>HJ35</f>
        <v>0.13</v>
      </c>
      <c r="HL35" s="544">
        <f>HK35</f>
        <v>0.13</v>
      </c>
      <c r="HM35" s="521">
        <f>(HM34)/(HM$32+HM54)</f>
        <v>0.13</v>
      </c>
      <c r="HN35" s="521"/>
      <c r="HO35" s="521"/>
      <c r="HP35" s="453"/>
      <c r="HQ35" s="453"/>
      <c r="HR35" s="453"/>
      <c r="HS35" s="453"/>
      <c r="HT35" s="453"/>
      <c r="HU35" s="453"/>
      <c r="HV35" s="453"/>
      <c r="HW35" s="453"/>
      <c r="HX35" s="453"/>
      <c r="HY35" s="453"/>
      <c r="HZ35" s="453"/>
    </row>
    <row r="36" spans="1:234" s="509" customFormat="1" ht="15" customHeight="1">
      <c r="A36" s="545" t="s">
        <v>379</v>
      </c>
      <c r="L36" s="518"/>
      <c r="M36" s="518"/>
      <c r="N36" s="518"/>
      <c r="O36" s="518"/>
      <c r="P36" s="521"/>
      <c r="Q36" s="518"/>
      <c r="R36" s="518"/>
      <c r="S36" s="518"/>
      <c r="T36" s="518"/>
      <c r="U36" s="521"/>
      <c r="V36" s="518"/>
      <c r="W36" s="518"/>
      <c r="X36" s="518"/>
      <c r="Y36" s="518"/>
      <c r="Z36" s="521"/>
      <c r="AA36" s="518"/>
      <c r="AB36" s="518"/>
      <c r="AC36" s="518"/>
      <c r="AD36" s="518"/>
      <c r="AE36" s="521"/>
      <c r="AF36" s="523">
        <v>0</v>
      </c>
      <c r="AG36" s="523">
        <v>0.112</v>
      </c>
      <c r="AH36" s="523">
        <v>0.248</v>
      </c>
      <c r="AI36" s="523">
        <v>0.27400000000000002</v>
      </c>
      <c r="AJ36" s="521">
        <f>SUM(AF36:AI36)</f>
        <v>0.63400000000000001</v>
      </c>
      <c r="AK36" s="523">
        <v>0.39400000000000002</v>
      </c>
      <c r="AL36" s="523">
        <v>2.9249999999999998</v>
      </c>
      <c r="AM36" s="523">
        <v>4.2770000000000001</v>
      </c>
      <c r="AN36" s="523">
        <v>2.9889999999999999</v>
      </c>
      <c r="AO36" s="524">
        <f>SUM(AK36:AN36)</f>
        <v>10.585000000000001</v>
      </c>
      <c r="AP36" s="523">
        <v>1.4139999999999999</v>
      </c>
      <c r="AQ36" s="523">
        <v>-2.5289999999999999</v>
      </c>
      <c r="AR36" s="523">
        <v>-12.311</v>
      </c>
      <c r="AS36" s="523">
        <v>-21.5</v>
      </c>
      <c r="AT36" s="524">
        <f>SUM(AP36:AS36)</f>
        <v>-34.926000000000002</v>
      </c>
      <c r="AU36" s="523">
        <v>-21.562999999999999</v>
      </c>
      <c r="AV36" s="523">
        <v>-12.911</v>
      </c>
      <c r="AW36" s="523">
        <v>-7.3259999999999996</v>
      </c>
      <c r="AX36" s="523">
        <v>-12.997999999999999</v>
      </c>
      <c r="AY36" s="524">
        <f>SUM(AU36:AX36)</f>
        <v>-54.797999999999995</v>
      </c>
      <c r="AZ36" s="523">
        <v>-7.6909999999999998</v>
      </c>
      <c r="BA36" s="523">
        <v>-3.5470000000000002</v>
      </c>
      <c r="BB36" s="523">
        <v>-5.3</v>
      </c>
      <c r="BC36" s="523">
        <v>-8.0489999999999995</v>
      </c>
      <c r="BD36" s="524">
        <f>SUM(AZ36:BC36)</f>
        <v>-24.587</v>
      </c>
      <c r="BE36" s="523">
        <v>-7.7359999999999998</v>
      </c>
      <c r="BF36" s="523">
        <f>-4.433</f>
        <v>-4.4329999999999998</v>
      </c>
      <c r="BG36" s="523">
        <v>-1.9730000000000001</v>
      </c>
      <c r="BH36" s="523">
        <v>2.5510000000000002</v>
      </c>
      <c r="BI36" s="524">
        <f>SUM(BE36:BH36)</f>
        <v>-11.591000000000001</v>
      </c>
      <c r="BJ36" s="523">
        <f>2.735</f>
        <v>2.7349999999999999</v>
      </c>
      <c r="BK36" s="523">
        <v>-4.0369999999999999</v>
      </c>
      <c r="BL36" s="523">
        <v>-4.7210000000000001</v>
      </c>
      <c r="BM36" s="523">
        <v>1.234</v>
      </c>
      <c r="BN36" s="524">
        <f>SUM(BJ36:BM36)</f>
        <v>-4.7889999999999997</v>
      </c>
      <c r="BO36" s="523">
        <f>0.969</f>
        <v>0.96899999999999997</v>
      </c>
      <c r="BP36" s="523">
        <v>-3.2000000000000001E-2</v>
      </c>
      <c r="BQ36" s="523">
        <v>-4.4059999999999997</v>
      </c>
      <c r="BR36" s="523">
        <f>-7.57</f>
        <v>-7.57</v>
      </c>
      <c r="BS36" s="533">
        <f>SUM(BO36:BR36)</f>
        <v>-11.039</v>
      </c>
      <c r="BT36" s="261">
        <v>-13.183</v>
      </c>
      <c r="BU36" s="261">
        <v>-7.3</v>
      </c>
      <c r="BV36" s="526">
        <v>1.1870000000000001</v>
      </c>
      <c r="BW36" s="526">
        <v>0.41699999999999998</v>
      </c>
      <c r="BX36" s="533">
        <f>SUM(BT36:BW36)</f>
        <v>-18.878999999999998</v>
      </c>
      <c r="BY36" s="537">
        <v>-2.9590000000000001</v>
      </c>
      <c r="BZ36" s="537">
        <v>2.6989999999999998</v>
      </c>
      <c r="CA36" s="537">
        <v>-5.8879999999999999</v>
      </c>
      <c r="CB36" s="526">
        <v>-2.9000000000000001E-2</v>
      </c>
      <c r="CC36" s="533">
        <f>SUM(BY36:CB36)</f>
        <v>-6.1769999999999996</v>
      </c>
      <c r="CD36" s="261">
        <v>-1.1180000000000001</v>
      </c>
      <c r="CE36" s="261">
        <v>-4.7949999999999999</v>
      </c>
      <c r="CF36" s="261">
        <v>0</v>
      </c>
      <c r="CG36" s="261">
        <v>0</v>
      </c>
      <c r="CH36" s="524">
        <f>SUM(CD36:CG36)</f>
        <v>-5.9130000000000003</v>
      </c>
      <c r="CI36" s="261">
        <v>0</v>
      </c>
      <c r="CJ36" s="261">
        <v>0</v>
      </c>
      <c r="CK36" s="261">
        <v>0</v>
      </c>
      <c r="CL36" s="261">
        <v>0</v>
      </c>
      <c r="CM36" s="524">
        <f>SUM(CI36:CL36)</f>
        <v>0</v>
      </c>
      <c r="CN36" s="526">
        <v>0</v>
      </c>
      <c r="CO36" s="261">
        <v>0</v>
      </c>
      <c r="CP36" s="526">
        <v>0</v>
      </c>
      <c r="CQ36" s="526">
        <v>-3.105</v>
      </c>
      <c r="CR36" s="524">
        <f>SUM(CN36:CQ36)</f>
        <v>-3.105</v>
      </c>
      <c r="CS36" s="526">
        <f>18.243</f>
        <v>18.242999999999999</v>
      </c>
      <c r="CT36" s="526">
        <f>12.467</f>
        <v>12.467000000000001</v>
      </c>
      <c r="CU36" s="526">
        <f>10.204</f>
        <v>10.204000000000001</v>
      </c>
      <c r="CV36" s="526">
        <v>4</v>
      </c>
      <c r="CW36" s="524">
        <f>SUM(CS36:CV36)</f>
        <v>44.914000000000001</v>
      </c>
      <c r="CX36" s="526">
        <v>16</v>
      </c>
      <c r="CY36" s="526">
        <v>13</v>
      </c>
      <c r="CZ36" s="526">
        <f>57-42</f>
        <v>15</v>
      </c>
      <c r="DA36" s="526">
        <f>69-69</f>
        <v>0</v>
      </c>
      <c r="DB36" s="524">
        <f>SUM(CX36:DA36)</f>
        <v>44</v>
      </c>
      <c r="DC36" s="526">
        <v>0</v>
      </c>
      <c r="DD36" s="526">
        <v>24</v>
      </c>
      <c r="DE36" s="526">
        <v>9</v>
      </c>
      <c r="DF36" s="526">
        <v>0</v>
      </c>
      <c r="DG36" s="524">
        <f>SUM(DC36:DF36)</f>
        <v>33</v>
      </c>
      <c r="DH36" s="523">
        <f>317</f>
        <v>317</v>
      </c>
      <c r="DI36" s="523">
        <v>177</v>
      </c>
      <c r="DJ36" s="523">
        <v>191</v>
      </c>
      <c r="DK36" s="523">
        <v>138</v>
      </c>
      <c r="DL36" s="524">
        <f>SUM(DH36:DK36)</f>
        <v>823</v>
      </c>
      <c r="DM36" s="523">
        <v>183</v>
      </c>
      <c r="DN36" s="523">
        <v>120</v>
      </c>
      <c r="DO36" s="523">
        <v>186</v>
      </c>
      <c r="DP36" s="523">
        <v>-27</v>
      </c>
      <c r="DQ36" s="524">
        <f>SUM(DM36:DP36)</f>
        <v>462</v>
      </c>
      <c r="DR36" s="523">
        <v>0</v>
      </c>
      <c r="DS36" s="523">
        <v>0</v>
      </c>
      <c r="DT36" s="523">
        <v>0</v>
      </c>
      <c r="DU36" s="523">
        <v>0</v>
      </c>
      <c r="DV36" s="524">
        <f>SUM(DR36:DU36)</f>
        <v>0</v>
      </c>
      <c r="DW36" s="523">
        <v>0</v>
      </c>
      <c r="DX36" s="523">
        <v>0</v>
      </c>
      <c r="DY36" s="523">
        <v>0</v>
      </c>
      <c r="DZ36" s="523">
        <v>0</v>
      </c>
      <c r="EA36" s="524">
        <f>SUM(DW36:DZ36)</f>
        <v>0</v>
      </c>
      <c r="EB36" s="523">
        <v>0</v>
      </c>
      <c r="EC36" s="523">
        <v>0</v>
      </c>
      <c r="ED36" s="523">
        <v>0</v>
      </c>
      <c r="EE36" s="523">
        <v>0</v>
      </c>
      <c r="EF36" s="524">
        <f>SUM(EB36:EE36)</f>
        <v>0</v>
      </c>
      <c r="EG36" s="523">
        <v>0</v>
      </c>
      <c r="EH36" s="523">
        <v>0</v>
      </c>
      <c r="EI36" s="523">
        <v>0</v>
      </c>
      <c r="EJ36" s="523">
        <v>0</v>
      </c>
      <c r="EK36" s="524">
        <f>SUM(EG36:EJ36)</f>
        <v>0</v>
      </c>
      <c r="EL36" s="523">
        <v>0</v>
      </c>
      <c r="EM36" s="523">
        <v>0</v>
      </c>
      <c r="EN36" s="523">
        <v>0</v>
      </c>
      <c r="EO36" s="523">
        <v>0</v>
      </c>
      <c r="EP36" s="524">
        <f>SUM(EL36:EO36)</f>
        <v>0</v>
      </c>
      <c r="EQ36" s="523">
        <v>0</v>
      </c>
      <c r="ER36" s="523">
        <v>3</v>
      </c>
      <c r="ES36" s="523">
        <f>5</f>
        <v>5</v>
      </c>
      <c r="ET36" s="523">
        <v>2</v>
      </c>
      <c r="EU36" s="524">
        <f>SUM(EQ36:ET36)</f>
        <v>10</v>
      </c>
      <c r="EV36" s="523">
        <v>2</v>
      </c>
      <c r="EW36" s="523">
        <v>3</v>
      </c>
      <c r="EX36" s="523">
        <v>2</v>
      </c>
      <c r="EY36" s="523">
        <v>0</v>
      </c>
      <c r="EZ36" s="524">
        <f>SUM(EV36:EY36)</f>
        <v>7</v>
      </c>
      <c r="FA36" s="523">
        <v>1</v>
      </c>
      <c r="FB36" s="523">
        <v>1</v>
      </c>
      <c r="FC36" s="523">
        <v>0</v>
      </c>
      <c r="FD36" s="523">
        <v>0</v>
      </c>
      <c r="FE36" s="524">
        <f>SUM(FA36:FD36)</f>
        <v>2</v>
      </c>
      <c r="FF36" s="523">
        <v>1</v>
      </c>
      <c r="FG36" s="523">
        <v>0</v>
      </c>
      <c r="FH36" s="523">
        <v>-1</v>
      </c>
      <c r="FI36" s="523">
        <v>0</v>
      </c>
      <c r="FJ36" s="524">
        <f>SUM(FF36:FI36)</f>
        <v>0</v>
      </c>
      <c r="FK36" s="523">
        <v>0</v>
      </c>
      <c r="FL36" s="523">
        <v>0</v>
      </c>
      <c r="FM36" s="523">
        <v>-1</v>
      </c>
      <c r="FN36" s="523">
        <v>0</v>
      </c>
      <c r="FO36" s="524">
        <f>SUM(FK36:FN36)</f>
        <v>-1</v>
      </c>
      <c r="FP36" s="523">
        <v>-2</v>
      </c>
      <c r="FQ36" s="523">
        <v>-2</v>
      </c>
      <c r="FR36" s="523">
        <v>-2</v>
      </c>
      <c r="FS36" s="523">
        <v>0</v>
      </c>
      <c r="FT36" s="524">
        <f>SUM(FP36:FS36)</f>
        <v>-6</v>
      </c>
      <c r="FU36" s="523">
        <v>-3</v>
      </c>
      <c r="FV36" s="523">
        <v>-4</v>
      </c>
      <c r="FW36" s="523">
        <v>-4</v>
      </c>
      <c r="FX36" s="523">
        <v>-3</v>
      </c>
      <c r="FY36" s="524">
        <f>SUM(FU36:FX36)</f>
        <v>-14</v>
      </c>
      <c r="FZ36" s="523">
        <v>-1</v>
      </c>
      <c r="GA36" s="523">
        <v>-6</v>
      </c>
      <c r="GB36" s="523">
        <v>-3</v>
      </c>
      <c r="GC36" s="523">
        <v>-6</v>
      </c>
      <c r="GD36" s="524">
        <f>SUM(FZ36:GC36)</f>
        <v>-16</v>
      </c>
      <c r="GE36" s="523">
        <v>-7</v>
      </c>
      <c r="GF36" s="523">
        <v>-7</v>
      </c>
      <c r="GG36" s="523">
        <v>-7</v>
      </c>
      <c r="GH36" s="523">
        <v>-12</v>
      </c>
      <c r="GI36" s="524">
        <f>SUM(GE36:GH36)</f>
        <v>-33</v>
      </c>
      <c r="GJ36" s="523">
        <v>-7</v>
      </c>
      <c r="GK36" s="523">
        <v>-8</v>
      </c>
      <c r="GL36" s="523">
        <v>-10</v>
      </c>
      <c r="GM36" s="523">
        <v>-1</v>
      </c>
      <c r="GN36" s="524">
        <f>SUM(GJ36:GM36)</f>
        <v>-26</v>
      </c>
      <c r="GO36" s="523">
        <v>-6</v>
      </c>
      <c r="GP36" s="540">
        <v>0</v>
      </c>
      <c r="GQ36" s="540">
        <v>0</v>
      </c>
      <c r="GR36" s="540">
        <v>0</v>
      </c>
      <c r="GS36" s="524">
        <f>SUM(GO36:GR36)</f>
        <v>-6</v>
      </c>
      <c r="GT36" s="540">
        <v>0</v>
      </c>
      <c r="GU36" s="540">
        <v>0</v>
      </c>
      <c r="GV36" s="540">
        <v>0</v>
      </c>
      <c r="GW36" s="540">
        <v>0</v>
      </c>
      <c r="GX36" s="524">
        <f>SUM(GT36:GW36)</f>
        <v>0</v>
      </c>
      <c r="GY36" s="540">
        <v>0</v>
      </c>
      <c r="GZ36" s="540">
        <v>0</v>
      </c>
      <c r="HA36" s="540">
        <v>0</v>
      </c>
      <c r="HB36" s="540">
        <v>0</v>
      </c>
      <c r="HC36" s="524">
        <f>SUM(GY36:HB36)</f>
        <v>0</v>
      </c>
      <c r="HD36" s="540">
        <v>0</v>
      </c>
      <c r="HE36" s="540">
        <v>0</v>
      </c>
      <c r="HF36" s="540">
        <v>0</v>
      </c>
      <c r="HG36" s="540">
        <v>0</v>
      </c>
      <c r="HH36" s="524">
        <f>SUM(HD36:HG36)</f>
        <v>0</v>
      </c>
      <c r="HI36" s="540">
        <v>0</v>
      </c>
      <c r="HJ36" s="540">
        <v>0</v>
      </c>
      <c r="HK36" s="540">
        <v>0</v>
      </c>
      <c r="HL36" s="540">
        <v>0</v>
      </c>
      <c r="HM36" s="524">
        <f>SUM(HI36:HL36)</f>
        <v>0</v>
      </c>
      <c r="HN36" s="524"/>
      <c r="HO36" s="524"/>
      <c r="HP36" s="453"/>
      <c r="HQ36" s="453"/>
      <c r="HR36" s="453"/>
      <c r="HS36" s="453"/>
      <c r="HT36" s="453"/>
      <c r="HU36" s="453"/>
      <c r="HV36" s="453"/>
      <c r="HW36" s="453"/>
      <c r="HX36" s="453"/>
      <c r="HY36" s="453"/>
      <c r="HZ36" s="453"/>
    </row>
    <row r="37" spans="1:234" s="509" customFormat="1" ht="15" customHeight="1">
      <c r="A37" s="517" t="s">
        <v>202</v>
      </c>
      <c r="L37" s="518"/>
      <c r="M37" s="518"/>
      <c r="N37" s="518"/>
      <c r="O37" s="518"/>
      <c r="P37" s="521"/>
      <c r="Q37" s="518"/>
      <c r="R37" s="518"/>
      <c r="S37" s="518"/>
      <c r="T37" s="518"/>
      <c r="U37" s="521"/>
      <c r="V37" s="518"/>
      <c r="W37" s="518"/>
      <c r="X37" s="518"/>
      <c r="Y37" s="518"/>
      <c r="Z37" s="521"/>
      <c r="AA37" s="518"/>
      <c r="AB37" s="518"/>
      <c r="AC37" s="518"/>
      <c r="AD37" s="518"/>
      <c r="AE37" s="521"/>
      <c r="AF37" s="518">
        <f t="shared" ref="AF37:CQ37" si="60">AF36/AF$9</f>
        <v>0</v>
      </c>
      <c r="AG37" s="518">
        <f t="shared" si="60"/>
        <v>2.7377704770565058E-4</v>
      </c>
      <c r="AH37" s="518">
        <f t="shared" si="60"/>
        <v>5.9280365052312531E-4</v>
      </c>
      <c r="AI37" s="518">
        <f t="shared" si="60"/>
        <v>6.6278991011214222E-4</v>
      </c>
      <c r="AJ37" s="521">
        <f t="shared" si="60"/>
        <v>3.8464338583250418E-4</v>
      </c>
      <c r="AK37" s="518">
        <f t="shared" si="60"/>
        <v>7.6791143681297265E-4</v>
      </c>
      <c r="AL37" s="518">
        <f t="shared" si="60"/>
        <v>5.4847486485016788E-3</v>
      </c>
      <c r="AM37" s="518">
        <f t="shared" si="60"/>
        <v>7.8749581119249359E-3</v>
      </c>
      <c r="AN37" s="518">
        <f t="shared" si="60"/>
        <v>5.4827135855369351E-3</v>
      </c>
      <c r="AO37" s="521">
        <f t="shared" si="60"/>
        <v>4.9586374217146624E-3</v>
      </c>
      <c r="AP37" s="518">
        <f t="shared" si="60"/>
        <v>2.2802920838063782E-3</v>
      </c>
      <c r="AQ37" s="518">
        <f t="shared" si="60"/>
        <v>-4.0385555097778069E-3</v>
      </c>
      <c r="AR37" s="518">
        <f t="shared" si="60"/>
        <v>-2.0852494558635467E-2</v>
      </c>
      <c r="AS37" s="518">
        <f t="shared" si="60"/>
        <v>-3.6254550789253139E-2</v>
      </c>
      <c r="AT37" s="521">
        <f t="shared" si="60"/>
        <v>-1.4374472162270283E-2</v>
      </c>
      <c r="AU37" s="518">
        <f t="shared" si="60"/>
        <v>-3.9622426554357493E-2</v>
      </c>
      <c r="AV37" s="518">
        <f t="shared" si="60"/>
        <v>-2.8371022925790579E-2</v>
      </c>
      <c r="AW37" s="518">
        <f t="shared" si="60"/>
        <v>-1.6035476796056575E-2</v>
      </c>
      <c r="AX37" s="518">
        <f t="shared" si="60"/>
        <v>-2.6159865396845842E-2</v>
      </c>
      <c r="AY37" s="521">
        <f t="shared" si="60"/>
        <v>-2.8058098769136397E-2</v>
      </c>
      <c r="AZ37" s="518">
        <f t="shared" si="60"/>
        <v>-1.3932996255427998E-2</v>
      </c>
      <c r="BA37" s="518">
        <f t="shared" si="60"/>
        <v>-5.9657461555668806E-3</v>
      </c>
      <c r="BB37" s="518">
        <f t="shared" si="60"/>
        <v>-8.8830190197169492E-3</v>
      </c>
      <c r="BC37" s="518">
        <f t="shared" si="60"/>
        <v>-1.3126843898357879E-2</v>
      </c>
      <c r="BD37" s="521">
        <f t="shared" si="60"/>
        <v>-1.0434247520025463E-2</v>
      </c>
      <c r="BE37" s="518">
        <f t="shared" si="60"/>
        <v>-1.4303252621769935E-2</v>
      </c>
      <c r="BF37" s="518">
        <f t="shared" si="60"/>
        <v>-8.4191454367965844E-3</v>
      </c>
      <c r="BG37" s="518">
        <f t="shared" si="60"/>
        <v>-2.8763993836078768E-3</v>
      </c>
      <c r="BH37" s="518">
        <f t="shared" si="60"/>
        <v>3.2339443726071854E-3</v>
      </c>
      <c r="BI37" s="521">
        <f t="shared" si="60"/>
        <v>-4.5595425273421107E-3</v>
      </c>
      <c r="BJ37" s="518">
        <f t="shared" si="60"/>
        <v>4.3303203170396128E-3</v>
      </c>
      <c r="BK37" s="518">
        <f t="shared" si="60"/>
        <v>-6.7836312339420168E-3</v>
      </c>
      <c r="BL37" s="518">
        <f t="shared" si="60"/>
        <v>-7.1293522120472611E-3</v>
      </c>
      <c r="BM37" s="518">
        <f t="shared" si="60"/>
        <v>1.273859049663986E-3</v>
      </c>
      <c r="BN37" s="521">
        <f t="shared" si="60"/>
        <v>-1.6758795130465941E-3</v>
      </c>
      <c r="BO37" s="518">
        <f t="shared" si="60"/>
        <v>8.8733907249715889E-4</v>
      </c>
      <c r="BP37" s="518">
        <f t="shared" si="60"/>
        <v>-2.7340215663038679E-5</v>
      </c>
      <c r="BQ37" s="518">
        <f t="shared" si="60"/>
        <v>-3.6517373102957274E-3</v>
      </c>
      <c r="BR37" s="518">
        <f t="shared" si="60"/>
        <v>-6.4416102493932807E-3</v>
      </c>
      <c r="BS37" s="521">
        <f t="shared" si="60"/>
        <v>-2.3769499376317103E-3</v>
      </c>
      <c r="BT37" s="518">
        <f t="shared" si="60"/>
        <v>-1.1089828197253073E-2</v>
      </c>
      <c r="BU37" s="518">
        <f t="shared" si="60"/>
        <v>-7.4091817015541012E-3</v>
      </c>
      <c r="BV37" s="518">
        <f t="shared" si="60"/>
        <v>1.5498713880945853E-3</v>
      </c>
      <c r="BW37" s="518">
        <f t="shared" si="60"/>
        <v>4.3808365191574922E-4</v>
      </c>
      <c r="BX37" s="521">
        <f t="shared" si="60"/>
        <v>-4.8510260412143206E-3</v>
      </c>
      <c r="BY37" s="518">
        <f t="shared" si="60"/>
        <v>-3.2802223323389573E-3</v>
      </c>
      <c r="BZ37" s="518">
        <f t="shared" si="60"/>
        <v>4.4960927804310854E-3</v>
      </c>
      <c r="CA37" s="518">
        <f t="shared" si="60"/>
        <v>-1.1585374252056659E-2</v>
      </c>
      <c r="CB37" s="518">
        <f t="shared" si="60"/>
        <v>-4.2247570764681033E-5</v>
      </c>
      <c r="CC37" s="521">
        <f t="shared" si="60"/>
        <v>-2.2902979537854436E-3</v>
      </c>
      <c r="CD37" s="518">
        <f t="shared" si="60"/>
        <v>-1.5646101419764752E-3</v>
      </c>
      <c r="CE37" s="518">
        <f t="shared" si="60"/>
        <v>-7.4311015232595805E-3</v>
      </c>
      <c r="CF37" s="518">
        <f t="shared" si="60"/>
        <v>0</v>
      </c>
      <c r="CG37" s="518">
        <f t="shared" si="60"/>
        <v>0</v>
      </c>
      <c r="CH37" s="521">
        <f t="shared" si="60"/>
        <v>-1.6802266899448963E-3</v>
      </c>
      <c r="CI37" s="518">
        <f t="shared" si="60"/>
        <v>0</v>
      </c>
      <c r="CJ37" s="518">
        <f t="shared" si="60"/>
        <v>0</v>
      </c>
      <c r="CK37" s="518">
        <f t="shared" si="60"/>
        <v>0</v>
      </c>
      <c r="CL37" s="518">
        <f t="shared" si="60"/>
        <v>0</v>
      </c>
      <c r="CM37" s="521">
        <f t="shared" si="60"/>
        <v>0</v>
      </c>
      <c r="CN37" s="518">
        <f t="shared" si="60"/>
        <v>0</v>
      </c>
      <c r="CO37" s="518">
        <f t="shared" si="60"/>
        <v>0</v>
      </c>
      <c r="CP37" s="518">
        <f t="shared" si="60"/>
        <v>0</v>
      </c>
      <c r="CQ37" s="518">
        <f t="shared" si="60"/>
        <v>-1.689082596954973E-3</v>
      </c>
      <c r="CR37" s="521">
        <f t="shared" ref="CR37:DQ37" si="61">CR36/CR$9</f>
        <v>-5.3098916012563838E-4</v>
      </c>
      <c r="CS37" s="518">
        <f t="shared" si="61"/>
        <v>1.3694321544441425E-2</v>
      </c>
      <c r="CT37" s="518">
        <f t="shared" si="61"/>
        <v>1.0249373749863323E-2</v>
      </c>
      <c r="CU37" s="518">
        <f t="shared" si="61"/>
        <v>7.6859226496698609E-3</v>
      </c>
      <c r="CV37" s="518">
        <f t="shared" si="61"/>
        <v>2.2560631697687537E-3</v>
      </c>
      <c r="CW37" s="521">
        <f t="shared" si="61"/>
        <v>7.9505808576055825E-3</v>
      </c>
      <c r="CX37" s="518">
        <f t="shared" si="61"/>
        <v>1.2976480129764802E-2</v>
      </c>
      <c r="CY37" s="518">
        <f t="shared" si="61"/>
        <v>9.433962264150943E-3</v>
      </c>
      <c r="CZ37" s="518">
        <f t="shared" si="61"/>
        <v>9.1911764705882356E-3</v>
      </c>
      <c r="DA37" s="518">
        <f t="shared" si="61"/>
        <v>0</v>
      </c>
      <c r="DB37" s="521">
        <f t="shared" si="61"/>
        <v>7.3174787959421252E-3</v>
      </c>
      <c r="DC37" s="518">
        <f t="shared" si="61"/>
        <v>0</v>
      </c>
      <c r="DD37" s="518">
        <f t="shared" si="61"/>
        <v>1.7790956263899184E-2</v>
      </c>
      <c r="DE37" s="518">
        <f t="shared" si="61"/>
        <v>5.6039850560398504E-3</v>
      </c>
      <c r="DF37" s="518">
        <f t="shared" si="61"/>
        <v>0</v>
      </c>
      <c r="DG37" s="521">
        <f t="shared" si="61"/>
        <v>5.8697972251867663E-3</v>
      </c>
      <c r="DH37" s="518">
        <f t="shared" si="61"/>
        <v>0.26932880203908244</v>
      </c>
      <c r="DI37" s="518">
        <f t="shared" si="61"/>
        <v>0.14949324324324326</v>
      </c>
      <c r="DJ37" s="518">
        <f t="shared" si="61"/>
        <v>0.13681948424068768</v>
      </c>
      <c r="DK37" s="518">
        <f t="shared" si="61"/>
        <v>8.3839611178614826E-2</v>
      </c>
      <c r="DL37" s="521">
        <f t="shared" si="61"/>
        <v>0.15232278363871923</v>
      </c>
      <c r="DM37" s="518">
        <f t="shared" si="61"/>
        <v>0.11626429479034307</v>
      </c>
      <c r="DN37" s="518">
        <f t="shared" si="61"/>
        <v>7.2595281306715068E-2</v>
      </c>
      <c r="DO37" s="518">
        <f t="shared" si="61"/>
        <v>0.11495673671199011</v>
      </c>
      <c r="DP37" s="518">
        <f t="shared" si="61"/>
        <v>-1.637355973317162E-2</v>
      </c>
      <c r="DQ37" s="521">
        <f t="shared" si="61"/>
        <v>7.1142593162919612E-2</v>
      </c>
      <c r="DR37" s="518">
        <f>DR36/DR$9</f>
        <v>0</v>
      </c>
      <c r="DS37" s="518">
        <f>DS36/DS$9</f>
        <v>0</v>
      </c>
      <c r="DT37" s="518">
        <f>DT36/DT$9</f>
        <v>0</v>
      </c>
      <c r="DU37" s="518">
        <f>DU36/DU$9</f>
        <v>0</v>
      </c>
      <c r="DV37" s="521">
        <f t="shared" ref="DV37:EU37" si="62">DV36/DV$9</f>
        <v>0</v>
      </c>
      <c r="DW37" s="518">
        <f>DW36/DW$9</f>
        <v>0</v>
      </c>
      <c r="DX37" s="518">
        <f>DX36/DX$9</f>
        <v>0</v>
      </c>
      <c r="DY37" s="518">
        <f>DY36/DY$9</f>
        <v>0</v>
      </c>
      <c r="DZ37" s="518">
        <f>DZ36/DZ$9</f>
        <v>0</v>
      </c>
      <c r="EA37" s="521">
        <f t="shared" si="62"/>
        <v>0</v>
      </c>
      <c r="EB37" s="518">
        <f t="shared" si="62"/>
        <v>0</v>
      </c>
      <c r="EC37" s="518">
        <f t="shared" si="62"/>
        <v>0</v>
      </c>
      <c r="ED37" s="518">
        <f t="shared" si="62"/>
        <v>0</v>
      </c>
      <c r="EE37" s="518">
        <f t="shared" si="62"/>
        <v>0</v>
      </c>
      <c r="EF37" s="521">
        <f t="shared" si="62"/>
        <v>0</v>
      </c>
      <c r="EG37" s="518">
        <f t="shared" si="62"/>
        <v>0</v>
      </c>
      <c r="EH37" s="518">
        <f t="shared" si="62"/>
        <v>0</v>
      </c>
      <c r="EI37" s="518">
        <f>EI36/EI$9</f>
        <v>0</v>
      </c>
      <c r="EJ37" s="518">
        <f>EJ36/EJ$9</f>
        <v>0</v>
      </c>
      <c r="EK37" s="521">
        <f t="shared" si="62"/>
        <v>0</v>
      </c>
      <c r="EL37" s="518">
        <f>EL36/EL$9</f>
        <v>0</v>
      </c>
      <c r="EM37" s="518">
        <f>EM36/EM$9</f>
        <v>0</v>
      </c>
      <c r="EN37" s="518">
        <f>EN36/EN$9</f>
        <v>0</v>
      </c>
      <c r="EO37" s="518">
        <f t="shared" si="62"/>
        <v>0</v>
      </c>
      <c r="EP37" s="521">
        <f t="shared" si="62"/>
        <v>0</v>
      </c>
      <c r="EQ37" s="518">
        <f t="shared" si="62"/>
        <v>0</v>
      </c>
      <c r="ER37" s="518">
        <f t="shared" si="62"/>
        <v>2.9211295034079843E-3</v>
      </c>
      <c r="ES37" s="518">
        <f t="shared" si="62"/>
        <v>3.8255547054322878E-3</v>
      </c>
      <c r="ET37" s="518">
        <f t="shared" si="62"/>
        <v>1.8083182640144665E-3</v>
      </c>
      <c r="EU37" s="521">
        <f t="shared" si="62"/>
        <v>2.3408239700374533E-3</v>
      </c>
      <c r="EV37" s="518">
        <f>EV36/EV$9</f>
        <v>2.0325203252032522E-3</v>
      </c>
      <c r="EW37" s="518">
        <f>EW36/EW$9</f>
        <v>2.4549918166939444E-3</v>
      </c>
      <c r="EX37" s="518">
        <f>EX36/EX$9</f>
        <v>1.2172854534388314E-3</v>
      </c>
      <c r="EY37" s="518">
        <f>EY36/EY$9</f>
        <v>0</v>
      </c>
      <c r="EZ37" s="521">
        <f>EZ36/EZ$9</f>
        <v>1.3135672734096453E-3</v>
      </c>
      <c r="FA37" s="518">
        <f t="shared" ref="FA37:FJ37" si="63">FA36/FA$9</f>
        <v>6.0716454159077113E-4</v>
      </c>
      <c r="FB37" s="518">
        <f t="shared" si="63"/>
        <v>5.6947608200455578E-4</v>
      </c>
      <c r="FC37" s="518">
        <f t="shared" si="63"/>
        <v>0</v>
      </c>
      <c r="FD37" s="518">
        <f t="shared" si="63"/>
        <v>0</v>
      </c>
      <c r="FE37" s="521">
        <f t="shared" si="63"/>
        <v>3.088803088803089E-4</v>
      </c>
      <c r="FF37" s="518">
        <f t="shared" si="63"/>
        <v>7.8616352201257866E-4</v>
      </c>
      <c r="FG37" s="518">
        <f t="shared" si="63"/>
        <v>0</v>
      </c>
      <c r="FH37" s="518">
        <f t="shared" si="63"/>
        <v>-5.5524708495280405E-4</v>
      </c>
      <c r="FI37" s="518">
        <f t="shared" si="63"/>
        <v>0</v>
      </c>
      <c r="FJ37" s="521">
        <f t="shared" si="63"/>
        <v>0</v>
      </c>
      <c r="FK37" s="518">
        <f>FK36/FK$9</f>
        <v>0</v>
      </c>
      <c r="FL37" s="518">
        <f>FL36/FL$9</f>
        <v>0</v>
      </c>
      <c r="FM37" s="518">
        <f>FM36/FM$9</f>
        <v>-3.570153516601214E-4</v>
      </c>
      <c r="FN37" s="518">
        <f>FN36/FN$9</f>
        <v>0</v>
      </c>
      <c r="FO37" s="521">
        <f>FO36/FO$9</f>
        <v>-1.0242753252074157E-4</v>
      </c>
      <c r="FP37" s="518">
        <f t="shared" ref="FP37:HM37" si="64">FP36/FP$9</f>
        <v>-5.8055152394775032E-4</v>
      </c>
      <c r="FQ37" s="518">
        <f t="shared" si="64"/>
        <v>-5.1948051948051948E-4</v>
      </c>
      <c r="FR37" s="518">
        <f t="shared" si="64"/>
        <v>-4.6371435195919313E-4</v>
      </c>
      <c r="FS37" s="518">
        <f t="shared" si="64"/>
        <v>0</v>
      </c>
      <c r="FT37" s="521">
        <f t="shared" si="64"/>
        <v>-3.6509675063891932E-4</v>
      </c>
      <c r="FU37" s="518">
        <f t="shared" si="64"/>
        <v>-5.0959741803974863E-4</v>
      </c>
      <c r="FV37" s="518">
        <f t="shared" si="64"/>
        <v>-6.1068702290076337E-4</v>
      </c>
      <c r="FW37" s="518">
        <f t="shared" si="64"/>
        <v>-7.187780772686433E-4</v>
      </c>
      <c r="FX37" s="518">
        <f t="shared" si="64"/>
        <v>-5.3580996606536881E-4</v>
      </c>
      <c r="FY37" s="521">
        <f t="shared" si="64"/>
        <v>-5.9319520359306811E-4</v>
      </c>
      <c r="FZ37" s="518">
        <f t="shared" si="64"/>
        <v>-1.8681113394358303E-4</v>
      </c>
      <c r="GA37" s="518">
        <f t="shared" si="64"/>
        <v>-1.1196118678857996E-3</v>
      </c>
      <c r="GB37" s="518">
        <f t="shared" si="64"/>
        <v>-5.1724137931034484E-4</v>
      </c>
      <c r="GC37" s="518">
        <f t="shared" si="64"/>
        <v>-9.727626459143969E-4</v>
      </c>
      <c r="GD37" s="521">
        <f t="shared" si="64"/>
        <v>-7.0546737213403885E-4</v>
      </c>
      <c r="GE37" s="518">
        <f t="shared" si="64"/>
        <v>-1.2790060295998539E-3</v>
      </c>
      <c r="GF37" s="518">
        <f t="shared" si="64"/>
        <v>-1.1996572407883461E-3</v>
      </c>
      <c r="GG37" s="518">
        <f t="shared" si="64"/>
        <v>-1.0265434814488929E-3</v>
      </c>
      <c r="GH37" s="518">
        <f t="shared" si="64"/>
        <v>-1.5669887699138157E-3</v>
      </c>
      <c r="GI37" s="521">
        <f t="shared" si="64"/>
        <v>-1.2798138452588714E-3</v>
      </c>
      <c r="GJ37" s="518">
        <f t="shared" si="64"/>
        <v>-9.4111320247378322E-4</v>
      </c>
      <c r="GK37" s="518">
        <f t="shared" si="64"/>
        <v>-1.0409889394925179E-3</v>
      </c>
      <c r="GL37" s="518">
        <f t="shared" si="64"/>
        <v>-1.081548777849881E-3</v>
      </c>
      <c r="GM37" s="518">
        <f t="shared" si="64"/>
        <v>-9.7370983446932815E-5</v>
      </c>
      <c r="GN37" s="521">
        <f t="shared" si="64"/>
        <v>-7.5059903576893102E-4</v>
      </c>
      <c r="GO37" s="518">
        <f t="shared" si="64"/>
        <v>-5.8519457719691801E-4</v>
      </c>
      <c r="GP37" s="518">
        <f t="shared" si="64"/>
        <v>0</v>
      </c>
      <c r="GQ37" s="518">
        <f t="shared" si="64"/>
        <v>0</v>
      </c>
      <c r="GR37" s="518">
        <f t="shared" si="64"/>
        <v>0</v>
      </c>
      <c r="GS37" s="521">
        <f t="shared" si="64"/>
        <v>-1.2081985940504384E-4</v>
      </c>
      <c r="GT37" s="518">
        <f t="shared" si="64"/>
        <v>0</v>
      </c>
      <c r="GU37" s="518">
        <f t="shared" si="64"/>
        <v>0</v>
      </c>
      <c r="GV37" s="518">
        <f t="shared" si="64"/>
        <v>0</v>
      </c>
      <c r="GW37" s="518">
        <f t="shared" si="64"/>
        <v>0</v>
      </c>
      <c r="GX37" s="521">
        <f t="shared" si="64"/>
        <v>0</v>
      </c>
      <c r="GY37" s="518">
        <f t="shared" si="64"/>
        <v>0</v>
      </c>
      <c r="GZ37" s="518">
        <f t="shared" si="64"/>
        <v>0</v>
      </c>
      <c r="HA37" s="518">
        <f t="shared" si="64"/>
        <v>0</v>
      </c>
      <c r="HB37" s="518">
        <f t="shared" si="64"/>
        <v>0</v>
      </c>
      <c r="HC37" s="521">
        <f t="shared" si="64"/>
        <v>0</v>
      </c>
      <c r="HD37" s="518">
        <f t="shared" si="64"/>
        <v>0</v>
      </c>
      <c r="HE37" s="518">
        <f t="shared" si="64"/>
        <v>0</v>
      </c>
      <c r="HF37" s="518">
        <f t="shared" si="64"/>
        <v>0</v>
      </c>
      <c r="HG37" s="518">
        <f t="shared" si="64"/>
        <v>0</v>
      </c>
      <c r="HH37" s="521">
        <f t="shared" si="64"/>
        <v>0</v>
      </c>
      <c r="HI37" s="518">
        <f t="shared" si="64"/>
        <v>0</v>
      </c>
      <c r="HJ37" s="518">
        <f t="shared" si="64"/>
        <v>0</v>
      </c>
      <c r="HK37" s="518">
        <f t="shared" si="64"/>
        <v>0</v>
      </c>
      <c r="HL37" s="518">
        <f t="shared" si="64"/>
        <v>0</v>
      </c>
      <c r="HM37" s="521">
        <f t="shared" si="64"/>
        <v>0</v>
      </c>
      <c r="HN37" s="521"/>
      <c r="HO37" s="521"/>
      <c r="HP37" s="453"/>
      <c r="HQ37" s="453"/>
      <c r="HR37" s="453"/>
      <c r="HS37" s="453"/>
      <c r="HT37" s="453"/>
      <c r="HU37" s="453"/>
      <c r="HV37" s="453"/>
      <c r="HW37" s="453"/>
      <c r="HX37" s="453"/>
      <c r="HY37" s="453"/>
      <c r="HZ37" s="453"/>
    </row>
    <row r="38" spans="1:234" s="509" customFormat="1" ht="15" customHeight="1">
      <c r="A38" s="522" t="s">
        <v>380</v>
      </c>
      <c r="L38" s="518"/>
      <c r="M38" s="518"/>
      <c r="N38" s="518"/>
      <c r="O38" s="518"/>
      <c r="P38" s="521"/>
      <c r="Q38" s="518"/>
      <c r="R38" s="518"/>
      <c r="S38" s="518"/>
      <c r="T38" s="518"/>
      <c r="U38" s="521"/>
      <c r="V38" s="518"/>
      <c r="W38" s="518"/>
      <c r="X38" s="518"/>
      <c r="Y38" s="518"/>
      <c r="Z38" s="521"/>
      <c r="AA38" s="518"/>
      <c r="AB38" s="518"/>
      <c r="AC38" s="518"/>
      <c r="AD38" s="518"/>
      <c r="AE38" s="521"/>
      <c r="AF38" s="261">
        <v>0</v>
      </c>
      <c r="AG38" s="261">
        <v>0</v>
      </c>
      <c r="AH38" s="261">
        <v>0</v>
      </c>
      <c r="AI38" s="261">
        <v>0</v>
      </c>
      <c r="AJ38" s="262">
        <f>SUM(AF38:AI38)</f>
        <v>0</v>
      </c>
      <c r="AK38" s="261">
        <v>0</v>
      </c>
      <c r="AL38" s="261">
        <v>0</v>
      </c>
      <c r="AM38" s="261">
        <v>0</v>
      </c>
      <c r="AN38" s="261">
        <v>0</v>
      </c>
      <c r="AO38" s="262">
        <f>SUM(AK38:AN38)</f>
        <v>0</v>
      </c>
      <c r="AP38" s="261">
        <v>0</v>
      </c>
      <c r="AQ38" s="261">
        <v>0</v>
      </c>
      <c r="AR38" s="261">
        <v>0</v>
      </c>
      <c r="AS38" s="261">
        <v>0</v>
      </c>
      <c r="AT38" s="262">
        <f>SUM(AP38:AS38)</f>
        <v>0</v>
      </c>
      <c r="AU38" s="261">
        <v>0</v>
      </c>
      <c r="AV38" s="261">
        <v>0</v>
      </c>
      <c r="AW38" s="261">
        <v>0</v>
      </c>
      <c r="AX38" s="261">
        <v>0</v>
      </c>
      <c r="AY38" s="262">
        <f>SUM(AU38:AX38)</f>
        <v>0</v>
      </c>
      <c r="AZ38" s="261">
        <v>0</v>
      </c>
      <c r="BA38" s="261">
        <v>0</v>
      </c>
      <c r="BB38" s="261">
        <v>0</v>
      </c>
      <c r="BC38" s="261">
        <v>0</v>
      </c>
      <c r="BD38" s="262">
        <f>SUM(AZ38:BC38)</f>
        <v>0</v>
      </c>
      <c r="BE38" s="261">
        <v>0</v>
      </c>
      <c r="BF38" s="261">
        <v>0</v>
      </c>
      <c r="BG38" s="261">
        <v>0</v>
      </c>
      <c r="BH38" s="261">
        <v>0</v>
      </c>
      <c r="BI38" s="262">
        <f>SUM(BE38:BH38)</f>
        <v>0</v>
      </c>
      <c r="BJ38" s="261">
        <v>0</v>
      </c>
      <c r="BK38" s="261">
        <v>0</v>
      </c>
      <c r="BL38" s="261">
        <v>0</v>
      </c>
      <c r="BM38" s="261">
        <v>0</v>
      </c>
      <c r="BN38" s="262">
        <f>SUM(BJ38:BM38)</f>
        <v>0</v>
      </c>
      <c r="BO38" s="261">
        <v>0</v>
      </c>
      <c r="BP38" s="261">
        <v>0</v>
      </c>
      <c r="BQ38" s="261">
        <v>0</v>
      </c>
      <c r="BR38" s="261">
        <v>0</v>
      </c>
      <c r="BS38" s="262">
        <f>SUM(BO38:BR38)</f>
        <v>0</v>
      </c>
      <c r="BT38" s="261">
        <v>0</v>
      </c>
      <c r="BU38" s="261">
        <v>0</v>
      </c>
      <c r="BV38" s="261">
        <v>0</v>
      </c>
      <c r="BW38" s="261">
        <v>0</v>
      </c>
      <c r="BX38" s="262">
        <f>SUM(BT38:BW38)</f>
        <v>0</v>
      </c>
      <c r="BY38" s="261">
        <v>0</v>
      </c>
      <c r="BZ38" s="261">
        <v>0</v>
      </c>
      <c r="CA38" s="261">
        <v>0</v>
      </c>
      <c r="CB38" s="261">
        <v>0</v>
      </c>
      <c r="CC38" s="262">
        <f>SUM(BY38:CB38)</f>
        <v>0</v>
      </c>
      <c r="CD38" s="261">
        <v>0</v>
      </c>
      <c r="CE38" s="261">
        <v>0</v>
      </c>
      <c r="CF38" s="261">
        <v>0</v>
      </c>
      <c r="CG38" s="261">
        <v>0</v>
      </c>
      <c r="CH38" s="262">
        <f>SUM(CD38:CG38)</f>
        <v>0</v>
      </c>
      <c r="CI38" s="261">
        <v>0</v>
      </c>
      <c r="CJ38" s="261">
        <v>0</v>
      </c>
      <c r="CK38" s="261">
        <v>0</v>
      </c>
      <c r="CL38" s="261">
        <v>0</v>
      </c>
      <c r="CM38" s="262">
        <f>SUM(CI38:CL38)</f>
        <v>0</v>
      </c>
      <c r="CN38" s="261">
        <v>0</v>
      </c>
      <c r="CO38" s="261">
        <v>0</v>
      </c>
      <c r="CP38" s="261">
        <v>0</v>
      </c>
      <c r="CQ38" s="261">
        <v>0</v>
      </c>
      <c r="CR38" s="262">
        <f>SUM(CN38:CQ38)</f>
        <v>0</v>
      </c>
      <c r="CS38" s="261">
        <v>0</v>
      </c>
      <c r="CT38" s="261">
        <v>0</v>
      </c>
      <c r="CU38" s="261">
        <v>0</v>
      </c>
      <c r="CV38" s="261">
        <v>0</v>
      </c>
      <c r="CW38" s="262">
        <f>SUM(CS38:CV38)</f>
        <v>0</v>
      </c>
      <c r="CX38" s="261">
        <v>0</v>
      </c>
      <c r="CY38" s="261">
        <v>0</v>
      </c>
      <c r="CZ38" s="261">
        <v>0</v>
      </c>
      <c r="DA38" s="261">
        <v>0</v>
      </c>
      <c r="DB38" s="262">
        <f>SUM(CX38:DA38)</f>
        <v>0</v>
      </c>
      <c r="DC38" s="261">
        <v>0</v>
      </c>
      <c r="DD38" s="261">
        <v>0</v>
      </c>
      <c r="DE38" s="261">
        <v>0</v>
      </c>
      <c r="DF38" s="261">
        <v>0</v>
      </c>
      <c r="DG38" s="262">
        <f>SUM(DC38:DF38)</f>
        <v>0</v>
      </c>
      <c r="DH38" s="261">
        <v>0</v>
      </c>
      <c r="DI38" s="261">
        <v>0</v>
      </c>
      <c r="DJ38" s="261">
        <v>0</v>
      </c>
      <c r="DK38" s="261">
        <v>0</v>
      </c>
      <c r="DL38" s="262">
        <f>SUM(DH38:DK38)</f>
        <v>0</v>
      </c>
      <c r="DM38" s="261">
        <v>0</v>
      </c>
      <c r="DN38" s="261">
        <v>0</v>
      </c>
      <c r="DO38" s="261">
        <v>0</v>
      </c>
      <c r="DP38" s="261">
        <v>0</v>
      </c>
      <c r="DQ38" s="262">
        <f>SUM(DM38:DP38)</f>
        <v>0</v>
      </c>
      <c r="DR38" s="261">
        <v>0</v>
      </c>
      <c r="DS38" s="261">
        <v>0</v>
      </c>
      <c r="DT38" s="261">
        <v>0</v>
      </c>
      <c r="DU38" s="261">
        <v>0</v>
      </c>
      <c r="DV38" s="262">
        <f>SUM(DR38:DU38)</f>
        <v>0</v>
      </c>
      <c r="DW38" s="261">
        <v>0</v>
      </c>
      <c r="DX38" s="261">
        <v>0</v>
      </c>
      <c r="DY38" s="261">
        <v>0</v>
      </c>
      <c r="DZ38" s="261">
        <v>0</v>
      </c>
      <c r="EA38" s="262">
        <f>SUM(DW38:DZ38)</f>
        <v>0</v>
      </c>
      <c r="EB38" s="261">
        <v>0</v>
      </c>
      <c r="EC38" s="261">
        <v>0</v>
      </c>
      <c r="ED38" s="261">
        <v>0</v>
      </c>
      <c r="EE38" s="261">
        <v>0</v>
      </c>
      <c r="EF38" s="262">
        <f>SUM(EB38:EE38)</f>
        <v>0</v>
      </c>
      <c r="EG38" s="261">
        <v>0</v>
      </c>
      <c r="EH38" s="261">
        <v>0</v>
      </c>
      <c r="EI38" s="530">
        <v>0</v>
      </c>
      <c r="EJ38" s="530">
        <v>0</v>
      </c>
      <c r="EK38" s="262">
        <f>SUM(EG38:EJ38)</f>
        <v>0</v>
      </c>
      <c r="EL38" s="261">
        <v>0</v>
      </c>
      <c r="EM38" s="261">
        <v>0</v>
      </c>
      <c r="EN38" s="261">
        <v>0</v>
      </c>
      <c r="EO38" s="261">
        <v>0</v>
      </c>
      <c r="EP38" s="262">
        <f>SUM(EL38:EO38)</f>
        <v>0</v>
      </c>
      <c r="EQ38" s="261">
        <v>0</v>
      </c>
      <c r="ER38" s="261">
        <v>0</v>
      </c>
      <c r="ES38" s="261">
        <v>0</v>
      </c>
      <c r="ET38" s="261">
        <v>0</v>
      </c>
      <c r="EU38" s="262">
        <f>SUM(EQ38:ET38)</f>
        <v>0</v>
      </c>
      <c r="EV38" s="261">
        <v>0</v>
      </c>
      <c r="EW38" s="261">
        <v>0</v>
      </c>
      <c r="EX38" s="261">
        <v>0</v>
      </c>
      <c r="EY38" s="261">
        <v>0</v>
      </c>
      <c r="EZ38" s="262">
        <f>SUM(EV38:EY38)</f>
        <v>0</v>
      </c>
      <c r="FA38" s="261">
        <v>0</v>
      </c>
      <c r="FB38" s="261">
        <v>0</v>
      </c>
      <c r="FC38" s="261">
        <v>0</v>
      </c>
      <c r="FD38" s="261">
        <v>0</v>
      </c>
      <c r="FE38" s="262">
        <f>SUM(FA38:FD38)</f>
        <v>0</v>
      </c>
      <c r="FF38" s="261">
        <v>0</v>
      </c>
      <c r="FG38" s="261">
        <v>0</v>
      </c>
      <c r="FH38" s="261">
        <v>0</v>
      </c>
      <c r="FI38" s="261">
        <v>0</v>
      </c>
      <c r="FJ38" s="262">
        <f>SUM(FF38:FI38)</f>
        <v>0</v>
      </c>
      <c r="FK38" s="261">
        <v>0</v>
      </c>
      <c r="FL38" s="261">
        <v>0</v>
      </c>
      <c r="FM38" s="261">
        <v>0</v>
      </c>
      <c r="FN38" s="261">
        <v>0</v>
      </c>
      <c r="FO38" s="262">
        <f>SUM(FK38:FN38)</f>
        <v>0</v>
      </c>
      <c r="FP38" s="261">
        <v>0</v>
      </c>
      <c r="FQ38" s="261">
        <v>0</v>
      </c>
      <c r="FR38" s="261">
        <v>0</v>
      </c>
      <c r="FS38" s="261">
        <v>0</v>
      </c>
      <c r="FT38" s="262">
        <f>SUM(FP38:FS38)</f>
        <v>0</v>
      </c>
      <c r="FU38" s="261">
        <v>0</v>
      </c>
      <c r="FV38" s="261">
        <v>0</v>
      </c>
      <c r="FW38" s="261">
        <v>0</v>
      </c>
      <c r="FX38" s="261">
        <v>0</v>
      </c>
      <c r="FY38" s="262">
        <f>SUM(FU38:FX38)</f>
        <v>0</v>
      </c>
      <c r="FZ38" s="261">
        <v>0</v>
      </c>
      <c r="GA38" s="261">
        <v>0</v>
      </c>
      <c r="GB38" s="261">
        <v>0</v>
      </c>
      <c r="GC38" s="261">
        <v>0</v>
      </c>
      <c r="GD38" s="262">
        <f>SUM(FZ38:GC38)</f>
        <v>0</v>
      </c>
      <c r="GE38" s="261">
        <v>0</v>
      </c>
      <c r="GF38" s="261">
        <v>0</v>
      </c>
      <c r="GG38" s="261">
        <v>0</v>
      </c>
      <c r="GH38" s="261">
        <v>0</v>
      </c>
      <c r="GI38" s="262">
        <f>SUM(GE38:GH38)</f>
        <v>0</v>
      </c>
      <c r="GJ38" s="261">
        <v>0</v>
      </c>
      <c r="GK38" s="261">
        <v>0</v>
      </c>
      <c r="GL38" s="261">
        <v>0</v>
      </c>
      <c r="GM38" s="261">
        <v>0</v>
      </c>
      <c r="GN38" s="262">
        <f>SUM(GJ38:GM38)</f>
        <v>0</v>
      </c>
      <c r="GO38" s="261">
        <v>0</v>
      </c>
      <c r="GP38" s="261">
        <v>0</v>
      </c>
      <c r="GQ38" s="261">
        <v>0</v>
      </c>
      <c r="GR38" s="261">
        <v>0</v>
      </c>
      <c r="GS38" s="262">
        <f>SUM(GO38:GR38)</f>
        <v>0</v>
      </c>
      <c r="GT38" s="261">
        <v>0</v>
      </c>
      <c r="GU38" s="261">
        <v>0</v>
      </c>
      <c r="GV38" s="261">
        <v>0</v>
      </c>
      <c r="GW38" s="261">
        <v>0</v>
      </c>
      <c r="GX38" s="262">
        <f>SUM(GT38:GW38)</f>
        <v>0</v>
      </c>
      <c r="GY38" s="261">
        <v>0</v>
      </c>
      <c r="GZ38" s="261">
        <v>0</v>
      </c>
      <c r="HA38" s="261">
        <v>0</v>
      </c>
      <c r="HB38" s="261">
        <v>0</v>
      </c>
      <c r="HC38" s="262">
        <f>SUM(GY38:HB38)</f>
        <v>0</v>
      </c>
      <c r="HD38" s="261">
        <v>0</v>
      </c>
      <c r="HE38" s="261">
        <v>0</v>
      </c>
      <c r="HF38" s="261">
        <v>0</v>
      </c>
      <c r="HG38" s="261">
        <v>0</v>
      </c>
      <c r="HH38" s="262">
        <f>SUM(HD38:HG38)</f>
        <v>0</v>
      </c>
      <c r="HI38" s="261">
        <v>0</v>
      </c>
      <c r="HJ38" s="261">
        <v>0</v>
      </c>
      <c r="HK38" s="261">
        <v>0</v>
      </c>
      <c r="HL38" s="261">
        <v>0</v>
      </c>
      <c r="HM38" s="262">
        <f>SUM(HI38:HL38)</f>
        <v>0</v>
      </c>
      <c r="HN38" s="262"/>
      <c r="HO38" s="263"/>
      <c r="HP38" s="453"/>
      <c r="HQ38" s="453"/>
      <c r="HR38" s="453"/>
      <c r="HS38" s="453"/>
      <c r="HT38" s="453"/>
      <c r="HU38" s="453"/>
      <c r="HV38" s="453"/>
      <c r="HW38" s="453"/>
      <c r="HX38" s="453"/>
      <c r="HY38" s="453"/>
      <c r="HZ38" s="453"/>
    </row>
    <row r="39" spans="1:234" s="509" customFormat="1" ht="15" customHeight="1">
      <c r="A39" s="517" t="s">
        <v>202</v>
      </c>
      <c r="L39" s="518"/>
      <c r="M39" s="518"/>
      <c r="N39" s="518"/>
      <c r="O39" s="518"/>
      <c r="P39" s="521"/>
      <c r="Q39" s="518"/>
      <c r="R39" s="518"/>
      <c r="S39" s="518"/>
      <c r="T39" s="518"/>
      <c r="U39" s="521"/>
      <c r="V39" s="518"/>
      <c r="W39" s="518"/>
      <c r="X39" s="518"/>
      <c r="Y39" s="518"/>
      <c r="Z39" s="521"/>
      <c r="AA39" s="518"/>
      <c r="AB39" s="518"/>
      <c r="AC39" s="518"/>
      <c r="AD39" s="518"/>
      <c r="AE39" s="521"/>
      <c r="AF39" s="518">
        <f t="shared" ref="AF39:CQ39" si="65">AF38/AF$9</f>
        <v>0</v>
      </c>
      <c r="AG39" s="518">
        <f t="shared" si="65"/>
        <v>0</v>
      </c>
      <c r="AH39" s="518">
        <f t="shared" si="65"/>
        <v>0</v>
      </c>
      <c r="AI39" s="518">
        <f t="shared" si="65"/>
        <v>0</v>
      </c>
      <c r="AJ39" s="521">
        <f t="shared" si="65"/>
        <v>0</v>
      </c>
      <c r="AK39" s="518">
        <f t="shared" si="65"/>
        <v>0</v>
      </c>
      <c r="AL39" s="518">
        <f t="shared" si="65"/>
        <v>0</v>
      </c>
      <c r="AM39" s="518">
        <f t="shared" si="65"/>
        <v>0</v>
      </c>
      <c r="AN39" s="518">
        <f t="shared" si="65"/>
        <v>0</v>
      </c>
      <c r="AO39" s="521">
        <f t="shared" si="65"/>
        <v>0</v>
      </c>
      <c r="AP39" s="518">
        <f t="shared" si="65"/>
        <v>0</v>
      </c>
      <c r="AQ39" s="518">
        <f t="shared" si="65"/>
        <v>0</v>
      </c>
      <c r="AR39" s="518">
        <f t="shared" si="65"/>
        <v>0</v>
      </c>
      <c r="AS39" s="518">
        <f t="shared" si="65"/>
        <v>0</v>
      </c>
      <c r="AT39" s="521">
        <f t="shared" si="65"/>
        <v>0</v>
      </c>
      <c r="AU39" s="518">
        <f t="shared" si="65"/>
        <v>0</v>
      </c>
      <c r="AV39" s="518">
        <f t="shared" si="65"/>
        <v>0</v>
      </c>
      <c r="AW39" s="518">
        <f t="shared" si="65"/>
        <v>0</v>
      </c>
      <c r="AX39" s="518">
        <f t="shared" si="65"/>
        <v>0</v>
      </c>
      <c r="AY39" s="521">
        <f t="shared" si="65"/>
        <v>0</v>
      </c>
      <c r="AZ39" s="518">
        <f t="shared" si="65"/>
        <v>0</v>
      </c>
      <c r="BA39" s="518">
        <f t="shared" si="65"/>
        <v>0</v>
      </c>
      <c r="BB39" s="518">
        <f t="shared" si="65"/>
        <v>0</v>
      </c>
      <c r="BC39" s="518">
        <f t="shared" si="65"/>
        <v>0</v>
      </c>
      <c r="BD39" s="521">
        <f t="shared" si="65"/>
        <v>0</v>
      </c>
      <c r="BE39" s="518">
        <f t="shared" si="65"/>
        <v>0</v>
      </c>
      <c r="BF39" s="518">
        <f t="shared" si="65"/>
        <v>0</v>
      </c>
      <c r="BG39" s="518">
        <f t="shared" si="65"/>
        <v>0</v>
      </c>
      <c r="BH39" s="518">
        <f t="shared" si="65"/>
        <v>0</v>
      </c>
      <c r="BI39" s="521">
        <f t="shared" si="65"/>
        <v>0</v>
      </c>
      <c r="BJ39" s="518">
        <f t="shared" si="65"/>
        <v>0</v>
      </c>
      <c r="BK39" s="518">
        <f t="shared" si="65"/>
        <v>0</v>
      </c>
      <c r="BL39" s="518">
        <f t="shared" si="65"/>
        <v>0</v>
      </c>
      <c r="BM39" s="518">
        <f t="shared" si="65"/>
        <v>0</v>
      </c>
      <c r="BN39" s="521">
        <f t="shared" si="65"/>
        <v>0</v>
      </c>
      <c r="BO39" s="518">
        <f t="shared" si="65"/>
        <v>0</v>
      </c>
      <c r="BP39" s="518">
        <f t="shared" si="65"/>
        <v>0</v>
      </c>
      <c r="BQ39" s="518">
        <f t="shared" si="65"/>
        <v>0</v>
      </c>
      <c r="BR39" s="518">
        <f t="shared" si="65"/>
        <v>0</v>
      </c>
      <c r="BS39" s="521">
        <f t="shared" si="65"/>
        <v>0</v>
      </c>
      <c r="BT39" s="518">
        <f t="shared" si="65"/>
        <v>0</v>
      </c>
      <c r="BU39" s="518">
        <f t="shared" si="65"/>
        <v>0</v>
      </c>
      <c r="BV39" s="518">
        <f t="shared" si="65"/>
        <v>0</v>
      </c>
      <c r="BW39" s="518">
        <f t="shared" si="65"/>
        <v>0</v>
      </c>
      <c r="BX39" s="521">
        <f t="shared" si="65"/>
        <v>0</v>
      </c>
      <c r="BY39" s="518">
        <f t="shared" si="65"/>
        <v>0</v>
      </c>
      <c r="BZ39" s="518">
        <f t="shared" si="65"/>
        <v>0</v>
      </c>
      <c r="CA39" s="518">
        <f t="shared" si="65"/>
        <v>0</v>
      </c>
      <c r="CB39" s="518">
        <f t="shared" si="65"/>
        <v>0</v>
      </c>
      <c r="CC39" s="521">
        <f t="shared" si="65"/>
        <v>0</v>
      </c>
      <c r="CD39" s="518">
        <f t="shared" si="65"/>
        <v>0</v>
      </c>
      <c r="CE39" s="518">
        <f t="shared" si="65"/>
        <v>0</v>
      </c>
      <c r="CF39" s="518">
        <f t="shared" si="65"/>
        <v>0</v>
      </c>
      <c r="CG39" s="518">
        <f t="shared" si="65"/>
        <v>0</v>
      </c>
      <c r="CH39" s="521">
        <f t="shared" si="65"/>
        <v>0</v>
      </c>
      <c r="CI39" s="518">
        <f t="shared" si="65"/>
        <v>0</v>
      </c>
      <c r="CJ39" s="518">
        <f t="shared" si="65"/>
        <v>0</v>
      </c>
      <c r="CK39" s="518">
        <f t="shared" si="65"/>
        <v>0</v>
      </c>
      <c r="CL39" s="518">
        <f t="shared" si="65"/>
        <v>0</v>
      </c>
      <c r="CM39" s="521">
        <f t="shared" si="65"/>
        <v>0</v>
      </c>
      <c r="CN39" s="518">
        <f t="shared" si="65"/>
        <v>0</v>
      </c>
      <c r="CO39" s="518">
        <f t="shared" si="65"/>
        <v>0</v>
      </c>
      <c r="CP39" s="518">
        <f t="shared" si="65"/>
        <v>0</v>
      </c>
      <c r="CQ39" s="518">
        <f t="shared" si="65"/>
        <v>0</v>
      </c>
      <c r="CR39" s="521">
        <f t="shared" ref="CR39:DV39" si="66">CR38/CR$9</f>
        <v>0</v>
      </c>
      <c r="CS39" s="518">
        <f t="shared" si="66"/>
        <v>0</v>
      </c>
      <c r="CT39" s="518">
        <f t="shared" si="66"/>
        <v>0</v>
      </c>
      <c r="CU39" s="518">
        <f t="shared" si="66"/>
        <v>0</v>
      </c>
      <c r="CV39" s="518">
        <f t="shared" si="66"/>
        <v>0</v>
      </c>
      <c r="CW39" s="521">
        <f t="shared" si="66"/>
        <v>0</v>
      </c>
      <c r="CX39" s="518">
        <f t="shared" si="66"/>
        <v>0</v>
      </c>
      <c r="CY39" s="518">
        <f t="shared" si="66"/>
        <v>0</v>
      </c>
      <c r="CZ39" s="518">
        <f t="shared" si="66"/>
        <v>0</v>
      </c>
      <c r="DA39" s="518">
        <f t="shared" si="66"/>
        <v>0</v>
      </c>
      <c r="DB39" s="521">
        <f t="shared" si="66"/>
        <v>0</v>
      </c>
      <c r="DC39" s="518">
        <f t="shared" si="66"/>
        <v>0</v>
      </c>
      <c r="DD39" s="518">
        <f t="shared" si="66"/>
        <v>0</v>
      </c>
      <c r="DE39" s="518">
        <f t="shared" si="66"/>
        <v>0</v>
      </c>
      <c r="DF39" s="518">
        <f t="shared" si="66"/>
        <v>0</v>
      </c>
      <c r="DG39" s="521">
        <f t="shared" si="66"/>
        <v>0</v>
      </c>
      <c r="DH39" s="518">
        <f t="shared" si="66"/>
        <v>0</v>
      </c>
      <c r="DI39" s="518">
        <f t="shared" si="66"/>
        <v>0</v>
      </c>
      <c r="DJ39" s="518">
        <f t="shared" si="66"/>
        <v>0</v>
      </c>
      <c r="DK39" s="518">
        <f t="shared" si="66"/>
        <v>0</v>
      </c>
      <c r="DL39" s="521">
        <f t="shared" si="66"/>
        <v>0</v>
      </c>
      <c r="DM39" s="518">
        <f t="shared" si="66"/>
        <v>0</v>
      </c>
      <c r="DN39" s="518">
        <f t="shared" si="66"/>
        <v>0</v>
      </c>
      <c r="DO39" s="518">
        <f t="shared" si="66"/>
        <v>0</v>
      </c>
      <c r="DP39" s="518">
        <f>DP38/DP$9</f>
        <v>0</v>
      </c>
      <c r="DQ39" s="521">
        <f t="shared" si="66"/>
        <v>0</v>
      </c>
      <c r="DR39" s="518">
        <f>DR38/DR$9</f>
        <v>0</v>
      </c>
      <c r="DS39" s="518">
        <f>DS38/DS$9</f>
        <v>0</v>
      </c>
      <c r="DT39" s="518">
        <f>DT38/DT$9</f>
        <v>0</v>
      </c>
      <c r="DU39" s="518">
        <f>DU38/DU$9</f>
        <v>0</v>
      </c>
      <c r="DV39" s="521">
        <f t="shared" si="66"/>
        <v>0</v>
      </c>
      <c r="DW39" s="518">
        <f>DW38/DW$9</f>
        <v>0</v>
      </c>
      <c r="DX39" s="518">
        <f>DX38/DX$9</f>
        <v>0</v>
      </c>
      <c r="DY39" s="518">
        <f>DY38/DY$9</f>
        <v>0</v>
      </c>
      <c r="DZ39" s="518">
        <f>DZ38/DZ$9</f>
        <v>0</v>
      </c>
      <c r="EA39" s="521">
        <f t="shared" ref="EA39:EF39" si="67">EA38/EA$9</f>
        <v>0</v>
      </c>
      <c r="EB39" s="518">
        <f t="shared" si="67"/>
        <v>0</v>
      </c>
      <c r="EC39" s="518">
        <f t="shared" si="67"/>
        <v>0</v>
      </c>
      <c r="ED39" s="518">
        <f>ED38/ED$9</f>
        <v>0</v>
      </c>
      <c r="EE39" s="518">
        <f>EE38/EE$9</f>
        <v>0</v>
      </c>
      <c r="EF39" s="521">
        <f t="shared" si="67"/>
        <v>0</v>
      </c>
      <c r="EG39" s="518">
        <f>EG38/EG$9</f>
        <v>0</v>
      </c>
      <c r="EH39" s="518">
        <f>EH38/EH$9</f>
        <v>0</v>
      </c>
      <c r="EI39" s="518">
        <f>EI38/EI$9</f>
        <v>0</v>
      </c>
      <c r="EJ39" s="518">
        <f>EJ38/EJ$9</f>
        <v>0</v>
      </c>
      <c r="EK39" s="521">
        <f t="shared" ref="EK39:EU39" si="68">EK38/EK$9</f>
        <v>0</v>
      </c>
      <c r="EL39" s="518">
        <f t="shared" si="68"/>
        <v>0</v>
      </c>
      <c r="EM39" s="518">
        <f t="shared" si="68"/>
        <v>0</v>
      </c>
      <c r="EN39" s="518">
        <f>EN38/EN$9</f>
        <v>0</v>
      </c>
      <c r="EO39" s="518">
        <f t="shared" si="68"/>
        <v>0</v>
      </c>
      <c r="EP39" s="521">
        <f t="shared" si="68"/>
        <v>0</v>
      </c>
      <c r="EQ39" s="518">
        <f t="shared" si="68"/>
        <v>0</v>
      </c>
      <c r="ER39" s="518">
        <f t="shared" si="68"/>
        <v>0</v>
      </c>
      <c r="ES39" s="518">
        <f t="shared" si="68"/>
        <v>0</v>
      </c>
      <c r="ET39" s="518">
        <f t="shared" si="68"/>
        <v>0</v>
      </c>
      <c r="EU39" s="521">
        <f t="shared" si="68"/>
        <v>0</v>
      </c>
      <c r="EV39" s="518">
        <f>EV38/EV$9</f>
        <v>0</v>
      </c>
      <c r="EW39" s="518">
        <f>EW38/EW$9</f>
        <v>0</v>
      </c>
      <c r="EX39" s="518">
        <f>EX38/EX$9</f>
        <v>0</v>
      </c>
      <c r="EY39" s="518">
        <f>EY38/EY$9</f>
        <v>0</v>
      </c>
      <c r="EZ39" s="521">
        <f>EZ38/EZ$9</f>
        <v>0</v>
      </c>
      <c r="FA39" s="518">
        <f t="shared" ref="FA39:FJ39" si="69">FA38/FA$9</f>
        <v>0</v>
      </c>
      <c r="FB39" s="518">
        <f t="shared" si="69"/>
        <v>0</v>
      </c>
      <c r="FC39" s="518">
        <f t="shared" si="69"/>
        <v>0</v>
      </c>
      <c r="FD39" s="518">
        <f t="shared" si="69"/>
        <v>0</v>
      </c>
      <c r="FE39" s="521">
        <f t="shared" si="69"/>
        <v>0</v>
      </c>
      <c r="FF39" s="518">
        <f t="shared" si="69"/>
        <v>0</v>
      </c>
      <c r="FG39" s="518">
        <f t="shared" si="69"/>
        <v>0</v>
      </c>
      <c r="FH39" s="518">
        <f t="shared" si="69"/>
        <v>0</v>
      </c>
      <c r="FI39" s="518">
        <f t="shared" si="69"/>
        <v>0</v>
      </c>
      <c r="FJ39" s="521">
        <f t="shared" si="69"/>
        <v>0</v>
      </c>
      <c r="FK39" s="518">
        <f>FK38/FK$9</f>
        <v>0</v>
      </c>
      <c r="FL39" s="518">
        <f>FL38/FL$9</f>
        <v>0</v>
      </c>
      <c r="FM39" s="518">
        <f>FM38/FM$9</f>
        <v>0</v>
      </c>
      <c r="FN39" s="518">
        <f>FN38/FN$9</f>
        <v>0</v>
      </c>
      <c r="FO39" s="521">
        <f>FO38/FO$9</f>
        <v>0</v>
      </c>
      <c r="FP39" s="518">
        <f t="shared" ref="FP39:HM39" si="70">FP38/FP$9</f>
        <v>0</v>
      </c>
      <c r="FQ39" s="518">
        <f t="shared" si="70"/>
        <v>0</v>
      </c>
      <c r="FR39" s="518">
        <f t="shared" si="70"/>
        <v>0</v>
      </c>
      <c r="FS39" s="518">
        <f t="shared" si="70"/>
        <v>0</v>
      </c>
      <c r="FT39" s="521">
        <f t="shared" si="70"/>
        <v>0</v>
      </c>
      <c r="FU39" s="518">
        <f t="shared" si="70"/>
        <v>0</v>
      </c>
      <c r="FV39" s="518">
        <f t="shared" si="70"/>
        <v>0</v>
      </c>
      <c r="FW39" s="518">
        <f t="shared" si="70"/>
        <v>0</v>
      </c>
      <c r="FX39" s="518">
        <f t="shared" si="70"/>
        <v>0</v>
      </c>
      <c r="FY39" s="521">
        <f t="shared" si="70"/>
        <v>0</v>
      </c>
      <c r="FZ39" s="518">
        <f t="shared" si="70"/>
        <v>0</v>
      </c>
      <c r="GA39" s="518">
        <f t="shared" si="70"/>
        <v>0</v>
      </c>
      <c r="GB39" s="518">
        <f t="shared" si="70"/>
        <v>0</v>
      </c>
      <c r="GC39" s="518">
        <f t="shared" si="70"/>
        <v>0</v>
      </c>
      <c r="GD39" s="521">
        <f t="shared" si="70"/>
        <v>0</v>
      </c>
      <c r="GE39" s="518">
        <f t="shared" si="70"/>
        <v>0</v>
      </c>
      <c r="GF39" s="518">
        <f t="shared" si="70"/>
        <v>0</v>
      </c>
      <c r="GG39" s="518">
        <f t="shared" si="70"/>
        <v>0</v>
      </c>
      <c r="GH39" s="518">
        <f t="shared" si="70"/>
        <v>0</v>
      </c>
      <c r="GI39" s="521">
        <f t="shared" si="70"/>
        <v>0</v>
      </c>
      <c r="GJ39" s="518">
        <f t="shared" si="70"/>
        <v>0</v>
      </c>
      <c r="GK39" s="518">
        <f t="shared" si="70"/>
        <v>0</v>
      </c>
      <c r="GL39" s="518">
        <f t="shared" si="70"/>
        <v>0</v>
      </c>
      <c r="GM39" s="518">
        <f t="shared" si="70"/>
        <v>0</v>
      </c>
      <c r="GN39" s="521">
        <f t="shared" si="70"/>
        <v>0</v>
      </c>
      <c r="GO39" s="518">
        <f t="shared" si="70"/>
        <v>0</v>
      </c>
      <c r="GP39" s="518">
        <f t="shared" si="70"/>
        <v>0</v>
      </c>
      <c r="GQ39" s="518">
        <f t="shared" si="70"/>
        <v>0</v>
      </c>
      <c r="GR39" s="518">
        <f t="shared" si="70"/>
        <v>0</v>
      </c>
      <c r="GS39" s="521">
        <f t="shared" si="70"/>
        <v>0</v>
      </c>
      <c r="GT39" s="518">
        <f t="shared" si="70"/>
        <v>0</v>
      </c>
      <c r="GU39" s="518">
        <f t="shared" si="70"/>
        <v>0</v>
      </c>
      <c r="GV39" s="518">
        <f t="shared" si="70"/>
        <v>0</v>
      </c>
      <c r="GW39" s="518">
        <f t="shared" si="70"/>
        <v>0</v>
      </c>
      <c r="GX39" s="521">
        <f t="shared" si="70"/>
        <v>0</v>
      </c>
      <c r="GY39" s="518">
        <f t="shared" si="70"/>
        <v>0</v>
      </c>
      <c r="GZ39" s="518">
        <f t="shared" si="70"/>
        <v>0</v>
      </c>
      <c r="HA39" s="518">
        <f t="shared" si="70"/>
        <v>0</v>
      </c>
      <c r="HB39" s="518">
        <f t="shared" si="70"/>
        <v>0</v>
      </c>
      <c r="HC39" s="521">
        <f t="shared" si="70"/>
        <v>0</v>
      </c>
      <c r="HD39" s="518">
        <f t="shared" si="70"/>
        <v>0</v>
      </c>
      <c r="HE39" s="518">
        <f t="shared" si="70"/>
        <v>0</v>
      </c>
      <c r="HF39" s="518">
        <f t="shared" si="70"/>
        <v>0</v>
      </c>
      <c r="HG39" s="518">
        <f t="shared" si="70"/>
        <v>0</v>
      </c>
      <c r="HH39" s="521">
        <f t="shared" si="70"/>
        <v>0</v>
      </c>
      <c r="HI39" s="518">
        <f t="shared" si="70"/>
        <v>0</v>
      </c>
      <c r="HJ39" s="518">
        <f t="shared" si="70"/>
        <v>0</v>
      </c>
      <c r="HK39" s="518">
        <f t="shared" si="70"/>
        <v>0</v>
      </c>
      <c r="HL39" s="518">
        <f t="shared" si="70"/>
        <v>0</v>
      </c>
      <c r="HM39" s="521">
        <f t="shared" si="70"/>
        <v>0</v>
      </c>
      <c r="HN39" s="521"/>
      <c r="HO39" s="521"/>
      <c r="HP39" s="453"/>
      <c r="HQ39" s="453"/>
      <c r="HR39" s="453"/>
      <c r="HS39" s="453"/>
      <c r="HT39" s="453"/>
      <c r="HU39" s="453"/>
      <c r="HV39" s="453"/>
      <c r="HW39" s="453"/>
      <c r="HX39" s="453"/>
      <c r="HY39" s="453"/>
      <c r="HZ39" s="453"/>
    </row>
    <row r="40" spans="1:234" s="509" customFormat="1" ht="15" customHeight="1">
      <c r="A40" s="522" t="s">
        <v>381</v>
      </c>
      <c r="L40" s="518"/>
      <c r="M40" s="518"/>
      <c r="N40" s="518"/>
      <c r="O40" s="518"/>
      <c r="P40" s="521"/>
      <c r="Q40" s="518"/>
      <c r="R40" s="518"/>
      <c r="S40" s="518"/>
      <c r="T40" s="518"/>
      <c r="U40" s="521"/>
      <c r="V40" s="518"/>
      <c r="W40" s="518"/>
      <c r="X40" s="518"/>
      <c r="Y40" s="518"/>
      <c r="Z40" s="521"/>
      <c r="AA40" s="518"/>
      <c r="AB40" s="518"/>
      <c r="AC40" s="518"/>
      <c r="AD40" s="518"/>
      <c r="AE40" s="521"/>
      <c r="AF40" s="261">
        <v>0</v>
      </c>
      <c r="AG40" s="261">
        <v>0</v>
      </c>
      <c r="AH40" s="261">
        <v>0</v>
      </c>
      <c r="AI40" s="261">
        <v>0</v>
      </c>
      <c r="AJ40" s="262">
        <f>SUM(AF40:AI40)</f>
        <v>0</v>
      </c>
      <c r="AK40" s="261">
        <v>0</v>
      </c>
      <c r="AL40" s="261">
        <v>0</v>
      </c>
      <c r="AM40" s="261">
        <v>0</v>
      </c>
      <c r="AN40" s="261">
        <v>0</v>
      </c>
      <c r="AO40" s="262">
        <f>SUM(AK40:AN40)</f>
        <v>0</v>
      </c>
      <c r="AP40" s="261">
        <v>0</v>
      </c>
      <c r="AQ40" s="261">
        <v>0</v>
      </c>
      <c r="AR40" s="261">
        <v>0</v>
      </c>
      <c r="AS40" s="261">
        <v>0</v>
      </c>
      <c r="AT40" s="262">
        <f>SUM(AP40:AS40)</f>
        <v>0</v>
      </c>
      <c r="AU40" s="261">
        <v>0</v>
      </c>
      <c r="AV40" s="261">
        <v>0</v>
      </c>
      <c r="AW40" s="261">
        <v>0</v>
      </c>
      <c r="AX40" s="261">
        <v>0</v>
      </c>
      <c r="AY40" s="262">
        <f>SUM(AU40:AX40)</f>
        <v>0</v>
      </c>
      <c r="AZ40" s="261">
        <v>0</v>
      </c>
      <c r="BA40" s="261">
        <v>0</v>
      </c>
      <c r="BB40" s="261">
        <v>0</v>
      </c>
      <c r="BC40" s="261">
        <v>0</v>
      </c>
      <c r="BD40" s="262">
        <f>SUM(AZ40:BC40)</f>
        <v>0</v>
      </c>
      <c r="BE40" s="261">
        <v>0</v>
      </c>
      <c r="BF40" s="261">
        <v>0</v>
      </c>
      <c r="BG40" s="261">
        <v>0</v>
      </c>
      <c r="BH40" s="261">
        <v>0</v>
      </c>
      <c r="BI40" s="262">
        <f>SUM(BE40:BH40)</f>
        <v>0</v>
      </c>
      <c r="BJ40" s="261">
        <v>0</v>
      </c>
      <c r="BK40" s="261">
        <v>0</v>
      </c>
      <c r="BL40" s="261">
        <v>0</v>
      </c>
      <c r="BM40" s="261">
        <v>0</v>
      </c>
      <c r="BN40" s="262">
        <f>SUM(BJ40:BM40)</f>
        <v>0</v>
      </c>
      <c r="BO40" s="261">
        <v>0</v>
      </c>
      <c r="BP40" s="261">
        <v>0</v>
      </c>
      <c r="BQ40" s="261">
        <v>0</v>
      </c>
      <c r="BR40" s="261">
        <v>0</v>
      </c>
      <c r="BS40" s="262">
        <f>SUM(BO40:BR40)</f>
        <v>0</v>
      </c>
      <c r="BT40" s="261">
        <v>0</v>
      </c>
      <c r="BU40" s="261">
        <v>0</v>
      </c>
      <c r="BV40" s="261">
        <v>-1.0000000003174137E-3</v>
      </c>
      <c r="BW40" s="261">
        <v>0</v>
      </c>
      <c r="BX40" s="262">
        <f>SUM(BT40:BW40)</f>
        <v>-1.0000000003174137E-3</v>
      </c>
      <c r="BY40" s="261">
        <v>0</v>
      </c>
      <c r="BZ40" s="261">
        <v>0</v>
      </c>
      <c r="CA40" s="261">
        <v>0</v>
      </c>
      <c r="CB40" s="261">
        <v>0</v>
      </c>
      <c r="CC40" s="262">
        <f>SUM(BY40:CB40)</f>
        <v>0</v>
      </c>
      <c r="CD40" s="261">
        <v>0</v>
      </c>
      <c r="CE40" s="261">
        <v>0</v>
      </c>
      <c r="CF40" s="261">
        <v>0</v>
      </c>
      <c r="CG40" s="261">
        <v>0</v>
      </c>
      <c r="CH40" s="262">
        <f>SUM(CD40:CG40)</f>
        <v>0</v>
      </c>
      <c r="CI40" s="261">
        <v>0</v>
      </c>
      <c r="CJ40" s="261">
        <v>0</v>
      </c>
      <c r="CK40" s="261">
        <v>0</v>
      </c>
      <c r="CL40" s="261">
        <v>0</v>
      </c>
      <c r="CM40" s="262">
        <f>SUM(CI40:CL40)</f>
        <v>0</v>
      </c>
      <c r="CN40" s="261">
        <v>0</v>
      </c>
      <c r="CO40" s="261">
        <v>0</v>
      </c>
      <c r="CP40" s="261">
        <v>0</v>
      </c>
      <c r="CQ40" s="261">
        <v>1.00000000009004E-3</v>
      </c>
      <c r="CR40" s="262">
        <f>SUM(CN40:CQ40)</f>
        <v>1.00000000009004E-3</v>
      </c>
      <c r="CS40" s="261">
        <v>0</v>
      </c>
      <c r="CT40" s="261">
        <v>0</v>
      </c>
      <c r="CU40" s="261">
        <v>0</v>
      </c>
      <c r="CV40" s="261">
        <f>CQ40</f>
        <v>1.00000000009004E-3</v>
      </c>
      <c r="CW40" s="262">
        <f>SUM(CS40:CV40)</f>
        <v>1.00000000009004E-3</v>
      </c>
      <c r="CX40" s="261">
        <v>0</v>
      </c>
      <c r="CY40" s="261">
        <v>0</v>
      </c>
      <c r="CZ40" s="261">
        <v>0</v>
      </c>
      <c r="DA40" s="526">
        <v>-63</v>
      </c>
      <c r="DB40" s="262">
        <f>SUM(CX40:DA40)</f>
        <v>-63</v>
      </c>
      <c r="DC40" s="261">
        <v>0</v>
      </c>
      <c r="DD40" s="261">
        <v>0</v>
      </c>
      <c r="DE40" s="261">
        <v>0</v>
      </c>
      <c r="DF40" s="261">
        <v>0</v>
      </c>
      <c r="DG40" s="262">
        <f>SUM(DC40:DF40)</f>
        <v>0</v>
      </c>
      <c r="DH40" s="261">
        <v>0</v>
      </c>
      <c r="DI40" s="261">
        <v>0</v>
      </c>
      <c r="DJ40" s="261">
        <v>0</v>
      </c>
      <c r="DK40" s="261">
        <v>0</v>
      </c>
      <c r="DL40" s="262">
        <f>SUM(DH40:DK40)</f>
        <v>0</v>
      </c>
      <c r="DM40" s="261">
        <v>0</v>
      </c>
      <c r="DN40" s="261">
        <v>0</v>
      </c>
      <c r="DO40" s="261">
        <v>0</v>
      </c>
      <c r="DP40" s="261">
        <v>0</v>
      </c>
      <c r="DQ40" s="262">
        <f>SUM(DM40:DP40)</f>
        <v>0</v>
      </c>
      <c r="DR40" s="261">
        <v>-492</v>
      </c>
      <c r="DS40" s="261">
        <v>0</v>
      </c>
      <c r="DT40" s="261">
        <v>0</v>
      </c>
      <c r="DU40" s="261">
        <v>4</v>
      </c>
      <c r="DV40" s="262">
        <f>SUM(DR40:DU40)</f>
        <v>-488</v>
      </c>
      <c r="DW40" s="539">
        <v>-36</v>
      </c>
      <c r="DX40" s="261">
        <v>0</v>
      </c>
      <c r="DY40" s="261">
        <v>0</v>
      </c>
      <c r="DZ40" s="261">
        <v>0</v>
      </c>
      <c r="EA40" s="262">
        <f>SUM(DW40:DZ40)</f>
        <v>-36</v>
      </c>
      <c r="EB40" s="261">
        <v>0</v>
      </c>
      <c r="EC40" s="261">
        <v>0</v>
      </c>
      <c r="ED40" s="261">
        <v>0</v>
      </c>
      <c r="EE40" s="261">
        <v>0</v>
      </c>
      <c r="EF40" s="262">
        <f>SUM(EB40:EE40)</f>
        <v>0</v>
      </c>
      <c r="EG40" s="261">
        <v>0</v>
      </c>
      <c r="EH40" s="261">
        <v>0</v>
      </c>
      <c r="EI40" s="530">
        <v>0</v>
      </c>
      <c r="EJ40" s="530">
        <v>0</v>
      </c>
      <c r="EK40" s="262">
        <f>SUM(EG40:EJ40)</f>
        <v>0</v>
      </c>
      <c r="EL40" s="261">
        <v>0</v>
      </c>
      <c r="EM40" s="261">
        <v>0</v>
      </c>
      <c r="EN40" s="261">
        <v>0</v>
      </c>
      <c r="EO40" s="261">
        <v>13</v>
      </c>
      <c r="EP40" s="262">
        <f>SUM(EL40:EO40)</f>
        <v>13</v>
      </c>
      <c r="EQ40" s="261">
        <v>0</v>
      </c>
      <c r="ER40" s="261">
        <v>0</v>
      </c>
      <c r="ES40" s="261">
        <v>0</v>
      </c>
      <c r="ET40" s="261">
        <v>0</v>
      </c>
      <c r="EU40" s="262">
        <f>SUM(EQ40:ET40)</f>
        <v>0</v>
      </c>
      <c r="EV40" s="261">
        <v>0</v>
      </c>
      <c r="EW40" s="261">
        <v>0</v>
      </c>
      <c r="EX40" s="261">
        <v>0</v>
      </c>
      <c r="EY40" s="261">
        <v>0</v>
      </c>
      <c r="EZ40" s="262">
        <f>SUM(EV40:EY40)</f>
        <v>0</v>
      </c>
      <c r="FA40" s="261">
        <v>0</v>
      </c>
      <c r="FB40" s="261">
        <v>0</v>
      </c>
      <c r="FC40" s="261">
        <v>0</v>
      </c>
      <c r="FD40" s="261">
        <v>0</v>
      </c>
      <c r="FE40" s="262">
        <f>SUM(FA40:FD40)</f>
        <v>0</v>
      </c>
      <c r="FF40" s="261">
        <v>0</v>
      </c>
      <c r="FG40" s="261">
        <v>0</v>
      </c>
      <c r="FH40" s="261">
        <v>0</v>
      </c>
      <c r="FI40" s="261">
        <v>0</v>
      </c>
      <c r="FJ40" s="262">
        <f>SUM(FF40:FI40)</f>
        <v>0</v>
      </c>
      <c r="FK40" s="261">
        <v>0</v>
      </c>
      <c r="FL40" s="261">
        <v>-1</v>
      </c>
      <c r="FM40" s="261">
        <v>0</v>
      </c>
      <c r="FN40" s="261">
        <f>16-3+14-1301+50-32</f>
        <v>-1256</v>
      </c>
      <c r="FO40" s="262">
        <f>SUM(FK40:FN40)</f>
        <v>-1257</v>
      </c>
      <c r="FP40" s="261">
        <v>0</v>
      </c>
      <c r="FQ40" s="261">
        <f>0</f>
        <v>0</v>
      </c>
      <c r="FR40" s="261">
        <v>0</v>
      </c>
      <c r="FS40" s="261">
        <f>0</f>
        <v>0</v>
      </c>
      <c r="FT40" s="262">
        <f>SUM(FP40:FS40)</f>
        <v>0</v>
      </c>
      <c r="FU40" s="261">
        <v>0</v>
      </c>
      <c r="FV40" s="261">
        <f>0</f>
        <v>0</v>
      </c>
      <c r="FW40" s="261">
        <v>0</v>
      </c>
      <c r="FX40" s="261">
        <f>0</f>
        <v>0</v>
      </c>
      <c r="FY40" s="262">
        <f>SUM(FU40:FX40)</f>
        <v>0</v>
      </c>
      <c r="FZ40" s="261">
        <f>0</f>
        <v>0</v>
      </c>
      <c r="GA40" s="261">
        <f>0</f>
        <v>0</v>
      </c>
      <c r="GB40" s="261">
        <f>0</f>
        <v>0</v>
      </c>
      <c r="GC40" s="261">
        <f>0</f>
        <v>0</v>
      </c>
      <c r="GD40" s="262">
        <f>SUM(FZ40:GC40)</f>
        <v>0</v>
      </c>
      <c r="GE40" s="261">
        <f>0</f>
        <v>0</v>
      </c>
      <c r="GF40" s="261">
        <f>0</f>
        <v>0</v>
      </c>
      <c r="GG40" s="261">
        <f>0</f>
        <v>0</v>
      </c>
      <c r="GH40" s="261">
        <f>0</f>
        <v>0</v>
      </c>
      <c r="GI40" s="262">
        <f>SUM(GE40:GH40)</f>
        <v>0</v>
      </c>
      <c r="GJ40" s="261">
        <f>0</f>
        <v>0</v>
      </c>
      <c r="GK40" s="261">
        <f>0</f>
        <v>0</v>
      </c>
      <c r="GL40" s="261">
        <f>0</f>
        <v>0</v>
      </c>
      <c r="GM40" s="261">
        <f>0</f>
        <v>0</v>
      </c>
      <c r="GN40" s="262">
        <f>SUM(GJ40:GM40)</f>
        <v>0</v>
      </c>
      <c r="GO40" s="261">
        <f>0</f>
        <v>0</v>
      </c>
      <c r="GP40" s="264">
        <f>+GO40</f>
        <v>0</v>
      </c>
      <c r="GQ40" s="264">
        <f>+GP40</f>
        <v>0</v>
      </c>
      <c r="GR40" s="264">
        <f>+GQ40</f>
        <v>0</v>
      </c>
      <c r="GS40" s="262">
        <f>SUM(GO40:GR40)</f>
        <v>0</v>
      </c>
      <c r="GT40" s="264">
        <f>+GR40</f>
        <v>0</v>
      </c>
      <c r="GU40" s="264">
        <f>+GT40</f>
        <v>0</v>
      </c>
      <c r="GV40" s="264">
        <f>+GU40</f>
        <v>0</v>
      </c>
      <c r="GW40" s="264">
        <f>+GV40</f>
        <v>0</v>
      </c>
      <c r="GX40" s="262">
        <f>SUM(GT40:GW40)</f>
        <v>0</v>
      </c>
      <c r="GY40" s="264">
        <f>+GW40</f>
        <v>0</v>
      </c>
      <c r="GZ40" s="264">
        <f>+GY40</f>
        <v>0</v>
      </c>
      <c r="HA40" s="264">
        <f>+GZ40</f>
        <v>0</v>
      </c>
      <c r="HB40" s="264">
        <f>+HA40</f>
        <v>0</v>
      </c>
      <c r="HC40" s="262">
        <f>SUM(GY40:HB40)</f>
        <v>0</v>
      </c>
      <c r="HD40" s="264">
        <f>+HB40</f>
        <v>0</v>
      </c>
      <c r="HE40" s="264">
        <f>+HD40</f>
        <v>0</v>
      </c>
      <c r="HF40" s="264">
        <f>+HE40</f>
        <v>0</v>
      </c>
      <c r="HG40" s="264">
        <f>+HF40</f>
        <v>0</v>
      </c>
      <c r="HH40" s="262">
        <f>SUM(HD40:HG40)</f>
        <v>0</v>
      </c>
      <c r="HI40" s="264">
        <f>+HG40</f>
        <v>0</v>
      </c>
      <c r="HJ40" s="264">
        <f>+HI40</f>
        <v>0</v>
      </c>
      <c r="HK40" s="264">
        <f>+HJ40</f>
        <v>0</v>
      </c>
      <c r="HL40" s="264">
        <f>+HK40</f>
        <v>0</v>
      </c>
      <c r="HM40" s="262">
        <f>SUM(HI40:HL40)</f>
        <v>0</v>
      </c>
      <c r="HN40" s="262"/>
      <c r="HO40" s="263"/>
      <c r="HP40" s="453"/>
      <c r="HQ40" s="453"/>
      <c r="HR40" s="453"/>
      <c r="HS40" s="453"/>
      <c r="HT40" s="453"/>
      <c r="HU40" s="453"/>
      <c r="HV40" s="453"/>
      <c r="HW40" s="453"/>
      <c r="HX40" s="453"/>
      <c r="HY40" s="453"/>
      <c r="HZ40" s="453"/>
    </row>
    <row r="41" spans="1:234" s="509" customFormat="1" ht="15" customHeight="1">
      <c r="A41" s="517" t="s">
        <v>202</v>
      </c>
      <c r="L41" s="518"/>
      <c r="M41" s="518"/>
      <c r="N41" s="518"/>
      <c r="O41" s="518"/>
      <c r="P41" s="521"/>
      <c r="Q41" s="518"/>
      <c r="R41" s="518"/>
      <c r="S41" s="518"/>
      <c r="T41" s="518"/>
      <c r="U41" s="521"/>
      <c r="V41" s="518"/>
      <c r="W41" s="518"/>
      <c r="X41" s="518"/>
      <c r="Y41" s="518"/>
      <c r="Z41" s="521"/>
      <c r="AA41" s="518"/>
      <c r="AB41" s="518"/>
      <c r="AC41" s="518"/>
      <c r="AD41" s="518"/>
      <c r="AE41" s="521"/>
      <c r="AF41" s="518">
        <f t="shared" ref="AF41:CQ41" si="71">AF40/AF$9</f>
        <v>0</v>
      </c>
      <c r="AG41" s="518">
        <f t="shared" si="71"/>
        <v>0</v>
      </c>
      <c r="AH41" s="518">
        <f t="shared" si="71"/>
        <v>0</v>
      </c>
      <c r="AI41" s="518">
        <f t="shared" si="71"/>
        <v>0</v>
      </c>
      <c r="AJ41" s="521">
        <f t="shared" si="71"/>
        <v>0</v>
      </c>
      <c r="AK41" s="518">
        <f t="shared" si="71"/>
        <v>0</v>
      </c>
      <c r="AL41" s="518">
        <f t="shared" si="71"/>
        <v>0</v>
      </c>
      <c r="AM41" s="518">
        <f t="shared" si="71"/>
        <v>0</v>
      </c>
      <c r="AN41" s="518">
        <f t="shared" si="71"/>
        <v>0</v>
      </c>
      <c r="AO41" s="521">
        <f t="shared" si="71"/>
        <v>0</v>
      </c>
      <c r="AP41" s="518">
        <f t="shared" si="71"/>
        <v>0</v>
      </c>
      <c r="AQ41" s="518">
        <f t="shared" si="71"/>
        <v>0</v>
      </c>
      <c r="AR41" s="518">
        <f t="shared" si="71"/>
        <v>0</v>
      </c>
      <c r="AS41" s="518">
        <f t="shared" si="71"/>
        <v>0</v>
      </c>
      <c r="AT41" s="521">
        <f t="shared" si="71"/>
        <v>0</v>
      </c>
      <c r="AU41" s="518">
        <f t="shared" si="71"/>
        <v>0</v>
      </c>
      <c r="AV41" s="518">
        <f t="shared" si="71"/>
        <v>0</v>
      </c>
      <c r="AW41" s="518">
        <f t="shared" si="71"/>
        <v>0</v>
      </c>
      <c r="AX41" s="518">
        <f t="shared" si="71"/>
        <v>0</v>
      </c>
      <c r="AY41" s="521">
        <f t="shared" si="71"/>
        <v>0</v>
      </c>
      <c r="AZ41" s="518">
        <f t="shared" si="71"/>
        <v>0</v>
      </c>
      <c r="BA41" s="518">
        <f t="shared" si="71"/>
        <v>0</v>
      </c>
      <c r="BB41" s="518">
        <f t="shared" si="71"/>
        <v>0</v>
      </c>
      <c r="BC41" s="518">
        <f t="shared" si="71"/>
        <v>0</v>
      </c>
      <c r="BD41" s="521">
        <f t="shared" si="71"/>
        <v>0</v>
      </c>
      <c r="BE41" s="518">
        <f t="shared" si="71"/>
        <v>0</v>
      </c>
      <c r="BF41" s="518">
        <f t="shared" si="71"/>
        <v>0</v>
      </c>
      <c r="BG41" s="518">
        <f t="shared" si="71"/>
        <v>0</v>
      </c>
      <c r="BH41" s="518">
        <f t="shared" si="71"/>
        <v>0</v>
      </c>
      <c r="BI41" s="521">
        <f t="shared" si="71"/>
        <v>0</v>
      </c>
      <c r="BJ41" s="518">
        <f t="shared" si="71"/>
        <v>0</v>
      </c>
      <c r="BK41" s="518">
        <f t="shared" si="71"/>
        <v>0</v>
      </c>
      <c r="BL41" s="518">
        <f t="shared" si="71"/>
        <v>0</v>
      </c>
      <c r="BM41" s="518">
        <f t="shared" si="71"/>
        <v>0</v>
      </c>
      <c r="BN41" s="521">
        <f t="shared" si="71"/>
        <v>0</v>
      </c>
      <c r="BO41" s="518">
        <f t="shared" si="71"/>
        <v>0</v>
      </c>
      <c r="BP41" s="518">
        <f t="shared" si="71"/>
        <v>0</v>
      </c>
      <c r="BQ41" s="518">
        <f t="shared" si="71"/>
        <v>0</v>
      </c>
      <c r="BR41" s="518">
        <f t="shared" si="71"/>
        <v>0</v>
      </c>
      <c r="BS41" s="521">
        <f t="shared" si="71"/>
        <v>0</v>
      </c>
      <c r="BT41" s="518">
        <f t="shared" si="71"/>
        <v>0</v>
      </c>
      <c r="BU41" s="518">
        <f t="shared" si="71"/>
        <v>0</v>
      </c>
      <c r="BV41" s="518">
        <f t="shared" si="71"/>
        <v>-1.3057046239145203E-6</v>
      </c>
      <c r="BW41" s="518">
        <f t="shared" si="71"/>
        <v>0</v>
      </c>
      <c r="BX41" s="521">
        <f t="shared" si="71"/>
        <v>-2.5695354853297863E-7</v>
      </c>
      <c r="BY41" s="518">
        <f t="shared" si="71"/>
        <v>0</v>
      </c>
      <c r="BZ41" s="518">
        <f t="shared" si="71"/>
        <v>0</v>
      </c>
      <c r="CA41" s="518">
        <f t="shared" si="71"/>
        <v>0</v>
      </c>
      <c r="CB41" s="518">
        <f t="shared" si="71"/>
        <v>0</v>
      </c>
      <c r="CC41" s="521">
        <f t="shared" si="71"/>
        <v>0</v>
      </c>
      <c r="CD41" s="518">
        <f t="shared" si="71"/>
        <v>0</v>
      </c>
      <c r="CE41" s="518">
        <f t="shared" si="71"/>
        <v>0</v>
      </c>
      <c r="CF41" s="518">
        <f t="shared" si="71"/>
        <v>0</v>
      </c>
      <c r="CG41" s="518">
        <f t="shared" si="71"/>
        <v>0</v>
      </c>
      <c r="CH41" s="521">
        <f t="shared" si="71"/>
        <v>0</v>
      </c>
      <c r="CI41" s="518">
        <f t="shared" si="71"/>
        <v>0</v>
      </c>
      <c r="CJ41" s="518">
        <f t="shared" si="71"/>
        <v>0</v>
      </c>
      <c r="CK41" s="518">
        <f t="shared" si="71"/>
        <v>0</v>
      </c>
      <c r="CL41" s="518">
        <f t="shared" si="71"/>
        <v>0</v>
      </c>
      <c r="CM41" s="521">
        <f t="shared" si="71"/>
        <v>0</v>
      </c>
      <c r="CN41" s="518">
        <f t="shared" si="71"/>
        <v>0</v>
      </c>
      <c r="CO41" s="518">
        <f t="shared" si="71"/>
        <v>0</v>
      </c>
      <c r="CP41" s="518">
        <f t="shared" si="71"/>
        <v>0</v>
      </c>
      <c r="CQ41" s="518">
        <f t="shared" si="71"/>
        <v>5.4398795397972884E-7</v>
      </c>
      <c r="CR41" s="521">
        <f t="shared" ref="CR41:DQ41" si="72">CR40/CR$9</f>
        <v>1.7101100166616701E-7</v>
      </c>
      <c r="CS41" s="518">
        <f t="shared" si="72"/>
        <v>0</v>
      </c>
      <c r="CT41" s="518">
        <f t="shared" si="72"/>
        <v>0</v>
      </c>
      <c r="CU41" s="518">
        <f t="shared" si="72"/>
        <v>0</v>
      </c>
      <c r="CV41" s="518">
        <f t="shared" si="72"/>
        <v>5.6401579249297235E-7</v>
      </c>
      <c r="CW41" s="521">
        <f t="shared" si="72"/>
        <v>1.7701787545801869E-7</v>
      </c>
      <c r="CX41" s="518">
        <f t="shared" si="72"/>
        <v>0</v>
      </c>
      <c r="CY41" s="518">
        <f t="shared" si="72"/>
        <v>0</v>
      </c>
      <c r="CZ41" s="518">
        <f t="shared" si="72"/>
        <v>0</v>
      </c>
      <c r="DA41" s="518">
        <f t="shared" si="72"/>
        <v>-3.5593220338983052E-2</v>
      </c>
      <c r="DB41" s="521">
        <f t="shared" si="72"/>
        <v>-1.0477299185098952E-2</v>
      </c>
      <c r="DC41" s="518">
        <f t="shared" si="72"/>
        <v>0</v>
      </c>
      <c r="DD41" s="518">
        <f t="shared" si="72"/>
        <v>0</v>
      </c>
      <c r="DE41" s="518">
        <f t="shared" si="72"/>
        <v>0</v>
      </c>
      <c r="DF41" s="518">
        <f t="shared" si="72"/>
        <v>0</v>
      </c>
      <c r="DG41" s="521">
        <f t="shared" si="72"/>
        <v>0</v>
      </c>
      <c r="DH41" s="518">
        <f t="shared" si="72"/>
        <v>0</v>
      </c>
      <c r="DI41" s="518">
        <f t="shared" si="72"/>
        <v>0</v>
      </c>
      <c r="DJ41" s="518">
        <f t="shared" si="72"/>
        <v>0</v>
      </c>
      <c r="DK41" s="518">
        <f t="shared" si="72"/>
        <v>0</v>
      </c>
      <c r="DL41" s="521">
        <f t="shared" si="72"/>
        <v>0</v>
      </c>
      <c r="DM41" s="518">
        <f t="shared" si="72"/>
        <v>0</v>
      </c>
      <c r="DN41" s="518">
        <f t="shared" si="72"/>
        <v>0</v>
      </c>
      <c r="DO41" s="518">
        <f t="shared" si="72"/>
        <v>0</v>
      </c>
      <c r="DP41" s="518">
        <f>DP40/DP$9</f>
        <v>0</v>
      </c>
      <c r="DQ41" s="521">
        <f t="shared" si="72"/>
        <v>0</v>
      </c>
      <c r="DR41" s="518">
        <f>DR40/DR$9</f>
        <v>-0.3050216986980781</v>
      </c>
      <c r="DS41" s="518">
        <f>DS40/DS$9</f>
        <v>0</v>
      </c>
      <c r="DT41" s="518">
        <f>DT40/DT$9</f>
        <v>0</v>
      </c>
      <c r="DU41" s="518">
        <f>DU40/DU$9</f>
        <v>2.3654642223536371E-3</v>
      </c>
      <c r="DV41" s="521">
        <f t="shared" ref="DV41:EU41" si="73">DV40/DV$9</f>
        <v>-7.4299634591961025E-2</v>
      </c>
      <c r="DW41" s="518">
        <f>DW40/DW$9</f>
        <v>-2.2712933753943218E-2</v>
      </c>
      <c r="DX41" s="518">
        <f>DX40/DX$9</f>
        <v>0</v>
      </c>
      <c r="DY41" s="518">
        <f>DY40/DY$9</f>
        <v>0</v>
      </c>
      <c r="DZ41" s="518">
        <f>DZ40/DZ$9</f>
        <v>0</v>
      </c>
      <c r="EA41" s="521">
        <f t="shared" si="73"/>
        <v>-6.6396163777203985E-3</v>
      </c>
      <c r="EB41" s="518">
        <f t="shared" si="73"/>
        <v>0</v>
      </c>
      <c r="EC41" s="518">
        <f t="shared" si="73"/>
        <v>0</v>
      </c>
      <c r="ED41" s="518">
        <f t="shared" si="73"/>
        <v>0</v>
      </c>
      <c r="EE41" s="518">
        <f t="shared" si="73"/>
        <v>0</v>
      </c>
      <c r="EF41" s="521">
        <f t="shared" si="73"/>
        <v>0</v>
      </c>
      <c r="EG41" s="518">
        <f t="shared" si="73"/>
        <v>0</v>
      </c>
      <c r="EH41" s="518">
        <f t="shared" si="73"/>
        <v>0</v>
      </c>
      <c r="EI41" s="518">
        <f>EI40/EI$9</f>
        <v>0</v>
      </c>
      <c r="EJ41" s="518">
        <f>EJ40/EJ$9</f>
        <v>0</v>
      </c>
      <c r="EK41" s="521">
        <f t="shared" si="73"/>
        <v>0</v>
      </c>
      <c r="EL41" s="518">
        <f>EL40/EL$9</f>
        <v>0</v>
      </c>
      <c r="EM41" s="518">
        <f>EM40/EM$9</f>
        <v>0</v>
      </c>
      <c r="EN41" s="518">
        <f>EN40/EN$9</f>
        <v>0</v>
      </c>
      <c r="EO41" s="518">
        <f t="shared" si="73"/>
        <v>1.3569937369519834E-2</v>
      </c>
      <c r="EP41" s="521">
        <f t="shared" si="73"/>
        <v>3.2573289902280132E-3</v>
      </c>
      <c r="EQ41" s="518">
        <f t="shared" si="73"/>
        <v>0</v>
      </c>
      <c r="ER41" s="518">
        <f t="shared" si="73"/>
        <v>0</v>
      </c>
      <c r="ES41" s="518">
        <f t="shared" si="73"/>
        <v>0</v>
      </c>
      <c r="ET41" s="518">
        <f t="shared" si="73"/>
        <v>0</v>
      </c>
      <c r="EU41" s="521">
        <f t="shared" si="73"/>
        <v>0</v>
      </c>
      <c r="EV41" s="518">
        <f>EV40/EV$9</f>
        <v>0</v>
      </c>
      <c r="EW41" s="518">
        <f>EW40/EW$9</f>
        <v>0</v>
      </c>
      <c r="EX41" s="518">
        <f>EX40/EX$9</f>
        <v>0</v>
      </c>
      <c r="EY41" s="518">
        <f>EY40/EY$9</f>
        <v>0</v>
      </c>
      <c r="EZ41" s="521">
        <f>EZ40/EZ$9</f>
        <v>0</v>
      </c>
      <c r="FA41" s="518">
        <f t="shared" ref="FA41:FJ41" si="74">FA40/FA$9</f>
        <v>0</v>
      </c>
      <c r="FB41" s="518">
        <f t="shared" si="74"/>
        <v>0</v>
      </c>
      <c r="FC41" s="518">
        <f t="shared" si="74"/>
        <v>0</v>
      </c>
      <c r="FD41" s="518">
        <f t="shared" si="74"/>
        <v>0</v>
      </c>
      <c r="FE41" s="521">
        <f t="shared" si="74"/>
        <v>0</v>
      </c>
      <c r="FF41" s="518">
        <f t="shared" si="74"/>
        <v>0</v>
      </c>
      <c r="FG41" s="518">
        <f t="shared" si="74"/>
        <v>0</v>
      </c>
      <c r="FH41" s="518">
        <f t="shared" si="74"/>
        <v>0</v>
      </c>
      <c r="FI41" s="518">
        <f t="shared" si="74"/>
        <v>0</v>
      </c>
      <c r="FJ41" s="521">
        <f t="shared" si="74"/>
        <v>0</v>
      </c>
      <c r="FK41" s="518">
        <f>FK40/FK$9</f>
        <v>0</v>
      </c>
      <c r="FL41" s="518">
        <f>FL40/FL$9</f>
        <v>-5.1759834368530024E-4</v>
      </c>
      <c r="FM41" s="518">
        <f>FM40/FM$9</f>
        <v>0</v>
      </c>
      <c r="FN41" s="518">
        <f>FN40/FN$9</f>
        <v>-0.38717632552404441</v>
      </c>
      <c r="FO41" s="521">
        <f>FO40/FO$9</f>
        <v>-0.12875140837857216</v>
      </c>
      <c r="FP41" s="518">
        <f t="shared" ref="FP41:HM41" si="75">FP40/FP$9</f>
        <v>0</v>
      </c>
      <c r="FQ41" s="518">
        <f t="shared" si="75"/>
        <v>0</v>
      </c>
      <c r="FR41" s="518">
        <f t="shared" si="75"/>
        <v>0</v>
      </c>
      <c r="FS41" s="518">
        <f t="shared" si="75"/>
        <v>0</v>
      </c>
      <c r="FT41" s="521">
        <f t="shared" si="75"/>
        <v>0</v>
      </c>
      <c r="FU41" s="518">
        <f t="shared" si="75"/>
        <v>0</v>
      </c>
      <c r="FV41" s="518">
        <f t="shared" si="75"/>
        <v>0</v>
      </c>
      <c r="FW41" s="518">
        <f t="shared" si="75"/>
        <v>0</v>
      </c>
      <c r="FX41" s="518">
        <f t="shared" si="75"/>
        <v>0</v>
      </c>
      <c r="FY41" s="521">
        <f t="shared" si="75"/>
        <v>0</v>
      </c>
      <c r="FZ41" s="518">
        <f t="shared" si="75"/>
        <v>0</v>
      </c>
      <c r="GA41" s="518">
        <f t="shared" si="75"/>
        <v>0</v>
      </c>
      <c r="GB41" s="518">
        <f t="shared" si="75"/>
        <v>0</v>
      </c>
      <c r="GC41" s="518">
        <f t="shared" si="75"/>
        <v>0</v>
      </c>
      <c r="GD41" s="521">
        <f t="shared" si="75"/>
        <v>0</v>
      </c>
      <c r="GE41" s="518">
        <f t="shared" si="75"/>
        <v>0</v>
      </c>
      <c r="GF41" s="518">
        <f t="shared" si="75"/>
        <v>0</v>
      </c>
      <c r="GG41" s="518">
        <f t="shared" si="75"/>
        <v>0</v>
      </c>
      <c r="GH41" s="518">
        <f t="shared" si="75"/>
        <v>0</v>
      </c>
      <c r="GI41" s="521">
        <f t="shared" si="75"/>
        <v>0</v>
      </c>
      <c r="GJ41" s="518">
        <f t="shared" si="75"/>
        <v>0</v>
      </c>
      <c r="GK41" s="518">
        <f t="shared" si="75"/>
        <v>0</v>
      </c>
      <c r="GL41" s="518">
        <f t="shared" si="75"/>
        <v>0</v>
      </c>
      <c r="GM41" s="518">
        <f t="shared" si="75"/>
        <v>0</v>
      </c>
      <c r="GN41" s="521">
        <f t="shared" si="75"/>
        <v>0</v>
      </c>
      <c r="GO41" s="518">
        <f t="shared" si="75"/>
        <v>0</v>
      </c>
      <c r="GP41" s="518">
        <f t="shared" si="75"/>
        <v>0</v>
      </c>
      <c r="GQ41" s="518">
        <f t="shared" si="75"/>
        <v>0</v>
      </c>
      <c r="GR41" s="518">
        <f t="shared" si="75"/>
        <v>0</v>
      </c>
      <c r="GS41" s="521">
        <f t="shared" si="75"/>
        <v>0</v>
      </c>
      <c r="GT41" s="518">
        <f t="shared" si="75"/>
        <v>0</v>
      </c>
      <c r="GU41" s="518">
        <f t="shared" si="75"/>
        <v>0</v>
      </c>
      <c r="GV41" s="518">
        <f t="shared" si="75"/>
        <v>0</v>
      </c>
      <c r="GW41" s="518">
        <f t="shared" si="75"/>
        <v>0</v>
      </c>
      <c r="GX41" s="521">
        <f t="shared" si="75"/>
        <v>0</v>
      </c>
      <c r="GY41" s="518">
        <f t="shared" si="75"/>
        <v>0</v>
      </c>
      <c r="GZ41" s="518">
        <f t="shared" si="75"/>
        <v>0</v>
      </c>
      <c r="HA41" s="518">
        <f t="shared" si="75"/>
        <v>0</v>
      </c>
      <c r="HB41" s="518">
        <f t="shared" si="75"/>
        <v>0</v>
      </c>
      <c r="HC41" s="521">
        <f t="shared" si="75"/>
        <v>0</v>
      </c>
      <c r="HD41" s="518">
        <f t="shared" si="75"/>
        <v>0</v>
      </c>
      <c r="HE41" s="518">
        <f t="shared" si="75"/>
        <v>0</v>
      </c>
      <c r="HF41" s="518">
        <f t="shared" si="75"/>
        <v>0</v>
      </c>
      <c r="HG41" s="518">
        <f t="shared" si="75"/>
        <v>0</v>
      </c>
      <c r="HH41" s="521">
        <f t="shared" si="75"/>
        <v>0</v>
      </c>
      <c r="HI41" s="518">
        <f t="shared" si="75"/>
        <v>0</v>
      </c>
      <c r="HJ41" s="518">
        <f t="shared" si="75"/>
        <v>0</v>
      </c>
      <c r="HK41" s="518">
        <f t="shared" si="75"/>
        <v>0</v>
      </c>
      <c r="HL41" s="518">
        <f t="shared" si="75"/>
        <v>0</v>
      </c>
      <c r="HM41" s="521">
        <f t="shared" si="75"/>
        <v>0</v>
      </c>
      <c r="HN41" s="521"/>
      <c r="HO41" s="521"/>
      <c r="HP41" s="453"/>
      <c r="HQ41" s="453"/>
      <c r="HR41" s="453"/>
      <c r="HS41" s="453"/>
      <c r="HT41" s="453"/>
      <c r="HU41" s="453"/>
      <c r="HV41" s="453"/>
      <c r="HW41" s="453"/>
      <c r="HX41" s="453"/>
      <c r="HY41" s="453"/>
      <c r="HZ41" s="453"/>
    </row>
    <row r="42" spans="1:234" s="268" customFormat="1" ht="15" customHeight="1">
      <c r="A42" s="236" t="s">
        <v>382</v>
      </c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38">
        <f>AF32-AF34-AF36-AF40-AF38</f>
        <v>61.451000000000015</v>
      </c>
      <c r="AG42" s="238">
        <f>AG32-AG34-AG36-AG40-AG38</f>
        <v>64.352999999999966</v>
      </c>
      <c r="AH42" s="238">
        <f>AH32-AH34-AH36-AH40-AH38</f>
        <v>61.337999999999973</v>
      </c>
      <c r="AI42" s="238">
        <f>AI32-AI34-AI36-AI40-AI38</f>
        <v>41.639000000000024</v>
      </c>
      <c r="AJ42" s="239">
        <f>SUM(AF42:AI42)</f>
        <v>228.78099999999995</v>
      </c>
      <c r="AK42" s="238">
        <f>AK32-AK34-AK36-AK40-AK38</f>
        <v>84.587000000000018</v>
      </c>
      <c r="AL42" s="238">
        <f>AL32-AL34-AL36-AL40-AL38</f>
        <v>93.234000000000052</v>
      </c>
      <c r="AM42" s="238">
        <f>AM32-AM34-AM36-AM40-AM38</f>
        <v>86.686000000000021</v>
      </c>
      <c r="AN42" s="238">
        <f>AN32-AN34-AN36-AN40-AN38</f>
        <v>40.759000000000007</v>
      </c>
      <c r="AO42" s="239">
        <f>SUM(AK42:AN42)</f>
        <v>305.26600000000013</v>
      </c>
      <c r="AP42" s="238">
        <f>AP32-AP34-AP36-AP40-AP38</f>
        <v>96.801000000000002</v>
      </c>
      <c r="AQ42" s="238">
        <f>AQ32-AQ34-AQ36-AQ40-AQ38</f>
        <v>91.98500000000007</v>
      </c>
      <c r="AR42" s="238">
        <f>AR32-AR34-AR36-AR40-AR38</f>
        <v>56.16299999999999</v>
      </c>
      <c r="AS42" s="238">
        <f>AS32-AS34-AS36-AS40-AS38</f>
        <v>55.571999999999953</v>
      </c>
      <c r="AT42" s="239">
        <f>SUM(AP42:AS42)</f>
        <v>300.52100000000002</v>
      </c>
      <c r="AU42" s="238">
        <f>AU32-AU34-AU36-AU40-AU38</f>
        <v>25.326999999999977</v>
      </c>
      <c r="AV42" s="238">
        <f>AV32-AV34-AV36-AV40-AV38</f>
        <v>-34.671999999999997</v>
      </c>
      <c r="AW42" s="238">
        <f>AW32-AW34-AW36-AW40-AW38</f>
        <v>-38.361999999999988</v>
      </c>
      <c r="AX42" s="238">
        <f>AX32-AX34-AX36-AX40-AX38</f>
        <v>-21.243000000000016</v>
      </c>
      <c r="AY42" s="239">
        <f>SUM(AU42:AX42)</f>
        <v>-68.950000000000017</v>
      </c>
      <c r="AZ42" s="238">
        <f>AZ32-AZ34-AZ36-AZ40-AZ38</f>
        <v>12.950999999999993</v>
      </c>
      <c r="BA42" s="238">
        <f>BA32-BA34-BA36-BA40-BA38</f>
        <v>9.9679999999999538</v>
      </c>
      <c r="BB42" s="238">
        <f>BB32-BB34-BB36-BB40-BB38</f>
        <v>-31.675000000000008</v>
      </c>
      <c r="BC42" s="238">
        <f>BC32-BC34-BC36-BC40-BC38</f>
        <v>-12.3339999999999</v>
      </c>
      <c r="BD42" s="239">
        <f>SUM(AZ42:BC42)</f>
        <v>-21.089999999999961</v>
      </c>
      <c r="BE42" s="238">
        <f>BE32-BE34-BE36-BE40-BE38</f>
        <v>-62.727000000000011</v>
      </c>
      <c r="BF42" s="238">
        <f>BF32-BF34-BF36-BF40-BF38</f>
        <v>-64.559999999999945</v>
      </c>
      <c r="BG42" s="238">
        <f>BG32-BG34-BG36-BG40-BG38</f>
        <v>1.0060000000000158</v>
      </c>
      <c r="BH42" s="238">
        <f>BH32-BH34-BH36-BH40-BH38</f>
        <v>22.321000000000019</v>
      </c>
      <c r="BI42" s="239">
        <f>SUM(BE42:BH42)</f>
        <v>-103.95999999999992</v>
      </c>
      <c r="BJ42" s="238">
        <f>BJ32-BJ34-BJ36-BJ40-BJ38</f>
        <v>-128.36699999999996</v>
      </c>
      <c r="BK42" s="238">
        <f>BK32-BK34-BK36-BK40-BK38</f>
        <v>79.896000000000043</v>
      </c>
      <c r="BL42" s="238">
        <f>BL32-BL34-BL36-BL40-BL38</f>
        <v>-105.54499999999992</v>
      </c>
      <c r="BM42" s="238">
        <f>BM32-BM34-BM36-BM40-BM38</f>
        <v>65.07999999999997</v>
      </c>
      <c r="BN42" s="239">
        <f>SUM(BJ42:BM42)</f>
        <v>-88.935999999999879</v>
      </c>
      <c r="BO42" s="238">
        <f>BO32-BO34-BO36-BO40-BO38</f>
        <v>189.3489999999999</v>
      </c>
      <c r="BP42" s="238">
        <f>BP32-BP34-BP36-BP40-BP38</f>
        <v>207.14199999999988</v>
      </c>
      <c r="BQ42" s="238">
        <f>BQ32-BQ34-BQ36-BQ40-BQ38</f>
        <v>408.56699999999995</v>
      </c>
      <c r="BR42" s="238">
        <f>BR32-BR34-BR36-BR40-BR38</f>
        <v>177.96800000000005</v>
      </c>
      <c r="BS42" s="239">
        <f>SUM(BO42:BR42)</f>
        <v>983.02599999999984</v>
      </c>
      <c r="BT42" s="238">
        <f>BT32-BT34-BT36-BT40-BT38</f>
        <v>124.83700000000002</v>
      </c>
      <c r="BU42" s="238">
        <f>BU32-BU34-BU36-BU40-BU38</f>
        <v>17.35200000000005</v>
      </c>
      <c r="BV42" s="238">
        <f>BV32-BV34-BV36-BV40-BV38</f>
        <v>-186.92799999999968</v>
      </c>
      <c r="BW42" s="238">
        <f>BW32-BW34-BW36-BW40-BW38</f>
        <v>-15.841999999999995</v>
      </c>
      <c r="BX42" s="239">
        <f>SUM(BT42:BW42)</f>
        <v>-60.580999999999605</v>
      </c>
      <c r="BY42" s="238">
        <f>BY32-BY34-BY36-BY40-BY38</f>
        <v>-9.1630000000000607</v>
      </c>
      <c r="BZ42" s="238">
        <f>BZ32-BZ34-BZ36-BZ40-BZ38</f>
        <v>-184.93799999999999</v>
      </c>
      <c r="CA42" s="238">
        <f>CA32-CA34-CA36-CA40-CA38</f>
        <v>-254.17100000000008</v>
      </c>
      <c r="CB42" s="238">
        <f>CB32-CB34-CB36-CB40-CB38</f>
        <v>-854.74000000000012</v>
      </c>
      <c r="CC42" s="239">
        <f>SUM(BY42:CB42)</f>
        <v>-1303.0120000000002</v>
      </c>
      <c r="CD42" s="238">
        <f>CD32-CD34-CD36-CD40-CD38</f>
        <v>-146.35600000000008</v>
      </c>
      <c r="CE42" s="238">
        <f>CE32-CE34-CE36-CE40-CE38</f>
        <v>-140.09599999999998</v>
      </c>
      <c r="CF42" s="238">
        <f>CF32-CF34-CF36-CF40-CF38</f>
        <v>-31.23099999999998</v>
      </c>
      <c r="CG42" s="238">
        <f>CG32-CG34-CG36-CG40-CG38</f>
        <v>43.19300000000004</v>
      </c>
      <c r="CH42" s="239">
        <f>SUM(CD42:CG42)</f>
        <v>-274.49</v>
      </c>
      <c r="CI42" s="238">
        <f>CI32-CI34-CI36-CI40-CI38</f>
        <v>45.090999999999944</v>
      </c>
      <c r="CJ42" s="238">
        <f>CJ32-CJ34-CJ36-CJ40-CJ38</f>
        <v>32.180000000000042</v>
      </c>
      <c r="CK42" s="238">
        <f>CK32-CK34-CK36-CK40-CK38</f>
        <v>43.848000000000035</v>
      </c>
      <c r="CL42" s="238">
        <f>CL32-CL34-CL36-CL40-CL38</f>
        <v>-29.962999999999973</v>
      </c>
      <c r="CM42" s="239">
        <f>SUM(CI42:CL42)</f>
        <v>91.156000000000063</v>
      </c>
      <c r="CN42" s="238">
        <f>CN32-CN34-CN36-CN40-CN38</f>
        <v>-17.423000000000037</v>
      </c>
      <c r="CO42" s="238">
        <f>CO32-CO34-CO36-CO40-CO38</f>
        <v>11.318999999999944</v>
      </c>
      <c r="CP42" s="238">
        <f>CP32-CP34-CP36-CP40-CP38</f>
        <v>76.000000000000171</v>
      </c>
      <c r="CQ42" s="238">
        <f>CQ32-CQ34-CQ36-CQ40-CQ38</f>
        <v>95.586999999999932</v>
      </c>
      <c r="CR42" s="239">
        <f>SUM(CN42:CQ42)</f>
        <v>165.483</v>
      </c>
      <c r="CS42" s="238">
        <f>CS32-CS34-CS36-CS40-CS38</f>
        <v>184.52399999999986</v>
      </c>
      <c r="CT42" s="238">
        <f>CT32-CT34-CT36-CT40-CT38</f>
        <v>88.847000000000037</v>
      </c>
      <c r="CU42" s="238">
        <f>CU32-CU34-CU36-CU40-CU38</f>
        <v>134.45500000000007</v>
      </c>
      <c r="CV42" s="238">
        <f>CV32-CV34-CV36-CV40-CV38</f>
        <v>-573.00100000000009</v>
      </c>
      <c r="CW42" s="239">
        <f>SUM(CS42:CV42)</f>
        <v>-165.17500000000018</v>
      </c>
      <c r="CX42" s="238">
        <f>CX32-CX34-CX36-CX40-CX38</f>
        <v>-611</v>
      </c>
      <c r="CY42" s="238">
        <f>CY32-CY34-CY36-CY40-CY38</f>
        <v>-600</v>
      </c>
      <c r="CZ42" s="238">
        <f>CZ32-CZ34-CZ36-CZ40-CZ38</f>
        <v>-396</v>
      </c>
      <c r="DA42" s="238">
        <f>DA32-DA34-DA36-DA40-DA38</f>
        <v>-1772</v>
      </c>
      <c r="DB42" s="239">
        <f>SUM(CX42:DA42)</f>
        <v>-3379</v>
      </c>
      <c r="DC42" s="238">
        <f>DC32-DC34-DC36-DC40-DC38</f>
        <v>-358</v>
      </c>
      <c r="DD42" s="238">
        <f>DD32-DD34-DD36-DD40-DD38</f>
        <v>-269</v>
      </c>
      <c r="DE42" s="238">
        <f>DE32-DE34-DE36-DE40-DE38</f>
        <v>23</v>
      </c>
      <c r="DF42" s="238">
        <f>DF32-DF34-DF36-DF40-DF38</f>
        <v>-1414</v>
      </c>
      <c r="DG42" s="239">
        <f>SUM(DC42:DF42)</f>
        <v>-2018</v>
      </c>
      <c r="DH42" s="238">
        <f t="shared" ref="DH42:EK42" si="76">DH32-DH34-DH36-DH40-DH38</f>
        <v>-408</v>
      </c>
      <c r="DI42" s="238">
        <f t="shared" si="76"/>
        <v>-310</v>
      </c>
      <c r="DJ42" s="238">
        <f t="shared" si="76"/>
        <v>-106</v>
      </c>
      <c r="DK42" s="238">
        <f>DK32-DK34-DK36-DK40-DK38</f>
        <v>1203</v>
      </c>
      <c r="DL42" s="239">
        <f t="shared" si="76"/>
        <v>379</v>
      </c>
      <c r="DM42" s="238">
        <f t="shared" si="76"/>
        <v>257</v>
      </c>
      <c r="DN42" s="238">
        <f t="shared" si="76"/>
        <v>-43</v>
      </c>
      <c r="DO42" s="238">
        <f t="shared" si="76"/>
        <v>-118</v>
      </c>
      <c r="DP42" s="238">
        <f>DP32-DP34-DP36-DP40-DP38</f>
        <v>375</v>
      </c>
      <c r="DQ42" s="239">
        <f t="shared" si="76"/>
        <v>471</v>
      </c>
      <c r="DR42" s="238">
        <f t="shared" si="76"/>
        <v>510</v>
      </c>
      <c r="DS42" s="238">
        <f t="shared" si="76"/>
        <v>61</v>
      </c>
      <c r="DT42" s="238">
        <f t="shared" si="76"/>
        <v>97</v>
      </c>
      <c r="DU42" s="238">
        <f>DU32-DU34-DU36-DU40-DU38</f>
        <v>-177</v>
      </c>
      <c r="DV42" s="239">
        <f t="shared" si="76"/>
        <v>491</v>
      </c>
      <c r="DW42" s="238">
        <f t="shared" si="76"/>
        <v>-590</v>
      </c>
      <c r="DX42" s="238">
        <f t="shared" si="76"/>
        <v>37</v>
      </c>
      <c r="DY42" s="238">
        <f t="shared" si="76"/>
        <v>-157</v>
      </c>
      <c r="DZ42" s="238">
        <f>DZ32-DZ34-DZ36-DZ40-DZ38</f>
        <v>-473</v>
      </c>
      <c r="EA42" s="239">
        <f t="shared" si="76"/>
        <v>-1183</v>
      </c>
      <c r="EB42" s="238">
        <f t="shared" si="76"/>
        <v>-146</v>
      </c>
      <c r="EC42" s="238">
        <f t="shared" si="76"/>
        <v>-74</v>
      </c>
      <c r="ED42" s="238">
        <f t="shared" si="76"/>
        <v>48</v>
      </c>
      <c r="EE42" s="238">
        <f>EE32-EE34-EE36-EE40-EE38</f>
        <v>89</v>
      </c>
      <c r="EF42" s="239">
        <f t="shared" si="76"/>
        <v>-83</v>
      </c>
      <c r="EG42" s="238">
        <f t="shared" si="76"/>
        <v>-20</v>
      </c>
      <c r="EH42" s="238">
        <f t="shared" si="76"/>
        <v>-36</v>
      </c>
      <c r="EI42" s="238">
        <f t="shared" si="76"/>
        <v>17</v>
      </c>
      <c r="EJ42" s="238">
        <f>EJ32-EJ34-EJ36-EJ40-EJ38</f>
        <v>-364</v>
      </c>
      <c r="EK42" s="239">
        <f t="shared" si="76"/>
        <v>-403</v>
      </c>
      <c r="EL42" s="238">
        <f>EL32-EL34-EL36-EL40-EL38</f>
        <v>-180</v>
      </c>
      <c r="EM42" s="238">
        <f>EM32-EM34-EM36-EM40-EM38</f>
        <v>-181</v>
      </c>
      <c r="EN42" s="238">
        <f>EN32-EN34-EN36-EN40-EN38</f>
        <v>-197</v>
      </c>
      <c r="EO42" s="238">
        <f>EO32-EO34-EO36-EO40-EO38</f>
        <v>-102</v>
      </c>
      <c r="EP42" s="239">
        <f>SUM(EL42:EO42)</f>
        <v>-660</v>
      </c>
      <c r="EQ42" s="238">
        <f>EQ32-EQ34-EQ36-EQ40-EQ38</f>
        <v>-109</v>
      </c>
      <c r="ER42" s="238">
        <f>ER32-ER34-ER36-ER40-ER38</f>
        <v>69</v>
      </c>
      <c r="ES42" s="238">
        <f>ES32-ES34-ES36-ES40-ES38</f>
        <v>-406</v>
      </c>
      <c r="ET42" s="238">
        <f>ET32-ET34-ET36-ET40-ET38</f>
        <v>-51</v>
      </c>
      <c r="EU42" s="239">
        <f>SUM(EQ42:ET42)</f>
        <v>-497</v>
      </c>
      <c r="EV42" s="238">
        <f>EV32-EV34-EV36-EV40-EV38</f>
        <v>-73</v>
      </c>
      <c r="EW42" s="238">
        <f>EW32-EW34-EW36-EW40-EW38</f>
        <v>-16</v>
      </c>
      <c r="EX42" s="238">
        <f>EX32-EX34-EX36-EX40-EX38</f>
        <v>71</v>
      </c>
      <c r="EY42" s="238">
        <f>EY32-EY34-EY36-EY40-EY38</f>
        <v>61</v>
      </c>
      <c r="EZ42" s="239">
        <f>SUM(EV42:EY42)</f>
        <v>43</v>
      </c>
      <c r="FA42" s="238">
        <f>FA32-FA34-FA36-FA40-FA38</f>
        <v>81</v>
      </c>
      <c r="FB42" s="238">
        <f>FB32-FB34-FB36-FB40-FB38</f>
        <v>116</v>
      </c>
      <c r="FC42" s="238">
        <f>FC32-FC34-FC36-FC40-FC38</f>
        <v>102</v>
      </c>
      <c r="FD42" s="238">
        <f>FD32-FD34-FD36-FD40-FD38</f>
        <v>38</v>
      </c>
      <c r="FE42" s="239">
        <f>SUM(FA42:FD42)</f>
        <v>337</v>
      </c>
      <c r="FF42" s="238">
        <f>FF32-FF34-FF36-FF40-FF38</f>
        <v>16</v>
      </c>
      <c r="FG42" s="238">
        <f>FG32-FG34-FG36-FG40-FG38</f>
        <v>35</v>
      </c>
      <c r="FH42" s="238">
        <f>FH32-FH34-FH36-FH40-FH38</f>
        <v>120</v>
      </c>
      <c r="FI42" s="238">
        <f>FI32-FI34-FI36-FI40-FI38</f>
        <v>170</v>
      </c>
      <c r="FJ42" s="239">
        <f>SUM(FF42:FI42)</f>
        <v>341</v>
      </c>
      <c r="FK42" s="238">
        <f>FK32-FK34-FK36-FK40-FK38</f>
        <v>162</v>
      </c>
      <c r="FL42" s="238">
        <f>FL32-FL34-FL36-FL40-FL38</f>
        <v>157</v>
      </c>
      <c r="FM42" s="238">
        <f>FM32-FM34-FM36-FM40-FM38</f>
        <v>390</v>
      </c>
      <c r="FN42" s="238">
        <f>FN32-FN34-FN36-FN40-FN38</f>
        <v>1781</v>
      </c>
      <c r="FO42" s="239">
        <f>SUM(FK42:FN42)</f>
        <v>2490</v>
      </c>
      <c r="FP42" s="238">
        <f>FP32-FP34-FP36-FP40-FP38</f>
        <v>555</v>
      </c>
      <c r="FQ42" s="238">
        <f>FQ32-FQ34-FQ36-FQ40-FQ38</f>
        <v>710</v>
      </c>
      <c r="FR42" s="238">
        <f>FR32-FR34-FR36-FR40-FR38</f>
        <v>923</v>
      </c>
      <c r="FS42" s="238">
        <f>FS32-FS34-FS36-FS40-FS38</f>
        <v>974</v>
      </c>
      <c r="FT42" s="239">
        <f>SUM(FP42:FS42)</f>
        <v>3162</v>
      </c>
      <c r="FU42" s="238">
        <f>FU32-FU34-FU36-FU40-FU38</f>
        <v>786</v>
      </c>
      <c r="FV42" s="238">
        <f>FV32-FV34-FV36-FV40-FV38</f>
        <v>447</v>
      </c>
      <c r="FW42" s="238">
        <f>FW32-FW34-FW36-FW40-FW38</f>
        <v>66</v>
      </c>
      <c r="FX42" s="238">
        <f>FX32-FX34-FX36-FX40-FX38</f>
        <v>21</v>
      </c>
      <c r="FY42" s="239">
        <f>SUM(FU42:FX42)</f>
        <v>1320</v>
      </c>
      <c r="FZ42" s="238">
        <f>FZ32-FZ34-FZ36-FZ40-FZ38</f>
        <v>-139</v>
      </c>
      <c r="GA42" s="238">
        <f>GA32-GA34-GA36-GA40-GA38</f>
        <v>27</v>
      </c>
      <c r="GB42" s="238">
        <f>GB32-GB34-GB36-GB40-GB38</f>
        <v>299</v>
      </c>
      <c r="GC42" s="238">
        <f>GC32-GC34-GC36-GC40-GC38</f>
        <v>667</v>
      </c>
      <c r="GD42" s="239">
        <f>SUM(FZ42:GC42)</f>
        <v>854</v>
      </c>
      <c r="GE42" s="238">
        <f>GE32-GE34-GE36-GE40-GE38</f>
        <v>123</v>
      </c>
      <c r="GF42" s="238">
        <f>GF32-GF34-GF36-GF40-GF38</f>
        <v>265</v>
      </c>
      <c r="GG42" s="238">
        <f>GG32-GG34-GG36-GG40-GG38</f>
        <v>771</v>
      </c>
      <c r="GH42" s="238">
        <f>GH32-GH34-GH36-GH40-GH38</f>
        <v>482</v>
      </c>
      <c r="GI42" s="239">
        <f>SUM(GE42:GH42)</f>
        <v>1641</v>
      </c>
      <c r="GJ42" s="238">
        <f>GJ32-GJ34-GJ36-GJ40-GJ38</f>
        <v>709</v>
      </c>
      <c r="GK42" s="238">
        <f>GK32-GK34-GK36-GK40-GK38+104</f>
        <v>872</v>
      </c>
      <c r="GL42" s="238">
        <f>GL32-GL34-GL36-GL40-GL38+71</f>
        <v>1243</v>
      </c>
      <c r="GM42" s="238">
        <f>GM32-GM34-GM36-GM40-GM38-109</f>
        <v>1511</v>
      </c>
      <c r="GN42" s="239">
        <f>SUM(GJ42:GM42)</f>
        <v>4335</v>
      </c>
      <c r="GO42" s="238">
        <f>GO32-GO34-GO36-GO40-GO38+11</f>
        <v>1383</v>
      </c>
      <c r="GP42" s="238">
        <f>GP32-GP34-GP36-GP40-GP38</f>
        <v>2149.7640674265749</v>
      </c>
      <c r="GQ42" s="238">
        <f>GQ32-GQ34-GQ36-GQ40-GQ38</f>
        <v>2317.244866693582</v>
      </c>
      <c r="GR42" s="238">
        <f>GR32-GR34-GR36-GR40-GR38</f>
        <v>3861.5072783371406</v>
      </c>
      <c r="GS42" s="239">
        <f>SUM(GO42:GR42)</f>
        <v>9711.5162124572962</v>
      </c>
      <c r="GT42" s="238">
        <f>GT32-GT34-GT36-GT40-GT38</f>
        <v>4203.2443701607463</v>
      </c>
      <c r="GU42" s="238">
        <f>GU32-GU34-GU36-GU40-GU38</f>
        <v>4723.6174390513443</v>
      </c>
      <c r="GV42" s="238">
        <f>GV32-GV34-GV36-GV40-GV38</f>
        <v>5579.1213372528164</v>
      </c>
      <c r="GW42" s="238">
        <f>GW32-GW34-GW36-GW40-GW38</f>
        <v>6176.7741174571756</v>
      </c>
      <c r="GX42" s="239">
        <f>SUM(GT42:GW42)</f>
        <v>20682.757263922082</v>
      </c>
      <c r="GY42" s="238">
        <f>GY32-GY34-GY36-GY40-GY38</f>
        <v>6193.6590405152901</v>
      </c>
      <c r="GZ42" s="238">
        <f>GZ32-GZ34-GZ36-GZ40-GZ38</f>
        <v>6703.6070267887917</v>
      </c>
      <c r="HA42" s="238">
        <f>HA32-HA34-HA36-HA40-HA38</f>
        <v>7611.7256026153436</v>
      </c>
      <c r="HB42" s="238">
        <f>HB32-HB34-HB36-HB40-HB38</f>
        <v>8426.4028103377859</v>
      </c>
      <c r="HC42" s="239">
        <f>SUM(GY42:HB42)</f>
        <v>28935.394480257211</v>
      </c>
      <c r="HD42" s="238">
        <f>HD32-HD34-HD36-HD40-HD38</f>
        <v>8095.2922590823946</v>
      </c>
      <c r="HE42" s="238">
        <f>HE32-HE34-HE36-HE40-HE38</f>
        <v>8493.8293743691393</v>
      </c>
      <c r="HF42" s="238">
        <f>HF32-HF34-HF36-HF40-HF38</f>
        <v>9459.3785724610898</v>
      </c>
      <c r="HG42" s="238">
        <f>HG32-HG34-HG36-HG40-HG38</f>
        <v>9872.5080193334452</v>
      </c>
      <c r="HH42" s="239">
        <f>SUM(HD42:HG42)</f>
        <v>35921.008225246071</v>
      </c>
      <c r="HI42" s="238">
        <f>HI32-HI34-HI36-HI40-HI38</f>
        <v>9190.6020119451805</v>
      </c>
      <c r="HJ42" s="238">
        <f>HJ32-HJ34-HJ36-HJ40-HJ38</f>
        <v>9698.9913585597842</v>
      </c>
      <c r="HK42" s="238">
        <f>HK32-HK34-HK36-HK40-HK38</f>
        <v>11155.388640623361</v>
      </c>
      <c r="HL42" s="238">
        <f>HL32-HL34-HL36-HL40-HL38</f>
        <v>11900.864024212613</v>
      </c>
      <c r="HM42" s="239">
        <f>SUM(HI42:HL42)</f>
        <v>41945.846035340939</v>
      </c>
      <c r="HN42" s="246"/>
      <c r="HO42" s="267"/>
      <c r="HP42"/>
      <c r="HQ42"/>
      <c r="HR42"/>
      <c r="HS42"/>
      <c r="HT42"/>
      <c r="HU42"/>
      <c r="HV42"/>
      <c r="HW42"/>
      <c r="HX42"/>
      <c r="HY42"/>
      <c r="HZ42"/>
    </row>
    <row r="43" spans="1:234" s="509" customFormat="1" ht="15" customHeight="1">
      <c r="A43" s="517" t="s">
        <v>202</v>
      </c>
      <c r="L43" s="518"/>
      <c r="M43" s="518"/>
      <c r="N43" s="518"/>
      <c r="O43" s="518"/>
      <c r="P43" s="521"/>
      <c r="Q43" s="518"/>
      <c r="R43" s="518"/>
      <c r="S43" s="518"/>
      <c r="T43" s="518"/>
      <c r="U43" s="521"/>
      <c r="V43" s="518"/>
      <c r="W43" s="518"/>
      <c r="X43" s="518"/>
      <c r="Y43" s="518"/>
      <c r="Z43" s="521"/>
      <c r="AA43" s="518"/>
      <c r="AB43" s="518"/>
      <c r="AC43" s="518"/>
      <c r="AD43" s="518"/>
      <c r="AE43" s="521"/>
      <c r="AF43" s="518">
        <f t="shared" ref="AF43:CQ43" si="77">AF42/AF$9</f>
        <v>0.15082479818767752</v>
      </c>
      <c r="AG43" s="518">
        <f t="shared" si="77"/>
        <v>0.15730691384822967</v>
      </c>
      <c r="AH43" s="518">
        <f t="shared" si="77"/>
        <v>0.14661850933785259</v>
      </c>
      <c r="AI43" s="518">
        <f t="shared" si="77"/>
        <v>0.10072229586554562</v>
      </c>
      <c r="AJ43" s="521">
        <f t="shared" si="77"/>
        <v>0.13879983983303804</v>
      </c>
      <c r="AK43" s="518">
        <f t="shared" si="77"/>
        <v>0.16486123021750995</v>
      </c>
      <c r="AL43" s="518">
        <f t="shared" si="77"/>
        <v>0.17482565999808747</v>
      </c>
      <c r="AM43" s="518">
        <f t="shared" si="77"/>
        <v>0.15960921648125442</v>
      </c>
      <c r="AN43" s="518">
        <f t="shared" si="77"/>
        <v>7.4764109412144522E-2</v>
      </c>
      <c r="AO43" s="521">
        <f t="shared" si="77"/>
        <v>0.14300457356420868</v>
      </c>
      <c r="AP43" s="518">
        <f t="shared" si="77"/>
        <v>0.15610647383630921</v>
      </c>
      <c r="AQ43" s="518">
        <f t="shared" si="77"/>
        <v>0.14689067954405374</v>
      </c>
      <c r="AR43" s="518">
        <f t="shared" si="77"/>
        <v>9.512944942706876E-2</v>
      </c>
      <c r="AS43" s="518">
        <f t="shared" si="77"/>
        <v>9.3708739370249941E-2</v>
      </c>
      <c r="AT43" s="521">
        <f t="shared" si="77"/>
        <v>0.12368524161592016</v>
      </c>
      <c r="AU43" s="518">
        <f t="shared" si="77"/>
        <v>4.6538848830970245E-2</v>
      </c>
      <c r="AV43" s="518">
        <f t="shared" si="77"/>
        <v>-7.6189304227636201E-2</v>
      </c>
      <c r="AW43" s="518">
        <f t="shared" si="77"/>
        <v>-8.39684631245321E-2</v>
      </c>
      <c r="AX43" s="518">
        <f t="shared" si="77"/>
        <v>-4.2753809864994358E-2</v>
      </c>
      <c r="AY43" s="521">
        <f t="shared" si="77"/>
        <v>-3.5304316035839903E-2</v>
      </c>
      <c r="AZ43" s="518">
        <f t="shared" si="77"/>
        <v>2.3461999025360541E-2</v>
      </c>
      <c r="BA43" s="518">
        <f t="shared" si="77"/>
        <v>1.6765310876428074E-2</v>
      </c>
      <c r="BB43" s="518">
        <f t="shared" si="77"/>
        <v>-5.3088608952742353E-2</v>
      </c>
      <c r="BC43" s="518">
        <f t="shared" si="77"/>
        <v>-2.0115106552658066E-2</v>
      </c>
      <c r="BD43" s="521">
        <f t="shared" si="77"/>
        <v>-8.9501883189220567E-3</v>
      </c>
      <c r="BE43" s="518">
        <f t="shared" si="77"/>
        <v>-0.11597726566775632</v>
      </c>
      <c r="BF43" s="518">
        <f t="shared" si="77"/>
        <v>-0.12261223311517866</v>
      </c>
      <c r="BG43" s="518">
        <f t="shared" si="77"/>
        <v>1.4666283729901516E-3</v>
      </c>
      <c r="BH43" s="518">
        <f t="shared" si="77"/>
        <v>2.8296696331228947E-2</v>
      </c>
      <c r="BI43" s="521">
        <f t="shared" si="77"/>
        <v>-4.0894663199248164E-2</v>
      </c>
      <c r="BJ43" s="518">
        <f t="shared" si="77"/>
        <v>-0.20324322783818055</v>
      </c>
      <c r="BK43" s="518">
        <f t="shared" si="77"/>
        <v>0.13425439709364173</v>
      </c>
      <c r="BL43" s="518">
        <f t="shared" si="77"/>
        <v>-0.15938730760866926</v>
      </c>
      <c r="BM43" s="518">
        <f t="shared" si="77"/>
        <v>6.7182128810479885E-2</v>
      </c>
      <c r="BN43" s="521">
        <f t="shared" si="77"/>
        <v>-3.1122576816101834E-2</v>
      </c>
      <c r="BO43" s="518">
        <f t="shared" si="77"/>
        <v>0.17339191541616561</v>
      </c>
      <c r="BP43" s="518">
        <f t="shared" si="77"/>
        <v>0.17697834227728609</v>
      </c>
      <c r="BQ43" s="518">
        <f t="shared" si="77"/>
        <v>0.33862445702578176</v>
      </c>
      <c r="BR43" s="518">
        <f t="shared" si="77"/>
        <v>0.1514399594272158</v>
      </c>
      <c r="BS43" s="521">
        <f t="shared" si="77"/>
        <v>0.21166804868107159</v>
      </c>
      <c r="BT43" s="518">
        <f t="shared" si="77"/>
        <v>0.10501561728441797</v>
      </c>
      <c r="BU43" s="518">
        <f t="shared" si="77"/>
        <v>1.7611523408954402E-2</v>
      </c>
      <c r="BV43" s="518">
        <f t="shared" si="77"/>
        <v>-0.244072753861621</v>
      </c>
      <c r="BW43" s="518">
        <f t="shared" si="77"/>
        <v>-1.6642976531533089E-2</v>
      </c>
      <c r="BX43" s="521">
        <f t="shared" si="77"/>
        <v>-1.5566502918735256E-2</v>
      </c>
      <c r="BY43" s="518">
        <f t="shared" si="77"/>
        <v>-1.0157714508692822E-2</v>
      </c>
      <c r="BZ43" s="518">
        <f t="shared" si="77"/>
        <v>-0.30807647522318043</v>
      </c>
      <c r="CA43" s="518">
        <f t="shared" si="77"/>
        <v>-0.50011313842043037</v>
      </c>
      <c r="CB43" s="518">
        <f t="shared" si="77"/>
        <v>-1.2451961598414991</v>
      </c>
      <c r="CC43" s="521">
        <f t="shared" si="77"/>
        <v>-0.48312865749682349</v>
      </c>
      <c r="CD43" s="518">
        <f t="shared" si="77"/>
        <v>-0.20482118241422997</v>
      </c>
      <c r="CE43" s="518">
        <f t="shared" si="77"/>
        <v>-0.21711524483891012</v>
      </c>
      <c r="CF43" s="518">
        <f t="shared" si="77"/>
        <v>-3.2745169377169682E-2</v>
      </c>
      <c r="CG43" s="518">
        <f t="shared" si="77"/>
        <v>3.5827182141900324E-2</v>
      </c>
      <c r="CH43" s="521">
        <f t="shared" si="77"/>
        <v>-7.7998549657191704E-2</v>
      </c>
      <c r="CI43" s="518">
        <f t="shared" si="77"/>
        <v>3.6468615768100614E-2</v>
      </c>
      <c r="CJ43" s="518">
        <f t="shared" si="77"/>
        <v>2.5502501511684983E-2</v>
      </c>
      <c r="CK43" s="518">
        <f t="shared" si="77"/>
        <v>3.5376724845275265E-2</v>
      </c>
      <c r="CL43" s="518">
        <f t="shared" si="77"/>
        <v>-2.3710419986927318E-2</v>
      </c>
      <c r="CM43" s="521">
        <f t="shared" si="77"/>
        <v>1.8225969146854863E-2</v>
      </c>
      <c r="CN43" s="518">
        <f t="shared" si="77"/>
        <v>-1.4203980342858665E-2</v>
      </c>
      <c r="CO43" s="518">
        <f t="shared" si="77"/>
        <v>8.9839180010127199E-3</v>
      </c>
      <c r="CP43" s="518">
        <f t="shared" si="77"/>
        <v>4.9909538960633958E-2</v>
      </c>
      <c r="CQ43" s="518">
        <f t="shared" si="77"/>
        <v>5.1998176552378386E-2</v>
      </c>
      <c r="CR43" s="521">
        <f t="shared" ref="CR43:DQ43" si="78">CR42/CR$9</f>
        <v>2.829941358617424E-2</v>
      </c>
      <c r="CS43" s="518">
        <f t="shared" si="78"/>
        <v>0.13851510106158568</v>
      </c>
      <c r="CT43" s="518">
        <f t="shared" si="78"/>
        <v>7.304292207861611E-2</v>
      </c>
      <c r="CU43" s="518">
        <f t="shared" si="78"/>
        <v>0.10127506172690726</v>
      </c>
      <c r="CV43" s="518">
        <f t="shared" si="78"/>
        <v>-0.32318161308516641</v>
      </c>
      <c r="CW43" s="521">
        <f t="shared" si="78"/>
        <v>-2.9238927576145598E-2</v>
      </c>
      <c r="CX43" s="518">
        <f t="shared" si="78"/>
        <v>-0.49553933495539337</v>
      </c>
      <c r="CY43" s="518">
        <f t="shared" si="78"/>
        <v>-0.43541364296081275</v>
      </c>
      <c r="CZ43" s="518">
        <f t="shared" si="78"/>
        <v>-0.24264705882352941</v>
      </c>
      <c r="DA43" s="518">
        <f t="shared" si="78"/>
        <v>-1.0011299435028249</v>
      </c>
      <c r="DB43" s="521">
        <f t="shared" si="78"/>
        <v>-0.56194911026110095</v>
      </c>
      <c r="DC43" s="518">
        <f t="shared" si="78"/>
        <v>-0.23787375415282391</v>
      </c>
      <c r="DD43" s="518">
        <f t="shared" si="78"/>
        <v>-0.1994069681245367</v>
      </c>
      <c r="DE43" s="518">
        <f t="shared" si="78"/>
        <v>1.4321295143212951E-2</v>
      </c>
      <c r="DF43" s="518">
        <f t="shared" si="78"/>
        <v>-1.2168674698795181</v>
      </c>
      <c r="DG43" s="521">
        <f t="shared" si="78"/>
        <v>-0.35894699395233015</v>
      </c>
      <c r="DH43" s="518">
        <f t="shared" si="78"/>
        <v>-0.34664401019541208</v>
      </c>
      <c r="DI43" s="518">
        <f t="shared" si="78"/>
        <v>-0.26182432432432434</v>
      </c>
      <c r="DJ43" s="518">
        <f t="shared" si="78"/>
        <v>-7.5931232091690545E-2</v>
      </c>
      <c r="DK43" s="518">
        <f t="shared" si="78"/>
        <v>0.73086269744835963</v>
      </c>
      <c r="DL43" s="521">
        <f t="shared" si="78"/>
        <v>7.0146215065704232E-2</v>
      </c>
      <c r="DM43" s="518">
        <f t="shared" si="78"/>
        <v>0.16327827191867852</v>
      </c>
      <c r="DN43" s="518">
        <f t="shared" si="78"/>
        <v>-2.601330913490623E-2</v>
      </c>
      <c r="DO43" s="518">
        <f t="shared" si="78"/>
        <v>-7.2929542645241041E-2</v>
      </c>
      <c r="DP43" s="518">
        <f t="shared" si="78"/>
        <v>0.22741055184960582</v>
      </c>
      <c r="DQ43" s="521">
        <f t="shared" si="78"/>
        <v>7.2528487834924549E-2</v>
      </c>
      <c r="DR43" s="518">
        <f>DR42/DR$9</f>
        <v>0.31618102913825169</v>
      </c>
      <c r="DS43" s="518">
        <f>DS42/DS$9</f>
        <v>3.8754764930114358E-2</v>
      </c>
      <c r="DT43" s="518">
        <f>DT42/DT$9</f>
        <v>5.7396449704142011E-2</v>
      </c>
      <c r="DU43" s="518">
        <f>DU42/DU$9</f>
        <v>-0.10467179183914843</v>
      </c>
      <c r="DV43" s="521">
        <f t="shared" ref="DV43:ED43" si="79">DV42/DV$9</f>
        <v>7.4756394640682094E-2</v>
      </c>
      <c r="DW43" s="518">
        <f>DW42/DW$9</f>
        <v>-0.37223974763406942</v>
      </c>
      <c r="DX43" s="518">
        <f>DX42/DX$9</f>
        <v>2.6185421089879687E-2</v>
      </c>
      <c r="DY43" s="518">
        <f>DY42/DY$9</f>
        <v>-0.12371946414499606</v>
      </c>
      <c r="DZ43" s="518">
        <f>DZ42/DZ$9</f>
        <v>-0.40952380952380951</v>
      </c>
      <c r="EA43" s="521">
        <f t="shared" si="79"/>
        <v>-0.21818517152342309</v>
      </c>
      <c r="EB43" s="518">
        <f t="shared" si="79"/>
        <v>-0.13419117647058823</v>
      </c>
      <c r="EC43" s="518">
        <f t="shared" si="79"/>
        <v>-6.3738156761412576E-2</v>
      </c>
      <c r="ED43" s="518">
        <f t="shared" si="79"/>
        <v>3.2854209445585217E-2</v>
      </c>
      <c r="EE43" s="518">
        <f>EE42/EE$9</f>
        <v>5.6010069225928258E-2</v>
      </c>
      <c r="EF43" s="521">
        <f t="shared" ref="EF43:EU43" si="80">EF42/EF$9</f>
        <v>-1.5663332704283828E-2</v>
      </c>
      <c r="EG43" s="518">
        <f t="shared" si="80"/>
        <v>-1.4316392269148175E-2</v>
      </c>
      <c r="EH43" s="518">
        <f t="shared" si="80"/>
        <v>-2.4982650936849409E-2</v>
      </c>
      <c r="EI43" s="518">
        <f t="shared" si="80"/>
        <v>1.1896431070678797E-2</v>
      </c>
      <c r="EJ43" s="518">
        <f t="shared" si="80"/>
        <v>-0.29378531073446329</v>
      </c>
      <c r="EK43" s="521">
        <f>EK42/EK$9</f>
        <v>-7.3192880494006532E-2</v>
      </c>
      <c r="EL43" s="518">
        <f>EL42/EL$9</f>
        <v>-0.17475728155339806</v>
      </c>
      <c r="EM43" s="518">
        <f>EM42/EM$9</f>
        <v>-0.19214437367303611</v>
      </c>
      <c r="EN43" s="518">
        <f>EN42/EN$9</f>
        <v>-0.18567389255419417</v>
      </c>
      <c r="EO43" s="518">
        <f t="shared" si="80"/>
        <v>-0.10647181628392484</v>
      </c>
      <c r="EP43" s="521">
        <f t="shared" si="80"/>
        <v>-0.16537208719619143</v>
      </c>
      <c r="EQ43" s="518">
        <f t="shared" si="80"/>
        <v>-0.13100961538461539</v>
      </c>
      <c r="ER43" s="518">
        <f t="shared" si="80"/>
        <v>6.718597857838364E-2</v>
      </c>
      <c r="ES43" s="518">
        <f t="shared" si="80"/>
        <v>-0.31063504208110176</v>
      </c>
      <c r="ET43" s="518">
        <f t="shared" si="80"/>
        <v>-4.6112115732368897E-2</v>
      </c>
      <c r="EU43" s="521">
        <f t="shared" si="80"/>
        <v>-0.11633895131086143</v>
      </c>
      <c r="EV43" s="518">
        <f>EV42/EV$9</f>
        <v>-7.41869918699187E-2</v>
      </c>
      <c r="EW43" s="518">
        <f>EW42/EW$9</f>
        <v>-1.3093289689034371E-2</v>
      </c>
      <c r="EX43" s="518">
        <f>EX42/EX$9</f>
        <v>4.3213633597078513E-2</v>
      </c>
      <c r="EY43" s="518">
        <f>EY42/EY$9</f>
        <v>4.1216216216216219E-2</v>
      </c>
      <c r="EZ43" s="521">
        <f>EZ42/EZ$9</f>
        <v>8.0690561080878215E-3</v>
      </c>
      <c r="FA43" s="518">
        <f t="shared" ref="FA43:HL43" si="81">FA42/FA$9</f>
        <v>4.9180327868852458E-2</v>
      </c>
      <c r="FB43" s="518">
        <f t="shared" si="81"/>
        <v>6.6059225512528477E-2</v>
      </c>
      <c r="FC43" s="518">
        <f t="shared" si="81"/>
        <v>6.1705989110707807E-2</v>
      </c>
      <c r="FD43" s="518">
        <f t="shared" si="81"/>
        <v>2.6779422128259338E-2</v>
      </c>
      <c r="FE43" s="521">
        <f t="shared" si="81"/>
        <v>5.2046332046332043E-2</v>
      </c>
      <c r="FF43" s="518">
        <f t="shared" si="81"/>
        <v>1.2578616352201259E-2</v>
      </c>
      <c r="FG43" s="518">
        <f t="shared" si="81"/>
        <v>2.2860875244937948E-2</v>
      </c>
      <c r="FH43" s="518">
        <f t="shared" si="81"/>
        <v>6.6629650194336476E-2</v>
      </c>
      <c r="FI43" s="518">
        <f t="shared" si="81"/>
        <v>7.992477668077104E-2</v>
      </c>
      <c r="FJ43" s="521">
        <f t="shared" si="81"/>
        <v>5.0661120190164909E-2</v>
      </c>
      <c r="FK43" s="518">
        <f t="shared" si="81"/>
        <v>9.0705487122060474E-2</v>
      </c>
      <c r="FL43" s="518">
        <f t="shared" si="81"/>
        <v>8.1262939958592129E-2</v>
      </c>
      <c r="FM43" s="518">
        <f t="shared" si="81"/>
        <v>0.13923598714744734</v>
      </c>
      <c r="FN43" s="518">
        <f t="shared" si="81"/>
        <v>0.5490135635018496</v>
      </c>
      <c r="FO43" s="521">
        <f t="shared" si="81"/>
        <v>0.25504455597664655</v>
      </c>
      <c r="FP43" s="518">
        <f t="shared" si="81"/>
        <v>0.16110304789550073</v>
      </c>
      <c r="FQ43" s="518">
        <f t="shared" si="81"/>
        <v>0.18441558441558442</v>
      </c>
      <c r="FR43" s="518">
        <f t="shared" si="81"/>
        <v>0.21400417342916764</v>
      </c>
      <c r="FS43" s="518">
        <f t="shared" si="81"/>
        <v>0.20182345627849149</v>
      </c>
      <c r="FT43" s="521">
        <f t="shared" si="81"/>
        <v>0.19240598758671049</v>
      </c>
      <c r="FU43" s="518">
        <f t="shared" si="81"/>
        <v>0.13351452352641413</v>
      </c>
      <c r="FV43" s="518">
        <f t="shared" si="81"/>
        <v>6.8244274809160302E-2</v>
      </c>
      <c r="FW43" s="518">
        <f t="shared" si="81"/>
        <v>1.1859838274932614E-2</v>
      </c>
      <c r="FX43" s="518">
        <f t="shared" si="81"/>
        <v>3.7506697624575818E-3</v>
      </c>
      <c r="FY43" s="521">
        <f t="shared" si="81"/>
        <v>5.5929833481632135E-2</v>
      </c>
      <c r="FZ43" s="518">
        <f t="shared" si="81"/>
        <v>-2.5966747618158044E-2</v>
      </c>
      <c r="GA43" s="518">
        <f t="shared" si="81"/>
        <v>5.0382534054860982E-3</v>
      </c>
      <c r="GB43" s="518">
        <f t="shared" si="81"/>
        <v>5.1551724137931035E-2</v>
      </c>
      <c r="GC43" s="518">
        <f t="shared" si="81"/>
        <v>0.10813878080415046</v>
      </c>
      <c r="GD43" s="521">
        <f t="shared" si="81"/>
        <v>3.7654320987654324E-2</v>
      </c>
      <c r="GE43" s="518">
        <f t="shared" si="81"/>
        <v>2.2473963091540289E-2</v>
      </c>
      <c r="GF43" s="518">
        <f t="shared" si="81"/>
        <v>4.5415595544130251E-2</v>
      </c>
      <c r="GG43" s="518">
        <f t="shared" si="81"/>
        <v>0.11306643202815662</v>
      </c>
      <c r="GH43" s="518">
        <f t="shared" si="81"/>
        <v>6.2940715591538257E-2</v>
      </c>
      <c r="GI43" s="521">
        <f t="shared" si="81"/>
        <v>6.3641652123327522E-2</v>
      </c>
      <c r="GJ43" s="518">
        <f t="shared" si="81"/>
        <v>9.5321322936273198E-2</v>
      </c>
      <c r="GK43" s="518">
        <f t="shared" si="81"/>
        <v>0.11346779440468445</v>
      </c>
      <c r="GL43" s="518">
        <f t="shared" si="81"/>
        <v>0.13443651308674021</v>
      </c>
      <c r="GM43" s="518">
        <f t="shared" si="81"/>
        <v>0.14712755598831548</v>
      </c>
      <c r="GN43" s="521">
        <f t="shared" si="81"/>
        <v>0.12514795461762754</v>
      </c>
      <c r="GO43" s="518">
        <f t="shared" si="81"/>
        <v>0.1348873500438896</v>
      </c>
      <c r="GP43" s="518">
        <f t="shared" si="81"/>
        <v>0.19155814892855916</v>
      </c>
      <c r="GQ43" s="518">
        <f t="shared" si="81"/>
        <v>0.19320645977810161</v>
      </c>
      <c r="GR43" s="518">
        <f t="shared" si="81"/>
        <v>0.23848866599103186</v>
      </c>
      <c r="GS43" s="521">
        <f t="shared" si="81"/>
        <v>0.19555733723314908</v>
      </c>
      <c r="GT43" s="518">
        <f t="shared" si="81"/>
        <v>0.24108311504495555</v>
      </c>
      <c r="GU43" s="518">
        <f t="shared" si="81"/>
        <v>0.24587422434068817</v>
      </c>
      <c r="GV43" s="518">
        <f t="shared" si="81"/>
        <v>0.25204029119149168</v>
      </c>
      <c r="GW43" s="518">
        <f t="shared" si="81"/>
        <v>0.25192292098736235</v>
      </c>
      <c r="GX43" s="521">
        <f t="shared" si="81"/>
        <v>0.24829033663892688</v>
      </c>
      <c r="GY43" s="518">
        <f t="shared" si="81"/>
        <v>0.25870005170661675</v>
      </c>
      <c r="GZ43" s="518">
        <f t="shared" si="81"/>
        <v>0.26778985985605025</v>
      </c>
      <c r="HA43" s="518">
        <f t="shared" si="81"/>
        <v>0.28325936392066864</v>
      </c>
      <c r="HB43" s="518">
        <f t="shared" si="81"/>
        <v>0.29307101703672539</v>
      </c>
      <c r="HC43" s="521">
        <f t="shared" si="81"/>
        <v>0.27663279191803486</v>
      </c>
      <c r="HD43" s="518">
        <f t="shared" si="81"/>
        <v>0.28730586335453689</v>
      </c>
      <c r="HE43" s="518">
        <f t="shared" si="81"/>
        <v>0.28911934679996926</v>
      </c>
      <c r="HF43" s="518">
        <f t="shared" si="81"/>
        <v>0.29825136294472865</v>
      </c>
      <c r="HG43" s="518">
        <f t="shared" si="81"/>
        <v>0.29813493973906224</v>
      </c>
      <c r="HH43" s="521">
        <f t="shared" si="81"/>
        <v>0.2935077765250087</v>
      </c>
      <c r="HI43" s="518">
        <f t="shared" si="81"/>
        <v>0.28980001031264246</v>
      </c>
      <c r="HJ43" s="518">
        <f t="shared" si="81"/>
        <v>0.29342034451450272</v>
      </c>
      <c r="HK43" s="518">
        <f t="shared" si="81"/>
        <v>0.30712856565555136</v>
      </c>
      <c r="HL43" s="518">
        <f t="shared" si="81"/>
        <v>0.31320363882318542</v>
      </c>
      <c r="HM43" s="521">
        <f t="shared" ref="HM43" si="82">HM42/HM$9</f>
        <v>0.30157924928686292</v>
      </c>
      <c r="HN43" s="521"/>
      <c r="HO43" s="521"/>
      <c r="HP43" s="453"/>
      <c r="HQ43" s="453"/>
      <c r="HR43" s="453"/>
      <c r="HS43" s="453"/>
      <c r="HT43" s="453"/>
      <c r="HU43" s="453"/>
      <c r="HV43" s="453"/>
      <c r="HW43" s="453"/>
      <c r="HX43" s="453"/>
      <c r="HY43" s="453"/>
      <c r="HZ43" s="453"/>
    </row>
    <row r="44" spans="1:234" s="509" customFormat="1" ht="15" customHeight="1">
      <c r="A44" s="522" t="s">
        <v>383</v>
      </c>
      <c r="L44" s="523"/>
      <c r="M44" s="523"/>
      <c r="N44" s="523"/>
      <c r="O44" s="523"/>
      <c r="P44" s="524"/>
      <c r="Q44" s="523"/>
      <c r="R44" s="523"/>
      <c r="S44" s="523"/>
      <c r="T44" s="523"/>
      <c r="U44" s="524"/>
      <c r="V44" s="523"/>
      <c r="W44" s="523"/>
      <c r="X44" s="523"/>
      <c r="Y44" s="523"/>
      <c r="Z44" s="524"/>
      <c r="AA44" s="523"/>
      <c r="AB44" s="523"/>
      <c r="AC44" s="523"/>
      <c r="AD44" s="523"/>
      <c r="AE44" s="524"/>
      <c r="AF44" s="523">
        <v>2.5870000000000002</v>
      </c>
      <c r="AG44" s="523">
        <v>2.5880000000000001</v>
      </c>
      <c r="AH44" s="523">
        <v>2.5870000000000002</v>
      </c>
      <c r="AI44" s="523">
        <v>2.5879999999999992</v>
      </c>
      <c r="AJ44" s="524">
        <f>SUM(AF44:AI44)</f>
        <v>10.35</v>
      </c>
      <c r="AK44" s="523">
        <v>2.5880000000000001</v>
      </c>
      <c r="AL44" s="523">
        <v>2.5870000000000002</v>
      </c>
      <c r="AM44" s="546">
        <v>2.5870000000000002</v>
      </c>
      <c r="AN44" s="546">
        <v>2.5879999999999992</v>
      </c>
      <c r="AO44" s="524">
        <f>SUM(AK44:AN44)</f>
        <v>10.35</v>
      </c>
      <c r="AP44" s="547">
        <v>0.01</v>
      </c>
      <c r="AQ44" s="547">
        <v>0</v>
      </c>
      <c r="AR44" s="547">
        <v>0</v>
      </c>
      <c r="AS44" s="547">
        <v>0</v>
      </c>
      <c r="AT44" s="524">
        <f>SUM(AP44:AS44)</f>
        <v>0.01</v>
      </c>
      <c r="AU44" s="523">
        <v>0</v>
      </c>
      <c r="AV44" s="523">
        <v>0</v>
      </c>
      <c r="AW44" s="523">
        <v>0</v>
      </c>
      <c r="AX44" s="523">
        <v>0</v>
      </c>
      <c r="AY44" s="524">
        <f>SUM(AU44:AX44)</f>
        <v>0</v>
      </c>
      <c r="AZ44" s="523">
        <v>0</v>
      </c>
      <c r="BA44" s="523">
        <v>0</v>
      </c>
      <c r="BB44" s="523">
        <v>0</v>
      </c>
      <c r="BC44" s="523">
        <v>0</v>
      </c>
      <c r="BD44" s="524">
        <f>SUM(AZ44:BC44)</f>
        <v>0</v>
      </c>
      <c r="BE44" s="523">
        <v>0</v>
      </c>
      <c r="BF44" s="523">
        <v>0</v>
      </c>
      <c r="BG44" s="523">
        <v>0</v>
      </c>
      <c r="BH44" s="523">
        <v>0</v>
      </c>
      <c r="BI44" s="524">
        <f>SUM(BE44:BH44)</f>
        <v>0</v>
      </c>
      <c r="BJ44" s="523">
        <v>0</v>
      </c>
      <c r="BK44" s="523">
        <v>0</v>
      </c>
      <c r="BL44" s="523">
        <v>0</v>
      </c>
      <c r="BM44" s="523">
        <v>0</v>
      </c>
      <c r="BN44" s="524">
        <f>SUM(BJ44:BM44)</f>
        <v>0</v>
      </c>
      <c r="BO44" s="523">
        <v>0</v>
      </c>
      <c r="BP44" s="523">
        <v>0</v>
      </c>
      <c r="BQ44" s="523">
        <v>0</v>
      </c>
      <c r="BR44" s="523">
        <v>0</v>
      </c>
      <c r="BS44" s="524">
        <f>SUM(BO44:BR44)</f>
        <v>0</v>
      </c>
      <c r="BT44" s="523">
        <v>0</v>
      </c>
      <c r="BU44" s="523">
        <v>0</v>
      </c>
      <c r="BV44" s="523">
        <v>0</v>
      </c>
      <c r="BW44" s="523">
        <v>0</v>
      </c>
      <c r="BX44" s="524">
        <f>SUM(BT44:BW44)</f>
        <v>0</v>
      </c>
      <c r="BY44" s="523">
        <v>0</v>
      </c>
      <c r="BZ44" s="523">
        <v>0</v>
      </c>
      <c r="CA44" s="523">
        <v>0</v>
      </c>
      <c r="CB44" s="523">
        <v>0</v>
      </c>
      <c r="CC44" s="524">
        <f>SUM(BY44:CB44)</f>
        <v>0</v>
      </c>
      <c r="CD44" s="523">
        <v>0</v>
      </c>
      <c r="CE44" s="523">
        <v>0</v>
      </c>
      <c r="CF44" s="523">
        <v>0</v>
      </c>
      <c r="CG44" s="523">
        <v>0</v>
      </c>
      <c r="CH44" s="524">
        <f>SUM(CD44:CG44)</f>
        <v>0</v>
      </c>
      <c r="CI44" s="523">
        <v>0</v>
      </c>
      <c r="CJ44" s="523">
        <v>0</v>
      </c>
      <c r="CK44" s="523">
        <v>0</v>
      </c>
      <c r="CL44" s="523">
        <v>0</v>
      </c>
      <c r="CM44" s="524">
        <f>SUM(CI44:CL44)</f>
        <v>0</v>
      </c>
      <c r="CN44" s="523">
        <v>0</v>
      </c>
      <c r="CO44" s="523">
        <v>0</v>
      </c>
      <c r="CP44" s="523">
        <v>0</v>
      </c>
      <c r="CQ44" s="523">
        <v>0</v>
      </c>
      <c r="CR44" s="524">
        <f>SUM(CN44:CQ44)</f>
        <v>0</v>
      </c>
      <c r="CS44" s="539">
        <v>0</v>
      </c>
      <c r="CT44" s="539">
        <v>0</v>
      </c>
      <c r="CU44" s="539">
        <v>0</v>
      </c>
      <c r="CV44" s="539">
        <v>0</v>
      </c>
      <c r="CW44" s="524">
        <f>SUM(CS44:CV44)</f>
        <v>0</v>
      </c>
      <c r="CX44" s="539">
        <v>0</v>
      </c>
      <c r="CY44" s="539">
        <v>0</v>
      </c>
      <c r="CZ44" s="539">
        <v>0</v>
      </c>
      <c r="DA44" s="539">
        <v>0</v>
      </c>
      <c r="DB44" s="524">
        <f>SUM(CX44:DA44)</f>
        <v>0</v>
      </c>
      <c r="DC44" s="539">
        <v>0</v>
      </c>
      <c r="DD44" s="539">
        <v>0</v>
      </c>
      <c r="DE44" s="539">
        <v>0</v>
      </c>
      <c r="DF44" s="539">
        <v>0</v>
      </c>
      <c r="DG44" s="524">
        <f>SUM(DC44:DF44)</f>
        <v>0</v>
      </c>
      <c r="DH44" s="539">
        <v>8</v>
      </c>
      <c r="DI44" s="539">
        <v>20</v>
      </c>
      <c r="DJ44" s="539">
        <v>22</v>
      </c>
      <c r="DK44" s="539">
        <v>22</v>
      </c>
      <c r="DL44" s="524">
        <f>SUM(DH44:DK44)</f>
        <v>72</v>
      </c>
      <c r="DM44" s="539">
        <v>0</v>
      </c>
      <c r="DN44" s="539">
        <v>0</v>
      </c>
      <c r="DO44" s="539">
        <v>0</v>
      </c>
      <c r="DP44" s="539">
        <v>0</v>
      </c>
      <c r="DQ44" s="524">
        <f>SUM(DM44:DP44)</f>
        <v>0</v>
      </c>
      <c r="DR44" s="539">
        <v>0</v>
      </c>
      <c r="DS44" s="539">
        <v>0</v>
      </c>
      <c r="DT44" s="539">
        <v>0</v>
      </c>
      <c r="DU44" s="539">
        <v>0</v>
      </c>
      <c r="DV44" s="524">
        <f>SUM(DR44:DU44)</f>
        <v>0</v>
      </c>
      <c r="DW44" s="539">
        <v>0</v>
      </c>
      <c r="DX44" s="539">
        <v>0</v>
      </c>
      <c r="DY44" s="539">
        <v>0</v>
      </c>
      <c r="DZ44" s="539">
        <v>0</v>
      </c>
      <c r="EA44" s="524">
        <f>SUM(DW44:DZ44)</f>
        <v>0</v>
      </c>
      <c r="EB44" s="539">
        <v>0</v>
      </c>
      <c r="EC44" s="539">
        <v>0</v>
      </c>
      <c r="ED44" s="539">
        <v>0</v>
      </c>
      <c r="EE44" s="539">
        <v>0</v>
      </c>
      <c r="EF44" s="524">
        <f>SUM(EB44:EE44)</f>
        <v>0</v>
      </c>
      <c r="EG44" s="539">
        <v>0</v>
      </c>
      <c r="EH44" s="539">
        <v>0</v>
      </c>
      <c r="EI44" s="539">
        <v>0</v>
      </c>
      <c r="EJ44" s="539">
        <v>0</v>
      </c>
      <c r="EK44" s="524">
        <f>SUM(EG44:EJ44)</f>
        <v>0</v>
      </c>
      <c r="EL44" s="539">
        <v>0</v>
      </c>
      <c r="EM44" s="539">
        <v>0</v>
      </c>
      <c r="EN44" s="539">
        <v>0</v>
      </c>
      <c r="EO44" s="539">
        <v>0</v>
      </c>
      <c r="EP44" s="524">
        <f>SUM(EL44:EO44)</f>
        <v>0</v>
      </c>
      <c r="EQ44" s="539">
        <v>0</v>
      </c>
      <c r="ER44" s="539">
        <v>0</v>
      </c>
      <c r="ES44" s="539">
        <v>0</v>
      </c>
      <c r="ET44" s="539">
        <v>0</v>
      </c>
      <c r="EU44" s="524">
        <f>SUM(EQ44:ET44)</f>
        <v>0</v>
      </c>
      <c r="EV44" s="539">
        <v>0</v>
      </c>
      <c r="EW44" s="539">
        <v>0</v>
      </c>
      <c r="EX44" s="539">
        <v>0</v>
      </c>
      <c r="EY44" s="539">
        <v>0</v>
      </c>
      <c r="EZ44" s="524">
        <f>SUM(EV44:EY44)</f>
        <v>0</v>
      </c>
      <c r="FA44" s="539">
        <v>0</v>
      </c>
      <c r="FB44" s="539">
        <v>0</v>
      </c>
      <c r="FC44" s="539">
        <v>0</v>
      </c>
      <c r="FD44" s="539">
        <v>0</v>
      </c>
      <c r="FE44" s="524">
        <f>SUM(FA44:FD44)</f>
        <v>0</v>
      </c>
      <c r="FF44" s="539">
        <v>0</v>
      </c>
      <c r="FG44" s="539">
        <v>0</v>
      </c>
      <c r="FH44" s="539">
        <v>0</v>
      </c>
      <c r="FI44" s="539">
        <v>0</v>
      </c>
      <c r="FJ44" s="524">
        <f>SUM(FF44:FI44)</f>
        <v>0</v>
      </c>
      <c r="FK44" s="539">
        <v>0</v>
      </c>
      <c r="FL44" s="539">
        <v>0</v>
      </c>
      <c r="FM44" s="539">
        <v>0</v>
      </c>
      <c r="FN44" s="539">
        <v>0</v>
      </c>
      <c r="FO44" s="524">
        <f>SUM(FK44:FN44)</f>
        <v>0</v>
      </c>
      <c r="FP44" s="539">
        <v>0</v>
      </c>
      <c r="FQ44" s="539">
        <v>0</v>
      </c>
      <c r="FR44" s="539">
        <v>0</v>
      </c>
      <c r="FS44" s="539">
        <v>0</v>
      </c>
      <c r="FT44" s="524">
        <f>SUM(FP44:FS44)</f>
        <v>0</v>
      </c>
      <c r="FU44" s="539">
        <v>0</v>
      </c>
      <c r="FV44" s="539">
        <v>0</v>
      </c>
      <c r="FW44" s="539">
        <v>0</v>
      </c>
      <c r="FX44" s="539">
        <v>0</v>
      </c>
      <c r="FY44" s="524">
        <f>SUM(FU44:FX44)</f>
        <v>0</v>
      </c>
      <c r="FZ44" s="539">
        <v>0</v>
      </c>
      <c r="GA44" s="539">
        <v>0</v>
      </c>
      <c r="GB44" s="539">
        <v>0</v>
      </c>
      <c r="GC44" s="539">
        <v>0</v>
      </c>
      <c r="GD44" s="524">
        <f>SUM(FZ44:GC44)</f>
        <v>0</v>
      </c>
      <c r="GE44" s="539">
        <v>0</v>
      </c>
      <c r="GF44" s="539">
        <v>0</v>
      </c>
      <c r="GG44" s="539">
        <v>0</v>
      </c>
      <c r="GH44" s="539">
        <v>0</v>
      </c>
      <c r="GI44" s="524">
        <f>SUM(GE44:GH44)</f>
        <v>0</v>
      </c>
      <c r="GJ44" s="539">
        <v>0</v>
      </c>
      <c r="GK44" s="539">
        <v>0</v>
      </c>
      <c r="GL44" s="539">
        <v>0</v>
      </c>
      <c r="GM44" s="539">
        <v>0</v>
      </c>
      <c r="GN44" s="524">
        <f>SUM(GJ44:GM44)</f>
        <v>0</v>
      </c>
      <c r="GO44" s="539">
        <v>0</v>
      </c>
      <c r="GP44" s="548">
        <v>0</v>
      </c>
      <c r="GQ44" s="548">
        <v>0</v>
      </c>
      <c r="GR44" s="548">
        <v>0</v>
      </c>
      <c r="GS44" s="524">
        <f>SUM(GO44:GR44)</f>
        <v>0</v>
      </c>
      <c r="GT44" s="548">
        <v>0</v>
      </c>
      <c r="GU44" s="548">
        <v>0</v>
      </c>
      <c r="GV44" s="548">
        <v>0</v>
      </c>
      <c r="GW44" s="548">
        <v>0</v>
      </c>
      <c r="GX44" s="524">
        <f>SUM(GT44:GW44)</f>
        <v>0</v>
      </c>
      <c r="GY44" s="548">
        <v>0</v>
      </c>
      <c r="GZ44" s="548">
        <v>0</v>
      </c>
      <c r="HA44" s="548">
        <v>0</v>
      </c>
      <c r="HB44" s="548">
        <v>0</v>
      </c>
      <c r="HC44" s="524">
        <f>SUM(GY44:HB44)</f>
        <v>0</v>
      </c>
      <c r="HD44" s="548">
        <v>0</v>
      </c>
      <c r="HE44" s="548">
        <v>0</v>
      </c>
      <c r="HF44" s="548">
        <v>0</v>
      </c>
      <c r="HG44" s="548">
        <v>0</v>
      </c>
      <c r="HH44" s="524">
        <f>SUM(HD44:HG44)</f>
        <v>0</v>
      </c>
      <c r="HI44" s="548">
        <v>0</v>
      </c>
      <c r="HJ44" s="548">
        <v>0</v>
      </c>
      <c r="HK44" s="548">
        <v>0</v>
      </c>
      <c r="HL44" s="548">
        <v>0</v>
      </c>
      <c r="HM44" s="524">
        <f>SUM(HI44:HL44)</f>
        <v>0</v>
      </c>
      <c r="HN44" s="524"/>
      <c r="HO44" s="524"/>
      <c r="HP44" s="453"/>
      <c r="HQ44" s="453"/>
      <c r="HR44" s="453"/>
      <c r="HS44" s="453"/>
      <c r="HT44" s="453"/>
      <c r="HU44" s="453"/>
      <c r="HV44" s="453"/>
      <c r="HW44" s="453"/>
      <c r="HX44" s="453"/>
      <c r="HY44" s="453"/>
      <c r="HZ44" s="453"/>
    </row>
    <row r="45" spans="1:234" s="509" customFormat="1" ht="15" customHeight="1">
      <c r="A45" s="517" t="s">
        <v>202</v>
      </c>
      <c r="L45" s="518"/>
      <c r="M45" s="518"/>
      <c r="N45" s="518"/>
      <c r="O45" s="518"/>
      <c r="P45" s="521"/>
      <c r="Q45" s="518"/>
      <c r="R45" s="518"/>
      <c r="S45" s="518"/>
      <c r="T45" s="518"/>
      <c r="U45" s="521"/>
      <c r="V45" s="518"/>
      <c r="W45" s="518"/>
      <c r="X45" s="518"/>
      <c r="Y45" s="518"/>
      <c r="Z45" s="521"/>
      <c r="AA45" s="518"/>
      <c r="AB45" s="518"/>
      <c r="AC45" s="518"/>
      <c r="AD45" s="518"/>
      <c r="AE45" s="521"/>
      <c r="AF45" s="518">
        <f t="shared" ref="AF45:CQ45" si="83">AF44/AF$32</f>
        <v>3.0311196513099308E-2</v>
      </c>
      <c r="AG45" s="518">
        <f t="shared" si="83"/>
        <v>2.8904251873527159E-2</v>
      </c>
      <c r="AH45" s="518">
        <f t="shared" si="83"/>
        <v>3.0244928976442407E-2</v>
      </c>
      <c r="AI45" s="518">
        <f t="shared" si="83"/>
        <v>4.4457423599539587E-2</v>
      </c>
      <c r="AJ45" s="521">
        <f t="shared" si="83"/>
        <v>3.2482511227650619E-2</v>
      </c>
      <c r="AK45" s="518">
        <f t="shared" si="83"/>
        <v>2.0708804442630686E-2</v>
      </c>
      <c r="AL45" s="518">
        <f t="shared" si="83"/>
        <v>1.8025236724939202E-2</v>
      </c>
      <c r="AM45" s="518">
        <f t="shared" si="83"/>
        <v>1.9054844364568446E-2</v>
      </c>
      <c r="AN45" s="518">
        <f t="shared" si="83"/>
        <v>3.9634893408478297E-2</v>
      </c>
      <c r="AO45" s="521">
        <f t="shared" si="83"/>
        <v>2.2042193230171606E-2</v>
      </c>
      <c r="AP45" s="518">
        <f t="shared" si="83"/>
        <v>6.8217477317688793E-5</v>
      </c>
      <c r="AQ45" s="518">
        <f t="shared" si="83"/>
        <v>0</v>
      </c>
      <c r="AR45" s="518">
        <f t="shared" si="83"/>
        <v>0</v>
      </c>
      <c r="AS45" s="518">
        <f t="shared" si="83"/>
        <v>0</v>
      </c>
      <c r="AT45" s="521">
        <f t="shared" si="83"/>
        <v>2.6431741349551848E-5</v>
      </c>
      <c r="AU45" s="518">
        <f t="shared" si="83"/>
        <v>0</v>
      </c>
      <c r="AV45" s="518">
        <f t="shared" si="83"/>
        <v>0</v>
      </c>
      <c r="AW45" s="518">
        <f t="shared" si="83"/>
        <v>0</v>
      </c>
      <c r="AX45" s="518">
        <f t="shared" si="83"/>
        <v>0</v>
      </c>
      <c r="AY45" s="521">
        <f t="shared" si="83"/>
        <v>0</v>
      </c>
      <c r="AZ45" s="518">
        <f t="shared" si="83"/>
        <v>0</v>
      </c>
      <c r="BA45" s="518">
        <f t="shared" si="83"/>
        <v>0</v>
      </c>
      <c r="BB45" s="518">
        <f t="shared" si="83"/>
        <v>0</v>
      </c>
      <c r="BC45" s="518">
        <f t="shared" si="83"/>
        <v>0</v>
      </c>
      <c r="BD45" s="521">
        <f t="shared" si="83"/>
        <v>0</v>
      </c>
      <c r="BE45" s="518">
        <f t="shared" si="83"/>
        <v>0</v>
      </c>
      <c r="BF45" s="518">
        <f t="shared" si="83"/>
        <v>0</v>
      </c>
      <c r="BG45" s="518">
        <f t="shared" si="83"/>
        <v>0</v>
      </c>
      <c r="BH45" s="518">
        <f t="shared" si="83"/>
        <v>0</v>
      </c>
      <c r="BI45" s="521">
        <f t="shared" si="83"/>
        <v>0</v>
      </c>
      <c r="BJ45" s="518">
        <f t="shared" si="83"/>
        <v>0</v>
      </c>
      <c r="BK45" s="518">
        <f t="shared" si="83"/>
        <v>0</v>
      </c>
      <c r="BL45" s="518">
        <f t="shared" si="83"/>
        <v>0</v>
      </c>
      <c r="BM45" s="518">
        <f t="shared" si="83"/>
        <v>0</v>
      </c>
      <c r="BN45" s="521">
        <f t="shared" si="83"/>
        <v>0</v>
      </c>
      <c r="BO45" s="518">
        <f t="shared" si="83"/>
        <v>0</v>
      </c>
      <c r="BP45" s="518">
        <f t="shared" si="83"/>
        <v>0</v>
      </c>
      <c r="BQ45" s="518">
        <f t="shared" si="83"/>
        <v>0</v>
      </c>
      <c r="BR45" s="518">
        <f t="shared" si="83"/>
        <v>0</v>
      </c>
      <c r="BS45" s="521">
        <f t="shared" si="83"/>
        <v>0</v>
      </c>
      <c r="BT45" s="518">
        <f t="shared" si="83"/>
        <v>0</v>
      </c>
      <c r="BU45" s="518">
        <f t="shared" si="83"/>
        <v>0</v>
      </c>
      <c r="BV45" s="518">
        <f t="shared" si="83"/>
        <v>0</v>
      </c>
      <c r="BW45" s="518">
        <f t="shared" si="83"/>
        <v>0</v>
      </c>
      <c r="BX45" s="521">
        <f t="shared" si="83"/>
        <v>0</v>
      </c>
      <c r="BY45" s="518">
        <f t="shared" si="83"/>
        <v>0</v>
      </c>
      <c r="BZ45" s="518">
        <f t="shared" si="83"/>
        <v>0</v>
      </c>
      <c r="CA45" s="518">
        <f t="shared" si="83"/>
        <v>0</v>
      </c>
      <c r="CB45" s="518">
        <f t="shared" si="83"/>
        <v>0</v>
      </c>
      <c r="CC45" s="521">
        <f t="shared" si="83"/>
        <v>0</v>
      </c>
      <c r="CD45" s="518">
        <f t="shared" si="83"/>
        <v>0</v>
      </c>
      <c r="CE45" s="518">
        <f t="shared" si="83"/>
        <v>0</v>
      </c>
      <c r="CF45" s="518">
        <f t="shared" si="83"/>
        <v>0</v>
      </c>
      <c r="CG45" s="518">
        <f t="shared" si="83"/>
        <v>0</v>
      </c>
      <c r="CH45" s="521">
        <f t="shared" si="83"/>
        <v>0</v>
      </c>
      <c r="CI45" s="518">
        <f t="shared" si="83"/>
        <v>0</v>
      </c>
      <c r="CJ45" s="518">
        <f t="shared" si="83"/>
        <v>0</v>
      </c>
      <c r="CK45" s="518">
        <f t="shared" si="83"/>
        <v>0</v>
      </c>
      <c r="CL45" s="518">
        <f t="shared" si="83"/>
        <v>0</v>
      </c>
      <c r="CM45" s="521">
        <f t="shared" si="83"/>
        <v>0</v>
      </c>
      <c r="CN45" s="518">
        <f t="shared" si="83"/>
        <v>0</v>
      </c>
      <c r="CO45" s="518">
        <f t="shared" si="83"/>
        <v>0</v>
      </c>
      <c r="CP45" s="518">
        <f t="shared" si="83"/>
        <v>0</v>
      </c>
      <c r="CQ45" s="518">
        <f t="shared" si="83"/>
        <v>0</v>
      </c>
      <c r="CR45" s="521">
        <f t="shared" ref="CR45:DQ45" si="84">CR44/CR$32</f>
        <v>0</v>
      </c>
      <c r="CS45" s="518">
        <f t="shared" si="84"/>
        <v>0</v>
      </c>
      <c r="CT45" s="518">
        <f t="shared" si="84"/>
        <v>0</v>
      </c>
      <c r="CU45" s="518">
        <f t="shared" si="84"/>
        <v>0</v>
      </c>
      <c r="CV45" s="518">
        <f t="shared" si="84"/>
        <v>0</v>
      </c>
      <c r="CW45" s="521">
        <f t="shared" si="84"/>
        <v>0</v>
      </c>
      <c r="CX45" s="518">
        <f t="shared" si="84"/>
        <v>0</v>
      </c>
      <c r="CY45" s="518">
        <f t="shared" si="84"/>
        <v>0</v>
      </c>
      <c r="CZ45" s="518">
        <f t="shared" si="84"/>
        <v>0</v>
      </c>
      <c r="DA45" s="518">
        <f t="shared" si="84"/>
        <v>0</v>
      </c>
      <c r="DB45" s="521">
        <f t="shared" si="84"/>
        <v>0</v>
      </c>
      <c r="DC45" s="518">
        <f t="shared" si="84"/>
        <v>0</v>
      </c>
      <c r="DD45" s="518">
        <f t="shared" si="84"/>
        <v>0</v>
      </c>
      <c r="DE45" s="518">
        <f t="shared" si="84"/>
        <v>0</v>
      </c>
      <c r="DF45" s="518">
        <f t="shared" si="84"/>
        <v>0</v>
      </c>
      <c r="DG45" s="521">
        <f t="shared" si="84"/>
        <v>0</v>
      </c>
      <c r="DH45" s="518">
        <f t="shared" si="84"/>
        <v>-8.6956521739130432E-2</v>
      </c>
      <c r="DI45" s="518">
        <f t="shared" si="84"/>
        <v>-0.13157894736842105</v>
      </c>
      <c r="DJ45" s="518">
        <f t="shared" si="84"/>
        <v>0.36065573770491804</v>
      </c>
      <c r="DK45" s="518">
        <f t="shared" si="84"/>
        <v>1.6164584864070537E-2</v>
      </c>
      <c r="DL45" s="521">
        <f t="shared" si="84"/>
        <v>6.1120543293718167E-2</v>
      </c>
      <c r="DM45" s="518">
        <f t="shared" si="84"/>
        <v>0</v>
      </c>
      <c r="DN45" s="518">
        <f t="shared" si="84"/>
        <v>0</v>
      </c>
      <c r="DO45" s="518">
        <f t="shared" si="84"/>
        <v>0</v>
      </c>
      <c r="DP45" s="518">
        <f t="shared" si="84"/>
        <v>0</v>
      </c>
      <c r="DQ45" s="521">
        <f t="shared" si="84"/>
        <v>0</v>
      </c>
      <c r="DR45" s="518">
        <f>DR44/DR$32</f>
        <v>0</v>
      </c>
      <c r="DS45" s="518">
        <f>DS44/DS$32</f>
        <v>0</v>
      </c>
      <c r="DT45" s="518">
        <f>DT44/DT$32</f>
        <v>0</v>
      </c>
      <c r="DU45" s="518">
        <f>DU44/DU$32</f>
        <v>0</v>
      </c>
      <c r="DV45" s="521">
        <f t="shared" ref="DV45:ED45" si="85">DV44/DV$32</f>
        <v>0</v>
      </c>
      <c r="DW45" s="518">
        <f>DW44/DW$32</f>
        <v>0</v>
      </c>
      <c r="DX45" s="518">
        <f>DX44/DX$32</f>
        <v>0</v>
      </c>
      <c r="DY45" s="518">
        <f>DY44/DY$32</f>
        <v>0</v>
      </c>
      <c r="DZ45" s="518">
        <f>DZ44/DZ$32</f>
        <v>0</v>
      </c>
      <c r="EA45" s="521">
        <f t="shared" si="85"/>
        <v>0</v>
      </c>
      <c r="EB45" s="518">
        <f t="shared" si="85"/>
        <v>0</v>
      </c>
      <c r="EC45" s="518">
        <f t="shared" si="85"/>
        <v>0</v>
      </c>
      <c r="ED45" s="518">
        <f t="shared" si="85"/>
        <v>0</v>
      </c>
      <c r="EE45" s="518">
        <f>EE44/EE$32</f>
        <v>0</v>
      </c>
      <c r="EF45" s="521">
        <f t="shared" ref="EF45:EU45" si="86">EF44/EF$32</f>
        <v>0</v>
      </c>
      <c r="EG45" s="518">
        <f t="shared" si="86"/>
        <v>0</v>
      </c>
      <c r="EH45" s="518">
        <f t="shared" si="86"/>
        <v>0</v>
      </c>
      <c r="EI45" s="518">
        <f t="shared" si="86"/>
        <v>0</v>
      </c>
      <c r="EJ45" s="518">
        <f t="shared" si="86"/>
        <v>0</v>
      </c>
      <c r="EK45" s="521">
        <f>EK44/EK$32</f>
        <v>0</v>
      </c>
      <c r="EL45" s="518">
        <f>EL44/EL$32</f>
        <v>0</v>
      </c>
      <c r="EM45" s="518">
        <f>EM44/EM$32</f>
        <v>0</v>
      </c>
      <c r="EN45" s="518">
        <f>EN44/EN$32</f>
        <v>0</v>
      </c>
      <c r="EO45" s="518">
        <f t="shared" si="86"/>
        <v>0</v>
      </c>
      <c r="EP45" s="521">
        <f t="shared" si="86"/>
        <v>0</v>
      </c>
      <c r="EQ45" s="518">
        <f t="shared" si="86"/>
        <v>0</v>
      </c>
      <c r="ER45" s="518">
        <f t="shared" si="86"/>
        <v>0</v>
      </c>
      <c r="ES45" s="518">
        <f t="shared" si="86"/>
        <v>0</v>
      </c>
      <c r="ET45" s="518">
        <f t="shared" si="86"/>
        <v>0</v>
      </c>
      <c r="EU45" s="521">
        <f t="shared" si="86"/>
        <v>0</v>
      </c>
      <c r="EV45" s="518">
        <f>EV44/EV$32</f>
        <v>0</v>
      </c>
      <c r="EW45" s="518">
        <f>EW44/EW$32</f>
        <v>0</v>
      </c>
      <c r="EX45" s="518">
        <f>EX44/EX$32</f>
        <v>0</v>
      </c>
      <c r="EY45" s="518">
        <f>EY44/EY$32</f>
        <v>0</v>
      </c>
      <c r="EZ45" s="521">
        <f>EZ44/EZ$32</f>
        <v>0</v>
      </c>
      <c r="FA45" s="518">
        <f t="shared" ref="FA45:HL45" si="87">FA44/FA$32</f>
        <v>0</v>
      </c>
      <c r="FB45" s="518">
        <f t="shared" si="87"/>
        <v>0</v>
      </c>
      <c r="FC45" s="518">
        <f t="shared" si="87"/>
        <v>0</v>
      </c>
      <c r="FD45" s="518">
        <f t="shared" si="87"/>
        <v>0</v>
      </c>
      <c r="FE45" s="521">
        <f t="shared" si="87"/>
        <v>0</v>
      </c>
      <c r="FF45" s="518">
        <f t="shared" si="87"/>
        <v>0</v>
      </c>
      <c r="FG45" s="518">
        <f t="shared" si="87"/>
        <v>0</v>
      </c>
      <c r="FH45" s="518">
        <f t="shared" si="87"/>
        <v>0</v>
      </c>
      <c r="FI45" s="518">
        <f t="shared" si="87"/>
        <v>0</v>
      </c>
      <c r="FJ45" s="521">
        <f t="shared" si="87"/>
        <v>0</v>
      </c>
      <c r="FK45" s="518">
        <f t="shared" si="87"/>
        <v>0</v>
      </c>
      <c r="FL45" s="518">
        <f t="shared" si="87"/>
        <v>0</v>
      </c>
      <c r="FM45" s="518">
        <f t="shared" si="87"/>
        <v>0</v>
      </c>
      <c r="FN45" s="518">
        <f t="shared" si="87"/>
        <v>0</v>
      </c>
      <c r="FO45" s="521">
        <f t="shared" si="87"/>
        <v>0</v>
      </c>
      <c r="FP45" s="518">
        <f t="shared" si="87"/>
        <v>0</v>
      </c>
      <c r="FQ45" s="518">
        <f>FQ44/FQ$32</f>
        <v>0</v>
      </c>
      <c r="FR45" s="518">
        <f>FR44/FR$32</f>
        <v>0</v>
      </c>
      <c r="FS45" s="518">
        <f>FS44/FS$32</f>
        <v>0</v>
      </c>
      <c r="FT45" s="521">
        <f t="shared" si="87"/>
        <v>0</v>
      </c>
      <c r="FU45" s="518">
        <f t="shared" si="87"/>
        <v>0</v>
      </c>
      <c r="FV45" s="518">
        <f t="shared" si="87"/>
        <v>0</v>
      </c>
      <c r="FW45" s="518">
        <f t="shared" si="87"/>
        <v>0</v>
      </c>
      <c r="FX45" s="518">
        <f t="shared" si="87"/>
        <v>0</v>
      </c>
      <c r="FY45" s="521">
        <f t="shared" si="87"/>
        <v>0</v>
      </c>
      <c r="FZ45" s="518">
        <f t="shared" si="87"/>
        <v>0</v>
      </c>
      <c r="GA45" s="518">
        <f t="shared" si="87"/>
        <v>0</v>
      </c>
      <c r="GB45" s="518">
        <f t="shared" si="87"/>
        <v>0</v>
      </c>
      <c r="GC45" s="518">
        <f t="shared" si="87"/>
        <v>0</v>
      </c>
      <c r="GD45" s="521">
        <f t="shared" si="87"/>
        <v>0</v>
      </c>
      <c r="GE45" s="518">
        <f t="shared" si="87"/>
        <v>0</v>
      </c>
      <c r="GF45" s="518">
        <f t="shared" si="87"/>
        <v>0</v>
      </c>
      <c r="GG45" s="518">
        <f t="shared" si="87"/>
        <v>0</v>
      </c>
      <c r="GH45" s="518">
        <f t="shared" si="87"/>
        <v>0</v>
      </c>
      <c r="GI45" s="521">
        <f t="shared" si="87"/>
        <v>0</v>
      </c>
      <c r="GJ45" s="518">
        <f t="shared" si="87"/>
        <v>0</v>
      </c>
      <c r="GK45" s="518">
        <f t="shared" si="87"/>
        <v>0</v>
      </c>
      <c r="GL45" s="518">
        <f t="shared" si="87"/>
        <v>0</v>
      </c>
      <c r="GM45" s="518">
        <f t="shared" si="87"/>
        <v>0</v>
      </c>
      <c r="GN45" s="521">
        <f t="shared" si="87"/>
        <v>0</v>
      </c>
      <c r="GO45" s="518">
        <f t="shared" si="87"/>
        <v>0</v>
      </c>
      <c r="GP45" s="518">
        <f t="shared" si="87"/>
        <v>0</v>
      </c>
      <c r="GQ45" s="518">
        <f t="shared" si="87"/>
        <v>0</v>
      </c>
      <c r="GR45" s="518">
        <f t="shared" si="87"/>
        <v>0</v>
      </c>
      <c r="GS45" s="521">
        <f t="shared" si="87"/>
        <v>0</v>
      </c>
      <c r="GT45" s="518">
        <f t="shared" si="87"/>
        <v>0</v>
      </c>
      <c r="GU45" s="518">
        <f t="shared" si="87"/>
        <v>0</v>
      </c>
      <c r="GV45" s="518">
        <f t="shared" si="87"/>
        <v>0</v>
      </c>
      <c r="GW45" s="518">
        <f t="shared" si="87"/>
        <v>0</v>
      </c>
      <c r="GX45" s="521">
        <f t="shared" si="87"/>
        <v>0</v>
      </c>
      <c r="GY45" s="518">
        <f t="shared" si="87"/>
        <v>0</v>
      </c>
      <c r="GZ45" s="518">
        <f t="shared" si="87"/>
        <v>0</v>
      </c>
      <c r="HA45" s="518">
        <f t="shared" si="87"/>
        <v>0</v>
      </c>
      <c r="HB45" s="518">
        <f t="shared" si="87"/>
        <v>0</v>
      </c>
      <c r="HC45" s="521">
        <f t="shared" si="87"/>
        <v>0</v>
      </c>
      <c r="HD45" s="518">
        <f t="shared" si="87"/>
        <v>0</v>
      </c>
      <c r="HE45" s="518">
        <f t="shared" si="87"/>
        <v>0</v>
      </c>
      <c r="HF45" s="518">
        <f t="shared" si="87"/>
        <v>0</v>
      </c>
      <c r="HG45" s="518">
        <f t="shared" si="87"/>
        <v>0</v>
      </c>
      <c r="HH45" s="521">
        <f t="shared" si="87"/>
        <v>0</v>
      </c>
      <c r="HI45" s="518">
        <f t="shared" si="87"/>
        <v>0</v>
      </c>
      <c r="HJ45" s="518">
        <f t="shared" si="87"/>
        <v>0</v>
      </c>
      <c r="HK45" s="518">
        <f t="shared" si="87"/>
        <v>0</v>
      </c>
      <c r="HL45" s="518">
        <f t="shared" si="87"/>
        <v>0</v>
      </c>
      <c r="HM45" s="521">
        <f t="shared" ref="HM45" si="88">HM44/HM$32</f>
        <v>0</v>
      </c>
      <c r="HN45" s="521"/>
      <c r="HO45" s="521"/>
      <c r="HP45" s="453"/>
      <c r="HQ45" s="453"/>
      <c r="HR45" s="453"/>
      <c r="HS45" s="453"/>
      <c r="HT45" s="453"/>
      <c r="HU45" s="453"/>
      <c r="HV45" s="453"/>
      <c r="HW45" s="453"/>
      <c r="HX45" s="453"/>
      <c r="HY45" s="453"/>
      <c r="HZ45" s="453"/>
    </row>
    <row r="46" spans="1:234" s="509" customFormat="1" ht="15" customHeight="1">
      <c r="A46" s="522" t="s">
        <v>384</v>
      </c>
      <c r="L46" s="523"/>
      <c r="M46" s="523"/>
      <c r="N46" s="523"/>
      <c r="O46" s="523"/>
      <c r="P46" s="524"/>
      <c r="Q46" s="523"/>
      <c r="R46" s="523"/>
      <c r="S46" s="523"/>
      <c r="T46" s="523"/>
      <c r="U46" s="524"/>
      <c r="V46" s="523"/>
      <c r="W46" s="523"/>
      <c r="X46" s="523"/>
      <c r="Y46" s="523"/>
      <c r="Z46" s="524"/>
      <c r="AA46" s="523"/>
      <c r="AB46" s="523"/>
      <c r="AC46" s="523"/>
      <c r="AD46" s="523"/>
      <c r="AE46" s="524"/>
      <c r="AF46" s="523">
        <v>0</v>
      </c>
      <c r="AG46" s="523">
        <v>0</v>
      </c>
      <c r="AH46" s="523">
        <v>0</v>
      </c>
      <c r="AI46" s="523">
        <v>0</v>
      </c>
      <c r="AJ46" s="524">
        <f>SUM(AF46:AI46)</f>
        <v>0</v>
      </c>
      <c r="AK46" s="523">
        <v>0</v>
      </c>
      <c r="AL46" s="523">
        <v>0</v>
      </c>
      <c r="AM46" s="523">
        <v>0</v>
      </c>
      <c r="AN46" s="523">
        <v>0</v>
      </c>
      <c r="AO46" s="524">
        <f>SUM(AK46:AN46)</f>
        <v>0</v>
      </c>
      <c r="AP46" s="523">
        <v>0</v>
      </c>
      <c r="AQ46" s="523">
        <v>0</v>
      </c>
      <c r="AR46" s="523">
        <v>0</v>
      </c>
      <c r="AS46" s="523">
        <v>0</v>
      </c>
      <c r="AT46" s="524">
        <f>SUM(AP46:AS46)</f>
        <v>0</v>
      </c>
      <c r="AU46" s="523">
        <v>0</v>
      </c>
      <c r="AV46" s="523">
        <v>0</v>
      </c>
      <c r="AW46" s="523">
        <v>0</v>
      </c>
      <c r="AX46" s="523">
        <v>0</v>
      </c>
      <c r="AY46" s="524">
        <f>SUM(AU46:AX46)</f>
        <v>0</v>
      </c>
      <c r="AZ46" s="523">
        <v>0</v>
      </c>
      <c r="BA46" s="523">
        <v>0</v>
      </c>
      <c r="BB46" s="523">
        <v>0</v>
      </c>
      <c r="BC46" s="523">
        <v>0</v>
      </c>
      <c r="BD46" s="524">
        <f>SUM(AZ46:BC46)</f>
        <v>0</v>
      </c>
      <c r="BE46" s="523">
        <v>0</v>
      </c>
      <c r="BF46" s="523">
        <v>0</v>
      </c>
      <c r="BG46" s="523">
        <v>0</v>
      </c>
      <c r="BH46" s="523">
        <v>0</v>
      </c>
      <c r="BI46" s="524">
        <f>SUM(BE46:BH46)</f>
        <v>0</v>
      </c>
      <c r="BJ46" s="523">
        <v>0</v>
      </c>
      <c r="BK46" s="523">
        <v>0</v>
      </c>
      <c r="BL46" s="523">
        <v>0</v>
      </c>
      <c r="BM46" s="523">
        <v>0</v>
      </c>
      <c r="BN46" s="524">
        <f>SUM(BJ46:BM46)</f>
        <v>0</v>
      </c>
      <c r="BO46" s="523">
        <f>7.763</f>
        <v>7.7629999999999999</v>
      </c>
      <c r="BP46" s="523">
        <v>6.2069999999999999</v>
      </c>
      <c r="BQ46" s="523">
        <v>6.41</v>
      </c>
      <c r="BR46" s="523">
        <f>27.507-SUM(BO46:BQ46)</f>
        <v>7.1270000000000024</v>
      </c>
      <c r="BS46" s="524">
        <f>SUM(BO46:BR46)</f>
        <v>27.507000000000001</v>
      </c>
      <c r="BT46" s="523">
        <v>5.2750000000000004</v>
      </c>
      <c r="BU46" s="523">
        <v>0</v>
      </c>
      <c r="BV46" s="523">
        <v>0</v>
      </c>
      <c r="BW46" s="523">
        <f>5.275-SUM(BT46:BV46)</f>
        <v>0</v>
      </c>
      <c r="BX46" s="524">
        <f>SUM(BT46:BW46)</f>
        <v>5.2750000000000004</v>
      </c>
      <c r="BY46" s="523">
        <v>0</v>
      </c>
      <c r="BZ46" s="523">
        <v>0</v>
      </c>
      <c r="CA46" s="523">
        <v>0</v>
      </c>
      <c r="CB46" s="523">
        <v>0</v>
      </c>
      <c r="CC46" s="524">
        <f>SUM(BY46:CB46)</f>
        <v>0</v>
      </c>
      <c r="CD46" s="523">
        <v>0</v>
      </c>
      <c r="CE46" s="523">
        <v>0</v>
      </c>
      <c r="CF46" s="523">
        <v>0</v>
      </c>
      <c r="CG46" s="523">
        <v>5.2</v>
      </c>
      <c r="CH46" s="524">
        <f>SUM(CD46:CG46)</f>
        <v>5.2</v>
      </c>
      <c r="CI46" s="523">
        <f>5.116-0.512</f>
        <v>4.6039999999999992</v>
      </c>
      <c r="CJ46" s="523">
        <f>4.912-0.492</f>
        <v>4.42</v>
      </c>
      <c r="CK46" s="523">
        <f>5.014-0.501</f>
        <v>4.5129999999999999</v>
      </c>
      <c r="CL46" s="523">
        <v>0</v>
      </c>
      <c r="CM46" s="524">
        <f>SUM(CI46:CL46)</f>
        <v>13.536999999999999</v>
      </c>
      <c r="CN46" s="539">
        <v>0</v>
      </c>
      <c r="CO46" s="523">
        <v>0</v>
      </c>
      <c r="CP46" s="523">
        <f>9.51-6.054</f>
        <v>3.4559999999999995</v>
      </c>
      <c r="CQ46" s="523">
        <v>0</v>
      </c>
      <c r="CR46" s="524">
        <f>SUM(CN46:CQ46)</f>
        <v>3.4559999999999995</v>
      </c>
      <c r="CS46" s="539">
        <v>3.6998800000001451</v>
      </c>
      <c r="CT46" s="523">
        <v>0</v>
      </c>
      <c r="CU46" s="523">
        <v>0</v>
      </c>
      <c r="CV46" s="523">
        <v>0</v>
      </c>
      <c r="CW46" s="524">
        <f>SUM(CS46:CV46)</f>
        <v>3.6998800000001451</v>
      </c>
      <c r="CX46" s="539">
        <v>0</v>
      </c>
      <c r="CY46" s="523">
        <v>0</v>
      </c>
      <c r="CZ46" s="523">
        <v>0</v>
      </c>
      <c r="DA46" s="523">
        <v>0</v>
      </c>
      <c r="DB46" s="524">
        <f>SUM(CX46:DA46)</f>
        <v>0</v>
      </c>
      <c r="DC46" s="539">
        <v>0</v>
      </c>
      <c r="DD46" s="523">
        <v>0</v>
      </c>
      <c r="DE46" s="523">
        <v>0</v>
      </c>
      <c r="DF46" s="523">
        <v>0</v>
      </c>
      <c r="DG46" s="524">
        <f>SUM(DC46:DF46)</f>
        <v>0</v>
      </c>
      <c r="DH46" s="539">
        <v>0</v>
      </c>
      <c r="DI46" s="523">
        <v>0</v>
      </c>
      <c r="DJ46" s="523">
        <v>0</v>
      </c>
      <c r="DK46" s="523">
        <v>21</v>
      </c>
      <c r="DL46" s="524">
        <f>SUM(DH46:DK46)</f>
        <v>21</v>
      </c>
      <c r="DM46" s="539">
        <v>7</v>
      </c>
      <c r="DN46" s="523">
        <v>0</v>
      </c>
      <c r="DO46" s="523">
        <v>0</v>
      </c>
      <c r="DP46" s="523">
        <v>7</v>
      </c>
      <c r="DQ46" s="524">
        <f>SUM(DM46:DP46)</f>
        <v>14</v>
      </c>
      <c r="DR46" s="539">
        <v>7</v>
      </c>
      <c r="DS46" s="523">
        <v>0</v>
      </c>
      <c r="DT46" s="523">
        <v>0</v>
      </c>
      <c r="DU46" s="523">
        <v>0</v>
      </c>
      <c r="DV46" s="524">
        <f>SUM(DR46:DU46)</f>
        <v>7</v>
      </c>
      <c r="DW46" s="539">
        <v>0</v>
      </c>
      <c r="DX46" s="523">
        <v>0</v>
      </c>
      <c r="DY46" s="523">
        <v>0</v>
      </c>
      <c r="DZ46" s="523">
        <v>0</v>
      </c>
      <c r="EA46" s="524">
        <f>SUM(DW46:DZ46)</f>
        <v>0</v>
      </c>
      <c r="EB46" s="523">
        <v>0</v>
      </c>
      <c r="EC46" s="523">
        <v>0</v>
      </c>
      <c r="ED46" s="523">
        <v>0</v>
      </c>
      <c r="EE46" s="523">
        <v>0</v>
      </c>
      <c r="EF46" s="524">
        <f>SUM(EB46:EE46)</f>
        <v>0</v>
      </c>
      <c r="EG46" s="523">
        <v>0</v>
      </c>
      <c r="EH46" s="523">
        <v>0</v>
      </c>
      <c r="EI46" s="523">
        <v>0</v>
      </c>
      <c r="EJ46" s="523">
        <v>0</v>
      </c>
      <c r="EK46" s="524">
        <f>SUM(EG46:EJ46)</f>
        <v>0</v>
      </c>
      <c r="EL46" s="523">
        <v>0</v>
      </c>
      <c r="EM46" s="523">
        <v>0</v>
      </c>
      <c r="EN46" s="523">
        <v>0</v>
      </c>
      <c r="EO46" s="523">
        <v>0</v>
      </c>
      <c r="EP46" s="524">
        <f>SUM(EL46:EO46)</f>
        <v>0</v>
      </c>
      <c r="EQ46" s="523">
        <v>-3</v>
      </c>
      <c r="ER46" s="523">
        <f>-7-150+3+27</f>
        <v>-127</v>
      </c>
      <c r="ES46" s="523">
        <f>340+61+1+4+5+-1</f>
        <v>410</v>
      </c>
      <c r="ET46" s="523">
        <f>7+5+2</f>
        <v>14</v>
      </c>
      <c r="EU46" s="524">
        <f>SUM(EQ46:ET46)</f>
        <v>294</v>
      </c>
      <c r="EV46" s="523">
        <f>4+6+2</f>
        <v>12</v>
      </c>
      <c r="EW46" s="523">
        <f>3+5+3</f>
        <v>11</v>
      </c>
      <c r="EX46" s="523">
        <f>2+6+2</f>
        <v>10</v>
      </c>
      <c r="EY46" s="523">
        <f>3+5+1-3</f>
        <v>6</v>
      </c>
      <c r="EZ46" s="524">
        <f>SUM(EV46:EY46)</f>
        <v>39</v>
      </c>
      <c r="FA46" s="539">
        <f>1+6+1</f>
        <v>8</v>
      </c>
      <c r="FB46" s="539">
        <f>1+6</f>
        <v>7</v>
      </c>
      <c r="FC46" s="523">
        <f>6+6</f>
        <v>12</v>
      </c>
      <c r="FD46" s="523">
        <f>5+6+45-43-5+5</f>
        <v>13</v>
      </c>
      <c r="FE46" s="524">
        <f>SUM(FA46:FD46)</f>
        <v>40</v>
      </c>
      <c r="FF46" s="539">
        <f>8+6+1+5-15</f>
        <v>5</v>
      </c>
      <c r="FG46" s="523">
        <f>6+7-1</f>
        <v>12</v>
      </c>
      <c r="FH46" s="523">
        <f>40+6-1</f>
        <v>45</v>
      </c>
      <c r="FI46" s="523">
        <f>128+4+24</f>
        <v>156</v>
      </c>
      <c r="FJ46" s="524">
        <f>SUM(FF46:FI46)</f>
        <v>218</v>
      </c>
      <c r="FK46" s="523">
        <f>2-1</f>
        <v>1</v>
      </c>
      <c r="FL46" s="523">
        <f>2-1-2</f>
        <v>-1</v>
      </c>
      <c r="FM46" s="523">
        <f>38+2-1-4</f>
        <v>35</v>
      </c>
      <c r="FN46" s="523">
        <f>16-3+14-1301+50</f>
        <v>-1224</v>
      </c>
      <c r="FO46" s="524">
        <f>SUM(FK46:FN46)</f>
        <v>-1189</v>
      </c>
      <c r="FP46" s="539">
        <f>6-2+15+8-25</f>
        <v>2</v>
      </c>
      <c r="FQ46" s="523">
        <f>10-2-24+1</f>
        <v>-15</v>
      </c>
      <c r="FR46" s="523">
        <f>-60-2-75+8</f>
        <v>-129</v>
      </c>
      <c r="FS46" s="523">
        <f>-4+9+31</f>
        <v>36</v>
      </c>
      <c r="FT46" s="524">
        <f>SUM(FP46:FS46)</f>
        <v>-106</v>
      </c>
      <c r="FU46" s="539">
        <f>44-3+233+479-124</f>
        <v>629</v>
      </c>
      <c r="FV46" s="539">
        <f>10+174-4-202+1023</f>
        <v>1001</v>
      </c>
      <c r="FW46" s="523">
        <f>3-4-298+57+1002</f>
        <v>760</v>
      </c>
      <c r="FX46" s="523">
        <f>5-3+57+1044-321</f>
        <v>782</v>
      </c>
      <c r="FY46" s="524">
        <f>SUM(FU46:FX46)</f>
        <v>3172</v>
      </c>
      <c r="FZ46" s="523">
        <f>-1-1+115+823-132</f>
        <v>804</v>
      </c>
      <c r="GA46" s="523">
        <f>3-6+693+47-164</f>
        <v>573</v>
      </c>
      <c r="GB46" s="523">
        <f>-4-3+660+39-209</f>
        <v>483</v>
      </c>
      <c r="GC46" s="523">
        <f>1-6+635+61-483</f>
        <v>208</v>
      </c>
      <c r="GD46" s="524">
        <f>SUM(FZ46:GC46)</f>
        <v>2068</v>
      </c>
      <c r="GE46" s="523">
        <f>3-7+622+39+65-203</f>
        <v>519</v>
      </c>
      <c r="GF46" s="523">
        <f>-7+603+46-127</f>
        <v>515</v>
      </c>
      <c r="GG46" s="523">
        <f>-1-7+585+56-251</f>
        <v>382</v>
      </c>
      <c r="GH46" s="523">
        <f>-12+584+46+186+152</f>
        <v>956</v>
      </c>
      <c r="GI46" s="524">
        <f>SUM(GE46:GH46)</f>
        <v>2372</v>
      </c>
      <c r="GJ46" s="523">
        <f>-7+567+42-111+2</f>
        <v>493</v>
      </c>
      <c r="GK46" s="523">
        <f>-61-8+568+96-853-98-104</f>
        <v>-460</v>
      </c>
      <c r="GL46" s="523">
        <f>562+43-67+12-26-10-140-71</f>
        <v>303</v>
      </c>
      <c r="GM46" s="523">
        <f>557+50+9-280-1+78+109</f>
        <v>522</v>
      </c>
      <c r="GN46" s="524">
        <f>SUM(GJ46:GM46)</f>
        <v>858</v>
      </c>
      <c r="GO46" s="523">
        <f>551+27-66-6-100-11</f>
        <v>395</v>
      </c>
      <c r="GP46" s="540">
        <v>0</v>
      </c>
      <c r="GQ46" s="540">
        <f>+GP46</f>
        <v>0</v>
      </c>
      <c r="GR46" s="540">
        <f>+GQ46</f>
        <v>0</v>
      </c>
      <c r="GS46" s="524">
        <f>SUM(GO46:GR46)</f>
        <v>395</v>
      </c>
      <c r="GT46" s="548">
        <v>0</v>
      </c>
      <c r="GU46" s="540">
        <f>+GT46</f>
        <v>0</v>
      </c>
      <c r="GV46" s="540">
        <f>+GU46</f>
        <v>0</v>
      </c>
      <c r="GW46" s="540">
        <f>+GV46</f>
        <v>0</v>
      </c>
      <c r="GX46" s="524">
        <f>SUM(GT46:GW46)</f>
        <v>0</v>
      </c>
      <c r="GY46" s="548">
        <v>0</v>
      </c>
      <c r="GZ46" s="540">
        <f>+GY46</f>
        <v>0</v>
      </c>
      <c r="HA46" s="540">
        <f>+GZ46</f>
        <v>0</v>
      </c>
      <c r="HB46" s="540">
        <f>+HA46</f>
        <v>0</v>
      </c>
      <c r="HC46" s="524">
        <f>SUM(GY46:HB46)</f>
        <v>0</v>
      </c>
      <c r="HD46" s="548">
        <v>0</v>
      </c>
      <c r="HE46" s="540">
        <f>+HD46</f>
        <v>0</v>
      </c>
      <c r="HF46" s="540">
        <f>+HE46</f>
        <v>0</v>
      </c>
      <c r="HG46" s="540">
        <f>+HF46</f>
        <v>0</v>
      </c>
      <c r="HH46" s="524">
        <f>SUM(HD46:HG46)</f>
        <v>0</v>
      </c>
      <c r="HI46" s="548">
        <v>0</v>
      </c>
      <c r="HJ46" s="540">
        <f>+HI46</f>
        <v>0</v>
      </c>
      <c r="HK46" s="540">
        <f>+HJ46</f>
        <v>0</v>
      </c>
      <c r="HL46" s="540">
        <f>+HK46</f>
        <v>0</v>
      </c>
      <c r="HM46" s="524">
        <f>SUM(HI46:HL46)</f>
        <v>0</v>
      </c>
      <c r="HN46" s="524"/>
      <c r="HO46" s="524"/>
      <c r="HP46" s="453"/>
      <c r="HQ46" s="453"/>
      <c r="HR46" s="453"/>
      <c r="HS46" s="453"/>
      <c r="HT46" s="453"/>
      <c r="HU46" s="453"/>
      <c r="HV46" s="453"/>
      <c r="HW46" s="453"/>
      <c r="HX46" s="453"/>
      <c r="HY46" s="453"/>
      <c r="HZ46" s="453"/>
    </row>
    <row r="47" spans="1:234" s="550" customFormat="1" ht="15" customHeight="1">
      <c r="A47" s="549" t="s">
        <v>385</v>
      </c>
      <c r="L47" s="551"/>
      <c r="M47" s="551"/>
      <c r="N47" s="551"/>
      <c r="O47" s="551"/>
      <c r="P47" s="552"/>
      <c r="Q47" s="551"/>
      <c r="R47" s="551"/>
      <c r="S47" s="551"/>
      <c r="T47" s="551"/>
      <c r="U47" s="552"/>
      <c r="V47" s="551"/>
      <c r="W47" s="551"/>
      <c r="X47" s="551"/>
      <c r="Y47" s="551"/>
      <c r="Z47" s="552"/>
      <c r="AA47" s="551"/>
      <c r="AB47" s="551"/>
      <c r="AC47" s="551"/>
      <c r="AD47" s="551"/>
      <c r="AE47" s="552"/>
      <c r="AF47" s="553">
        <v>0</v>
      </c>
      <c r="AG47" s="553">
        <v>0</v>
      </c>
      <c r="AH47" s="553">
        <v>0</v>
      </c>
      <c r="AI47" s="553">
        <v>0</v>
      </c>
      <c r="AJ47" s="554">
        <f>SUM(AF47:AI47)</f>
        <v>0</v>
      </c>
      <c r="AK47" s="553">
        <v>0</v>
      </c>
      <c r="AL47" s="553">
        <v>0</v>
      </c>
      <c r="AM47" s="553">
        <v>0</v>
      </c>
      <c r="AN47" s="553">
        <v>0</v>
      </c>
      <c r="AO47" s="554">
        <f>SUM(AK47:AN47)</f>
        <v>0</v>
      </c>
      <c r="AP47" s="553">
        <f>AP42-AP44+AP46</f>
        <v>96.790999999999997</v>
      </c>
      <c r="AQ47" s="553">
        <f>AQ42-AQ44+AQ46</f>
        <v>91.98500000000007</v>
      </c>
      <c r="AR47" s="553">
        <f>AR42-AR44+AR46</f>
        <v>56.16299999999999</v>
      </c>
      <c r="AS47" s="553">
        <f>AS42-AS44+AS46</f>
        <v>55.571999999999953</v>
      </c>
      <c r="AT47" s="554">
        <f>SUM(AP47:AS47)</f>
        <v>300.51100000000002</v>
      </c>
      <c r="AU47" s="553">
        <f>AU42-AU44+AU46</f>
        <v>25.326999999999977</v>
      </c>
      <c r="AV47" s="553">
        <f>AV42-AV44+AV46</f>
        <v>-34.671999999999997</v>
      </c>
      <c r="AW47" s="553">
        <f>AW42-AW44+AW46</f>
        <v>-38.361999999999988</v>
      </c>
      <c r="AX47" s="553">
        <f>AX42-AX44+AX46</f>
        <v>-21.243000000000016</v>
      </c>
      <c r="AY47" s="554">
        <f>SUM(AU47:AX47)</f>
        <v>-68.950000000000017</v>
      </c>
      <c r="AZ47" s="553">
        <f>AZ42-AZ44+AZ46</f>
        <v>12.950999999999993</v>
      </c>
      <c r="BA47" s="553">
        <f>BA42-BA44+BA46</f>
        <v>9.9679999999999538</v>
      </c>
      <c r="BB47" s="553">
        <f>BB42-BB44+BB46</f>
        <v>-31.675000000000008</v>
      </c>
      <c r="BC47" s="553">
        <f>BC42-BC44+BC46</f>
        <v>-12.3339999999999</v>
      </c>
      <c r="BD47" s="554">
        <f>SUM(AZ47:BC47)</f>
        <v>-21.089999999999961</v>
      </c>
      <c r="BE47" s="553">
        <f>BE42-BE44+BE46</f>
        <v>-62.727000000000011</v>
      </c>
      <c r="BF47" s="553">
        <f>BF42-BF44+BF46</f>
        <v>-64.559999999999945</v>
      </c>
      <c r="BG47" s="553">
        <f>BG42-BG44+BG46</f>
        <v>1.0060000000000158</v>
      </c>
      <c r="BH47" s="553">
        <f>BH42-BH44+BH46</f>
        <v>22.321000000000019</v>
      </c>
      <c r="BI47" s="554">
        <f>SUM(BE47:BH47)</f>
        <v>-103.95999999999992</v>
      </c>
      <c r="BJ47" s="553">
        <f>BJ42-BJ44+BJ46</f>
        <v>-128.36699999999996</v>
      </c>
      <c r="BK47" s="553">
        <f>BK42-BK44+BK46</f>
        <v>79.896000000000043</v>
      </c>
      <c r="BL47" s="553">
        <f>BL42-BL44+BL46</f>
        <v>-105.54499999999992</v>
      </c>
      <c r="BM47" s="553">
        <f>BM42-BM44+BM46</f>
        <v>65.07999999999997</v>
      </c>
      <c r="BN47" s="554">
        <f>SUM(BJ47:BM47)</f>
        <v>-88.935999999999879</v>
      </c>
      <c r="BO47" s="553">
        <f>BO42-BO44+BO46</f>
        <v>197.11199999999991</v>
      </c>
      <c r="BP47" s="553">
        <f>BP42-BP44+BP46</f>
        <v>213.34899999999988</v>
      </c>
      <c r="BQ47" s="553">
        <f>BQ42-BQ44+BQ46</f>
        <v>414.97699999999998</v>
      </c>
      <c r="BR47" s="553">
        <f>BR42-BR44+BR46</f>
        <v>185.09500000000006</v>
      </c>
      <c r="BS47" s="554">
        <f>SUM(BO47:BR47)</f>
        <v>1010.5329999999998</v>
      </c>
      <c r="BT47" s="553">
        <f>BT42-BT44+BT46</f>
        <v>130.11200000000002</v>
      </c>
      <c r="BU47" s="553">
        <f>BU42-BU44+BU46</f>
        <v>17.35200000000005</v>
      </c>
      <c r="BV47" s="553">
        <f>BV42-BV44+BV46</f>
        <v>-186.92799999999968</v>
      </c>
      <c r="BW47" s="553">
        <f>BW42-BW44+BW46</f>
        <v>-15.841999999999995</v>
      </c>
      <c r="BX47" s="554">
        <f>SUM(BT47:BW47)</f>
        <v>-55.305999999999599</v>
      </c>
      <c r="BY47" s="553">
        <f>BY42-BY44+BY46</f>
        <v>-9.1630000000000607</v>
      </c>
      <c r="BZ47" s="553">
        <f>BZ42-BZ44+BZ46</f>
        <v>-184.93799999999999</v>
      </c>
      <c r="CA47" s="553">
        <f>CA42-CA44+CA46</f>
        <v>-254.17100000000008</v>
      </c>
      <c r="CB47" s="553">
        <f>CB42-CB44+CB46</f>
        <v>-854.74000000000012</v>
      </c>
      <c r="CC47" s="554">
        <f>SUM(BY47:CB47)</f>
        <v>-1303.0120000000002</v>
      </c>
      <c r="CD47" s="553">
        <f>CD42-CD44+CD46</f>
        <v>-146.35600000000008</v>
      </c>
      <c r="CE47" s="553">
        <f>CE42-CE44+CE46</f>
        <v>-140.09599999999998</v>
      </c>
      <c r="CF47" s="553">
        <f>CF42-CF44+CF46</f>
        <v>-31.23099999999998</v>
      </c>
      <c r="CG47" s="553">
        <f>CG42-CG44+CG46</f>
        <v>48.393000000000043</v>
      </c>
      <c r="CH47" s="554">
        <f>SUM(CD47:CG47)</f>
        <v>-269.29000000000002</v>
      </c>
      <c r="CI47" s="553">
        <f>CI42-CI44+CI46</f>
        <v>49.694999999999943</v>
      </c>
      <c r="CJ47" s="553">
        <f>CJ42-CJ44+CJ46</f>
        <v>36.600000000000044</v>
      </c>
      <c r="CK47" s="553">
        <f>CK42-CK44+CK46</f>
        <v>48.361000000000033</v>
      </c>
      <c r="CL47" s="553">
        <f>CL42-CL44+CL46</f>
        <v>-29.962999999999973</v>
      </c>
      <c r="CM47" s="554">
        <f>SUM(CI47:CL47)</f>
        <v>104.69300000000004</v>
      </c>
      <c r="CN47" s="553">
        <f>CN42-CN44+CN46</f>
        <v>-17.423000000000037</v>
      </c>
      <c r="CO47" s="553">
        <f>CO42-CO44+CO46</f>
        <v>11.318999999999944</v>
      </c>
      <c r="CP47" s="553">
        <f>CP42-CP44+CP46</f>
        <v>79.456000000000174</v>
      </c>
      <c r="CQ47" s="553">
        <f>CQ42-CQ44+CQ46</f>
        <v>95.586999999999932</v>
      </c>
      <c r="CR47" s="554">
        <f>SUM(CN47:CQ47)</f>
        <v>168.93900000000002</v>
      </c>
      <c r="CS47" s="553">
        <f>CS42-CS44+CS46</f>
        <v>188.22388000000001</v>
      </c>
      <c r="CT47" s="553">
        <f>CT42-CT44+CT46</f>
        <v>88.847000000000037</v>
      </c>
      <c r="CU47" s="553">
        <f>CU42-CU44+CU46</f>
        <v>134.45500000000007</v>
      </c>
      <c r="CV47" s="553">
        <f>CV42-CV44+CV46</f>
        <v>-573.00100000000009</v>
      </c>
      <c r="CW47" s="554">
        <f>SUM(CS47:CV47)</f>
        <v>-161.47511999999995</v>
      </c>
      <c r="CX47" s="553">
        <f>CX42-CX44+CX46</f>
        <v>-611</v>
      </c>
      <c r="CY47" s="553">
        <f>CY42-CY44+CY46</f>
        <v>-600</v>
      </c>
      <c r="CZ47" s="553">
        <f>CZ42-CZ44+CZ46</f>
        <v>-396</v>
      </c>
      <c r="DA47" s="553">
        <f>DA42-DA44+DA46</f>
        <v>-1772</v>
      </c>
      <c r="DB47" s="554">
        <f>SUM(CX47:DA47)</f>
        <v>-3379</v>
      </c>
      <c r="DC47" s="553">
        <f>DC42-DC44+DC46</f>
        <v>-358</v>
      </c>
      <c r="DD47" s="553">
        <f>DD42-DD44+DD46</f>
        <v>-269</v>
      </c>
      <c r="DE47" s="553">
        <f>DE42-DE44+DE46</f>
        <v>23</v>
      </c>
      <c r="DF47" s="553">
        <f>DF42-DF44+DF46</f>
        <v>-1414</v>
      </c>
      <c r="DG47" s="554">
        <f>SUM(DC47:DF47)</f>
        <v>-2018</v>
      </c>
      <c r="DH47" s="553">
        <f t="shared" ref="DH47:DO47" si="89">DH42-DH44+DH46</f>
        <v>-416</v>
      </c>
      <c r="DI47" s="553">
        <f t="shared" si="89"/>
        <v>-330</v>
      </c>
      <c r="DJ47" s="553">
        <f t="shared" si="89"/>
        <v>-128</v>
      </c>
      <c r="DK47" s="553">
        <f>DK42-DK44</f>
        <v>1181</v>
      </c>
      <c r="DL47" s="554">
        <f>DL42-DL44</f>
        <v>307</v>
      </c>
      <c r="DM47" s="553">
        <f>DM42-DM44</f>
        <v>257</v>
      </c>
      <c r="DN47" s="553">
        <f t="shared" si="89"/>
        <v>-43</v>
      </c>
      <c r="DO47" s="553">
        <f t="shared" si="89"/>
        <v>-118</v>
      </c>
      <c r="DP47" s="553">
        <f>DP42-DP44+DP46</f>
        <v>382</v>
      </c>
      <c r="DQ47" s="554">
        <f>SUM(DM47:DP47)</f>
        <v>478</v>
      </c>
      <c r="DR47" s="553">
        <f>DR42-DR44</f>
        <v>510</v>
      </c>
      <c r="DS47" s="553">
        <f>DS42-DS44+DS46</f>
        <v>61</v>
      </c>
      <c r="DT47" s="553">
        <f>DT42-DT44+DT46</f>
        <v>97</v>
      </c>
      <c r="DU47" s="553">
        <f>DU42-DU44+DU46</f>
        <v>-177</v>
      </c>
      <c r="DV47" s="554">
        <f>SUM(DR47:DU47)</f>
        <v>491</v>
      </c>
      <c r="DW47" s="553">
        <f>DW42-DW44</f>
        <v>-590</v>
      </c>
      <c r="DX47" s="553">
        <f>DX42-DX44+DX46</f>
        <v>37</v>
      </c>
      <c r="DY47" s="553">
        <f>DY42-DY44+DY46</f>
        <v>-157</v>
      </c>
      <c r="DZ47" s="553">
        <f>DZ42-DZ44+DZ46</f>
        <v>-473</v>
      </c>
      <c r="EA47" s="554">
        <f>SUM(DW47:DZ47)</f>
        <v>-1183</v>
      </c>
      <c r="EB47" s="553">
        <f>EB42-EB44+EB46</f>
        <v>-146</v>
      </c>
      <c r="EC47" s="553">
        <f>EC42-EC44+EC46</f>
        <v>-74</v>
      </c>
      <c r="ED47" s="553">
        <f>ED42-ED44+ED46</f>
        <v>48</v>
      </c>
      <c r="EE47" s="553">
        <f>EE42-EE44+EE46</f>
        <v>89</v>
      </c>
      <c r="EF47" s="554">
        <f>SUM(EB47:EE47)</f>
        <v>-83</v>
      </c>
      <c r="EG47" s="553">
        <f>EG42-EG44+EG46</f>
        <v>-20</v>
      </c>
      <c r="EH47" s="553">
        <f>EH42-EH44+EH46</f>
        <v>-36</v>
      </c>
      <c r="EI47" s="553">
        <f>EI42-EI44+EI46</f>
        <v>17</v>
      </c>
      <c r="EJ47" s="553">
        <f>EJ42-EJ44+EJ46</f>
        <v>-364</v>
      </c>
      <c r="EK47" s="554">
        <f>SUM(EG47:EJ47)</f>
        <v>-403</v>
      </c>
      <c r="EL47" s="553">
        <f>EL42-EL44+EL46</f>
        <v>-180</v>
      </c>
      <c r="EM47" s="553">
        <f>EM42-EM44+EM46</f>
        <v>-181</v>
      </c>
      <c r="EN47" s="553">
        <f>EN42-EN44+EN46</f>
        <v>-197</v>
      </c>
      <c r="EO47" s="553">
        <f>EO42-EO44+EO46</f>
        <v>-102</v>
      </c>
      <c r="EP47" s="554">
        <f>SUM(EL47:EO47)</f>
        <v>-660</v>
      </c>
      <c r="EQ47" s="553">
        <f>EQ42-EQ44+EQ46</f>
        <v>-112</v>
      </c>
      <c r="ER47" s="553">
        <f>ER42+ER44+ER46</f>
        <v>-58</v>
      </c>
      <c r="ES47" s="553">
        <f>ES42-ES44+ES46</f>
        <v>4</v>
      </c>
      <c r="ET47" s="553">
        <f>ET42-ET44+ET46</f>
        <v>-37</v>
      </c>
      <c r="EU47" s="554">
        <f>SUM(EQ47:ET47)</f>
        <v>-203</v>
      </c>
      <c r="EV47" s="553">
        <f>EV42-EV44+EV46</f>
        <v>-61</v>
      </c>
      <c r="EW47" s="553">
        <f>EW42-EW44+EW46</f>
        <v>-5</v>
      </c>
      <c r="EX47" s="553">
        <f>EX42-EX44+EX46</f>
        <v>81</v>
      </c>
      <c r="EY47" s="553">
        <f>EY42-EY44+EY46</f>
        <v>67</v>
      </c>
      <c r="EZ47" s="554">
        <f>SUM(EV47:EY47)</f>
        <v>82</v>
      </c>
      <c r="FA47" s="553">
        <f>FA42-FA44+FA46</f>
        <v>89</v>
      </c>
      <c r="FB47" s="553">
        <f>FB42-FB44+FB46</f>
        <v>123</v>
      </c>
      <c r="FC47" s="553">
        <f>FC42-FC44+FC46</f>
        <v>114</v>
      </c>
      <c r="FD47" s="553">
        <f>FD42-FD44+FD46</f>
        <v>51</v>
      </c>
      <c r="FE47" s="554">
        <f>SUM(FA47:FD47)</f>
        <v>377</v>
      </c>
      <c r="FF47" s="553">
        <f>FF42-FF44+FF46</f>
        <v>21</v>
      </c>
      <c r="FG47" s="553">
        <f>FG42-FG44+FG46</f>
        <v>47</v>
      </c>
      <c r="FH47" s="553">
        <f>FH42-FH44+FH46</f>
        <v>165</v>
      </c>
      <c r="FI47" s="553">
        <f>FI42-FI44+FI46</f>
        <v>326</v>
      </c>
      <c r="FJ47" s="554">
        <f>SUM(FF47:FI47)</f>
        <v>559</v>
      </c>
      <c r="FK47" s="553">
        <f>FK42-FK44+FK46</f>
        <v>163</v>
      </c>
      <c r="FL47" s="553">
        <f>FL42-FL44+FL46</f>
        <v>156</v>
      </c>
      <c r="FM47" s="553">
        <f>FM42-FM44+FM46</f>
        <v>425</v>
      </c>
      <c r="FN47" s="553">
        <f>FN42-FN44+FN46</f>
        <v>557</v>
      </c>
      <c r="FO47" s="554">
        <f>SUM(FK47:FN47)</f>
        <v>1301</v>
      </c>
      <c r="FP47" s="553">
        <f>FP42-FP44+FP46</f>
        <v>557</v>
      </c>
      <c r="FQ47" s="553">
        <f>FQ42-FQ44+FQ46</f>
        <v>695</v>
      </c>
      <c r="FR47" s="553">
        <f>FR42-FR44+FR46</f>
        <v>794</v>
      </c>
      <c r="FS47" s="553">
        <f>FS42-FS44+FS46</f>
        <v>1010</v>
      </c>
      <c r="FT47" s="554">
        <f>SUM(FP47:FS47)</f>
        <v>3056</v>
      </c>
      <c r="FU47" s="553">
        <f>FU42-FU44+FU46</f>
        <v>1415</v>
      </c>
      <c r="FV47" s="553">
        <f>FV42-FV44+FV46</f>
        <v>1448</v>
      </c>
      <c r="FW47" s="553">
        <f>FW42-FW44+FW46</f>
        <v>826</v>
      </c>
      <c r="FX47" s="553">
        <f>FX42-FX44+FX46</f>
        <v>803</v>
      </c>
      <c r="FY47" s="554">
        <f>SUM(FU47:FX47)</f>
        <v>4492</v>
      </c>
      <c r="FZ47" s="553">
        <f>FZ42-FZ44+FZ46</f>
        <v>665</v>
      </c>
      <c r="GA47" s="553">
        <f>GA42-GA44+GA46</f>
        <v>600</v>
      </c>
      <c r="GB47" s="553">
        <f>GB42-GB44+GB46</f>
        <v>782</v>
      </c>
      <c r="GC47" s="553">
        <f>GC42-GC44+GC46</f>
        <v>875</v>
      </c>
      <c r="GD47" s="554">
        <f>SUM(FZ47:GC47)</f>
        <v>2922</v>
      </c>
      <c r="GE47" s="553">
        <f>GE42-GE44+GE46</f>
        <v>642</v>
      </c>
      <c r="GF47" s="553">
        <f>GF42-GF44+GF46</f>
        <v>780</v>
      </c>
      <c r="GG47" s="553">
        <f>GG42-GG44+GG46</f>
        <v>1153</v>
      </c>
      <c r="GH47" s="553">
        <f>GH42-GH44+GH46</f>
        <v>1438</v>
      </c>
      <c r="GI47" s="554">
        <f>SUM(GE47:GH47)</f>
        <v>4013</v>
      </c>
      <c r="GJ47" s="553">
        <f>GJ42-GJ44+GJ46</f>
        <v>1202</v>
      </c>
      <c r="GK47" s="553">
        <f>GK42-GK44+GK46</f>
        <v>412</v>
      </c>
      <c r="GL47" s="553">
        <f>GL42-GL44+GL46</f>
        <v>1546</v>
      </c>
      <c r="GM47" s="553">
        <f>GM42-GM44+GM46</f>
        <v>2033</v>
      </c>
      <c r="GN47" s="554">
        <f>SUM(GJ47:GM47)</f>
        <v>5193</v>
      </c>
      <c r="GO47" s="553">
        <f>GO42-GO44+GO46</f>
        <v>1778</v>
      </c>
      <c r="GP47" s="553">
        <f>GP42-GP44+GP46</f>
        <v>2149.7640674265749</v>
      </c>
      <c r="GQ47" s="553">
        <f>GQ42-GQ44+GQ46</f>
        <v>2317.244866693582</v>
      </c>
      <c r="GR47" s="553">
        <f>GR42-GR44+GR46</f>
        <v>3861.5072783371406</v>
      </c>
      <c r="GS47" s="554">
        <f>SUM(GO47:GR47)</f>
        <v>10106.516212457296</v>
      </c>
      <c r="GT47" s="553">
        <f>GT42-GT44+GT46</f>
        <v>4203.2443701607463</v>
      </c>
      <c r="GU47" s="553">
        <f>GU42-GU44+GU46</f>
        <v>4723.6174390513443</v>
      </c>
      <c r="GV47" s="553">
        <f>GV42-GV44+GV46</f>
        <v>5579.1213372528164</v>
      </c>
      <c r="GW47" s="553">
        <f>GW42-GW44+GW46</f>
        <v>6176.7741174571756</v>
      </c>
      <c r="GX47" s="554">
        <f>SUM(GT47:GW47)</f>
        <v>20682.757263922082</v>
      </c>
      <c r="GY47" s="553">
        <f>GY42-GY44+GY46</f>
        <v>6193.6590405152901</v>
      </c>
      <c r="GZ47" s="553">
        <f>GZ42-GZ44+GZ46</f>
        <v>6703.6070267887917</v>
      </c>
      <c r="HA47" s="553">
        <f>HA42-HA44+HA46</f>
        <v>7611.7256026153436</v>
      </c>
      <c r="HB47" s="553">
        <f>HB42-HB44+HB46</f>
        <v>8426.4028103377859</v>
      </c>
      <c r="HC47" s="554">
        <f>SUM(GY47:HB47)</f>
        <v>28935.394480257211</v>
      </c>
      <c r="HD47" s="553">
        <f>HD42-HD44+HD46</f>
        <v>8095.2922590823946</v>
      </c>
      <c r="HE47" s="553">
        <f>HE42-HE44+HE46</f>
        <v>8493.8293743691393</v>
      </c>
      <c r="HF47" s="553">
        <f>HF42-HF44+HF46</f>
        <v>9459.3785724610898</v>
      </c>
      <c r="HG47" s="553">
        <f>HG42-HG44+HG46</f>
        <v>9872.5080193334452</v>
      </c>
      <c r="HH47" s="554">
        <f>SUM(HD47:HG47)</f>
        <v>35921.008225246071</v>
      </c>
      <c r="HI47" s="553">
        <f>HI42-HI44+HI46</f>
        <v>9190.6020119451805</v>
      </c>
      <c r="HJ47" s="553">
        <f>HJ42-HJ44+HJ46</f>
        <v>9698.9913585597842</v>
      </c>
      <c r="HK47" s="553">
        <f>HK42-HK44+HK46</f>
        <v>11155.388640623361</v>
      </c>
      <c r="HL47" s="553">
        <f>HL42-HL44+HL46</f>
        <v>11900.864024212613</v>
      </c>
      <c r="HM47" s="554">
        <f>SUM(HI47:HL47)</f>
        <v>41945.846035340939</v>
      </c>
      <c r="HN47" s="554"/>
      <c r="HO47" s="554"/>
      <c r="HP47" s="453"/>
      <c r="HQ47" s="453"/>
      <c r="HR47" s="453"/>
      <c r="HS47" s="453"/>
      <c r="HT47" s="453"/>
      <c r="HU47" s="453"/>
      <c r="HV47" s="453"/>
      <c r="HW47" s="453"/>
      <c r="HX47" s="453"/>
      <c r="HY47" s="453"/>
      <c r="HZ47" s="453"/>
    </row>
    <row r="48" spans="1:234" s="509" customFormat="1" ht="15" customHeight="1">
      <c r="A48" s="517" t="s">
        <v>202</v>
      </c>
      <c r="L48" s="518"/>
      <c r="M48" s="518"/>
      <c r="N48" s="518"/>
      <c r="O48" s="518"/>
      <c r="P48" s="521"/>
      <c r="Q48" s="518"/>
      <c r="R48" s="518"/>
      <c r="S48" s="518"/>
      <c r="T48" s="518"/>
      <c r="U48" s="521"/>
      <c r="V48" s="518"/>
      <c r="W48" s="518"/>
      <c r="X48" s="518"/>
      <c r="Y48" s="518"/>
      <c r="Z48" s="521"/>
      <c r="AA48" s="518"/>
      <c r="AB48" s="518"/>
      <c r="AC48" s="518"/>
      <c r="AD48" s="518"/>
      <c r="AE48" s="521"/>
      <c r="AF48" s="518">
        <f t="shared" ref="AF48:CQ48" si="90">AF47/AF$9</f>
        <v>0</v>
      </c>
      <c r="AG48" s="518">
        <f t="shared" si="90"/>
        <v>0</v>
      </c>
      <c r="AH48" s="518">
        <f t="shared" si="90"/>
        <v>0</v>
      </c>
      <c r="AI48" s="518">
        <f t="shared" si="90"/>
        <v>0</v>
      </c>
      <c r="AJ48" s="521">
        <f t="shared" si="90"/>
        <v>0</v>
      </c>
      <c r="AK48" s="518">
        <f t="shared" si="90"/>
        <v>0</v>
      </c>
      <c r="AL48" s="518">
        <f t="shared" si="90"/>
        <v>0</v>
      </c>
      <c r="AM48" s="518">
        <f t="shared" si="90"/>
        <v>0</v>
      </c>
      <c r="AN48" s="518">
        <f t="shared" si="90"/>
        <v>0</v>
      </c>
      <c r="AO48" s="521">
        <f t="shared" si="90"/>
        <v>0</v>
      </c>
      <c r="AP48" s="518">
        <f t="shared" si="90"/>
        <v>0.15609034730106305</v>
      </c>
      <c r="AQ48" s="518">
        <f t="shared" si="90"/>
        <v>0.14689067954405374</v>
      </c>
      <c r="AR48" s="518">
        <f t="shared" si="90"/>
        <v>9.512944942706876E-2</v>
      </c>
      <c r="AS48" s="518">
        <f t="shared" si="90"/>
        <v>9.3708739370249941E-2</v>
      </c>
      <c r="AT48" s="521">
        <f t="shared" si="90"/>
        <v>0.1236811259221212</v>
      </c>
      <c r="AU48" s="518">
        <f t="shared" si="90"/>
        <v>4.6538848830970245E-2</v>
      </c>
      <c r="AV48" s="518">
        <f t="shared" si="90"/>
        <v>-7.6189304227636201E-2</v>
      </c>
      <c r="AW48" s="518">
        <f t="shared" si="90"/>
        <v>-8.39684631245321E-2</v>
      </c>
      <c r="AX48" s="518">
        <f t="shared" si="90"/>
        <v>-4.2753809864994358E-2</v>
      </c>
      <c r="AY48" s="521">
        <f t="shared" si="90"/>
        <v>-3.5304316035839903E-2</v>
      </c>
      <c r="AZ48" s="518">
        <f t="shared" si="90"/>
        <v>2.3461999025360541E-2</v>
      </c>
      <c r="BA48" s="518">
        <f t="shared" si="90"/>
        <v>1.6765310876428074E-2</v>
      </c>
      <c r="BB48" s="518">
        <f t="shared" si="90"/>
        <v>-5.3088608952742353E-2</v>
      </c>
      <c r="BC48" s="518">
        <f t="shared" si="90"/>
        <v>-2.0115106552658066E-2</v>
      </c>
      <c r="BD48" s="521">
        <f t="shared" si="90"/>
        <v>-8.9501883189220567E-3</v>
      </c>
      <c r="BE48" s="518">
        <f t="shared" si="90"/>
        <v>-0.11597726566775632</v>
      </c>
      <c r="BF48" s="518">
        <f t="shared" si="90"/>
        <v>-0.12261223311517866</v>
      </c>
      <c r="BG48" s="518">
        <f t="shared" si="90"/>
        <v>1.4666283729901516E-3</v>
      </c>
      <c r="BH48" s="518">
        <f t="shared" si="90"/>
        <v>2.8296696331228947E-2</v>
      </c>
      <c r="BI48" s="521">
        <f t="shared" si="90"/>
        <v>-4.0894663199248164E-2</v>
      </c>
      <c r="BJ48" s="518">
        <f t="shared" si="90"/>
        <v>-0.20324322783818055</v>
      </c>
      <c r="BK48" s="518">
        <f t="shared" si="90"/>
        <v>0.13425439709364173</v>
      </c>
      <c r="BL48" s="518">
        <f t="shared" si="90"/>
        <v>-0.15938730760866926</v>
      </c>
      <c r="BM48" s="518">
        <f t="shared" si="90"/>
        <v>6.7182128810479885E-2</v>
      </c>
      <c r="BN48" s="521">
        <f t="shared" si="90"/>
        <v>-3.1122576816101834E-2</v>
      </c>
      <c r="BO48" s="518">
        <f t="shared" si="90"/>
        <v>0.18050070098870993</v>
      </c>
      <c r="BP48" s="518">
        <f t="shared" si="90"/>
        <v>0.18228148973417613</v>
      </c>
      <c r="BQ48" s="518">
        <f t="shared" si="90"/>
        <v>0.34393712978088747</v>
      </c>
      <c r="BR48" s="518">
        <f t="shared" si="90"/>
        <v>0.15750460358143323</v>
      </c>
      <c r="BS48" s="521">
        <f t="shared" si="90"/>
        <v>0.2175909367990565</v>
      </c>
      <c r="BT48" s="518">
        <f t="shared" si="90"/>
        <v>0.10945306276272412</v>
      </c>
      <c r="BU48" s="518">
        <f t="shared" si="90"/>
        <v>1.7611523408954402E-2</v>
      </c>
      <c r="BV48" s="518">
        <f t="shared" si="90"/>
        <v>-0.244072753861621</v>
      </c>
      <c r="BW48" s="518">
        <f t="shared" si="90"/>
        <v>-1.6642976531533089E-2</v>
      </c>
      <c r="BX48" s="521">
        <f t="shared" si="90"/>
        <v>-1.4211072950654024E-2</v>
      </c>
      <c r="BY48" s="518">
        <f t="shared" si="90"/>
        <v>-1.0157714508692822E-2</v>
      </c>
      <c r="BZ48" s="518">
        <f t="shared" si="90"/>
        <v>-0.30807647522318043</v>
      </c>
      <c r="CA48" s="518">
        <f t="shared" si="90"/>
        <v>-0.50011313842043037</v>
      </c>
      <c r="CB48" s="518">
        <f t="shared" si="90"/>
        <v>-1.2451961598414991</v>
      </c>
      <c r="CC48" s="521">
        <f t="shared" si="90"/>
        <v>-0.48312865749682349</v>
      </c>
      <c r="CD48" s="518">
        <f t="shared" si="90"/>
        <v>-0.20482118241422997</v>
      </c>
      <c r="CE48" s="518">
        <f t="shared" si="90"/>
        <v>-0.21711524483891012</v>
      </c>
      <c r="CF48" s="518">
        <f t="shared" si="90"/>
        <v>-3.2745169377169682E-2</v>
      </c>
      <c r="CG48" s="518">
        <f t="shared" si="90"/>
        <v>4.0140412228670902E-2</v>
      </c>
      <c r="CH48" s="521">
        <f t="shared" si="90"/>
        <v>-7.6520927673813827E-2</v>
      </c>
      <c r="CI48" s="518">
        <f t="shared" si="90"/>
        <v>4.019223039178018E-2</v>
      </c>
      <c r="CJ48" s="518">
        <f t="shared" si="90"/>
        <v>2.9005331116459608E-2</v>
      </c>
      <c r="CK48" s="518">
        <f t="shared" si="90"/>
        <v>3.9017829553055029E-2</v>
      </c>
      <c r="CL48" s="518">
        <f t="shared" si="90"/>
        <v>-2.3710419986927318E-2</v>
      </c>
      <c r="CM48" s="521">
        <f t="shared" si="90"/>
        <v>2.0932592345996707E-2</v>
      </c>
      <c r="CN48" s="518">
        <f t="shared" si="90"/>
        <v>-1.4203980342858665E-2</v>
      </c>
      <c r="CO48" s="518">
        <f t="shared" si="90"/>
        <v>8.9839180010127199E-3</v>
      </c>
      <c r="CP48" s="518">
        <f t="shared" si="90"/>
        <v>5.2179109574422788E-2</v>
      </c>
      <c r="CQ48" s="518">
        <f t="shared" si="90"/>
        <v>5.1998176552378386E-2</v>
      </c>
      <c r="CR48" s="521">
        <f t="shared" ref="CR48:EU48" si="91">CR47/CR$9</f>
        <v>2.8890427607879299E-2</v>
      </c>
      <c r="CS48" s="518">
        <f t="shared" si="91"/>
        <v>0.14129245930287551</v>
      </c>
      <c r="CT48" s="518">
        <f t="shared" si="91"/>
        <v>7.304292207861611E-2</v>
      </c>
      <c r="CU48" s="518">
        <f t="shared" si="91"/>
        <v>0.10127506172690726</v>
      </c>
      <c r="CV48" s="518">
        <f t="shared" si="91"/>
        <v>-0.32318161308516641</v>
      </c>
      <c r="CW48" s="521">
        <f t="shared" si="91"/>
        <v>-2.8583982679154914E-2</v>
      </c>
      <c r="CX48" s="518">
        <f t="shared" si="91"/>
        <v>-0.49553933495539337</v>
      </c>
      <c r="CY48" s="518">
        <f t="shared" si="91"/>
        <v>-0.43541364296081275</v>
      </c>
      <c r="CZ48" s="518">
        <f t="shared" si="91"/>
        <v>-0.24264705882352941</v>
      </c>
      <c r="DA48" s="518">
        <f t="shared" si="91"/>
        <v>-1.0011299435028249</v>
      </c>
      <c r="DB48" s="521">
        <f t="shared" si="91"/>
        <v>-0.56194911026110095</v>
      </c>
      <c r="DC48" s="518">
        <f t="shared" si="91"/>
        <v>-0.23787375415282391</v>
      </c>
      <c r="DD48" s="518">
        <f t="shared" si="91"/>
        <v>-0.1994069681245367</v>
      </c>
      <c r="DE48" s="518">
        <f t="shared" si="91"/>
        <v>1.4321295143212951E-2</v>
      </c>
      <c r="DF48" s="518">
        <f t="shared" si="91"/>
        <v>-1.2168674698795181</v>
      </c>
      <c r="DG48" s="521">
        <f t="shared" si="91"/>
        <v>-0.35894699395233015</v>
      </c>
      <c r="DH48" s="518">
        <f t="shared" si="91"/>
        <v>-0.35344095157179267</v>
      </c>
      <c r="DI48" s="518">
        <f t="shared" si="91"/>
        <v>-0.27871621621621623</v>
      </c>
      <c r="DJ48" s="518">
        <f t="shared" si="91"/>
        <v>-9.1690544412607447E-2</v>
      </c>
      <c r="DK48" s="518">
        <f t="shared" si="91"/>
        <v>0.71749696233292826</v>
      </c>
      <c r="DL48" s="521">
        <f t="shared" si="91"/>
        <v>5.6820285026836941E-2</v>
      </c>
      <c r="DM48" s="518">
        <f t="shared" si="91"/>
        <v>0.16327827191867852</v>
      </c>
      <c r="DN48" s="518">
        <f t="shared" si="91"/>
        <v>-2.601330913490623E-2</v>
      </c>
      <c r="DO48" s="518">
        <f t="shared" si="91"/>
        <v>-7.2929542645241041E-2</v>
      </c>
      <c r="DP48" s="518">
        <f>DP47/DP$9</f>
        <v>0.23165554881746514</v>
      </c>
      <c r="DQ48" s="521">
        <f t="shared" si="91"/>
        <v>7.3606405913150597E-2</v>
      </c>
      <c r="DR48" s="518">
        <f>DR47/DR$9</f>
        <v>0.31618102913825169</v>
      </c>
      <c r="DS48" s="518">
        <f>DS47/DS$9</f>
        <v>3.8754764930114358E-2</v>
      </c>
      <c r="DT48" s="518">
        <f>DT47/DT$9</f>
        <v>5.7396449704142011E-2</v>
      </c>
      <c r="DU48" s="518">
        <f>DU47/DU$9</f>
        <v>-0.10467179183914843</v>
      </c>
      <c r="DV48" s="521">
        <f t="shared" si="91"/>
        <v>7.4756394640682094E-2</v>
      </c>
      <c r="DW48" s="518">
        <f t="shared" si="91"/>
        <v>-0.37223974763406942</v>
      </c>
      <c r="DX48" s="518">
        <f t="shared" si="91"/>
        <v>2.6185421089879687E-2</v>
      </c>
      <c r="DY48" s="518">
        <f t="shared" si="91"/>
        <v>-0.12371946414499606</v>
      </c>
      <c r="DZ48" s="518">
        <f t="shared" si="91"/>
        <v>-0.40952380952380951</v>
      </c>
      <c r="EA48" s="521">
        <f t="shared" si="91"/>
        <v>-0.21818517152342309</v>
      </c>
      <c r="EB48" s="518">
        <f t="shared" si="91"/>
        <v>-0.13419117647058823</v>
      </c>
      <c r="EC48" s="518">
        <f t="shared" si="91"/>
        <v>-6.3738156761412576E-2</v>
      </c>
      <c r="ED48" s="518">
        <f t="shared" si="91"/>
        <v>3.2854209445585217E-2</v>
      </c>
      <c r="EE48" s="518">
        <f t="shared" si="91"/>
        <v>5.6010069225928258E-2</v>
      </c>
      <c r="EF48" s="521">
        <f t="shared" si="91"/>
        <v>-1.5663332704283828E-2</v>
      </c>
      <c r="EG48" s="518">
        <f t="shared" si="91"/>
        <v>-1.4316392269148175E-2</v>
      </c>
      <c r="EH48" s="518">
        <f t="shared" si="91"/>
        <v>-2.4982650936849409E-2</v>
      </c>
      <c r="EI48" s="518">
        <f t="shared" si="91"/>
        <v>1.1896431070678797E-2</v>
      </c>
      <c r="EJ48" s="518">
        <f t="shared" si="91"/>
        <v>-0.29378531073446329</v>
      </c>
      <c r="EK48" s="521">
        <f t="shared" si="91"/>
        <v>-7.3192880494006532E-2</v>
      </c>
      <c r="EL48" s="518">
        <f t="shared" si="91"/>
        <v>-0.17475728155339806</v>
      </c>
      <c r="EM48" s="518">
        <f t="shared" si="91"/>
        <v>-0.19214437367303611</v>
      </c>
      <c r="EN48" s="518">
        <f t="shared" si="91"/>
        <v>-0.18567389255419417</v>
      </c>
      <c r="EO48" s="518">
        <f t="shared" si="91"/>
        <v>-0.10647181628392484</v>
      </c>
      <c r="EP48" s="521">
        <f t="shared" si="91"/>
        <v>-0.16537208719619143</v>
      </c>
      <c r="EQ48" s="518">
        <f t="shared" si="91"/>
        <v>-0.13461538461538461</v>
      </c>
      <c r="ER48" s="518">
        <f t="shared" si="91"/>
        <v>-5.6475170399221029E-2</v>
      </c>
      <c r="ES48" s="518">
        <f t="shared" si="91"/>
        <v>3.06044376434583E-3</v>
      </c>
      <c r="ET48" s="518">
        <f t="shared" si="91"/>
        <v>-3.3453887884267633E-2</v>
      </c>
      <c r="EU48" s="521">
        <f t="shared" si="91"/>
        <v>-4.7518726591760298E-2</v>
      </c>
      <c r="EV48" s="518">
        <f>EV47/EV$9</f>
        <v>-6.1991869918699184E-2</v>
      </c>
      <c r="EW48" s="518">
        <f>EW47/EW$9</f>
        <v>-4.0916530278232409E-3</v>
      </c>
      <c r="EX48" s="518">
        <f>EX47/EX$9</f>
        <v>4.9300060864272674E-2</v>
      </c>
      <c r="EY48" s="518">
        <f>EY47/EY$9</f>
        <v>4.5270270270270273E-2</v>
      </c>
      <c r="EZ48" s="521">
        <f>EZ47/EZ$9</f>
        <v>1.5387502345655845E-2</v>
      </c>
      <c r="FA48" s="518">
        <f t="shared" ref="FA48:HL48" si="92">FA47/FA$9</f>
        <v>5.4037644201578625E-2</v>
      </c>
      <c r="FB48" s="518">
        <f t="shared" si="92"/>
        <v>7.0045558086560364E-2</v>
      </c>
      <c r="FC48" s="518">
        <f t="shared" si="92"/>
        <v>6.8965517241379309E-2</v>
      </c>
      <c r="FD48" s="518">
        <f t="shared" si="92"/>
        <v>3.5940803382663845E-2</v>
      </c>
      <c r="FE48" s="521">
        <f t="shared" si="92"/>
        <v>5.8223938223938225E-2</v>
      </c>
      <c r="FF48" s="518">
        <f t="shared" si="92"/>
        <v>1.6509433962264151E-2</v>
      </c>
      <c r="FG48" s="518">
        <f t="shared" si="92"/>
        <v>3.0698889614630961E-2</v>
      </c>
      <c r="FH48" s="518">
        <f t="shared" si="92"/>
        <v>9.1615769017212662E-2</v>
      </c>
      <c r="FI48" s="518">
        <f t="shared" si="92"/>
        <v>0.153267512929008</v>
      </c>
      <c r="FJ48" s="521">
        <f t="shared" si="92"/>
        <v>8.3048581191502005E-2</v>
      </c>
      <c r="FK48" s="518">
        <f t="shared" si="92"/>
        <v>9.1265397536394177E-2</v>
      </c>
      <c r="FL48" s="518">
        <f t="shared" si="92"/>
        <v>8.0745341614906832E-2</v>
      </c>
      <c r="FM48" s="518">
        <f t="shared" si="92"/>
        <v>0.15173152445555158</v>
      </c>
      <c r="FN48" s="518">
        <f t="shared" si="92"/>
        <v>0.1717016029593095</v>
      </c>
      <c r="FO48" s="521">
        <f t="shared" si="92"/>
        <v>0.1332582198094848</v>
      </c>
      <c r="FP48" s="518">
        <f t="shared" si="92"/>
        <v>0.16168359941944849</v>
      </c>
      <c r="FQ48" s="518">
        <f t="shared" si="92"/>
        <v>0.18051948051948052</v>
      </c>
      <c r="FR48" s="518">
        <f t="shared" si="92"/>
        <v>0.18409459772779968</v>
      </c>
      <c r="FS48" s="518">
        <f t="shared" si="92"/>
        <v>0.20928305014504767</v>
      </c>
      <c r="FT48" s="521">
        <f t="shared" si="92"/>
        <v>0.18595594499208956</v>
      </c>
      <c r="FU48" s="518">
        <f t="shared" si="92"/>
        <v>0.24036011550874808</v>
      </c>
      <c r="FV48" s="518">
        <f t="shared" si="92"/>
        <v>0.22106870229007633</v>
      </c>
      <c r="FW48" s="518">
        <f t="shared" si="92"/>
        <v>0.14842767295597484</v>
      </c>
      <c r="FX48" s="518">
        <f t="shared" si="92"/>
        <v>0.14341846758349705</v>
      </c>
      <c r="FY48" s="521">
        <f t="shared" si="92"/>
        <v>0.190330918181433</v>
      </c>
      <c r="FZ48" s="518">
        <f t="shared" si="92"/>
        <v>0.12422940407248272</v>
      </c>
      <c r="GA48" s="518">
        <f t="shared" si="92"/>
        <v>0.11196118678857996</v>
      </c>
      <c r="GB48" s="518">
        <f t="shared" si="92"/>
        <v>0.13482758620689655</v>
      </c>
      <c r="GC48" s="518">
        <f t="shared" si="92"/>
        <v>0.14186121919584954</v>
      </c>
      <c r="GD48" s="521">
        <f t="shared" si="92"/>
        <v>0.12883597883597883</v>
      </c>
      <c r="GE48" s="518">
        <f t="shared" si="92"/>
        <v>0.11730312442901517</v>
      </c>
      <c r="GF48" s="518">
        <f t="shared" si="92"/>
        <v>0.13367609254498714</v>
      </c>
      <c r="GG48" s="518">
        <f t="shared" si="92"/>
        <v>0.16908637630151049</v>
      </c>
      <c r="GH48" s="518">
        <f t="shared" si="92"/>
        <v>0.18777748759467225</v>
      </c>
      <c r="GI48" s="521">
        <f t="shared" si="92"/>
        <v>0.15563312003102578</v>
      </c>
      <c r="GJ48" s="518">
        <f t="shared" si="92"/>
        <v>0.16160258133906963</v>
      </c>
      <c r="GK48" s="518">
        <f t="shared" si="92"/>
        <v>5.361093038386467E-2</v>
      </c>
      <c r="GL48" s="518">
        <f t="shared" si="92"/>
        <v>0.1672074410555916</v>
      </c>
      <c r="GM48" s="518">
        <f t="shared" si="92"/>
        <v>0.1979552093476144</v>
      </c>
      <c r="GN48" s="521">
        <f t="shared" si="92"/>
        <v>0.14991772279800225</v>
      </c>
      <c r="GO48" s="518">
        <f t="shared" si="92"/>
        <v>0.17341265970935335</v>
      </c>
      <c r="GP48" s="518">
        <f t="shared" si="92"/>
        <v>0.19155814892855916</v>
      </c>
      <c r="GQ48" s="518">
        <f t="shared" si="92"/>
        <v>0.19320645977810161</v>
      </c>
      <c r="GR48" s="518">
        <f t="shared" si="92"/>
        <v>0.23848866599103186</v>
      </c>
      <c r="GS48" s="521">
        <f t="shared" si="92"/>
        <v>0.20351131131064779</v>
      </c>
      <c r="GT48" s="518">
        <f t="shared" si="92"/>
        <v>0.24108311504495555</v>
      </c>
      <c r="GU48" s="518">
        <f t="shared" si="92"/>
        <v>0.24587422434068817</v>
      </c>
      <c r="GV48" s="518">
        <f t="shared" si="92"/>
        <v>0.25204029119149168</v>
      </c>
      <c r="GW48" s="518">
        <f t="shared" si="92"/>
        <v>0.25192292098736235</v>
      </c>
      <c r="GX48" s="521">
        <f t="shared" si="92"/>
        <v>0.24829033663892688</v>
      </c>
      <c r="GY48" s="518">
        <f t="shared" si="92"/>
        <v>0.25870005170661675</v>
      </c>
      <c r="GZ48" s="518">
        <f t="shared" si="92"/>
        <v>0.26778985985605025</v>
      </c>
      <c r="HA48" s="518">
        <f t="shared" si="92"/>
        <v>0.28325936392066864</v>
      </c>
      <c r="HB48" s="518">
        <f t="shared" si="92"/>
        <v>0.29307101703672539</v>
      </c>
      <c r="HC48" s="521">
        <f t="shared" si="92"/>
        <v>0.27663279191803486</v>
      </c>
      <c r="HD48" s="518">
        <f t="shared" si="92"/>
        <v>0.28730586335453689</v>
      </c>
      <c r="HE48" s="518">
        <f t="shared" si="92"/>
        <v>0.28911934679996926</v>
      </c>
      <c r="HF48" s="518">
        <f t="shared" si="92"/>
        <v>0.29825136294472865</v>
      </c>
      <c r="HG48" s="518">
        <f t="shared" si="92"/>
        <v>0.29813493973906224</v>
      </c>
      <c r="HH48" s="521">
        <f t="shared" si="92"/>
        <v>0.2935077765250087</v>
      </c>
      <c r="HI48" s="518">
        <f t="shared" si="92"/>
        <v>0.28980001031264246</v>
      </c>
      <c r="HJ48" s="518">
        <f t="shared" si="92"/>
        <v>0.29342034451450272</v>
      </c>
      <c r="HK48" s="518">
        <f t="shared" si="92"/>
        <v>0.30712856565555136</v>
      </c>
      <c r="HL48" s="518">
        <f t="shared" si="92"/>
        <v>0.31320363882318542</v>
      </c>
      <c r="HM48" s="521">
        <f t="shared" ref="HM48" si="93">HM47/HM$9</f>
        <v>0.30157924928686292</v>
      </c>
      <c r="HN48" s="521"/>
      <c r="HO48" s="521"/>
      <c r="HP48" s="453"/>
      <c r="HQ48" s="453"/>
      <c r="HR48" s="453"/>
      <c r="HS48" s="453"/>
      <c r="HT48" s="453"/>
      <c r="HU48" s="453"/>
      <c r="HV48" s="453"/>
      <c r="HW48" s="453"/>
      <c r="HX48" s="453"/>
      <c r="HY48" s="453"/>
      <c r="HZ48" s="453"/>
    </row>
    <row r="49" spans="1:234" s="509" customFormat="1" ht="15" customHeight="1">
      <c r="A49" s="517"/>
      <c r="L49" s="518"/>
      <c r="M49" s="518"/>
      <c r="N49" s="518"/>
      <c r="O49" s="518"/>
      <c r="P49" s="521"/>
      <c r="Q49" s="518"/>
      <c r="R49" s="518"/>
      <c r="S49" s="518"/>
      <c r="T49" s="518"/>
      <c r="U49" s="521"/>
      <c r="V49" s="518"/>
      <c r="W49" s="518"/>
      <c r="X49" s="518"/>
      <c r="Y49" s="518"/>
      <c r="Z49" s="521"/>
      <c r="AA49" s="518"/>
      <c r="AB49" s="518"/>
      <c r="AC49" s="518"/>
      <c r="AD49" s="518"/>
      <c r="AE49" s="521"/>
      <c r="AF49" s="518"/>
      <c r="AG49" s="518"/>
      <c r="AH49" s="518"/>
      <c r="AI49" s="518"/>
      <c r="AJ49" s="521"/>
      <c r="AK49" s="518"/>
      <c r="AL49" s="518"/>
      <c r="AM49" s="518"/>
      <c r="AN49" s="518"/>
      <c r="AO49" s="521"/>
      <c r="AP49" s="518"/>
      <c r="AQ49" s="518"/>
      <c r="AR49" s="518"/>
      <c r="AS49" s="518"/>
      <c r="AT49" s="521"/>
      <c r="AU49" s="518"/>
      <c r="AV49" s="518"/>
      <c r="AW49" s="518"/>
      <c r="AX49" s="518"/>
      <c r="AY49" s="521"/>
      <c r="AZ49" s="518"/>
      <c r="BA49" s="518"/>
      <c r="BB49" s="518"/>
      <c r="BC49" s="518"/>
      <c r="BD49" s="521"/>
      <c r="BE49" s="518"/>
      <c r="BF49" s="518"/>
      <c r="BG49" s="518"/>
      <c r="BH49" s="518"/>
      <c r="BI49" s="521"/>
      <c r="BJ49" s="518"/>
      <c r="BK49" s="518"/>
      <c r="BL49" s="518"/>
      <c r="BM49" s="518"/>
      <c r="BN49" s="521"/>
      <c r="BO49" s="518"/>
      <c r="BP49" s="518"/>
      <c r="BQ49" s="518"/>
      <c r="BR49" s="518"/>
      <c r="BS49" s="521"/>
      <c r="BT49" s="518"/>
      <c r="BU49" s="518"/>
      <c r="BV49" s="518"/>
      <c r="BW49" s="518"/>
      <c r="BX49" s="521"/>
      <c r="BY49" s="518"/>
      <c r="BZ49" s="518"/>
      <c r="CA49" s="518"/>
      <c r="CB49" s="518"/>
      <c r="CC49" s="521"/>
      <c r="CD49" s="518"/>
      <c r="CE49" s="518"/>
      <c r="CF49" s="518"/>
      <c r="CG49" s="518"/>
      <c r="CH49" s="521"/>
      <c r="CI49" s="518"/>
      <c r="CJ49" s="518"/>
      <c r="CK49" s="518"/>
      <c r="CL49" s="518"/>
      <c r="CM49" s="521"/>
      <c r="CN49" s="518"/>
      <c r="CO49" s="518"/>
      <c r="CP49" s="518"/>
      <c r="CQ49" s="518"/>
      <c r="CR49" s="521"/>
      <c r="CS49" s="518"/>
      <c r="CT49" s="518"/>
      <c r="CU49" s="518"/>
      <c r="CV49" s="518"/>
      <c r="CW49" s="521"/>
      <c r="CX49" s="518"/>
      <c r="CY49" s="518"/>
      <c r="CZ49" s="518"/>
      <c r="DA49" s="518"/>
      <c r="DB49" s="521"/>
      <c r="DC49" s="518"/>
      <c r="DD49" s="518"/>
      <c r="DE49" s="518"/>
      <c r="DF49" s="518"/>
      <c r="DG49" s="521"/>
      <c r="DH49" s="518"/>
      <c r="DI49" s="518"/>
      <c r="DJ49" s="518"/>
      <c r="DK49" s="518"/>
      <c r="DL49" s="521"/>
      <c r="DM49" s="518"/>
      <c r="DN49" s="518"/>
      <c r="DO49" s="518"/>
      <c r="DP49" s="518"/>
      <c r="DQ49" s="521"/>
      <c r="DR49" s="518"/>
      <c r="DS49" s="518"/>
      <c r="DT49" s="518"/>
      <c r="DU49" s="518"/>
      <c r="DV49" s="521"/>
      <c r="DW49" s="518"/>
      <c r="DX49" s="518"/>
      <c r="DY49" s="518"/>
      <c r="DZ49" s="518"/>
      <c r="EA49" s="521"/>
      <c r="EB49" s="518"/>
      <c r="EC49" s="518"/>
      <c r="ED49" s="518"/>
      <c r="EE49" s="518"/>
      <c r="EF49" s="521"/>
      <c r="EG49" s="518"/>
      <c r="EH49" s="518"/>
      <c r="EI49" s="518"/>
      <c r="EJ49" s="518"/>
      <c r="EK49" s="521"/>
      <c r="EL49" s="518"/>
      <c r="EM49" s="518"/>
      <c r="EN49" s="518"/>
      <c r="EO49" s="518"/>
      <c r="EP49" s="521"/>
      <c r="EQ49" s="518"/>
      <c r="ER49" s="518"/>
      <c r="ES49" s="518"/>
      <c r="ET49" s="555"/>
      <c r="EU49" s="521"/>
      <c r="EV49" s="518"/>
      <c r="EW49" s="518"/>
      <c r="EX49" s="518"/>
      <c r="EY49" s="518"/>
      <c r="EZ49" s="556"/>
      <c r="FA49" s="518"/>
      <c r="FB49" s="518"/>
      <c r="FC49" s="518"/>
      <c r="FD49" s="518"/>
      <c r="FE49" s="521"/>
      <c r="FF49" s="518"/>
      <c r="FG49" s="518"/>
      <c r="FH49" s="518"/>
      <c r="FI49" s="518"/>
      <c r="FJ49" s="557"/>
      <c r="FK49" s="518"/>
      <c r="FL49" s="518"/>
      <c r="FM49" s="518"/>
      <c r="FN49" s="518"/>
      <c r="FO49" s="521"/>
      <c r="FP49" s="518"/>
      <c r="FQ49" s="518"/>
      <c r="FR49" s="518"/>
      <c r="FS49" s="518"/>
      <c r="FT49" s="521"/>
      <c r="FU49" s="518"/>
      <c r="FV49" s="518"/>
      <c r="FW49" s="518"/>
      <c r="FX49" s="518"/>
      <c r="FY49" s="521"/>
      <c r="FZ49" s="518"/>
      <c r="GA49" s="518"/>
      <c r="GB49" s="518"/>
      <c r="GC49" s="518"/>
      <c r="GD49" s="541"/>
      <c r="GE49" s="518"/>
      <c r="GF49" s="518"/>
      <c r="GG49" s="518"/>
      <c r="GH49" s="518"/>
      <c r="GI49" s="521"/>
      <c r="GJ49" s="518"/>
      <c r="GK49" s="518"/>
      <c r="GL49" s="518"/>
      <c r="GM49" s="518"/>
      <c r="GN49" s="521"/>
      <c r="GO49" s="518"/>
      <c r="GP49" s="518"/>
      <c r="GQ49" s="518"/>
      <c r="GR49" s="518"/>
      <c r="GS49" s="521"/>
      <c r="GT49" s="518"/>
      <c r="GU49" s="518"/>
      <c r="GV49" s="518"/>
      <c r="GW49" s="518"/>
      <c r="GX49" s="521"/>
      <c r="GY49" s="518"/>
      <c r="GZ49" s="518"/>
      <c r="HA49" s="518"/>
      <c r="HB49" s="518"/>
      <c r="HC49" s="521"/>
      <c r="HD49" s="518"/>
      <c r="HE49" s="518"/>
      <c r="HF49" s="518"/>
      <c r="HG49" s="518"/>
      <c r="HH49" s="521"/>
      <c r="HI49" s="518"/>
      <c r="HJ49" s="518"/>
      <c r="HK49" s="518"/>
      <c r="HL49" s="518"/>
      <c r="HM49" s="521"/>
      <c r="HN49" s="521"/>
      <c r="HO49" s="521"/>
      <c r="HP49" s="453"/>
      <c r="HQ49" s="453"/>
      <c r="HR49" s="453"/>
      <c r="HS49" s="453"/>
      <c r="HT49" s="453"/>
      <c r="HU49" s="453"/>
      <c r="HV49" s="453"/>
      <c r="HW49" s="453"/>
      <c r="HX49" s="453"/>
      <c r="HY49" s="453"/>
      <c r="HZ49" s="453"/>
    </row>
    <row r="50" spans="1:234" ht="15" customHeight="1">
      <c r="A50" s="269" t="s">
        <v>386</v>
      </c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1"/>
      <c r="M50" s="271"/>
      <c r="N50" s="271"/>
      <c r="O50" s="271"/>
      <c r="P50" s="272"/>
      <c r="Q50" s="271"/>
      <c r="R50" s="271"/>
      <c r="S50" s="271"/>
      <c r="T50" s="271"/>
      <c r="U50" s="272"/>
      <c r="V50" s="271"/>
      <c r="W50" s="271"/>
      <c r="X50" s="271"/>
      <c r="Y50" s="271"/>
      <c r="Z50" s="272"/>
      <c r="AA50" s="271"/>
      <c r="AB50" s="271"/>
      <c r="AC50" s="271"/>
      <c r="AD50" s="271"/>
      <c r="AE50" s="272"/>
      <c r="AF50" s="273">
        <f>(AF42+AF46)/AF58</f>
        <v>0.30475600079349346</v>
      </c>
      <c r="AG50" s="273">
        <f>(AG42+AG46)/AG58</f>
        <v>0.31565084316783881</v>
      </c>
      <c r="AH50" s="273">
        <f>(AH42+AH46)/AH58</f>
        <v>0.29850208773347076</v>
      </c>
      <c r="AI50" s="273">
        <f>(AI42+AI46)/AI58</f>
        <v>0.20398675327983709</v>
      </c>
      <c r="AJ50" s="274">
        <f>SUM(AF50:AI50)</f>
        <v>1.1228956849746401</v>
      </c>
      <c r="AK50" s="273">
        <f>(AK42+AK46)/AK58</f>
        <v>0.40796276647053159</v>
      </c>
      <c r="AL50" s="273">
        <f>(AL42+AL46)/AL58</f>
        <v>0.44716975702404849</v>
      </c>
      <c r="AM50" s="273">
        <f>(AM42+AM46)/AM58</f>
        <v>0.41329430162483799</v>
      </c>
      <c r="AN50" s="273">
        <f>(AN42+AN46)/AN58</f>
        <v>0.21241297459869357</v>
      </c>
      <c r="AO50" s="274">
        <f>SUM(AK50:AN50)</f>
        <v>1.4808397997181117</v>
      </c>
      <c r="AP50" s="273">
        <f>AP47/AP58</f>
        <v>0.45349382010363859</v>
      </c>
      <c r="AQ50" s="273">
        <f>AQ47/AQ58</f>
        <v>0.42855878269458375</v>
      </c>
      <c r="AR50" s="273">
        <f>AR47/AR58</f>
        <v>0.26166382467223881</v>
      </c>
      <c r="AS50" s="273">
        <f>AS47/AS58</f>
        <v>0.2601709753836644</v>
      </c>
      <c r="AT50" s="274">
        <f>(AT42+AT46)/AT58</f>
        <v>1.4037986332020722</v>
      </c>
      <c r="AU50" s="273">
        <f>AU47/AU58</f>
        <v>9.1499938583371188E-2</v>
      </c>
      <c r="AV50" s="273">
        <f>AV47/AV58</f>
        <v>-0.1281622876406488</v>
      </c>
      <c r="AW50" s="273">
        <f>AW47/AW58</f>
        <v>-0.14095177907438158</v>
      </c>
      <c r="AX50" s="273">
        <f>AX47/AX58</f>
        <v>-7.7169261619163224E-2</v>
      </c>
      <c r="AY50" s="274">
        <f>(AY42+AY46)/AY58</f>
        <v>-0.25192460165221625</v>
      </c>
      <c r="AZ50" s="273">
        <f>AZ47/AZ58</f>
        <v>4.3954738599801771E-2</v>
      </c>
      <c r="BA50" s="273">
        <f>BA47/BA58</f>
        <v>3.3694116374502106E-2</v>
      </c>
      <c r="BB50" s="273">
        <f>BB47/BB58</f>
        <v>-0.11174416143371202</v>
      </c>
      <c r="BC50" s="273">
        <f>BC47/BC58</f>
        <v>-4.3463552495260023E-2</v>
      </c>
      <c r="BD50" s="274">
        <f>(BD42+BD46)/BD58</f>
        <v>-7.2867359983415536E-2</v>
      </c>
      <c r="BE50" s="273">
        <f>BE47/BE58</f>
        <v>-0.22009010336624499</v>
      </c>
      <c r="BF50" s="273">
        <f>BF47/BF58</f>
        <v>-0.22500731901130597</v>
      </c>
      <c r="BG50" s="273">
        <f>BG47/BG58</f>
        <v>3.4301223387570266E-3</v>
      </c>
      <c r="BH50" s="273">
        <f>BH47/BH58</f>
        <v>7.4428639070617406E-2</v>
      </c>
      <c r="BI50" s="274">
        <f>(BI42+BI46)/BI58</f>
        <v>-0.35690989364112607</v>
      </c>
      <c r="BJ50" s="273">
        <f>BJ47/BJ58</f>
        <v>-0.4398871899608659</v>
      </c>
      <c r="BK50" s="273">
        <f>BK47/BK58</f>
        <v>0.26713922696268572</v>
      </c>
      <c r="BL50" s="273">
        <f>BL47/BL58</f>
        <v>-0.35805153743859713</v>
      </c>
      <c r="BM50" s="273">
        <f>BM47/BM58</f>
        <v>0.21302782324058911</v>
      </c>
      <c r="BN50" s="274">
        <f>(BN42+BN46)/BN58</f>
        <v>-0.29864990337263869</v>
      </c>
      <c r="BO50" s="273">
        <f>BO47/BO58</f>
        <v>0.57319328610810594</v>
      </c>
      <c r="BP50" s="273">
        <f>BP47/BP58</f>
        <v>0.6053552985506585</v>
      </c>
      <c r="BQ50" s="273">
        <f>BQ47/BQ58</f>
        <v>1.1759286809316138</v>
      </c>
      <c r="BR50" s="273">
        <f>BR47/BR58</f>
        <v>0.52917245598687201</v>
      </c>
      <c r="BS50" s="274">
        <f>(BS42+BS46)/BS58</f>
        <v>2.8893112555798979</v>
      </c>
      <c r="BT50" s="273">
        <f>BT47/BT58</f>
        <v>0.36986227383202813</v>
      </c>
      <c r="BU50" s="273">
        <f>BU47/BU58</f>
        <v>5.0955414012738995E-2</v>
      </c>
      <c r="BV50" s="273">
        <f>BV47/BV58</f>
        <v>-0.54175119694879403</v>
      </c>
      <c r="BW50" s="273">
        <f>BW47/BW58</f>
        <v>-4.6577815411664725E-2</v>
      </c>
      <c r="BX50" s="274">
        <f>(BX42+BX46)/BX58</f>
        <v>-0.16060040029590128</v>
      </c>
      <c r="BY50" s="273">
        <f>BY47/BY58</f>
        <v>-2.6886263739488332E-2</v>
      </c>
      <c r="BZ50" s="273">
        <f>BZ47/BZ58</f>
        <v>-0.54109929721284322</v>
      </c>
      <c r="CA50" s="273">
        <f>CA47/CA58</f>
        <v>-0.74149892059046651</v>
      </c>
      <c r="CB50" s="273">
        <f>CB47/CB58</f>
        <v>-2.4850777295471134</v>
      </c>
      <c r="CC50" s="274">
        <f>(CC42+CC46)/CC58</f>
        <v>-3.8063121979789929</v>
      </c>
      <c r="CD50" s="273">
        <f>CD47/CD58</f>
        <v>-0.42420553487994644</v>
      </c>
      <c r="CE50" s="273">
        <f>CE47/CE58</f>
        <v>-0.40452760452760445</v>
      </c>
      <c r="CF50" s="273">
        <f>CF47/CF58</f>
        <v>-8.9916334133715622E-2</v>
      </c>
      <c r="CG50" s="273">
        <f>CG47/CG58</f>
        <v>0.11627621999567515</v>
      </c>
      <c r="CH50" s="274">
        <f>(CH42+CH46)/CH58</f>
        <v>-0.74038942685736597</v>
      </c>
      <c r="CI50" s="273">
        <f>CI47/CI58</f>
        <v>0.11895500558929333</v>
      </c>
      <c r="CJ50" s="273">
        <f>CJ47/CJ58</f>
        <v>8.7131861931708729E-2</v>
      </c>
      <c r="CK50" s="273">
        <f>CK47/CK58</f>
        <v>0.11581364829396333</v>
      </c>
      <c r="CL50" s="273">
        <f>CL47/CL58</f>
        <v>-7.9835761561171018E-2</v>
      </c>
      <c r="CM50" s="274">
        <f>(CM42+CM46)/CM58</f>
        <v>0.25680505304470491</v>
      </c>
      <c r="CN50" s="273">
        <f>CN47/CN58</f>
        <v>-4.4324648860147087E-2</v>
      </c>
      <c r="CO50" s="273">
        <f>CO47/CO58</f>
        <v>2.7897244287583754E-2</v>
      </c>
      <c r="CP50" s="273">
        <f>CP47/CP58</f>
        <v>0.17908362088978383</v>
      </c>
      <c r="CQ50" s="273">
        <f>CQ47/CQ58</f>
        <v>0.21132465074736403</v>
      </c>
      <c r="CR50" s="274">
        <f>(CR42+CR46)/CR58</f>
        <v>0.39871844797677625</v>
      </c>
      <c r="CS50" s="273">
        <f>CS47/CS58</f>
        <v>0.38</v>
      </c>
      <c r="CT50" s="273">
        <f>CT47/CT58</f>
        <v>0.17763147372125021</v>
      </c>
      <c r="CU50" s="273">
        <f>CU47/CU58</f>
        <v>0.27065736394160717</v>
      </c>
      <c r="CV50" s="273">
        <f>CV47/CV58</f>
        <v>-1.0790979284369115</v>
      </c>
      <c r="CW50" s="274">
        <f>(CW42+CW46)/CW58</f>
        <v>-0.31923529882754398</v>
      </c>
      <c r="CX50" s="273">
        <f>CX47/CX58</f>
        <v>-1.1129326047358834</v>
      </c>
      <c r="CY50" s="273">
        <f>CY47/CY58</f>
        <v>-1.0869565217391304</v>
      </c>
      <c r="CZ50" s="273">
        <f>CZ47/CZ58</f>
        <v>-0.71480144404332135</v>
      </c>
      <c r="DA50" s="273">
        <f>DA47/DA58</f>
        <v>-3.0604490500863557</v>
      </c>
      <c r="DB50" s="274">
        <f>(DB42+DB46)/DB58</f>
        <v>-6.0501342882721572</v>
      </c>
      <c r="DC50" s="273">
        <f>DC47/DC58</f>
        <v>-0.5907590759075908</v>
      </c>
      <c r="DD50" s="273">
        <f>DD47/DD58</f>
        <v>-0.44316309719934099</v>
      </c>
      <c r="DE50" s="273">
        <f>DE47/DE58</f>
        <v>3.7828947368421052E-2</v>
      </c>
      <c r="DF50" s="273">
        <f>DF47/DF58</f>
        <v>-2.3218390804597702</v>
      </c>
      <c r="DG50" s="274">
        <f>(DG42+DG46)/DG58</f>
        <v>-3.3218106995884775</v>
      </c>
      <c r="DH50" s="273">
        <f>DH47/DH58</f>
        <v>-0.66453674121405748</v>
      </c>
      <c r="DI50" s="273">
        <f>DI47/DI58</f>
        <v>-0.49475262368815592</v>
      </c>
      <c r="DJ50" s="273">
        <f>DJ47/DJ58</f>
        <v>-0.18443804034582131</v>
      </c>
      <c r="DK50" s="273">
        <f>(DK47+DK46)/DK58</f>
        <v>1.5195954487989887</v>
      </c>
      <c r="DL50" s="274">
        <f>(DL47+DL46)/DL58</f>
        <v>0.47228221742260618</v>
      </c>
      <c r="DM50" s="273">
        <f>(DM47+DM46)/DM58</f>
        <v>0.35013262599469497</v>
      </c>
      <c r="DN50" s="273">
        <f>DN47/DN58</f>
        <v>-6.0648801128349791E-2</v>
      </c>
      <c r="DO50" s="273">
        <f>DO47/DO58</f>
        <v>-0.16549789621318373</v>
      </c>
      <c r="DP50" s="273">
        <f>DP47/DP58</f>
        <v>0.50395778364116095</v>
      </c>
      <c r="DQ50" s="274">
        <f>(DQ47+DQ46)/DQ58</f>
        <v>0.67075664621676889</v>
      </c>
      <c r="DR50" s="273">
        <f>(DR47+DR46)/DR58</f>
        <v>0.67670157068062831</v>
      </c>
      <c r="DS50" s="273">
        <f>DS47/DS58</f>
        <v>8.2099596231493946E-2</v>
      </c>
      <c r="DT50" s="273">
        <f>DT47/DT58</f>
        <v>0.13090418353576247</v>
      </c>
      <c r="DU50" s="273">
        <f>DU47/DU58</f>
        <v>-0.24180327868852458</v>
      </c>
      <c r="DV50" s="274">
        <f>(DV47+DV46)/DV58</f>
        <v>0.66845637583892614</v>
      </c>
      <c r="DW50" s="273">
        <f t="shared" ref="DW50:EU50" si="94">DW42/DW58</f>
        <v>-0.80381471389645776</v>
      </c>
      <c r="DX50" s="273">
        <f t="shared" si="94"/>
        <v>4.900662251655629E-2</v>
      </c>
      <c r="DY50" s="273">
        <f t="shared" si="94"/>
        <v>-0.21073825503355706</v>
      </c>
      <c r="DZ50" s="273">
        <f t="shared" si="94"/>
        <v>-0.63319946452476572</v>
      </c>
      <c r="EA50" s="274">
        <f t="shared" si="94"/>
        <v>-1.5873867829587387</v>
      </c>
      <c r="EB50" s="273">
        <f t="shared" si="94"/>
        <v>-0.19492656875834447</v>
      </c>
      <c r="EC50" s="273">
        <f t="shared" si="94"/>
        <v>-9.8404255319148939E-2</v>
      </c>
      <c r="ED50" s="273">
        <f t="shared" si="94"/>
        <v>6.2827225130890049E-2</v>
      </c>
      <c r="EE50" s="273">
        <f t="shared" si="94"/>
        <v>0.11618798955613577</v>
      </c>
      <c r="EF50" s="274">
        <f t="shared" si="94"/>
        <v>-0.10953480699439129</v>
      </c>
      <c r="EG50" s="273">
        <f t="shared" si="94"/>
        <v>-2.6281208935611037E-2</v>
      </c>
      <c r="EH50" s="273">
        <f t="shared" si="94"/>
        <v>-4.712041884816754E-2</v>
      </c>
      <c r="EI50" s="273">
        <f t="shared" si="94"/>
        <v>2.1656050955414011E-2</v>
      </c>
      <c r="EJ50" s="273">
        <f t="shared" si="94"/>
        <v>-0.46606914212548017</v>
      </c>
      <c r="EK50" s="274">
        <f t="shared" si="94"/>
        <v>-0.52151407311549658</v>
      </c>
      <c r="EL50" s="273">
        <f t="shared" si="94"/>
        <v>-0.23166023166023167</v>
      </c>
      <c r="EM50" s="273">
        <f t="shared" si="94"/>
        <v>-0.2326478149100257</v>
      </c>
      <c r="EN50" s="273">
        <f t="shared" si="94"/>
        <v>-0.25095541401273885</v>
      </c>
      <c r="EO50" s="273">
        <f t="shared" si="94"/>
        <v>-0.12895069532237674</v>
      </c>
      <c r="EP50" s="274">
        <f t="shared" si="94"/>
        <v>-0.84318109230277871</v>
      </c>
      <c r="EQ50" s="273">
        <f t="shared" si="94"/>
        <v>-0.13745271122320302</v>
      </c>
      <c r="ER50" s="273">
        <f t="shared" si="94"/>
        <v>8.4043848964677217E-2</v>
      </c>
      <c r="ES50" s="273">
        <f t="shared" si="94"/>
        <v>-0.498159509202454</v>
      </c>
      <c r="ET50" s="273">
        <f>ET42/ET58</f>
        <v>-5.4779806659505909E-2</v>
      </c>
      <c r="EU50" s="274">
        <f t="shared" si="94"/>
        <v>-0.59166666666666667</v>
      </c>
      <c r="EV50" s="273">
        <f>EV42/EV58</f>
        <v>-7.7742279020234298E-2</v>
      </c>
      <c r="EW50" s="273">
        <f>EW42/EW59</f>
        <v>-1.5444015444015444E-2</v>
      </c>
      <c r="EX50" s="273">
        <f>EX42/EX59</f>
        <v>6.8138195777351251E-2</v>
      </c>
      <c r="EY50" s="273">
        <f>EY42/EY59</f>
        <v>5.8823529411764705E-2</v>
      </c>
      <c r="EZ50" s="274">
        <f>SUM(EV50:EY50)</f>
        <v>3.3775430724866218E-2</v>
      </c>
      <c r="FA50" s="273">
        <f>FA42/FA59</f>
        <v>7.795957651588066E-2</v>
      </c>
      <c r="FB50" s="273">
        <f>FB42/FB59</f>
        <v>0.11089866156787763</v>
      </c>
      <c r="FC50" s="273">
        <f>FC42/FC59</f>
        <v>9.4795539033457249E-2</v>
      </c>
      <c r="FD50" s="273">
        <f>FD42/FD59</f>
        <v>3.5217794253938832E-2</v>
      </c>
      <c r="FE50" s="274">
        <f>SUM(FA50:FD50)</f>
        <v>0.31887157137115435</v>
      </c>
      <c r="FF50" s="273">
        <f>FF42/FF59</f>
        <v>1.4625228519195612E-2</v>
      </c>
      <c r="FG50" s="273">
        <f>FG42/FG59</f>
        <v>3.1559963931469794E-2</v>
      </c>
      <c r="FH50" s="273">
        <f>FH42/FH59</f>
        <v>0.10743061772605192</v>
      </c>
      <c r="FI50" s="273">
        <f>FI42/FI59</f>
        <v>0.14309764309764308</v>
      </c>
      <c r="FJ50" s="274">
        <f>SUM(FF50:FI50)</f>
        <v>0.29671345327436038</v>
      </c>
      <c r="FK50" s="273">
        <f>FK42/(FK59-31)</f>
        <v>0.13579212070410729</v>
      </c>
      <c r="FL50" s="273">
        <f>FL42/FL59</f>
        <v>0.12795436022819887</v>
      </c>
      <c r="FM50" s="273">
        <f>FM42/FM59</f>
        <v>0.32098765432098764</v>
      </c>
      <c r="FN50" s="273">
        <f>FN42/FN59</f>
        <v>1.4526916802610115</v>
      </c>
      <c r="FO50" s="274">
        <f>SUM(FK50:FN50)</f>
        <v>2.0374258155143052</v>
      </c>
      <c r="FP50" s="273">
        <f>FP42/FP59</f>
        <v>0.45085296506904954</v>
      </c>
      <c r="FQ50" s="273">
        <f>FQ42/FQ59</f>
        <v>0.57629870129870131</v>
      </c>
      <c r="FR50" s="273">
        <f>FR42/FR59</f>
        <v>0.75040650406504061</v>
      </c>
      <c r="FS50" s="275">
        <f>FS42/FS59</f>
        <v>0.79705400981996721</v>
      </c>
      <c r="FT50" s="274">
        <f>SUM(FP50:FS50)</f>
        <v>2.5746121802527586</v>
      </c>
      <c r="FU50" s="273">
        <f>FU42/FU59</f>
        <v>0.55744680851063833</v>
      </c>
      <c r="FV50" s="273">
        <f>FV42/FV59</f>
        <v>0.27389705882352944</v>
      </c>
      <c r="FW50" s="273">
        <f>FW42/FW59</f>
        <v>4.0615384615384616E-2</v>
      </c>
      <c r="FX50" s="273">
        <f>FX42/FX59</f>
        <v>1.2978986402966625E-2</v>
      </c>
      <c r="FY50" s="274">
        <f>SUM(FU50:FX50)</f>
        <v>0.88493823835251895</v>
      </c>
      <c r="FZ50" s="273">
        <f>FZ42/FZ59</f>
        <v>-8.6281812538795785E-2</v>
      </c>
      <c r="GA50" s="273">
        <f>GA42/GA59</f>
        <v>1.6594960049170254E-2</v>
      </c>
      <c r="GB50" s="273">
        <f>GB42/GB59</f>
        <v>0.18354818907305095</v>
      </c>
      <c r="GC50" s="273">
        <f>GC42/GC59</f>
        <v>0.40970515970515969</v>
      </c>
      <c r="GD50" s="274">
        <f>SUM(FZ50:GC50)</f>
        <v>0.52356649628858509</v>
      </c>
      <c r="GE50" s="273">
        <f>GE42/GE59</f>
        <v>7.5045759609517995E-2</v>
      </c>
      <c r="GF50" s="273">
        <f>GF42/GF59</f>
        <v>0.16188149053145998</v>
      </c>
      <c r="GG50" s="273">
        <f>GG42/GG59</f>
        <v>0.47127139364303178</v>
      </c>
      <c r="GH50" s="273">
        <f>GH42/GH59</f>
        <v>0.29498164014687883</v>
      </c>
      <c r="GI50" s="274">
        <f>SUM(GE50:GH50)</f>
        <v>1.0031802839308885</v>
      </c>
      <c r="GJ50" s="273">
        <f>GJ42/GJ59</f>
        <v>0.43603936039360391</v>
      </c>
      <c r="GK50" s="273">
        <f>GK42/GK59</f>
        <v>0.53496932515337425</v>
      </c>
      <c r="GL50" s="273">
        <f>GL42/GL59</f>
        <v>0.7574649603900061</v>
      </c>
      <c r="GM50" s="273">
        <f>GM42/GM59</f>
        <v>0.91631291691934502</v>
      </c>
      <c r="GN50" s="274">
        <f>SUM(GJ50:GM50)</f>
        <v>2.6447865628563294</v>
      </c>
      <c r="GO50" s="273">
        <f>GO42/GO59</f>
        <v>0.83818181818181814</v>
      </c>
      <c r="GP50" s="273">
        <f>GP42/GP59</f>
        <v>1.295038594835286</v>
      </c>
      <c r="GQ50" s="273">
        <f>GQ42/GQ59</f>
        <v>1.3955663185894922</v>
      </c>
      <c r="GR50" s="273">
        <f>GR42/GR59</f>
        <v>2.315659932296811</v>
      </c>
      <c r="GS50" s="274">
        <f>SUM(GO50:GR50)</f>
        <v>5.8444466639034074</v>
      </c>
      <c r="GT50" s="273">
        <f>GT42/GT59</f>
        <v>2.5071318023758664</v>
      </c>
      <c r="GU50" s="273">
        <f>GU42/GU59</f>
        <v>2.8012401921240979</v>
      </c>
      <c r="GV50" s="273">
        <f>GV42/GV59</f>
        <v>3.2843469600959745</v>
      </c>
      <c r="GW50" s="273">
        <f>GW42/GW59</f>
        <v>3.6064628429579999</v>
      </c>
      <c r="GX50" s="274">
        <f>SUM(GT50:GW50)</f>
        <v>12.199181797553937</v>
      </c>
      <c r="GY50" s="273">
        <f>GY42/GY59</f>
        <v>3.5893854787255992</v>
      </c>
      <c r="GZ50" s="273">
        <f>GZ42/GZ59</f>
        <v>3.8546008705190773</v>
      </c>
      <c r="HA50" s="273">
        <f>HA42/HA59</f>
        <v>4.3428074283684026</v>
      </c>
      <c r="HB50" s="273">
        <f>HB42/HB59</f>
        <v>4.7658799133836229</v>
      </c>
      <c r="HC50" s="274">
        <f>SUM(GY50:HB50)</f>
        <v>16.552673690996702</v>
      </c>
      <c r="HD50" s="273">
        <f>HD42/HD59</f>
        <v>4.5326276523126818</v>
      </c>
      <c r="HE50" s="273">
        <f>HE42/HE59</f>
        <v>4.7084012877349499</v>
      </c>
      <c r="HF50" s="273">
        <f>HF42/HF59</f>
        <v>5.1878797151804639</v>
      </c>
      <c r="HG50" s="273">
        <f>HG42/HG59</f>
        <v>5.3553749873799426</v>
      </c>
      <c r="HH50" s="274">
        <f>SUM(HD50:HG50)</f>
        <v>19.784283642608038</v>
      </c>
      <c r="HI50" s="273">
        <f>HI42/HI59</f>
        <v>4.9181337649277346</v>
      </c>
      <c r="HJ50" s="273">
        <f>HJ42/HJ59</f>
        <v>5.1209210745787761</v>
      </c>
      <c r="HK50" s="273">
        <f>HK42/HK59</f>
        <v>5.8122000987649436</v>
      </c>
      <c r="HL50" s="273">
        <f>HL42/HL59</f>
        <v>6.1125984525941464</v>
      </c>
      <c r="HM50" s="274">
        <f>SUM(HI50:HL50)</f>
        <v>21.963853390865602</v>
      </c>
      <c r="HN50" s="276"/>
      <c r="HO50" s="277"/>
      <c r="HP50"/>
      <c r="HQ50"/>
      <c r="HR50"/>
      <c r="HS50"/>
      <c r="HT50"/>
      <c r="HU50"/>
      <c r="HV50"/>
      <c r="HW50"/>
      <c r="HX50"/>
      <c r="HY50"/>
      <c r="HZ50"/>
    </row>
    <row r="51" spans="1:234" s="509" customFormat="1" ht="15" customHeight="1">
      <c r="A51" s="532" t="s">
        <v>387</v>
      </c>
      <c r="L51" s="558"/>
      <c r="M51" s="558"/>
      <c r="N51" s="558"/>
      <c r="O51" s="558"/>
      <c r="P51" s="559"/>
      <c r="Q51" s="558"/>
      <c r="R51" s="558"/>
      <c r="S51" s="558"/>
      <c r="T51" s="558"/>
      <c r="U51" s="559"/>
      <c r="V51" s="558"/>
      <c r="W51" s="558"/>
      <c r="X51" s="558"/>
      <c r="Y51" s="558"/>
      <c r="Z51" s="559"/>
      <c r="AA51" s="558"/>
      <c r="AB51" s="558"/>
      <c r="AC51" s="558"/>
      <c r="AD51" s="558"/>
      <c r="AE51" s="559"/>
      <c r="AF51" s="280">
        <f>-(AF26*(1-AF35))/AF58</f>
        <v>0</v>
      </c>
      <c r="AG51" s="280">
        <f>-(AG26*(1-AG35))/AG58</f>
        <v>0</v>
      </c>
      <c r="AH51" s="280">
        <f>-(AH26*(1-AH35))/AH58</f>
        <v>0</v>
      </c>
      <c r="AI51" s="280">
        <f>-(AI26*(1-AI35))/AI58</f>
        <v>0</v>
      </c>
      <c r="AJ51" s="276">
        <f>SUM(AF51:AI51)</f>
        <v>0</v>
      </c>
      <c r="AK51" s="280">
        <f>-(AK26*(1-AK35))/AK58</f>
        <v>0</v>
      </c>
      <c r="AL51" s="280">
        <f>-(AL26*(1-AL35))/AL58</f>
        <v>0</v>
      </c>
      <c r="AM51" s="280">
        <f>-(AM26*(1-AM35))/AM58</f>
        <v>0</v>
      </c>
      <c r="AN51" s="280">
        <f>-(AN26*(1-AN35))/AN58</f>
        <v>0</v>
      </c>
      <c r="AO51" s="276">
        <f>SUM(AK51:AN51)</f>
        <v>0</v>
      </c>
      <c r="AP51" s="280">
        <f>-(AP26*(1-AP35))/AP58</f>
        <v>0</v>
      </c>
      <c r="AQ51" s="280">
        <f>-(AQ26*(1-AQ35))/AQ58</f>
        <v>0</v>
      </c>
      <c r="AR51" s="280">
        <f>-(AR26*(1-AR35))/AR58</f>
        <v>0</v>
      </c>
      <c r="AS51" s="280">
        <f>-(AS26*(1-AS35))/AS58</f>
        <v>0</v>
      </c>
      <c r="AT51" s="276">
        <f>-(AT26*(1-AT35))</f>
        <v>0</v>
      </c>
      <c r="AU51" s="280">
        <f>-(AU26*(1-AU35))/AU58</f>
        <v>0</v>
      </c>
      <c r="AV51" s="280">
        <f>-(AV26*(1-AV35))/AV58</f>
        <v>0</v>
      </c>
      <c r="AW51" s="280">
        <f>-(AW26*(1-AW35))/AW58</f>
        <v>0</v>
      </c>
      <c r="AX51" s="280">
        <f>-(AX26*(1-AX35))/AX58</f>
        <v>0</v>
      </c>
      <c r="AY51" s="276">
        <f>-(AY26*(1-AY35))</f>
        <v>0</v>
      </c>
      <c r="AZ51" s="280">
        <f>-(AZ26*(1-AZ35))/AZ58</f>
        <v>0</v>
      </c>
      <c r="BA51" s="280">
        <f>-(BA26*(1-BA35))/BA58</f>
        <v>0</v>
      </c>
      <c r="BB51" s="280">
        <f>-(BB26*(1-BB35))/BB58</f>
        <v>0</v>
      </c>
      <c r="BC51" s="280">
        <f>-(BC26*(1-BC35))/BC58</f>
        <v>0</v>
      </c>
      <c r="BD51" s="276">
        <f>-(BD26*(1-BD35))</f>
        <v>0</v>
      </c>
      <c r="BE51" s="280">
        <f>-(BE26*(1-BE35))/BE58</f>
        <v>0</v>
      </c>
      <c r="BF51" s="280">
        <f>-(BF26*(1-BF35))/BF58</f>
        <v>0</v>
      </c>
      <c r="BG51" s="280">
        <f>-(BG26*(1-BG35))/BG58</f>
        <v>0</v>
      </c>
      <c r="BH51" s="280">
        <f>-(BH26*(1-BH35))/BH58</f>
        <v>0</v>
      </c>
      <c r="BI51" s="276">
        <f>-(BI26*(1-BI35))</f>
        <v>0</v>
      </c>
      <c r="BJ51" s="280">
        <f>-(BJ26)/BJ58</f>
        <v>-5.1456729879582483E-2</v>
      </c>
      <c r="BK51" s="280">
        <f>-(BK26*(1-0.39)/BK58)</f>
        <v>0.84550103651197017</v>
      </c>
      <c r="BL51" s="280">
        <f>-(BL26)/BL58</f>
        <v>0</v>
      </c>
      <c r="BM51" s="280">
        <f>-(BM26)/BM58</f>
        <v>-1.8657937806873977E-2</v>
      </c>
      <c r="BN51" s="276">
        <f>SUM(BJ51:BM51)</f>
        <v>0.77538636882551371</v>
      </c>
      <c r="BO51" s="280">
        <f>-(BO26)/BO58</f>
        <v>0</v>
      </c>
      <c r="BP51" s="280">
        <f>-(BP26*(1-0.39)/BP58)</f>
        <v>0</v>
      </c>
      <c r="BQ51" s="280">
        <f>-(BQ26*(1-0.4)/BQ58)</f>
        <v>0.53373515484863687</v>
      </c>
      <c r="BR51" s="280">
        <f>-(BR26)/BR58</f>
        <v>-1.8297110771852183E-4</v>
      </c>
      <c r="BS51" s="276">
        <f>SUM(BO51:BR51)</f>
        <v>0.5335521837409184</v>
      </c>
      <c r="BT51" s="280">
        <f>-(BT26)/BT58</f>
        <v>0</v>
      </c>
      <c r="BU51" s="280">
        <f>-(BU26*(1-0.39)/BU58)</f>
        <v>0</v>
      </c>
      <c r="BV51" s="280">
        <f>-(BV26*(1-0.24))/BV58</f>
        <v>-0.26029433927267254</v>
      </c>
      <c r="BW51" s="280">
        <f>-(BW26*(1-BW35))/BW58</f>
        <v>0</v>
      </c>
      <c r="BX51" s="276">
        <f>SUM(BT51:BW51)</f>
        <v>-0.26029433927267254</v>
      </c>
      <c r="BY51" s="280">
        <f>-(BY26*(1-BY35))/BY58</f>
        <v>0</v>
      </c>
      <c r="BZ51" s="280">
        <f>-(BZ26*(1-BZ35))/BZ58</f>
        <v>0</v>
      </c>
      <c r="CA51" s="280">
        <f>-(CA26*(1-CA35))/CA58</f>
        <v>0</v>
      </c>
      <c r="CB51" s="280">
        <f>-(CB26)/CB58</f>
        <v>-1.8014153261093941</v>
      </c>
      <c r="CC51" s="276">
        <f>-(CC26)/CC58</f>
        <v>-1.8099388235156653</v>
      </c>
      <c r="CD51" s="280">
        <f>-(CD26*(1-CD35))/CD58</f>
        <v>0</v>
      </c>
      <c r="CE51" s="280">
        <f>-(CE26*(1-CE35))/CE58</f>
        <v>0</v>
      </c>
      <c r="CF51" s="280">
        <f>-(CF26*(1-CF35))/CF58</f>
        <v>0</v>
      </c>
      <c r="CG51" s="280">
        <f>-(CG26*(1-CG35))/CG58</f>
        <v>0</v>
      </c>
      <c r="CH51" s="276">
        <f>SUM(CD51:CG51)</f>
        <v>0</v>
      </c>
      <c r="CI51" s="280">
        <f>-(CI26*(1-CI35))/CI58</f>
        <v>0</v>
      </c>
      <c r="CJ51" s="280">
        <f>-(CJ26*(1-CJ35))/CJ58</f>
        <v>-5.3866974865920706E-3</v>
      </c>
      <c r="CK51" s="280">
        <f>-(CK26*(1-CK35))/CK58</f>
        <v>0</v>
      </c>
      <c r="CL51" s="280">
        <f>-(CL26*(1-CL35))/CL58</f>
        <v>-0.11181667360138609</v>
      </c>
      <c r="CM51" s="276">
        <f>SUM(CI51:CL51)</f>
        <v>-0.11720337108797815</v>
      </c>
      <c r="CN51" s="280">
        <f>-(CN26*(1-CN35))/CN58</f>
        <v>0</v>
      </c>
      <c r="CO51" s="280">
        <f>-(CO26*(1-CO35))/CO58</f>
        <v>0</v>
      </c>
      <c r="CP51" s="280">
        <f>-(CP26*(1-CP35))/CP58</f>
        <v>0</v>
      </c>
      <c r="CQ51" s="280">
        <f>-(CQ26)/CQ58</f>
        <v>-0.24248380029315336</v>
      </c>
      <c r="CR51" s="276">
        <f>SUM(CN51:CQ51)</f>
        <v>-0.24248380029315336</v>
      </c>
      <c r="CS51" s="280">
        <f>-(CS26*(1-CS35))/CS58</f>
        <v>0</v>
      </c>
      <c r="CT51" s="280">
        <f>-(CT26*(1-CT35))/CT58</f>
        <v>0</v>
      </c>
      <c r="CU51" s="280">
        <f>-(CU26*(1-CU35))/CU58</f>
        <v>0</v>
      </c>
      <c r="CV51" s="280">
        <f>-(CV26)/CV58</f>
        <v>-1.0357815442561205</v>
      </c>
      <c r="CW51" s="276">
        <f>SUM(CS51:CV51)</f>
        <v>-1.0357815442561205</v>
      </c>
      <c r="CX51" s="280">
        <f>-(CX26*(1-CX35))/CX58</f>
        <v>-0.21410511164609525</v>
      </c>
      <c r="CY51" s="280">
        <f>-(CY26)/CY58</f>
        <v>-0.23369565217391305</v>
      </c>
      <c r="CZ51" s="280">
        <f>-(CZ26)/CZ58</f>
        <v>-0.21660649819494585</v>
      </c>
      <c r="DA51" s="280">
        <f>-((DA26)+DA40)/DA58</f>
        <v>-2.8929188255613125</v>
      </c>
      <c r="DB51" s="276">
        <f>SUM(CX51:DA51)</f>
        <v>-3.5573260875762669</v>
      </c>
      <c r="DC51" s="280">
        <f>-((DC26)+DC40)/DC58</f>
        <v>-8.2508250825082508E-2</v>
      </c>
      <c r="DD51" s="280">
        <f>-((DD26)+DD40)/DD58</f>
        <v>0.15980230642504117</v>
      </c>
      <c r="DE51" s="280">
        <f>-((DE26)+DE40)/DE58</f>
        <v>0.24671052631578946</v>
      </c>
      <c r="DF51" s="280">
        <f>-((DF26)+DF40)/DF58</f>
        <v>-1.6354679802955665</v>
      </c>
      <c r="DG51" s="276">
        <f>SUM(DC51:DF51)</f>
        <v>-1.3114633983798183</v>
      </c>
      <c r="DH51" s="280">
        <f>-((DH26)+DH40)/DH58</f>
        <v>-2.2364217252396165E-2</v>
      </c>
      <c r="DI51" s="280">
        <f>-((DI26)+DI40)/DI58</f>
        <v>0.12893553223388307</v>
      </c>
      <c r="DJ51" s="280">
        <f>-((DJ26)+DJ40)/DJ58</f>
        <v>7.7809798270893377E-2</v>
      </c>
      <c r="DK51" s="280">
        <f>-((DK26)+DK40)/DK58</f>
        <v>1.5651074589127687</v>
      </c>
      <c r="DL51" s="276">
        <f>SUMPRODUCT(DH51:DK51,DH58:DK58)/DL58</f>
        <v>1.9640028797696185</v>
      </c>
      <c r="DM51" s="280">
        <f>-((DM26)+DM40)/DM58</f>
        <v>0.5</v>
      </c>
      <c r="DN51" s="280">
        <f>-((DN26)+DN40)/DN58</f>
        <v>-8.4626234132581107E-3</v>
      </c>
      <c r="DO51" s="280">
        <f>-((DO26)+DO40)/DO58</f>
        <v>-5.6100981767180924E-2</v>
      </c>
      <c r="DP51" s="280">
        <f>-((DP26*(1-DP35)+DP40)/DP58)</f>
        <v>0.34020702252892221</v>
      </c>
      <c r="DQ51" s="276">
        <f>SUMPRODUCT(DM51:DP51,DM58:DP58)/DQ58</f>
        <v>0.80283152430391691</v>
      </c>
      <c r="DR51" s="280">
        <f>-((DR26)+DR40)/DR58</f>
        <v>0.59424083769633507</v>
      </c>
      <c r="DS51" s="280">
        <f>-((DS26)+DS40)/DS58</f>
        <v>-1.2113055181695828E-2</v>
      </c>
      <c r="DT51" s="280">
        <f>-((DT26)+DT40)/DT58</f>
        <v>-1.7543859649122806E-2</v>
      </c>
      <c r="DU51" s="280">
        <f>-((DU26)+DU40)/DU58</f>
        <v>-0.42896174863387976</v>
      </c>
      <c r="DV51" s="276">
        <f>SUMPRODUCT(DR51:DU51,DR58:DU58)/DV58</f>
        <v>0.15838926174496645</v>
      </c>
      <c r="DW51" s="280">
        <f>-((DW26*(1-DW35)+DW40)/740)</f>
        <v>-0.92786130181628579</v>
      </c>
      <c r="DX51" s="280">
        <f>-((DX26)+DX40)/DX58</f>
        <v>-1.1920529801324504E-2</v>
      </c>
      <c r="DY51" s="280">
        <f>-((DY26)+DY40)/DY58</f>
        <v>-9.3959731543624154E-3</v>
      </c>
      <c r="DZ51" s="280">
        <f>-((DZ26)+DZ40)/DZ58</f>
        <v>-0.49129852744310576</v>
      </c>
      <c r="EA51" s="276">
        <f>SUMPRODUCT(DW51:DZ51, DW58:DZ58)/EA58</f>
        <v>-1.4277761764953423</v>
      </c>
      <c r="EB51" s="280">
        <f>-((EB26)+EB40)/EB58</f>
        <v>-6.9425901201602136E-2</v>
      </c>
      <c r="EC51" s="280">
        <f>-((EC26)+EC40)/EC58</f>
        <v>-1.1968085106382979E-2</v>
      </c>
      <c r="ED51" s="280">
        <f>-((ED26)+ED40)/ED58</f>
        <v>2.2251308900523559E-2</v>
      </c>
      <c r="EE51" s="280">
        <f>-((EE26)+EE40)/EE58</f>
        <v>5.7441253263707574E-2</v>
      </c>
      <c r="EF51" s="276">
        <f>SUM(EB51:EE51)</f>
        <v>-1.7014241437539809E-3</v>
      </c>
      <c r="EG51" s="280">
        <f>-((EG26)+EG40)/EG58</f>
        <v>-4.2049934296977662E-2</v>
      </c>
      <c r="EH51" s="280">
        <f>-((EH26)+EH40)/EH58</f>
        <v>-6.9371727748691103E-2</v>
      </c>
      <c r="EI51" s="280">
        <f>-((EI26)+EI40)/EI58</f>
        <v>-3.821656050955414E-3</v>
      </c>
      <c r="EJ51" s="280">
        <f>-((EJ26)+EJ40)/EJ58</f>
        <v>-0.46862996158770809</v>
      </c>
      <c r="EK51" s="276">
        <f>SUM(EG51:EJ51)</f>
        <v>-0.58387327968433222</v>
      </c>
      <c r="EL51" s="280">
        <f>-((EL26)+EL40)/EL58</f>
        <v>-0.11583011583011583</v>
      </c>
      <c r="EM51" s="280">
        <f>-((EM26)+EM40)/EM58</f>
        <v>-4.2416452442159386E-2</v>
      </c>
      <c r="EN51" s="280">
        <f>-((EN26)+EN40)/EN58</f>
        <v>-6.1146496815286625E-2</v>
      </c>
      <c r="EO51" s="280">
        <f>-((EO26)+EO40)/EO58</f>
        <v>-8.8495575221238937E-3</v>
      </c>
      <c r="EP51" s="276">
        <f>SUM(EL51:EO51)</f>
        <v>-0.22824262260968575</v>
      </c>
      <c r="EQ51" s="280">
        <f>-(EQ46)/EQ58</f>
        <v>3.7831021437578815E-3</v>
      </c>
      <c r="ER51" s="280">
        <f>-(ER46)/ER58</f>
        <v>0.15468940316686966</v>
      </c>
      <c r="ES51" s="280">
        <f>-(ES46)/ES58</f>
        <v>-0.50306748466257667</v>
      </c>
      <c r="ET51" s="280">
        <f>-(ET46)/ET58</f>
        <v>-1.5037593984962405E-2</v>
      </c>
      <c r="EU51" s="276">
        <f>SUM(EQ51:ET51)</f>
        <v>-0.35963257333691157</v>
      </c>
      <c r="EV51" s="280">
        <f>-(EV46)/EV58</f>
        <v>-1.2779552715654952E-2</v>
      </c>
      <c r="EW51" s="280">
        <f>-(EW46)/EW58</f>
        <v>-1.164021164021164E-2</v>
      </c>
      <c r="EX51" s="280">
        <f>-(EX46)/EX59</f>
        <v>-9.5969289827255271E-3</v>
      </c>
      <c r="EY51" s="280">
        <f>-(EY46)/EY59</f>
        <v>-5.7859209257473485E-3</v>
      </c>
      <c r="EZ51" s="276">
        <f>-(EZ46)/EZ58</f>
        <v>-4.0987913820283765E-2</v>
      </c>
      <c r="FA51" s="280">
        <f>-(FA46)/FA59</f>
        <v>-7.6997112608277194E-3</v>
      </c>
      <c r="FB51" s="280">
        <f>-(FB46)/FB59</f>
        <v>-6.6921606118546849E-3</v>
      </c>
      <c r="FC51" s="280">
        <f>-(FC46)/FC59</f>
        <v>-1.1152416356877323E-2</v>
      </c>
      <c r="FD51" s="280">
        <f>-(FD46)/FD59</f>
        <v>-1.2048192771084338E-2</v>
      </c>
      <c r="FE51" s="276">
        <f>SUM(FA51:FD51)</f>
        <v>-3.7592481000644065E-2</v>
      </c>
      <c r="FF51" s="280">
        <f>-(FF46)/FF59</f>
        <v>-4.570383912248629E-3</v>
      </c>
      <c r="FG51" s="280">
        <f>-(FG46)/FG59</f>
        <v>-1.0820559062218215E-2</v>
      </c>
      <c r="FH51" s="280">
        <f>-(FH46)/FH59</f>
        <v>-4.0286481647269473E-2</v>
      </c>
      <c r="FI51" s="280">
        <f>-(FI46)/FI59</f>
        <v>-0.13131313131313133</v>
      </c>
      <c r="FJ51" s="276">
        <f>SUM(FF51:FI51)</f>
        <v>-0.18699055593486763</v>
      </c>
      <c r="FK51" s="280">
        <f>-(FK46)/FK59</f>
        <v>-8.1699346405228761E-4</v>
      </c>
      <c r="FL51" s="280">
        <f>-(FL46)/FL59</f>
        <v>8.1499592502037486E-4</v>
      </c>
      <c r="FM51" s="280">
        <f>-(FM46)/FM59</f>
        <v>-2.8806584362139918E-2</v>
      </c>
      <c r="FN51" s="280">
        <f>-(FN46)/FN59</f>
        <v>0.99836867862969003</v>
      </c>
      <c r="FO51" s="276">
        <f>SUM(FK51:FN51)</f>
        <v>0.96956009672851817</v>
      </c>
      <c r="FP51" s="280">
        <f>-(FP46)/FP59</f>
        <v>-1.6246953696181965E-3</v>
      </c>
      <c r="FQ51" s="280">
        <f>-(FQ46)/FQ59</f>
        <v>1.2175324675324676E-2</v>
      </c>
      <c r="FR51" s="280">
        <f>-(FR46)/FR59</f>
        <v>0.1048780487804878</v>
      </c>
      <c r="FS51" s="281">
        <f>-(FS46)/FS59</f>
        <v>-2.9459901800327332E-2</v>
      </c>
      <c r="FT51" s="276">
        <f>SUM(FP51:FS51)</f>
        <v>8.5968776285866952E-2</v>
      </c>
      <c r="FU51" s="280">
        <f>-(FU46)/FU59</f>
        <v>-0.44609929078014182</v>
      </c>
      <c r="FV51" s="280">
        <f>-(FV46)/FV59</f>
        <v>-0.61335784313725494</v>
      </c>
      <c r="FW51" s="280">
        <f>-(FW46)/FW59</f>
        <v>-0.46769230769230768</v>
      </c>
      <c r="FX51" s="280">
        <f>-(FX46)/FX59</f>
        <v>-0.48331273176761436</v>
      </c>
      <c r="FY51" s="276">
        <f>SUM(FU51:FX51)</f>
        <v>-2.0104621733773187</v>
      </c>
      <c r="FZ51" s="280">
        <f>-(FZ46)/FZ59</f>
        <v>-0.49906890130353815</v>
      </c>
      <c r="GA51" s="280">
        <f>-(GA46)/GA59</f>
        <v>-0.35218192993239089</v>
      </c>
      <c r="GB51" s="280">
        <f>-(GB46)/GB59</f>
        <v>-0.2965009208103131</v>
      </c>
      <c r="GC51" s="280">
        <f>-(GC46)/GC59</f>
        <v>-0.12776412776412777</v>
      </c>
      <c r="GD51" s="276">
        <f>SUM(FZ51:GC51)</f>
        <v>-1.2755158798103698</v>
      </c>
      <c r="GE51" s="280">
        <f>-(GE46)/GE59</f>
        <v>-0.31665649786455158</v>
      </c>
      <c r="GF51" s="280">
        <f>-(GF46)/GF59</f>
        <v>-0.31459987782529014</v>
      </c>
      <c r="GG51" s="280">
        <f>-(GG46)/GG59</f>
        <v>-0.2334963325183374</v>
      </c>
      <c r="GH51" s="280">
        <f>-(GH46)/GH59</f>
        <v>-0.5850673194614443</v>
      </c>
      <c r="GI51" s="276">
        <f>SUM(GE51:GH51)</f>
        <v>-1.4498200276696234</v>
      </c>
      <c r="GJ51" s="280">
        <f>-(GJ46)/GJ59</f>
        <v>-0.3031980319803198</v>
      </c>
      <c r="GK51" s="280">
        <f>-(GK46)/GK59</f>
        <v>0.2822085889570552</v>
      </c>
      <c r="GL51" s="280">
        <f>-(GL46)/GL59</f>
        <v>-0.18464351005484461</v>
      </c>
      <c r="GM51" s="280">
        <f>-(GM46)/GM59</f>
        <v>-0.31655548817465129</v>
      </c>
      <c r="GN51" s="276">
        <f>SUM(GJ51:GM51)</f>
        <v>-0.52218844125276054</v>
      </c>
      <c r="GO51" s="280">
        <f>-(GO46)/GO59</f>
        <v>-0.23939393939393938</v>
      </c>
      <c r="GP51" s="280">
        <f>-(GP46)/GP59</f>
        <v>0</v>
      </c>
      <c r="GQ51" s="280">
        <f>-(GQ46)/GQ59</f>
        <v>0</v>
      </c>
      <c r="GR51" s="280">
        <f>-(GR46)/GR59</f>
        <v>0</v>
      </c>
      <c r="GS51" s="276">
        <f>SUM(GO51:GR51)</f>
        <v>-0.23939393939393938</v>
      </c>
      <c r="GT51" s="280">
        <f>-(GT46)/GT59</f>
        <v>0</v>
      </c>
      <c r="GU51" s="280">
        <f>-(GU46)/GU59</f>
        <v>0</v>
      </c>
      <c r="GV51" s="280">
        <f>-(GV46)/GV59</f>
        <v>0</v>
      </c>
      <c r="GW51" s="280">
        <f>-(GW46)/GW59</f>
        <v>0</v>
      </c>
      <c r="GX51" s="276">
        <f>SUM(GT51:GW51)</f>
        <v>0</v>
      </c>
      <c r="GY51" s="280">
        <f>-(GY46)/GY59</f>
        <v>0</v>
      </c>
      <c r="GZ51" s="280">
        <f>-(GZ46)/GZ59</f>
        <v>0</v>
      </c>
      <c r="HA51" s="280">
        <f>-(HA46)/HA59</f>
        <v>0</v>
      </c>
      <c r="HB51" s="280">
        <f>-(HB46)/HB59</f>
        <v>0</v>
      </c>
      <c r="HC51" s="276">
        <f>SUM(GY51:HB51)</f>
        <v>0</v>
      </c>
      <c r="HD51" s="280">
        <f>-(HD46)/HD59</f>
        <v>0</v>
      </c>
      <c r="HE51" s="280">
        <f>-(HE46)/HE59</f>
        <v>0</v>
      </c>
      <c r="HF51" s="280">
        <f>-(HF46)/HF59</f>
        <v>0</v>
      </c>
      <c r="HG51" s="280">
        <f>-(HG46)/HG59</f>
        <v>0</v>
      </c>
      <c r="HH51" s="276">
        <f>SUM(HD51:HG51)</f>
        <v>0</v>
      </c>
      <c r="HI51" s="280">
        <f>-(HI46)/HI59</f>
        <v>0</v>
      </c>
      <c r="HJ51" s="280">
        <f>-(HJ46)/HJ59</f>
        <v>0</v>
      </c>
      <c r="HK51" s="280">
        <f>-(HK46)/HK59</f>
        <v>0</v>
      </c>
      <c r="HL51" s="280">
        <f>-(HL46)/HL59</f>
        <v>0</v>
      </c>
      <c r="HM51" s="276">
        <f>SUM(HI51:HL51)</f>
        <v>0</v>
      </c>
      <c r="HN51" s="276"/>
      <c r="HO51" s="559"/>
      <c r="HP51" s="453"/>
      <c r="HQ51" s="453"/>
      <c r="HR51" s="453"/>
      <c r="HS51" s="453"/>
      <c r="HT51" s="453"/>
      <c r="HU51" s="453"/>
      <c r="HV51" s="453"/>
      <c r="HW51" s="453"/>
      <c r="HX51" s="453"/>
      <c r="HY51" s="453"/>
      <c r="HZ51" s="453"/>
    </row>
    <row r="52" spans="1:234" ht="15" customHeight="1">
      <c r="A52" s="282" t="s">
        <v>388</v>
      </c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1"/>
      <c r="M52" s="271"/>
      <c r="N52" s="271"/>
      <c r="O52" s="271"/>
      <c r="P52" s="272"/>
      <c r="Q52" s="271"/>
      <c r="R52" s="271"/>
      <c r="S52" s="271"/>
      <c r="T52" s="271"/>
      <c r="U52" s="272"/>
      <c r="V52" s="271"/>
      <c r="W52" s="271"/>
      <c r="X52" s="271"/>
      <c r="Y52" s="271"/>
      <c r="Z52" s="272"/>
      <c r="AA52" s="271"/>
      <c r="AB52" s="271"/>
      <c r="AC52" s="271"/>
      <c r="AD52" s="271"/>
      <c r="AE52" s="272"/>
      <c r="AF52" s="283">
        <f>AF50-AF51</f>
        <v>0.30475600079349346</v>
      </c>
      <c r="AG52" s="283">
        <f>AG50-AG51</f>
        <v>0.31565084316783881</v>
      </c>
      <c r="AH52" s="283">
        <f>AH50-AH51</f>
        <v>0.29850208773347076</v>
      </c>
      <c r="AI52" s="283">
        <f>AI50-AI51</f>
        <v>0.20398675327983709</v>
      </c>
      <c r="AJ52" s="284">
        <f>SUM(AF52:AI52)</f>
        <v>1.1228956849746401</v>
      </c>
      <c r="AK52" s="283">
        <f>AK50-AK51</f>
        <v>0.40796276647053159</v>
      </c>
      <c r="AL52" s="283">
        <f>AL50-AL51</f>
        <v>0.44716975702404849</v>
      </c>
      <c r="AM52" s="283">
        <f>AM50-AM51</f>
        <v>0.41329430162483799</v>
      </c>
      <c r="AN52" s="283">
        <f>AN50-AN51</f>
        <v>0.21241297459869357</v>
      </c>
      <c r="AO52" s="284">
        <f>SUM(AK52:AN52)</f>
        <v>1.4808397997181117</v>
      </c>
      <c r="AP52" s="283">
        <f t="shared" ref="AP52:BM52" si="95">AP50-AP51</f>
        <v>0.45349382010363859</v>
      </c>
      <c r="AQ52" s="283">
        <f t="shared" si="95"/>
        <v>0.42855878269458375</v>
      </c>
      <c r="AR52" s="283">
        <f t="shared" si="95"/>
        <v>0.26166382467223881</v>
      </c>
      <c r="AS52" s="283">
        <f t="shared" si="95"/>
        <v>0.2601709753836644</v>
      </c>
      <c r="AT52" s="284">
        <f t="shared" si="95"/>
        <v>1.4037986332020722</v>
      </c>
      <c r="AU52" s="283">
        <f t="shared" si="95"/>
        <v>9.1499938583371188E-2</v>
      </c>
      <c r="AV52" s="283">
        <f t="shared" si="95"/>
        <v>-0.1281622876406488</v>
      </c>
      <c r="AW52" s="283">
        <f t="shared" si="95"/>
        <v>-0.14095177907438158</v>
      </c>
      <c r="AX52" s="283">
        <f t="shared" si="95"/>
        <v>-7.7169261619163224E-2</v>
      </c>
      <c r="AY52" s="284">
        <f t="shared" si="95"/>
        <v>-0.25192460165221625</v>
      </c>
      <c r="AZ52" s="283">
        <f t="shared" si="95"/>
        <v>4.3954738599801771E-2</v>
      </c>
      <c r="BA52" s="283">
        <f t="shared" si="95"/>
        <v>3.3694116374502106E-2</v>
      </c>
      <c r="BB52" s="283">
        <f t="shared" si="95"/>
        <v>-0.11174416143371202</v>
      </c>
      <c r="BC52" s="283">
        <f t="shared" si="95"/>
        <v>-4.3463552495260023E-2</v>
      </c>
      <c r="BD52" s="284">
        <f t="shared" si="95"/>
        <v>-7.2867359983415536E-2</v>
      </c>
      <c r="BE52" s="283">
        <f t="shared" si="95"/>
        <v>-0.22009010336624499</v>
      </c>
      <c r="BF52" s="283">
        <f t="shared" si="95"/>
        <v>-0.22500731901130597</v>
      </c>
      <c r="BG52" s="283">
        <f t="shared" si="95"/>
        <v>3.4301223387570266E-3</v>
      </c>
      <c r="BH52" s="283">
        <f t="shared" si="95"/>
        <v>7.4428639070617406E-2</v>
      </c>
      <c r="BI52" s="284">
        <f t="shared" si="95"/>
        <v>-0.35690989364112607</v>
      </c>
      <c r="BJ52" s="283">
        <f t="shared" si="95"/>
        <v>-0.3884304600812834</v>
      </c>
      <c r="BK52" s="283">
        <f t="shared" si="95"/>
        <v>-0.5783618095492844</v>
      </c>
      <c r="BL52" s="283">
        <f t="shared" si="95"/>
        <v>-0.35805153743859713</v>
      </c>
      <c r="BM52" s="283">
        <f t="shared" si="95"/>
        <v>0.23168576104746308</v>
      </c>
      <c r="BN52" s="284">
        <f>SUM(BJ52:BM52)</f>
        <v>-1.0931580460217019</v>
      </c>
      <c r="BO52" s="283">
        <f>BO50-BO51</f>
        <v>0.57319328610810594</v>
      </c>
      <c r="BP52" s="283">
        <f>BP50-BP51</f>
        <v>0.6053552985506585</v>
      </c>
      <c r="BQ52" s="283">
        <f>BQ50-BQ51</f>
        <v>0.64219352608297697</v>
      </c>
      <c r="BR52" s="283">
        <f>BR50-BR51</f>
        <v>0.52935542709459049</v>
      </c>
      <c r="BS52" s="284">
        <f>SUM(BO52:BR52)</f>
        <v>2.3500975378363318</v>
      </c>
      <c r="BT52" s="283">
        <f>BT50-BT51</f>
        <v>0.36986227383202813</v>
      </c>
      <c r="BU52" s="283">
        <f>BU50-BU51</f>
        <v>5.0955414012738995E-2</v>
      </c>
      <c r="BV52" s="283">
        <f>BV50-BV51</f>
        <v>-0.2814568576761215</v>
      </c>
      <c r="BW52" s="283">
        <f>BW50-BW51</f>
        <v>-4.6577815411664725E-2</v>
      </c>
      <c r="BX52" s="284">
        <f>SUM(BT52:BW52)</f>
        <v>9.2783014756980919E-2</v>
      </c>
      <c r="BY52" s="283">
        <f t="shared" ref="BY52:CG52" si="96">BY50-BY51</f>
        <v>-2.6886263739488332E-2</v>
      </c>
      <c r="BZ52" s="283">
        <f t="shared" si="96"/>
        <v>-0.54109929721284322</v>
      </c>
      <c r="CA52" s="283">
        <f t="shared" si="96"/>
        <v>-0.74149892059046651</v>
      </c>
      <c r="CB52" s="283">
        <f t="shared" si="96"/>
        <v>-0.68366240343771922</v>
      </c>
      <c r="CC52" s="284">
        <f t="shared" si="96"/>
        <v>-1.9963733744633276</v>
      </c>
      <c r="CD52" s="283">
        <f t="shared" si="96"/>
        <v>-0.42420553487994644</v>
      </c>
      <c r="CE52" s="283">
        <f t="shared" si="96"/>
        <v>-0.40452760452760445</v>
      </c>
      <c r="CF52" s="283">
        <f t="shared" si="96"/>
        <v>-8.9916334133715622E-2</v>
      </c>
      <c r="CG52" s="283">
        <f t="shared" si="96"/>
        <v>0.11627621999567515</v>
      </c>
      <c r="CH52" s="284">
        <f>SUM(CD52:CG52)</f>
        <v>-0.8023732535455913</v>
      </c>
      <c r="CI52" s="283">
        <f>CI50-CI51</f>
        <v>0.11895500558929333</v>
      </c>
      <c r="CJ52" s="283">
        <f>CJ50-CJ51</f>
        <v>9.2518559418300797E-2</v>
      </c>
      <c r="CK52" s="283">
        <f>CK50-CK51</f>
        <v>0.11581364829396333</v>
      </c>
      <c r="CL52" s="283">
        <f>CL50-CL51</f>
        <v>3.1980912040215068E-2</v>
      </c>
      <c r="CM52" s="284">
        <f>SUM(CI52:CL52)</f>
        <v>0.35926812534177255</v>
      </c>
      <c r="CN52" s="283">
        <f>CN50-CN51</f>
        <v>-4.4324648860147087E-2</v>
      </c>
      <c r="CO52" s="283">
        <f>CO50-CO51</f>
        <v>2.7897244287583754E-2</v>
      </c>
      <c r="CP52" s="283">
        <f>CP50-CP51</f>
        <v>0.17908362088978383</v>
      </c>
      <c r="CQ52" s="283">
        <f>CQ50-CQ51</f>
        <v>0.45380845104051737</v>
      </c>
      <c r="CR52" s="284">
        <f>SUM(CN52:CQ52)</f>
        <v>0.61646466735773786</v>
      </c>
      <c r="CS52" s="283">
        <f>CS50-CS51</f>
        <v>0.38</v>
      </c>
      <c r="CT52" s="283">
        <f>CT50-CT51</f>
        <v>0.17763147372125021</v>
      </c>
      <c r="CU52" s="283">
        <f>CU50-CU51</f>
        <v>0.27065736394160717</v>
      </c>
      <c r="CV52" s="283">
        <f>CV50-CV51</f>
        <v>-4.331638418079109E-2</v>
      </c>
      <c r="CW52" s="284">
        <f>SUM(CS52:CV52)</f>
        <v>0.78497245348206635</v>
      </c>
      <c r="CX52" s="283">
        <f>CX50-CX51</f>
        <v>-0.89882749308978815</v>
      </c>
      <c r="CY52" s="283">
        <f>CY50-CY51</f>
        <v>-0.85326086956521729</v>
      </c>
      <c r="CZ52" s="283">
        <f>CZ50-CZ51</f>
        <v>-0.49819494584837554</v>
      </c>
      <c r="DA52" s="283">
        <f>DA50-DA51</f>
        <v>-0.16753022452504318</v>
      </c>
      <c r="DB52" s="284">
        <f>SUM(CX52:DA52)</f>
        <v>-2.4178135330284243</v>
      </c>
      <c r="DC52" s="283">
        <f>DC50-DC51</f>
        <v>-0.5082508250825083</v>
      </c>
      <c r="DD52" s="283">
        <f>DD50-DD51</f>
        <v>-0.60296540362438211</v>
      </c>
      <c r="DE52" s="283">
        <f>DE50-DE51</f>
        <v>-0.20888157894736842</v>
      </c>
      <c r="DF52" s="283">
        <f>DF50-DF51</f>
        <v>-0.68637110016420366</v>
      </c>
      <c r="DG52" s="284">
        <f>SUM(DC52:DF52)</f>
        <v>-2.0064689078184625</v>
      </c>
      <c r="DH52" s="283">
        <f t="shared" ref="DH52:FP52" si="97">DH50-DH51</f>
        <v>-0.64217252396166136</v>
      </c>
      <c r="DI52" s="283">
        <f t="shared" si="97"/>
        <v>-0.62368815592203897</v>
      </c>
      <c r="DJ52" s="283">
        <f t="shared" si="97"/>
        <v>-0.26224783861671469</v>
      </c>
      <c r="DK52" s="283">
        <f t="shared" si="97"/>
        <v>-4.5512010113780033E-2</v>
      </c>
      <c r="DL52" s="284">
        <f t="shared" si="97"/>
        <v>-1.4917206623470123</v>
      </c>
      <c r="DM52" s="283">
        <f t="shared" si="97"/>
        <v>-0.14986737400530503</v>
      </c>
      <c r="DN52" s="283">
        <f t="shared" si="97"/>
        <v>-5.2186177715091681E-2</v>
      </c>
      <c r="DO52" s="283">
        <f t="shared" si="97"/>
        <v>-0.1093969144460028</v>
      </c>
      <c r="DP52" s="283">
        <f>DP50-DP51</f>
        <v>0.16375076111223874</v>
      </c>
      <c r="DQ52" s="284">
        <v>-0.14000000000000001</v>
      </c>
      <c r="DR52" s="283">
        <f>DR50-DR51</f>
        <v>8.2460732984293239E-2</v>
      </c>
      <c r="DS52" s="283">
        <f>DS50-DS51</f>
        <v>9.4212651413189769E-2</v>
      </c>
      <c r="DT52" s="283">
        <f>DT50-DT51</f>
        <v>0.14844804318488528</v>
      </c>
      <c r="DU52" s="283">
        <f>DU50-DU51</f>
        <v>0.18715846994535518</v>
      </c>
      <c r="DV52" s="284">
        <f t="shared" si="97"/>
        <v>0.51006711409395966</v>
      </c>
      <c r="DW52" s="283">
        <f t="shared" si="97"/>
        <v>0.12404658791982803</v>
      </c>
      <c r="DX52" s="283">
        <f t="shared" si="97"/>
        <v>6.0927152317880796E-2</v>
      </c>
      <c r="DY52" s="283">
        <f t="shared" si="97"/>
        <v>-0.20134228187919465</v>
      </c>
      <c r="DZ52" s="283">
        <f t="shared" si="97"/>
        <v>-0.14190093708165996</v>
      </c>
      <c r="EA52" s="284">
        <f t="shared" si="97"/>
        <v>-0.15961060646339642</v>
      </c>
      <c r="EB52" s="283">
        <f>EB50-EB51</f>
        <v>-0.12550066755674233</v>
      </c>
      <c r="EC52" s="283">
        <f>EC50-EC51</f>
        <v>-8.6436170212765964E-2</v>
      </c>
      <c r="ED52" s="283">
        <f>ED50-ED51</f>
        <v>4.0575916230366493E-2</v>
      </c>
      <c r="EE52" s="283">
        <f>EE50-EE51</f>
        <v>5.8746736292428194E-2</v>
      </c>
      <c r="EF52" s="284">
        <f t="shared" si="97"/>
        <v>-0.10783338285063732</v>
      </c>
      <c r="EG52" s="283">
        <f t="shared" si="97"/>
        <v>1.5768725361366625E-2</v>
      </c>
      <c r="EH52" s="283">
        <f t="shared" si="97"/>
        <v>2.2251308900523563E-2</v>
      </c>
      <c r="EI52" s="283">
        <f t="shared" si="97"/>
        <v>2.5477707006369425E-2</v>
      </c>
      <c r="EJ52" s="283">
        <f t="shared" si="97"/>
        <v>2.5608194622279146E-3</v>
      </c>
      <c r="EK52" s="284">
        <f>EK50-EK51</f>
        <v>6.2359206568835646E-2</v>
      </c>
      <c r="EL52" s="283">
        <f>EL50-EL51</f>
        <v>-0.11583011583011583</v>
      </c>
      <c r="EM52" s="283">
        <f>EM50-EM51</f>
        <v>-0.19023136246786632</v>
      </c>
      <c r="EN52" s="283">
        <f>EN50-EN51</f>
        <v>-0.18980891719745224</v>
      </c>
      <c r="EO52" s="283">
        <f>EO50-EO51</f>
        <v>-0.12010113780025285</v>
      </c>
      <c r="EP52" s="284">
        <f t="shared" si="97"/>
        <v>-0.61493846969309296</v>
      </c>
      <c r="EQ52" s="283">
        <f>EQ50-EQ51</f>
        <v>-0.14123581336696089</v>
      </c>
      <c r="ER52" s="283">
        <f t="shared" si="97"/>
        <v>-7.0645554202192443E-2</v>
      </c>
      <c r="ES52" s="283">
        <f t="shared" si="97"/>
        <v>4.9079754601226711E-3</v>
      </c>
      <c r="ET52" s="283">
        <f>ET50-ET51</f>
        <v>-3.9742212674543503E-2</v>
      </c>
      <c r="EU52" s="284">
        <f t="shared" si="97"/>
        <v>-0.23203409332975511</v>
      </c>
      <c r="EV52" s="283">
        <f t="shared" si="97"/>
        <v>-6.4962726304579346E-2</v>
      </c>
      <c r="EW52" s="283">
        <f t="shared" si="97"/>
        <v>-3.8038038038038045E-3</v>
      </c>
      <c r="EX52" s="283">
        <f t="shared" si="97"/>
        <v>7.7735124760076782E-2</v>
      </c>
      <c r="EY52" s="283">
        <f t="shared" si="97"/>
        <v>6.4609450337512059E-2</v>
      </c>
      <c r="EZ52" s="284">
        <f t="shared" si="97"/>
        <v>7.476334454514999E-2</v>
      </c>
      <c r="FA52" s="283">
        <f t="shared" si="97"/>
        <v>8.5659287776708379E-2</v>
      </c>
      <c r="FB52" s="283">
        <f t="shared" si="97"/>
        <v>0.11759082217973231</v>
      </c>
      <c r="FC52" s="283">
        <f>FC50-FC51</f>
        <v>0.10594795539033457</v>
      </c>
      <c r="FD52" s="283">
        <f t="shared" si="97"/>
        <v>4.7265987025023173E-2</v>
      </c>
      <c r="FE52" s="284">
        <f t="shared" si="97"/>
        <v>0.3564640523717984</v>
      </c>
      <c r="FF52" s="283">
        <f t="shared" si="97"/>
        <v>1.9195612431444242E-2</v>
      </c>
      <c r="FG52" s="283">
        <f t="shared" si="97"/>
        <v>4.2380522993688011E-2</v>
      </c>
      <c r="FH52" s="283">
        <f t="shared" si="97"/>
        <v>0.14771709937332139</v>
      </c>
      <c r="FI52" s="283">
        <f>FI50-FI51</f>
        <v>0.27441077441077444</v>
      </c>
      <c r="FJ52" s="284">
        <f t="shared" si="97"/>
        <v>0.48370400920922801</v>
      </c>
      <c r="FK52" s="283">
        <f t="shared" si="97"/>
        <v>0.13660911416815957</v>
      </c>
      <c r="FL52" s="283">
        <f t="shared" si="97"/>
        <v>0.12713936430317849</v>
      </c>
      <c r="FM52" s="283">
        <f t="shared" si="97"/>
        <v>0.34979423868312753</v>
      </c>
      <c r="FN52" s="283">
        <f t="shared" si="97"/>
        <v>0.45432300163132144</v>
      </c>
      <c r="FO52" s="284">
        <f t="shared" si="97"/>
        <v>1.0678657187857872</v>
      </c>
      <c r="FP52" s="283">
        <f t="shared" si="97"/>
        <v>0.45247766043866772</v>
      </c>
      <c r="FQ52" s="283">
        <f>FQ50-FQ51</f>
        <v>0.56412337662337664</v>
      </c>
      <c r="FR52" s="283">
        <f>FR50-FR51</f>
        <v>0.64552845528455283</v>
      </c>
      <c r="FS52" s="285">
        <f>FS50-FS51</f>
        <v>0.82651391162029453</v>
      </c>
      <c r="FT52" s="284">
        <f t="shared" ref="FT52:HM52" si="98">FT50-FT51</f>
        <v>2.4886434039668917</v>
      </c>
      <c r="FU52" s="283">
        <f t="shared" si="98"/>
        <v>1.0035460992907801</v>
      </c>
      <c r="FV52" s="283">
        <f t="shared" si="98"/>
        <v>0.88725490196078438</v>
      </c>
      <c r="FW52" s="283">
        <f t="shared" si="98"/>
        <v>0.50830769230769235</v>
      </c>
      <c r="FX52" s="283">
        <f t="shared" si="98"/>
        <v>0.49629171817058099</v>
      </c>
      <c r="FY52" s="284">
        <f t="shared" si="98"/>
        <v>2.8954004117298378</v>
      </c>
      <c r="FZ52" s="283">
        <f t="shared" si="98"/>
        <v>0.41278708876474235</v>
      </c>
      <c r="GA52" s="283">
        <f t="shared" si="98"/>
        <v>0.36877688998156116</v>
      </c>
      <c r="GB52" s="283">
        <f t="shared" si="98"/>
        <v>0.48004910988336402</v>
      </c>
      <c r="GC52" s="283">
        <f t="shared" si="98"/>
        <v>0.53746928746928746</v>
      </c>
      <c r="GD52" s="284">
        <f t="shared" si="98"/>
        <v>1.7990823760989549</v>
      </c>
      <c r="GE52" s="283">
        <f t="shared" si="98"/>
        <v>0.39170225747406956</v>
      </c>
      <c r="GF52" s="283">
        <f t="shared" si="98"/>
        <v>0.47648136835675015</v>
      </c>
      <c r="GG52" s="283">
        <f t="shared" si="98"/>
        <v>0.70476772616136918</v>
      </c>
      <c r="GH52" s="283">
        <f t="shared" si="98"/>
        <v>0.88004895960832319</v>
      </c>
      <c r="GI52" s="284">
        <f t="shared" si="98"/>
        <v>2.4530003116005119</v>
      </c>
      <c r="GJ52" s="283">
        <f t="shared" si="98"/>
        <v>0.73923739237392372</v>
      </c>
      <c r="GK52" s="283">
        <f t="shared" si="98"/>
        <v>0.25276073619631906</v>
      </c>
      <c r="GL52" s="283">
        <f t="shared" si="98"/>
        <v>0.94210847044485069</v>
      </c>
      <c r="GM52" s="283">
        <f t="shared" si="98"/>
        <v>1.2328684050939964</v>
      </c>
      <c r="GN52" s="284">
        <f t="shared" si="98"/>
        <v>3.1669750041090898</v>
      </c>
      <c r="GO52" s="283">
        <f t="shared" si="98"/>
        <v>1.0775757575757576</v>
      </c>
      <c r="GP52" s="283">
        <f t="shared" si="98"/>
        <v>1.295038594835286</v>
      </c>
      <c r="GQ52" s="283">
        <f t="shared" si="98"/>
        <v>1.3955663185894922</v>
      </c>
      <c r="GR52" s="283">
        <f t="shared" si="98"/>
        <v>2.315659932296811</v>
      </c>
      <c r="GS52" s="284">
        <f t="shared" si="98"/>
        <v>6.0838406032973467</v>
      </c>
      <c r="GT52" s="283">
        <f t="shared" si="98"/>
        <v>2.5071318023758664</v>
      </c>
      <c r="GU52" s="283">
        <f t="shared" si="98"/>
        <v>2.8012401921240979</v>
      </c>
      <c r="GV52" s="283">
        <f t="shared" si="98"/>
        <v>3.2843469600959745</v>
      </c>
      <c r="GW52" s="283">
        <f t="shared" si="98"/>
        <v>3.6064628429579999</v>
      </c>
      <c r="GX52" s="284">
        <f t="shared" si="98"/>
        <v>12.199181797553937</v>
      </c>
      <c r="GY52" s="283">
        <f t="shared" si="98"/>
        <v>3.5893854787255992</v>
      </c>
      <c r="GZ52" s="283">
        <f t="shared" si="98"/>
        <v>3.8546008705190773</v>
      </c>
      <c r="HA52" s="283">
        <f t="shared" si="98"/>
        <v>4.3428074283684026</v>
      </c>
      <c r="HB52" s="283">
        <f t="shared" si="98"/>
        <v>4.7658799133836229</v>
      </c>
      <c r="HC52" s="284">
        <f t="shared" si="98"/>
        <v>16.552673690996702</v>
      </c>
      <c r="HD52" s="283">
        <f t="shared" si="98"/>
        <v>4.5326276523126818</v>
      </c>
      <c r="HE52" s="283">
        <f t="shared" si="98"/>
        <v>4.7084012877349499</v>
      </c>
      <c r="HF52" s="283">
        <f t="shared" si="98"/>
        <v>5.1878797151804639</v>
      </c>
      <c r="HG52" s="283">
        <f t="shared" si="98"/>
        <v>5.3553749873799426</v>
      </c>
      <c r="HH52" s="284">
        <f t="shared" si="98"/>
        <v>19.784283642608038</v>
      </c>
      <c r="HI52" s="283">
        <f t="shared" si="98"/>
        <v>4.9181337649277346</v>
      </c>
      <c r="HJ52" s="283">
        <f t="shared" si="98"/>
        <v>5.1209210745787761</v>
      </c>
      <c r="HK52" s="283">
        <f t="shared" si="98"/>
        <v>5.8122000987649436</v>
      </c>
      <c r="HL52" s="283">
        <f t="shared" si="98"/>
        <v>6.1125984525941464</v>
      </c>
      <c r="HM52" s="284">
        <f t="shared" si="98"/>
        <v>21.963853390865602</v>
      </c>
      <c r="HN52" s="286"/>
      <c r="HO52" s="267"/>
      <c r="HR52" s="287"/>
    </row>
    <row r="53" spans="1:234" s="509" customFormat="1" ht="15" customHeight="1">
      <c r="A53" s="522"/>
      <c r="L53" s="558"/>
      <c r="M53" s="558"/>
      <c r="N53" s="558"/>
      <c r="O53" s="558"/>
      <c r="P53" s="559"/>
      <c r="Q53" s="558"/>
      <c r="R53" s="558"/>
      <c r="S53" s="558"/>
      <c r="T53" s="558"/>
      <c r="U53" s="559"/>
      <c r="V53" s="558"/>
      <c r="W53" s="558"/>
      <c r="X53" s="558"/>
      <c r="Y53" s="558"/>
      <c r="Z53" s="559"/>
      <c r="AA53" s="558"/>
      <c r="AB53" s="558"/>
      <c r="AC53" s="558"/>
      <c r="AD53" s="558"/>
      <c r="AE53" s="559"/>
      <c r="AF53" s="558"/>
      <c r="AG53" s="558"/>
      <c r="AH53" s="558"/>
      <c r="AI53" s="558"/>
      <c r="AJ53" s="559"/>
      <c r="AK53" s="558"/>
      <c r="AL53" s="558"/>
      <c r="AM53" s="558"/>
      <c r="AN53" s="558"/>
      <c r="AO53" s="559"/>
      <c r="AP53" s="558"/>
      <c r="AQ53" s="558"/>
      <c r="AR53" s="558"/>
      <c r="AS53" s="558"/>
      <c r="AT53" s="559"/>
      <c r="AU53" s="558"/>
      <c r="AV53" s="558"/>
      <c r="AW53" s="558"/>
      <c r="AX53" s="558"/>
      <c r="AY53" s="559"/>
      <c r="AZ53" s="558"/>
      <c r="BA53" s="558"/>
      <c r="BB53" s="558"/>
      <c r="BC53" s="558"/>
      <c r="BD53" s="559"/>
      <c r="BE53" s="558"/>
      <c r="BF53" s="558"/>
      <c r="BG53" s="558"/>
      <c r="BH53" s="558"/>
      <c r="BI53" s="559"/>
      <c r="BJ53" s="558"/>
      <c r="BK53" s="558"/>
      <c r="BL53" s="558"/>
      <c r="BM53" s="558"/>
      <c r="BN53" s="559"/>
      <c r="BO53" s="558"/>
      <c r="BP53" s="558"/>
      <c r="BQ53" s="558"/>
      <c r="BR53" s="558"/>
      <c r="BS53" s="559"/>
      <c r="BT53" s="558"/>
      <c r="BU53" s="558"/>
      <c r="BV53" s="558"/>
      <c r="BW53" s="558"/>
      <c r="BX53" s="559"/>
      <c r="BY53" s="558"/>
      <c r="BZ53" s="558"/>
      <c r="CA53" s="558"/>
      <c r="CB53" s="558"/>
      <c r="CC53" s="559"/>
      <c r="CD53" s="558"/>
      <c r="CE53" s="558"/>
      <c r="CF53" s="558"/>
      <c r="CG53" s="558"/>
      <c r="CH53" s="559"/>
      <c r="CI53" s="558"/>
      <c r="CJ53" s="558"/>
      <c r="CK53" s="558"/>
      <c r="CL53" s="558"/>
      <c r="CM53" s="559"/>
      <c r="CN53" s="558"/>
      <c r="CO53" s="558"/>
      <c r="CP53" s="558"/>
      <c r="CQ53" s="558"/>
      <c r="CR53" s="559"/>
      <c r="CS53" s="558"/>
      <c r="CT53" s="558"/>
      <c r="CU53" s="558"/>
      <c r="CV53" s="558"/>
      <c r="CW53" s="559"/>
      <c r="CX53" s="558"/>
      <c r="CY53" s="558"/>
      <c r="CZ53" s="558"/>
      <c r="DA53" s="558"/>
      <c r="DB53" s="559"/>
      <c r="DC53" s="558"/>
      <c r="DD53" s="558"/>
      <c r="DE53" s="558"/>
      <c r="DF53" s="558"/>
      <c r="DG53" s="559"/>
      <c r="DH53" s="558"/>
      <c r="DI53" s="558"/>
      <c r="DJ53" s="558"/>
      <c r="DK53" s="558"/>
      <c r="DL53" s="559"/>
      <c r="DM53" s="558"/>
      <c r="DN53" s="558"/>
      <c r="DO53" s="558"/>
      <c r="DP53" s="558"/>
      <c r="DQ53" s="559"/>
      <c r="DR53" s="558"/>
      <c r="DS53" s="558"/>
      <c r="DT53" s="560"/>
      <c r="DU53" s="560"/>
      <c r="DV53" s="559"/>
      <c r="DW53" s="558"/>
      <c r="DX53" s="558"/>
      <c r="DY53" s="558"/>
      <c r="DZ53" s="558"/>
      <c r="EA53" s="559"/>
      <c r="EB53" s="558"/>
      <c r="EC53" s="558"/>
      <c r="ED53" s="558"/>
      <c r="EE53" s="558"/>
      <c r="EF53" s="559"/>
      <c r="EG53" s="558"/>
      <c r="EH53" s="558"/>
      <c r="EI53" s="558"/>
      <c r="EJ53" s="558"/>
      <c r="EK53" s="559"/>
      <c r="EL53" s="558"/>
      <c r="EM53" s="558"/>
      <c r="EN53" s="558"/>
      <c r="EO53" s="558"/>
      <c r="EP53" s="559"/>
      <c r="EQ53" s="558"/>
      <c r="ER53" s="558"/>
      <c r="ES53" s="558"/>
      <c r="ET53" s="558"/>
      <c r="EU53" s="559"/>
      <c r="EV53" s="558"/>
      <c r="EW53" s="558"/>
      <c r="EX53" s="558"/>
      <c r="EY53" s="558"/>
      <c r="EZ53" s="559"/>
      <c r="FA53" s="558"/>
      <c r="FB53" s="558"/>
      <c r="FC53" s="558"/>
      <c r="FD53" s="558"/>
      <c r="FE53" s="559"/>
      <c r="FF53" s="558"/>
      <c r="FG53" s="558"/>
      <c r="FH53" s="558"/>
      <c r="FI53" s="558"/>
      <c r="FJ53" s="559"/>
      <c r="FK53" s="558"/>
      <c r="FL53" s="558"/>
      <c r="FM53" s="558"/>
      <c r="FN53" s="558"/>
      <c r="FO53" s="558"/>
      <c r="FP53" s="558"/>
      <c r="FQ53" s="558"/>
      <c r="FR53" s="558"/>
      <c r="FS53" s="558"/>
      <c r="FT53" s="559"/>
      <c r="FU53" s="558"/>
      <c r="FV53" s="558"/>
      <c r="FW53" s="558"/>
      <c r="FX53" s="558"/>
      <c r="FY53" s="559"/>
      <c r="FZ53" s="558"/>
      <c r="GA53" s="558"/>
      <c r="GB53" s="558"/>
      <c r="GC53" s="558"/>
      <c r="GD53" s="559"/>
      <c r="GE53" s="558"/>
      <c r="GF53" s="558"/>
      <c r="GG53" s="558"/>
      <c r="GH53" s="558"/>
      <c r="GI53" s="559"/>
      <c r="GJ53" s="558"/>
      <c r="GK53" s="558"/>
      <c r="GL53" s="558"/>
      <c r="GM53" s="558"/>
      <c r="GN53" s="559"/>
      <c r="GO53" s="558"/>
      <c r="GP53" s="558"/>
      <c r="GQ53" s="558"/>
      <c r="GR53" s="558"/>
      <c r="GS53" s="559"/>
      <c r="GT53" s="558"/>
      <c r="GU53" s="558"/>
      <c r="GV53" s="558"/>
      <c r="GW53" s="558"/>
      <c r="GX53" s="559"/>
      <c r="GY53" s="558"/>
      <c r="GZ53" s="558"/>
      <c r="HA53" s="558"/>
      <c r="HB53" s="558"/>
      <c r="HC53" s="559"/>
      <c r="HD53" s="558"/>
      <c r="HE53" s="558"/>
      <c r="HF53" s="558"/>
      <c r="HG53" s="558"/>
      <c r="HH53" s="559"/>
      <c r="HI53" s="558"/>
      <c r="HJ53" s="558"/>
      <c r="HK53" s="558"/>
      <c r="HL53" s="558"/>
      <c r="HM53" s="559"/>
      <c r="HN53" s="559"/>
      <c r="HO53" s="559"/>
      <c r="HP53" s="561"/>
      <c r="HR53" s="562"/>
      <c r="HS53" s="563"/>
      <c r="HT53" s="563"/>
      <c r="HU53" s="563"/>
      <c r="HV53" s="563"/>
      <c r="HW53" s="563"/>
      <c r="HX53" s="563"/>
    </row>
    <row r="54" spans="1:234" s="291" customFormat="1" ht="15" customHeight="1">
      <c r="A54" s="564" t="s">
        <v>389</v>
      </c>
      <c r="P54" s="565"/>
      <c r="U54" s="331"/>
      <c r="Z54" s="331"/>
      <c r="AE54" s="331"/>
      <c r="AJ54" s="331"/>
      <c r="AK54" s="523"/>
      <c r="AL54" s="523"/>
      <c r="AM54" s="523"/>
      <c r="AN54" s="523"/>
      <c r="AO54" s="524"/>
      <c r="AP54" s="523"/>
      <c r="AQ54" s="523"/>
      <c r="AR54" s="523"/>
      <c r="AS54" s="523"/>
      <c r="AT54" s="524"/>
      <c r="AU54" s="523"/>
      <c r="AV54" s="523"/>
      <c r="AW54" s="523"/>
      <c r="AX54" s="523"/>
      <c r="AY54" s="524"/>
      <c r="AZ54" s="523"/>
      <c r="BA54" s="523"/>
      <c r="BB54" s="523"/>
      <c r="BC54" s="523"/>
      <c r="BD54" s="524"/>
      <c r="BE54" s="523"/>
      <c r="BF54" s="523"/>
      <c r="BG54" s="523"/>
      <c r="BH54" s="523"/>
      <c r="BI54" s="524"/>
      <c r="BJ54" s="523"/>
      <c r="BK54" s="523"/>
      <c r="BL54" s="523"/>
      <c r="BM54" s="523"/>
      <c r="BN54" s="524"/>
      <c r="BO54" s="523"/>
      <c r="BP54" s="523"/>
      <c r="BQ54" s="523"/>
      <c r="BR54" s="523"/>
      <c r="BS54" s="524"/>
      <c r="BT54" s="523"/>
      <c r="BU54" s="523"/>
      <c r="BV54" s="523"/>
      <c r="BW54" s="523"/>
      <c r="BX54" s="524"/>
      <c r="BY54" s="523"/>
      <c r="BZ54" s="523"/>
      <c r="CA54" s="523"/>
      <c r="CB54" s="523"/>
      <c r="CC54" s="524"/>
      <c r="CD54" s="523"/>
      <c r="CE54" s="523"/>
      <c r="CF54" s="523"/>
      <c r="CG54" s="523"/>
      <c r="CH54" s="524"/>
      <c r="CI54" s="523"/>
      <c r="CJ54" s="523"/>
      <c r="CK54" s="523"/>
      <c r="CL54" s="523"/>
      <c r="CM54" s="524"/>
      <c r="CN54" s="523">
        <v>26.056999999999999</v>
      </c>
      <c r="CO54" s="523">
        <v>72.006999999999991</v>
      </c>
      <c r="CP54" s="523">
        <v>8.4969999999999999</v>
      </c>
      <c r="CQ54" s="523">
        <v>8.4969999999999999</v>
      </c>
      <c r="CR54" s="524">
        <f>+SUM(CN54:CQ54)</f>
        <v>115.05799999999999</v>
      </c>
      <c r="CS54" s="523">
        <v>18</v>
      </c>
      <c r="CT54" s="523">
        <v>20</v>
      </c>
      <c r="CU54" s="523">
        <v>16.5</v>
      </c>
      <c r="CV54" s="523">
        <v>27</v>
      </c>
      <c r="CW54" s="524">
        <f>+SUM(CS54:CV54)</f>
        <v>81.5</v>
      </c>
      <c r="CX54" s="523">
        <v>37.837837837837839</v>
      </c>
      <c r="CY54" s="523">
        <v>31.000000000000004</v>
      </c>
      <c r="CZ54" s="523">
        <v>27</v>
      </c>
      <c r="DA54" s="523">
        <v>17.162162162162165</v>
      </c>
      <c r="DB54" s="524">
        <f>+SUM(CX54:DA54)</f>
        <v>113</v>
      </c>
      <c r="DC54" s="523">
        <v>21</v>
      </c>
      <c r="DD54" s="523">
        <v>21</v>
      </c>
      <c r="DE54" s="523">
        <v>21</v>
      </c>
      <c r="DF54" s="523">
        <v>21</v>
      </c>
      <c r="DG54" s="524">
        <f>+SUM(DC54:DF54)</f>
        <v>84</v>
      </c>
      <c r="DH54" s="523">
        <v>21</v>
      </c>
      <c r="DI54" s="523">
        <v>18</v>
      </c>
      <c r="DJ54" s="523">
        <v>19</v>
      </c>
      <c r="DK54" s="523">
        <v>18</v>
      </c>
      <c r="DL54" s="524">
        <f>+SUM(DH54:DK54)</f>
        <v>76</v>
      </c>
      <c r="DM54" s="523">
        <v>20</v>
      </c>
      <c r="DN54" s="523">
        <v>20</v>
      </c>
      <c r="DO54" s="523">
        <v>22</v>
      </c>
      <c r="DP54" s="523">
        <v>22</v>
      </c>
      <c r="DQ54" s="524">
        <f>+SUM(DM54:DP54)</f>
        <v>84</v>
      </c>
      <c r="DR54" s="523">
        <v>21</v>
      </c>
      <c r="DS54" s="523">
        <v>20</v>
      </c>
      <c r="DT54" s="523">
        <v>22</v>
      </c>
      <c r="DU54" s="523">
        <v>21</v>
      </c>
      <c r="DV54" s="524">
        <f>+SUM(DR54:DU54)</f>
        <v>84</v>
      </c>
      <c r="DW54" s="523">
        <v>21</v>
      </c>
      <c r="DX54" s="523">
        <v>26</v>
      </c>
      <c r="DY54" s="523">
        <v>27</v>
      </c>
      <c r="DZ54" s="523">
        <v>23</v>
      </c>
      <c r="EA54" s="524">
        <f>+SUM(DW54:DZ54)</f>
        <v>97</v>
      </c>
      <c r="EB54" s="523">
        <v>24</v>
      </c>
      <c r="EC54" s="523">
        <v>20</v>
      </c>
      <c r="ED54" s="523">
        <v>23</v>
      </c>
      <c r="EE54" s="523">
        <v>24</v>
      </c>
      <c r="EF54" s="524">
        <f>+SUM(EB54:EE54)</f>
        <v>91</v>
      </c>
      <c r="EG54" s="523">
        <v>23</v>
      </c>
      <c r="EH54" s="523">
        <v>21</v>
      </c>
      <c r="EI54" s="523">
        <v>21</v>
      </c>
      <c r="EJ54" s="523">
        <v>16</v>
      </c>
      <c r="EK54" s="524">
        <f>+SUM(EG54:EJ54)</f>
        <v>81</v>
      </c>
      <c r="EL54" s="523">
        <v>17</v>
      </c>
      <c r="EM54" s="523">
        <v>17</v>
      </c>
      <c r="EN54" s="523">
        <v>13</v>
      </c>
      <c r="EO54" s="523">
        <v>16</v>
      </c>
      <c r="EP54" s="524">
        <f>+SUM(EL54:EO54)</f>
        <v>63</v>
      </c>
      <c r="EQ54" s="523">
        <v>16</v>
      </c>
      <c r="ER54" s="523">
        <v>18</v>
      </c>
      <c r="ES54" s="523">
        <v>23</v>
      </c>
      <c r="ET54" s="523">
        <v>29</v>
      </c>
      <c r="EU54" s="524">
        <f>+SUM(EQ54:ET54)</f>
        <v>86</v>
      </c>
      <c r="EV54" s="523">
        <v>23</v>
      </c>
      <c r="EW54" s="523">
        <v>24</v>
      </c>
      <c r="EX54" s="523">
        <v>29</v>
      </c>
      <c r="EY54" s="523">
        <v>21</v>
      </c>
      <c r="EZ54" s="524">
        <f>+SUM(EV54:EY54)</f>
        <v>97</v>
      </c>
      <c r="FA54" s="523">
        <v>32</v>
      </c>
      <c r="FB54" s="523">
        <v>33</v>
      </c>
      <c r="FC54" s="523">
        <v>36</v>
      </c>
      <c r="FD54" s="523">
        <v>36</v>
      </c>
      <c r="FE54" s="524">
        <f>+SUM(FA54:FD54)</f>
        <v>137</v>
      </c>
      <c r="FF54" s="523">
        <v>41</v>
      </c>
      <c r="FG54" s="523">
        <v>45</v>
      </c>
      <c r="FH54" s="523">
        <v>54</v>
      </c>
      <c r="FI54" s="523">
        <v>57</v>
      </c>
      <c r="FJ54" s="524">
        <f>+SUM(FF54:FI54)</f>
        <v>197</v>
      </c>
      <c r="FK54" s="523">
        <v>59</v>
      </c>
      <c r="FL54" s="523">
        <v>60</v>
      </c>
      <c r="FM54" s="523">
        <v>76</v>
      </c>
      <c r="FN54" s="523">
        <v>79</v>
      </c>
      <c r="FO54" s="524">
        <f>+SUM(FK54:FN54)</f>
        <v>274</v>
      </c>
      <c r="FP54" s="523">
        <v>85</v>
      </c>
      <c r="FQ54" s="523">
        <v>83</v>
      </c>
      <c r="FR54" s="523">
        <v>99</v>
      </c>
      <c r="FS54" s="523">
        <v>112</v>
      </c>
      <c r="FT54" s="524">
        <f>+SUM(FP54:FS54)</f>
        <v>379</v>
      </c>
      <c r="FU54" s="523">
        <v>174</v>
      </c>
      <c r="FV54" s="523">
        <v>259</v>
      </c>
      <c r="FW54" s="523">
        <v>269</v>
      </c>
      <c r="FX54" s="523">
        <v>310</v>
      </c>
      <c r="FY54" s="524">
        <f>+SUM(FU54:FX54)</f>
        <v>1012</v>
      </c>
      <c r="FZ54" s="523">
        <v>305</v>
      </c>
      <c r="GA54" s="523">
        <v>348</v>
      </c>
      <c r="GB54" s="523">
        <v>353</v>
      </c>
      <c r="GC54" s="523">
        <v>374</v>
      </c>
      <c r="GD54" s="524">
        <f>+SUM(FZ54:GC54)</f>
        <v>1380</v>
      </c>
      <c r="GE54" s="523">
        <v>371</v>
      </c>
      <c r="GF54" s="523">
        <v>346</v>
      </c>
      <c r="GG54" s="523">
        <v>351</v>
      </c>
      <c r="GH54" s="523">
        <v>339</v>
      </c>
      <c r="GI54" s="524">
        <f>+SUM(GE54:GH54)</f>
        <v>1407</v>
      </c>
      <c r="GJ54" s="523">
        <v>364</v>
      </c>
      <c r="GK54" s="523">
        <v>369</v>
      </c>
      <c r="GL54" s="523">
        <v>419</v>
      </c>
      <c r="GM54" s="523">
        <v>486</v>
      </c>
      <c r="GN54" s="524">
        <f>+SUM(GJ54:GM54)</f>
        <v>1638</v>
      </c>
      <c r="GO54" s="523">
        <v>487</v>
      </c>
      <c r="GP54" s="540">
        <f>GO54*1.02</f>
        <v>496.74</v>
      </c>
      <c r="GQ54" s="540">
        <f>GP54*1.02</f>
        <v>506.6748</v>
      </c>
      <c r="GR54" s="540">
        <f>GQ54*1.02</f>
        <v>516.80829600000004</v>
      </c>
      <c r="GS54" s="524">
        <f>+SUM(GO54:GR54)</f>
        <v>2007.2230960000002</v>
      </c>
      <c r="GT54" s="540">
        <f>GR54</f>
        <v>516.80829600000004</v>
      </c>
      <c r="GU54" s="540">
        <f>GT54*1.02</f>
        <v>527.14446192000003</v>
      </c>
      <c r="GV54" s="540">
        <f>GU54*1.02</f>
        <v>537.68735115840002</v>
      </c>
      <c r="GW54" s="540">
        <f>GV54*1.02</f>
        <v>548.44109818156801</v>
      </c>
      <c r="GX54" s="524">
        <f>+SUM(GT54:GW54)</f>
        <v>2130.0812072599683</v>
      </c>
      <c r="GY54" s="540">
        <f>GW54</f>
        <v>548.44109818156801</v>
      </c>
      <c r="GZ54" s="540">
        <f>GY54*1.02</f>
        <v>559.40992014519941</v>
      </c>
      <c r="HA54" s="540">
        <f>GZ54*1.02</f>
        <v>570.59811854810346</v>
      </c>
      <c r="HB54" s="540">
        <f>HA54*1.02</f>
        <v>582.01008091906556</v>
      </c>
      <c r="HC54" s="524">
        <f>+SUM(GY54:HB54)</f>
        <v>2260.4592177939367</v>
      </c>
      <c r="HD54" s="540">
        <f>HB54</f>
        <v>582.01008091906556</v>
      </c>
      <c r="HE54" s="540">
        <f>HD54*1.02</f>
        <v>593.65028253744686</v>
      </c>
      <c r="HF54" s="540">
        <f>HE54*1.02</f>
        <v>605.52328818819581</v>
      </c>
      <c r="HG54" s="540">
        <f>HF54*1.02</f>
        <v>617.63375395195976</v>
      </c>
      <c r="HH54" s="524">
        <f>+SUM(HD54:HG54)</f>
        <v>2398.8174055966683</v>
      </c>
      <c r="HI54" s="540">
        <f>HG54</f>
        <v>617.63375395195976</v>
      </c>
      <c r="HJ54" s="540">
        <f>HI54*1.02</f>
        <v>629.98642903099892</v>
      </c>
      <c r="HK54" s="540">
        <f>HJ54*1.02</f>
        <v>642.58615761161889</v>
      </c>
      <c r="HL54" s="540">
        <f>HK54*1.02</f>
        <v>655.43788076385124</v>
      </c>
      <c r="HM54" s="524">
        <f>+SUM(HI54:HL54)</f>
        <v>2545.6442213584291</v>
      </c>
      <c r="HN54" s="524"/>
      <c r="HO54" s="566"/>
      <c r="HP54" s="290"/>
      <c r="HR54" s="290"/>
      <c r="HS54" s="290"/>
      <c r="HT54" s="290"/>
      <c r="HU54" s="290"/>
      <c r="HV54" s="290"/>
      <c r="HW54" s="290"/>
      <c r="HX54" s="290"/>
    </row>
    <row r="55" spans="1:234" s="294" customFormat="1" ht="15" customHeight="1">
      <c r="A55" s="522" t="s">
        <v>390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58"/>
      <c r="M55" s="558"/>
      <c r="N55" s="558"/>
      <c r="O55" s="558"/>
      <c r="P55" s="559"/>
      <c r="Q55" s="558"/>
      <c r="R55" s="558"/>
      <c r="S55" s="558"/>
      <c r="T55" s="558"/>
      <c r="U55" s="559"/>
      <c r="V55" s="558"/>
      <c r="W55" s="558"/>
      <c r="X55" s="558"/>
      <c r="Y55" s="558"/>
      <c r="Z55" s="559"/>
      <c r="AA55" s="558"/>
      <c r="AB55" s="558"/>
      <c r="AC55" s="558"/>
      <c r="AD55" s="558"/>
      <c r="AE55" s="559"/>
      <c r="AF55" s="558"/>
      <c r="AG55" s="558"/>
      <c r="AH55" s="558"/>
      <c r="AI55" s="558"/>
      <c r="AJ55" s="559"/>
      <c r="AK55" s="558"/>
      <c r="AL55" s="558"/>
      <c r="AM55" s="558"/>
      <c r="AN55" s="558"/>
      <c r="AO55" s="559"/>
      <c r="AP55" s="558"/>
      <c r="AQ55" s="558"/>
      <c r="AR55" s="558"/>
      <c r="AS55" s="558"/>
      <c r="AT55" s="559"/>
      <c r="AU55" s="558"/>
      <c r="AV55" s="558"/>
      <c r="AW55" s="558"/>
      <c r="AX55" s="558"/>
      <c r="AY55" s="559"/>
      <c r="AZ55" s="558"/>
      <c r="BA55" s="558"/>
      <c r="BB55" s="558"/>
      <c r="BC55" s="558"/>
      <c r="BD55" s="559"/>
      <c r="BE55" s="558"/>
      <c r="BF55" s="558"/>
      <c r="BG55" s="558"/>
      <c r="BH55" s="558"/>
      <c r="BI55" s="559"/>
      <c r="BJ55" s="558"/>
      <c r="BK55" s="558"/>
      <c r="BL55" s="558"/>
      <c r="BM55" s="558"/>
      <c r="BN55" s="559"/>
      <c r="BO55" s="558"/>
      <c r="BP55" s="558"/>
      <c r="BQ55" s="558"/>
      <c r="BR55" s="558"/>
      <c r="BS55" s="559"/>
      <c r="BT55" s="558"/>
      <c r="BU55" s="558"/>
      <c r="BV55" s="558"/>
      <c r="BW55" s="558"/>
      <c r="BX55" s="559"/>
      <c r="BY55" s="558"/>
      <c r="BZ55" s="558"/>
      <c r="CA55" s="558"/>
      <c r="CB55" s="558"/>
      <c r="CC55" s="559"/>
      <c r="CD55" s="558"/>
      <c r="CE55" s="558"/>
      <c r="CF55" s="558"/>
      <c r="CG55" s="558"/>
      <c r="CH55" s="559"/>
      <c r="CI55" s="558"/>
      <c r="CJ55" s="558"/>
      <c r="CK55" s="558"/>
      <c r="CL55" s="558"/>
      <c r="CM55" s="559"/>
      <c r="CN55" s="558">
        <f>+CN54/CN58</f>
        <v>6.6289810902189647E-2</v>
      </c>
      <c r="CO55" s="558">
        <f>+CO54/CO58</f>
        <v>0.17747123150596811</v>
      </c>
      <c r="CP55" s="558">
        <f>+CP54/CP58</f>
        <v>1.9151146882557514E-2</v>
      </c>
      <c r="CQ55" s="558">
        <f>+CQ54/CQ58</f>
        <v>1.8785248594477839E-2</v>
      </c>
      <c r="CR55" s="559">
        <f>+SUM(CN55:CQ55)</f>
        <v>0.28169743788519314</v>
      </c>
      <c r="CS55" s="558">
        <f>+CS54/CS58</f>
        <v>3.6339703548773937E-2</v>
      </c>
      <c r="CT55" s="558">
        <f>+CT54/CT58</f>
        <v>3.9985924954416045E-2</v>
      </c>
      <c r="CU55" s="558">
        <f>+CU54/CU58</f>
        <v>3.3214432375415687E-2</v>
      </c>
      <c r="CV55" s="558">
        <f>+CV54/CV58</f>
        <v>5.0847457627118647E-2</v>
      </c>
      <c r="CW55" s="559">
        <f>+SUM(CS55:CV55)</f>
        <v>0.1603875185057243</v>
      </c>
      <c r="CX55" s="558">
        <f>+CX54/CX58</f>
        <v>6.892138039679023E-2</v>
      </c>
      <c r="CY55" s="558">
        <f>+CY54/CY58</f>
        <v>5.6159420289855079E-2</v>
      </c>
      <c r="CZ55" s="558">
        <f>+CZ54/CZ58</f>
        <v>4.8736462093862815E-2</v>
      </c>
      <c r="DA55" s="558">
        <f>+DA54/DA58</f>
        <v>2.9641040003734308E-2</v>
      </c>
      <c r="DB55" s="559">
        <f>+SUM(CX55:DA55)</f>
        <v>0.20345830278424243</v>
      </c>
      <c r="DC55" s="558">
        <f>+DC54/DC58</f>
        <v>3.4653465346534656E-2</v>
      </c>
      <c r="DD55" s="558">
        <f>+DD54/DD58</f>
        <v>3.459637561779242E-2</v>
      </c>
      <c r="DE55" s="558">
        <f>+DE54/DE58</f>
        <v>3.453947368421053E-2</v>
      </c>
      <c r="DF55" s="558">
        <f>+DF54/DF58</f>
        <v>3.4482758620689655E-2</v>
      </c>
      <c r="DG55" s="559">
        <f>+SUM(DC55:DF55)</f>
        <v>0.13827207326922725</v>
      </c>
      <c r="DH55" s="558">
        <f>+DH54/DH58</f>
        <v>3.3546325878594248E-2</v>
      </c>
      <c r="DI55" s="558">
        <f>+DI54/DI58</f>
        <v>2.6986506746626688E-2</v>
      </c>
      <c r="DJ55" s="558">
        <f>+DJ54/DJ58</f>
        <v>2.7377521613832854E-2</v>
      </c>
      <c r="DK55" s="558">
        <f>+DK54/DK58</f>
        <v>2.2756005056890013E-2</v>
      </c>
      <c r="DL55" s="559">
        <f>+SUM(DH55:DK55)</f>
        <v>0.11066635929594382</v>
      </c>
      <c r="DM55" s="558">
        <f>+DM54/DM58</f>
        <v>2.6525198938992044E-2</v>
      </c>
      <c r="DN55" s="558">
        <f>+DN54/DN58</f>
        <v>2.8208744710860368E-2</v>
      </c>
      <c r="DO55" s="558">
        <f>+DO54/DO58</f>
        <v>3.0855539971949508E-2</v>
      </c>
      <c r="DP55" s="558">
        <f>+DP54/DP58</f>
        <v>2.9023746701846966E-2</v>
      </c>
      <c r="DQ55" s="559">
        <f>+SUM(DM55:DP55)</f>
        <v>0.1146132303236489</v>
      </c>
      <c r="DR55" s="558">
        <f>+DR54/DR58</f>
        <v>2.7486910994764399E-2</v>
      </c>
      <c r="DS55" s="558">
        <f>+DS54/DS58</f>
        <v>2.6917900403768506E-2</v>
      </c>
      <c r="DT55" s="560">
        <f>+DT54/DT58</f>
        <v>2.9689608636977057E-2</v>
      </c>
      <c r="DU55" s="560">
        <f>+DU54/DU58</f>
        <v>2.8688524590163935E-2</v>
      </c>
      <c r="DV55" s="559">
        <f>+SUM(DR55:DU55)</f>
        <v>0.1127829446256739</v>
      </c>
      <c r="DW55" s="558">
        <f>+DW54/DW58</f>
        <v>2.8610354223433242E-2</v>
      </c>
      <c r="DX55" s="558">
        <f>+DX54/DX58</f>
        <v>3.443708609271523E-2</v>
      </c>
      <c r="DY55" s="558">
        <f>+DY54/DY58</f>
        <v>3.6241610738255034E-2</v>
      </c>
      <c r="DZ55" s="558">
        <f>+DZ54/DZ58</f>
        <v>3.0789825970548863E-2</v>
      </c>
      <c r="EA55" s="559">
        <f>+SUM(DW55:DZ55)</f>
        <v>0.13007887702495238</v>
      </c>
      <c r="EB55" s="558">
        <f>+EB54/EB58</f>
        <v>3.2042723631508681E-2</v>
      </c>
      <c r="EC55" s="558">
        <f>+EC54/EC58</f>
        <v>2.6595744680851064E-2</v>
      </c>
      <c r="ED55" s="558">
        <f>+ED54/ED58</f>
        <v>3.0104712041884817E-2</v>
      </c>
      <c r="EE55" s="558">
        <f>+EE54/EE58</f>
        <v>3.1331592689295036E-2</v>
      </c>
      <c r="EF55" s="559">
        <f>+SUM(EB55:EE55)</f>
        <v>0.12007477304353961</v>
      </c>
      <c r="EG55" s="558">
        <f>+EG54/EG58</f>
        <v>3.0223390275952694E-2</v>
      </c>
      <c r="EH55" s="558">
        <f>+EH54/EH58</f>
        <v>2.7486910994764399E-2</v>
      </c>
      <c r="EI55" s="558">
        <f>+EI54/EI58</f>
        <v>2.6751592356687899E-2</v>
      </c>
      <c r="EJ55" s="558">
        <f>+EJ54/EJ58</f>
        <v>2.0486555697823303E-2</v>
      </c>
      <c r="EK55" s="559">
        <f>+SUM(EG55:EJ55)</f>
        <v>0.1049484493252283</v>
      </c>
      <c r="EL55" s="558">
        <f>+EL54/EL58</f>
        <v>2.1879021879021878E-2</v>
      </c>
      <c r="EM55" s="558">
        <f>+EM54/EM58</f>
        <v>2.1850899742930592E-2</v>
      </c>
      <c r="EN55" s="558">
        <f>+EN54/EN58</f>
        <v>1.6560509554140127E-2</v>
      </c>
      <c r="EO55" s="558">
        <f>+EO54/EO58</f>
        <v>2.0227560050568902E-2</v>
      </c>
      <c r="EP55" s="559">
        <f>+SUM(EL55:EO55)</f>
        <v>8.0517991226661492E-2</v>
      </c>
      <c r="EQ55" s="558">
        <f>+EQ54/EQ58</f>
        <v>2.0176544766708701E-2</v>
      </c>
      <c r="ER55" s="558">
        <f>+ER54/ER58</f>
        <v>2.192448233861145E-2</v>
      </c>
      <c r="ES55" s="558">
        <f>+ES54/ES58</f>
        <v>2.8220858895705522E-2</v>
      </c>
      <c r="ET55" s="558">
        <f>+ET54/ET58</f>
        <v>3.1149301825993556E-2</v>
      </c>
      <c r="EU55" s="559">
        <f>+SUM(EQ55:ET55)</f>
        <v>0.10147118782701924</v>
      </c>
      <c r="EV55" s="558">
        <f>+EV54/EV58</f>
        <v>2.4494142705005325E-2</v>
      </c>
      <c r="EW55" s="558">
        <f>+EW54/EW58</f>
        <v>2.5396825396825397E-2</v>
      </c>
      <c r="EX55" s="558">
        <f>+EX54/EX60</f>
        <v>2.5371828521434821E-2</v>
      </c>
      <c r="EY55" s="558">
        <f>+EY54/EY60</f>
        <v>1.8469656992084433E-2</v>
      </c>
      <c r="EZ55" s="559">
        <f>+EZ54/EZ58</f>
        <v>0.10194429847609038</v>
      </c>
      <c r="FA55" s="558">
        <f>+FA54/FA60</f>
        <v>2.8070175438596492E-2</v>
      </c>
      <c r="FB55" s="558">
        <f>+FB54/FB60</f>
        <v>2.8770706190061029E-2</v>
      </c>
      <c r="FC55" s="558">
        <f>+FC54/FC60</f>
        <v>3.058623619371283E-2</v>
      </c>
      <c r="FD55" s="558">
        <f>+FD54/FD60</f>
        <v>3.0508474576271188E-2</v>
      </c>
      <c r="FE55" s="559">
        <f>+SUM(FA55:FD55)</f>
        <v>0.11793559239864154</v>
      </c>
      <c r="FF55" s="558">
        <f>+FF54/FF60</f>
        <v>3.430962343096234E-2</v>
      </c>
      <c r="FG55" s="558">
        <f>+FG54/FG60</f>
        <v>3.71900826446281E-2</v>
      </c>
      <c r="FH55" s="558">
        <f>+FH54/FH60</f>
        <v>4.4554455445544552E-2</v>
      </c>
      <c r="FI55" s="558">
        <f>+FI54/FI60</f>
        <v>4.6875E-2</v>
      </c>
      <c r="FJ55" s="559">
        <f>+SUM(FF55:FI55)</f>
        <v>0.16292916152113501</v>
      </c>
      <c r="FK55" s="558">
        <f>+FK54/FK60</f>
        <v>4.820261437908497E-2</v>
      </c>
      <c r="FL55" s="558">
        <f>+FL54/FL60</f>
        <v>4.8899755501222497E-2</v>
      </c>
      <c r="FM55" s="558">
        <f>+FM54/FM60</f>
        <v>6.1788617886178863E-2</v>
      </c>
      <c r="FN55" s="558">
        <f>+FN54/FN60</f>
        <v>6.4123376623376624E-2</v>
      </c>
      <c r="FO55" s="559">
        <f>+SUM(FK55:FN55)</f>
        <v>0.22301436438986294</v>
      </c>
      <c r="FP55" s="558">
        <f>+FP54/FP60</f>
        <v>6.8937550689375501E-2</v>
      </c>
      <c r="FQ55" s="558">
        <f>+FQ54/FQ60</f>
        <v>6.7370129870129872E-2</v>
      </c>
      <c r="FR55" s="558">
        <f>+FR54/FR60</f>
        <v>8.0487804878048783E-2</v>
      </c>
      <c r="FS55" s="558">
        <f>+FS54/FS60</f>
        <v>9.1653027823240585E-2</v>
      </c>
      <c r="FT55" s="559">
        <f>+SUM(FP55:FS55)</f>
        <v>0.30844851326079475</v>
      </c>
      <c r="FU55" s="558">
        <f>+FU54/FU60</f>
        <v>0.12340425531914893</v>
      </c>
      <c r="FV55" s="558">
        <f>+FV54/FV60</f>
        <v>0.15870098039215685</v>
      </c>
      <c r="FW55" s="558">
        <f>+FW54/FW60</f>
        <v>0.16553846153846155</v>
      </c>
      <c r="FX55" s="558">
        <f>+FX54/FX60</f>
        <v>0.19159456118665019</v>
      </c>
      <c r="FY55" s="559">
        <f>+SUM(FU55:FX55)</f>
        <v>0.63923825843641757</v>
      </c>
      <c r="FZ55" s="558">
        <f>+FZ54/FZ60</f>
        <v>0.1893234016139044</v>
      </c>
      <c r="GA55" s="558">
        <f>+GA54/GA60</f>
        <v>0.21389059618930548</v>
      </c>
      <c r="GB55" s="558">
        <f>+GB54/GB60</f>
        <v>0.21669736034376919</v>
      </c>
      <c r="GC55" s="558">
        <f>+GC54/GC60</f>
        <v>0.22972972972972974</v>
      </c>
      <c r="GD55" s="559">
        <f>+SUM(FZ55:GC55)</f>
        <v>0.84964108787670878</v>
      </c>
      <c r="GE55" s="558">
        <f>+GE54/GE60</f>
        <v>0.22635753508236731</v>
      </c>
      <c r="GF55" s="558">
        <f>+GF54/GF60</f>
        <v>0.21136224801466097</v>
      </c>
      <c r="GG55" s="558">
        <f>+GG54/GG60</f>
        <v>0.2145476772616137</v>
      </c>
      <c r="GH55" s="558">
        <f>+GH54/GH60</f>
        <v>0.20746634026927785</v>
      </c>
      <c r="GI55" s="559">
        <f>+SUM(GE55:GH55)</f>
        <v>0.85973380062791982</v>
      </c>
      <c r="GJ55" s="558">
        <f>+GJ54/GJ60</f>
        <v>0.22386223862238622</v>
      </c>
      <c r="GK55" s="558">
        <f>+GK54/GK60</f>
        <v>0.22638036809815951</v>
      </c>
      <c r="GL55" s="558">
        <f>+GL54/GL60</f>
        <v>0.25533211456429006</v>
      </c>
      <c r="GM55" s="558">
        <f>+GM54/GM60</f>
        <v>0.29472407519708915</v>
      </c>
      <c r="GN55" s="559">
        <f>+SUM(GJ55:GM55)</f>
        <v>1.000298796481925</v>
      </c>
      <c r="GO55" s="558">
        <f>+GO54/GO60</f>
        <v>0.29515151515151516</v>
      </c>
      <c r="GP55" s="558">
        <f>+GP54/GP60</f>
        <v>0.2992409638554217</v>
      </c>
      <c r="GQ55" s="558">
        <f>+GQ54/GQ60</f>
        <v>0.30514612224257848</v>
      </c>
      <c r="GR55" s="558">
        <f>+GR54/GR60</f>
        <v>0.3099184275631201</v>
      </c>
      <c r="GS55" s="559">
        <f>+SUM(GO55:GR55)</f>
        <v>1.2094570288126354</v>
      </c>
      <c r="GT55" s="558">
        <f>+GT54/GT60</f>
        <v>0.30846933489844647</v>
      </c>
      <c r="GU55" s="558">
        <f>+GU54/GU60</f>
        <v>0.31304561301298506</v>
      </c>
      <c r="GV55" s="558">
        <f>+GV54/GV60</f>
        <v>0.31725559447527724</v>
      </c>
      <c r="GW55" s="558">
        <f>+GW54/GW60</f>
        <v>0.32127925254497303</v>
      </c>
      <c r="GX55" s="559">
        <f>+SUM(GT55:GW55)</f>
        <v>1.2600497949316818</v>
      </c>
      <c r="GY55" s="558">
        <f>+GY54/GY60</f>
        <v>0.3194087897391078</v>
      </c>
      <c r="GZ55" s="558">
        <f>+GZ54/GZ60</f>
        <v>0.32380661427260227</v>
      </c>
      <c r="HA55" s="558">
        <f>+HA54/HA60</f>
        <v>0.32827254722733079</v>
      </c>
      <c r="HB55" s="558">
        <f>+HB54/HB60</f>
        <v>0.332554026330379</v>
      </c>
      <c r="HC55" s="559">
        <f>+SUM(GY55:HB55)</f>
        <v>1.3040419775694199</v>
      </c>
      <c r="HD55" s="558">
        <f>+HD54/HD60</f>
        <v>0.33018536054383363</v>
      </c>
      <c r="HE55" s="558">
        <f>+HE54/HE60</f>
        <v>0.33440281708295105</v>
      </c>
      <c r="HF55" s="558">
        <f>+HF54/HF60</f>
        <v>0.33850305041143719</v>
      </c>
      <c r="HG55" s="558">
        <f>+HG54/HG60</f>
        <v>0.34257652550179424</v>
      </c>
      <c r="HH55" s="559">
        <f>+SUM(HD55:HG55)</f>
        <v>1.3456677535400161</v>
      </c>
      <c r="HI55" s="558">
        <f>+HI54/HI60</f>
        <v>0.33980146321053528</v>
      </c>
      <c r="HJ55" s="558">
        <f>+HJ54/HJ60</f>
        <v>0.34380855582413289</v>
      </c>
      <c r="HK55" s="558">
        <f>+HK54/HK60</f>
        <v>0.34788147178171636</v>
      </c>
      <c r="HL55" s="558">
        <f>+HL54/HL60</f>
        <v>0.35176917845327849</v>
      </c>
      <c r="HM55" s="559">
        <f>+SUM(HI55:HL55)</f>
        <v>1.3832606692696627</v>
      </c>
      <c r="HN55" s="559"/>
      <c r="HO55" s="292"/>
      <c r="HP55" s="293"/>
      <c r="HR55" s="295"/>
      <c r="HS55" s="293"/>
      <c r="HT55" s="293"/>
      <c r="HU55" s="293"/>
      <c r="HV55" s="293"/>
      <c r="HW55" s="293"/>
      <c r="HX55" s="293"/>
    </row>
    <row r="56" spans="1:234" s="294" customFormat="1" ht="15" customHeight="1">
      <c r="A56" s="296" t="s">
        <v>391</v>
      </c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1"/>
      <c r="M56" s="271"/>
      <c r="N56" s="271"/>
      <c r="O56" s="271"/>
      <c r="P56" s="272"/>
      <c r="Q56" s="271"/>
      <c r="R56" s="271"/>
      <c r="S56" s="271"/>
      <c r="T56" s="271"/>
      <c r="U56" s="272"/>
      <c r="V56" s="271"/>
      <c r="W56" s="271"/>
      <c r="X56" s="271"/>
      <c r="Y56" s="271"/>
      <c r="Z56" s="272"/>
      <c r="AA56" s="271"/>
      <c r="AB56" s="271"/>
      <c r="AC56" s="271"/>
      <c r="AD56" s="271"/>
      <c r="AE56" s="272"/>
      <c r="AF56" s="271">
        <f>+AF52+AF55</f>
        <v>0.30475600079349346</v>
      </c>
      <c r="AG56" s="271">
        <f>+AG52+AG55</f>
        <v>0.31565084316783881</v>
      </c>
      <c r="AH56" s="271">
        <f>+AH52+AH55</f>
        <v>0.29850208773347076</v>
      </c>
      <c r="AI56" s="271">
        <f>+AI52+AI55</f>
        <v>0.20398675327983709</v>
      </c>
      <c r="AJ56" s="272"/>
      <c r="AK56" s="271">
        <f>+AK52+AK55</f>
        <v>0.40796276647053159</v>
      </c>
      <c r="AL56" s="271">
        <f>+AL52+AL55</f>
        <v>0.44716975702404849</v>
      </c>
      <c r="AM56" s="271">
        <f>+AM52+AM55</f>
        <v>0.41329430162483799</v>
      </c>
      <c r="AN56" s="271">
        <f>+AN52+AN55</f>
        <v>0.21241297459869357</v>
      </c>
      <c r="AO56" s="272"/>
      <c r="AP56" s="271">
        <f>+AP52+AP55</f>
        <v>0.45349382010363859</v>
      </c>
      <c r="AQ56" s="271">
        <f>+AQ52+AQ55</f>
        <v>0.42855878269458375</v>
      </c>
      <c r="AR56" s="271">
        <f>+AR52+AR55</f>
        <v>0.26166382467223881</v>
      </c>
      <c r="AS56" s="271">
        <f>+AS52+AS55</f>
        <v>0.2601709753836644</v>
      </c>
      <c r="AT56" s="272"/>
      <c r="AU56" s="271">
        <f>+AU52+AU55</f>
        <v>9.1499938583371188E-2</v>
      </c>
      <c r="AV56" s="271">
        <f>+AV52+AV55</f>
        <v>-0.1281622876406488</v>
      </c>
      <c r="AW56" s="271">
        <f>+AW52+AW55</f>
        <v>-0.14095177907438158</v>
      </c>
      <c r="AX56" s="271">
        <f>+AX52+AX55</f>
        <v>-7.7169261619163224E-2</v>
      </c>
      <c r="AY56" s="272"/>
      <c r="AZ56" s="271">
        <f>+AZ52+AZ55</f>
        <v>4.3954738599801771E-2</v>
      </c>
      <c r="BA56" s="271">
        <f>+BA52+BA55</f>
        <v>3.3694116374502106E-2</v>
      </c>
      <c r="BB56" s="271">
        <f>+BB52+BB55</f>
        <v>-0.11174416143371202</v>
      </c>
      <c r="BC56" s="271">
        <f>+BC52+BC55</f>
        <v>-4.3463552495260023E-2</v>
      </c>
      <c r="BD56" s="272"/>
      <c r="BE56" s="271">
        <f>+BE52+BE55</f>
        <v>-0.22009010336624499</v>
      </c>
      <c r="BF56" s="271">
        <f>+BF52+BF55</f>
        <v>-0.22500731901130597</v>
      </c>
      <c r="BG56" s="271">
        <f>+BG52+BG55</f>
        <v>3.4301223387570266E-3</v>
      </c>
      <c r="BH56" s="271">
        <f>+BH52+BH55</f>
        <v>7.4428639070617406E-2</v>
      </c>
      <c r="BI56" s="272"/>
      <c r="BJ56" s="271">
        <f>+BJ52+BJ55</f>
        <v>-0.3884304600812834</v>
      </c>
      <c r="BK56" s="271">
        <f>+BK52+BK55</f>
        <v>-0.5783618095492844</v>
      </c>
      <c r="BL56" s="271">
        <f>+BL52+BL55</f>
        <v>-0.35805153743859713</v>
      </c>
      <c r="BM56" s="271">
        <f>+BM52+BM55</f>
        <v>0.23168576104746308</v>
      </c>
      <c r="BN56" s="272"/>
      <c r="BO56" s="271">
        <f>+BO52+BO55</f>
        <v>0.57319328610810594</v>
      </c>
      <c r="BP56" s="271">
        <f>+BP52+BP55</f>
        <v>0.6053552985506585</v>
      </c>
      <c r="BQ56" s="271">
        <f>+BQ52+BQ55</f>
        <v>0.64219352608297697</v>
      </c>
      <c r="BR56" s="271">
        <f>+BR52+BR55</f>
        <v>0.52935542709459049</v>
      </c>
      <c r="BS56" s="272"/>
      <c r="BT56" s="271">
        <f>+BT52+BT55</f>
        <v>0.36986227383202813</v>
      </c>
      <c r="BU56" s="271">
        <f>+BU52+BU55</f>
        <v>5.0955414012738995E-2</v>
      </c>
      <c r="BV56" s="271">
        <f>+BV52+BV55</f>
        <v>-0.2814568576761215</v>
      </c>
      <c r="BW56" s="271">
        <f>+BW52+BW55</f>
        <v>-4.6577815411664725E-2</v>
      </c>
      <c r="BX56" s="272"/>
      <c r="BY56" s="271">
        <f>+BY52+BY55</f>
        <v>-2.6886263739488332E-2</v>
      </c>
      <c r="BZ56" s="271">
        <f>+BZ52+BZ55</f>
        <v>-0.54109929721284322</v>
      </c>
      <c r="CA56" s="271">
        <f>+CA52+CA55</f>
        <v>-0.74149892059046651</v>
      </c>
      <c r="CB56" s="271">
        <f>+CB52+CB55</f>
        <v>-0.68366240343771922</v>
      </c>
      <c r="CC56" s="272"/>
      <c r="CD56" s="271">
        <f>+CD52+CD55</f>
        <v>-0.42420553487994644</v>
      </c>
      <c r="CE56" s="271">
        <f>+CE52+CE55</f>
        <v>-0.40452760452760445</v>
      </c>
      <c r="CF56" s="271">
        <f>+CF52+CF55</f>
        <v>-8.9916334133715622E-2</v>
      </c>
      <c r="CG56" s="271">
        <f>+CG52+CG55</f>
        <v>0.11627621999567515</v>
      </c>
      <c r="CH56" s="272"/>
      <c r="CI56" s="271">
        <f>+CI52+CI55</f>
        <v>0.11895500558929333</v>
      </c>
      <c r="CJ56" s="271">
        <f>+CJ52+CJ55</f>
        <v>9.2518559418300797E-2</v>
      </c>
      <c r="CK56" s="271">
        <f>+CK52+CK55</f>
        <v>0.11581364829396333</v>
      </c>
      <c r="CL56" s="271">
        <f>+CL52+CL55</f>
        <v>3.1980912040215068E-2</v>
      </c>
      <c r="CM56" s="272"/>
      <c r="CN56" s="271">
        <f>+CN52+CN55</f>
        <v>2.196516204204256E-2</v>
      </c>
      <c r="CO56" s="271">
        <f>+CO52+CO55</f>
        <v>0.20536847579355186</v>
      </c>
      <c r="CP56" s="271">
        <f>+CP52+CP55</f>
        <v>0.19823476777234134</v>
      </c>
      <c r="CQ56" s="271">
        <f>+CQ52+CQ55</f>
        <v>0.4725936996349952</v>
      </c>
      <c r="CR56" s="272"/>
      <c r="CS56" s="271">
        <f t="shared" ref="CS56:EK56" si="99">+CS52+CS55</f>
        <v>0.41633970354877392</v>
      </c>
      <c r="CT56" s="271">
        <f t="shared" si="99"/>
        <v>0.21761739867566626</v>
      </c>
      <c r="CU56" s="271">
        <f t="shared" si="99"/>
        <v>0.30387179631702288</v>
      </c>
      <c r="CV56" s="271">
        <f t="shared" si="99"/>
        <v>7.5310734463275575E-3</v>
      </c>
      <c r="CW56" s="272">
        <f t="shared" si="99"/>
        <v>0.94535997198779065</v>
      </c>
      <c r="CX56" s="271">
        <f t="shared" si="99"/>
        <v>-0.82990611269299797</v>
      </c>
      <c r="CY56" s="271">
        <f t="shared" si="99"/>
        <v>-0.79710144927536219</v>
      </c>
      <c r="CZ56" s="271">
        <f t="shared" si="99"/>
        <v>-0.44945848375451269</v>
      </c>
      <c r="DA56" s="271">
        <f t="shared" si="99"/>
        <v>-0.13788918452130888</v>
      </c>
      <c r="DB56" s="272">
        <f t="shared" si="99"/>
        <v>-2.2143552302441818</v>
      </c>
      <c r="DC56" s="271">
        <f t="shared" si="99"/>
        <v>-0.47359735973597361</v>
      </c>
      <c r="DD56" s="271">
        <f t="shared" si="99"/>
        <v>-0.56836902800658973</v>
      </c>
      <c r="DE56" s="271">
        <f t="shared" si="99"/>
        <v>-0.17434210526315788</v>
      </c>
      <c r="DF56" s="271">
        <f t="shared" si="99"/>
        <v>-0.65188834154351405</v>
      </c>
      <c r="DG56" s="272">
        <f t="shared" si="99"/>
        <v>-1.8681968345492352</v>
      </c>
      <c r="DH56" s="271">
        <f t="shared" si="99"/>
        <v>-0.60862619808306706</v>
      </c>
      <c r="DI56" s="271">
        <f t="shared" si="99"/>
        <v>-0.59670164917541224</v>
      </c>
      <c r="DJ56" s="271">
        <f t="shared" si="99"/>
        <v>-0.23487031700288183</v>
      </c>
      <c r="DK56" s="271">
        <f t="shared" si="99"/>
        <v>-2.275600505689002E-2</v>
      </c>
      <c r="DL56" s="272">
        <f t="shared" si="99"/>
        <v>-1.3810543030510685</v>
      </c>
      <c r="DM56" s="271">
        <f t="shared" si="99"/>
        <v>-0.12334217506631298</v>
      </c>
      <c r="DN56" s="271">
        <f t="shared" si="99"/>
        <v>-2.3977433004231313E-2</v>
      </c>
      <c r="DO56" s="271">
        <f t="shared" si="99"/>
        <v>-7.8541374474053294E-2</v>
      </c>
      <c r="DP56" s="271">
        <f t="shared" si="99"/>
        <v>0.1927745078140857</v>
      </c>
      <c r="DQ56" s="272">
        <f t="shared" si="99"/>
        <v>-2.5386769676351117E-2</v>
      </c>
      <c r="DR56" s="271">
        <f t="shared" si="99"/>
        <v>0.10994764397905764</v>
      </c>
      <c r="DS56" s="271">
        <f t="shared" si="99"/>
        <v>0.12113055181695828</v>
      </c>
      <c r="DT56" s="297">
        <f t="shared" si="99"/>
        <v>0.17813765182186234</v>
      </c>
      <c r="DU56" s="297">
        <f t="shared" si="99"/>
        <v>0.21584699453551912</v>
      </c>
      <c r="DV56" s="272">
        <f t="shared" si="99"/>
        <v>0.6228500587196335</v>
      </c>
      <c r="DW56" s="271">
        <f t="shared" si="99"/>
        <v>0.15265694214326128</v>
      </c>
      <c r="DX56" s="271">
        <f t="shared" si="99"/>
        <v>9.5364238410596019E-2</v>
      </c>
      <c r="DY56" s="271">
        <f t="shared" si="99"/>
        <v>-0.16510067114093963</v>
      </c>
      <c r="DZ56" s="271">
        <f t="shared" si="99"/>
        <v>-0.1111111111111111</v>
      </c>
      <c r="EA56" s="272">
        <f t="shared" si="99"/>
        <v>-2.9531729438444038E-2</v>
      </c>
      <c r="EB56" s="271">
        <f t="shared" si="99"/>
        <v>-9.3457943925233655E-2</v>
      </c>
      <c r="EC56" s="271">
        <f t="shared" si="99"/>
        <v>-5.9840425531914904E-2</v>
      </c>
      <c r="ED56" s="271">
        <f t="shared" si="99"/>
        <v>7.0680628272251314E-2</v>
      </c>
      <c r="EE56" s="271">
        <f t="shared" si="99"/>
        <v>9.007832898172323E-2</v>
      </c>
      <c r="EF56" s="272">
        <f t="shared" si="99"/>
        <v>1.2241390192902296E-2</v>
      </c>
      <c r="EG56" s="271">
        <f t="shared" si="99"/>
        <v>4.5992115637319322E-2</v>
      </c>
      <c r="EH56" s="271">
        <f t="shared" si="99"/>
        <v>4.9738219895287962E-2</v>
      </c>
      <c r="EI56" s="271">
        <f t="shared" si="99"/>
        <v>5.2229299363057327E-2</v>
      </c>
      <c r="EJ56" s="271">
        <f t="shared" si="99"/>
        <v>2.3047375160051217E-2</v>
      </c>
      <c r="EK56" s="272">
        <f t="shared" si="99"/>
        <v>0.16730765589406393</v>
      </c>
      <c r="EL56" s="271">
        <f>EL52+EL55</f>
        <v>-9.3951093951093953E-2</v>
      </c>
      <c r="EM56" s="271">
        <f>EM52+EM55</f>
        <v>-0.16838046272493573</v>
      </c>
      <c r="EN56" s="271">
        <f>EN52+EN55</f>
        <v>-0.17324840764331212</v>
      </c>
      <c r="EO56" s="271">
        <f>EO52+EO55</f>
        <v>-9.9873577749683945E-2</v>
      </c>
      <c r="EP56" s="272">
        <f>+EP52+EP55</f>
        <v>-0.53442047846643148</v>
      </c>
      <c r="EQ56" s="271">
        <f>EQ52+EQ55</f>
        <v>-0.12105926860025219</v>
      </c>
      <c r="ER56" s="271">
        <f>ER52+ER55</f>
        <v>-4.8721071863580989E-2</v>
      </c>
      <c r="ES56" s="271">
        <f>ES52+ES55</f>
        <v>3.3128834355828196E-2</v>
      </c>
      <c r="ET56" s="271">
        <f>ET52+ET55</f>
        <v>-8.5929108485499478E-3</v>
      </c>
      <c r="EU56" s="272">
        <f>+EU52+EU55</f>
        <v>-0.13056290550273586</v>
      </c>
      <c r="EV56" s="271">
        <f>+EV52+EV55</f>
        <v>-4.0468583599574018E-2</v>
      </c>
      <c r="EW56" s="271">
        <f>+EW52+EW55</f>
        <v>2.1593021593021594E-2</v>
      </c>
      <c r="EX56" s="271">
        <f t="shared" ref="EX56:HI56" si="100">(EX54+EX46+EX42)/EX60</f>
        <v>9.6237970253718289E-2</v>
      </c>
      <c r="EY56" s="271">
        <f t="shared" si="100"/>
        <v>7.7396657871591903E-2</v>
      </c>
      <c r="EZ56" s="272">
        <f t="shared" si="100"/>
        <v>0.15701754385964911</v>
      </c>
      <c r="FA56" s="271">
        <f>(FA54+FA46+FA42)/FA60</f>
        <v>0.10614035087719298</v>
      </c>
      <c r="FB56" s="271">
        <f>(FB54+FB46+FB42)/FB60</f>
        <v>0.13600697471665213</v>
      </c>
      <c r="FC56" s="271">
        <f>(FC54+FC46+FC42)/FC60</f>
        <v>0.12744265080713679</v>
      </c>
      <c r="FD56" s="271">
        <f>(FD54+FD46+FD42)/FD60</f>
        <v>7.3728813559322037E-2</v>
      </c>
      <c r="FE56" s="272">
        <f t="shared" si="100"/>
        <v>0.44272179155900088</v>
      </c>
      <c r="FF56" s="271">
        <f>(FF54+FF46+FF42)/FF60</f>
        <v>5.1882845188284517E-2</v>
      </c>
      <c r="FG56" s="271">
        <f t="shared" si="100"/>
        <v>7.6033057851239663E-2</v>
      </c>
      <c r="FH56" s="271">
        <f t="shared" si="100"/>
        <v>0.18069306930693069</v>
      </c>
      <c r="FI56" s="271">
        <f>(FI54+FI46+FI42)/FI60</f>
        <v>0.31496710526315791</v>
      </c>
      <c r="FJ56" s="272">
        <f t="shared" si="100"/>
        <v>0.62569832402234637</v>
      </c>
      <c r="FK56" s="271">
        <f t="shared" si="100"/>
        <v>0.18137254901960784</v>
      </c>
      <c r="FL56" s="271">
        <f t="shared" si="100"/>
        <v>0.17603911980440098</v>
      </c>
      <c r="FM56" s="271">
        <f t="shared" si="100"/>
        <v>0.40731707317073168</v>
      </c>
      <c r="FN56" s="271">
        <f t="shared" si="100"/>
        <v>0.51623376623376627</v>
      </c>
      <c r="FO56" s="272">
        <f t="shared" si="100"/>
        <v>1.2823122328516181</v>
      </c>
      <c r="FP56" s="271">
        <f t="shared" si="100"/>
        <v>0.52068126520681268</v>
      </c>
      <c r="FQ56" s="271">
        <f t="shared" si="100"/>
        <v>0.63149350649350644</v>
      </c>
      <c r="FR56" s="271">
        <f t="shared" si="100"/>
        <v>0.72601626016260168</v>
      </c>
      <c r="FS56" s="271">
        <f t="shared" si="100"/>
        <v>0.91816693944353522</v>
      </c>
      <c r="FT56" s="272">
        <f t="shared" si="100"/>
        <v>2.7943868212324587</v>
      </c>
      <c r="FU56" s="271">
        <f>(FU54+FU46+FU42)/FU60</f>
        <v>1.1269503546099291</v>
      </c>
      <c r="FV56" s="271">
        <f>(FV54+FV46+FV42)/FV60</f>
        <v>1.0459558823529411</v>
      </c>
      <c r="FW56" s="271">
        <f>(FW54+FW46+FW42)/FW60</f>
        <v>0.67384615384615387</v>
      </c>
      <c r="FX56" s="271">
        <f>(FX54+FX46+FX42)/FX60</f>
        <v>0.68788627935723112</v>
      </c>
      <c r="FY56" s="272">
        <f t="shared" si="100"/>
        <v>3.5029435163086715</v>
      </c>
      <c r="FZ56" s="271">
        <f t="shared" si="100"/>
        <v>0.60211049037864683</v>
      </c>
      <c r="GA56" s="271">
        <f t="shared" si="100"/>
        <v>0.58266748617086661</v>
      </c>
      <c r="GB56" s="271">
        <f t="shared" si="100"/>
        <v>0.69674647022713321</v>
      </c>
      <c r="GC56" s="271">
        <f t="shared" si="100"/>
        <v>0.76719901719901717</v>
      </c>
      <c r="GD56" s="272">
        <f t="shared" si="100"/>
        <v>2.6494226327944572</v>
      </c>
      <c r="GE56" s="271">
        <f t="shared" si="100"/>
        <v>0.61805979255643684</v>
      </c>
      <c r="GF56" s="271">
        <f t="shared" si="100"/>
        <v>0.68784361637141112</v>
      </c>
      <c r="GG56" s="271">
        <f t="shared" si="100"/>
        <v>0.9193154034229829</v>
      </c>
      <c r="GH56" s="271">
        <f t="shared" si="100"/>
        <v>1.087515299877601</v>
      </c>
      <c r="GI56" s="272">
        <f t="shared" si="100"/>
        <v>3.3119462267033302</v>
      </c>
      <c r="GJ56" s="271">
        <f t="shared" si="100"/>
        <v>0.96309963099630991</v>
      </c>
      <c r="GK56" s="271">
        <f t="shared" si="100"/>
        <v>0.47914110429447854</v>
      </c>
      <c r="GL56" s="271">
        <f t="shared" si="100"/>
        <v>1.1974405850091407</v>
      </c>
      <c r="GM56" s="271">
        <f t="shared" si="100"/>
        <v>1.5275924802910854</v>
      </c>
      <c r="GN56" s="272">
        <f t="shared" si="100"/>
        <v>4.1741521539871673</v>
      </c>
      <c r="GO56" s="271">
        <f t="shared" si="100"/>
        <v>1.3727272727272728</v>
      </c>
      <c r="GP56" s="271">
        <f t="shared" si="100"/>
        <v>1.5942795586907077</v>
      </c>
      <c r="GQ56" s="271">
        <f t="shared" si="100"/>
        <v>1.7007124408320708</v>
      </c>
      <c r="GR56" s="271">
        <f t="shared" si="100"/>
        <v>2.6255783598599312</v>
      </c>
      <c r="GS56" s="272">
        <f t="shared" si="100"/>
        <v>7.2996367431317557</v>
      </c>
      <c r="GT56" s="271">
        <f t="shared" si="100"/>
        <v>2.8172758020437123</v>
      </c>
      <c r="GU56" s="271">
        <f t="shared" si="100"/>
        <v>3.1181736636061919</v>
      </c>
      <c r="GV56" s="271">
        <f t="shared" si="100"/>
        <v>3.6091453008009347</v>
      </c>
      <c r="GW56" s="271">
        <f t="shared" si="100"/>
        <v>3.9396612049106117</v>
      </c>
      <c r="GX56" s="272">
        <f t="shared" si="100"/>
        <v>13.496364043450992</v>
      </c>
      <c r="GY56" s="271">
        <f t="shared" si="100"/>
        <v>3.9265584813778802</v>
      </c>
      <c r="GZ56" s="271">
        <f t="shared" si="100"/>
        <v>4.2040958558275046</v>
      </c>
      <c r="HA56" s="271">
        <f t="shared" si="100"/>
        <v>4.7073976637350139</v>
      </c>
      <c r="HB56" s="271">
        <f t="shared" si="100"/>
        <v>5.1473059935718721</v>
      </c>
      <c r="HC56" s="272">
        <f t="shared" si="100"/>
        <v>17.998572645349036</v>
      </c>
      <c r="HD56" s="271">
        <f t="shared" si="100"/>
        <v>4.9227982394340311</v>
      </c>
      <c r="HE56" s="271">
        <f t="shared" si="100"/>
        <v>5.1189713655394113</v>
      </c>
      <c r="HF56" s="271">
        <f t="shared" si="100"/>
        <v>5.6265383155051216</v>
      </c>
      <c r="HG56" s="271">
        <f t="shared" si="100"/>
        <v>5.8184584273754973</v>
      </c>
      <c r="HH56" s="272">
        <f t="shared" si="100"/>
        <v>21.498805694544917</v>
      </c>
      <c r="HI56" s="271">
        <f t="shared" si="100"/>
        <v>5.396163735288642</v>
      </c>
      <c r="HJ56" s="271">
        <f t="shared" ref="HJ56:HM56" si="101">(HJ54+HJ46+HJ42)/HJ60</f>
        <v>5.6369324363912536</v>
      </c>
      <c r="HK56" s="271">
        <f t="shared" si="101"/>
        <v>6.3871541399343883</v>
      </c>
      <c r="HL56" s="271">
        <f t="shared" si="101"/>
        <v>6.7388842408336265</v>
      </c>
      <c r="HM56" s="272">
        <f t="shared" si="101"/>
        <v>24.178813357009943</v>
      </c>
      <c r="HN56" s="279"/>
      <c r="HO56" s="267"/>
      <c r="HP56" s="293"/>
      <c r="HS56" s="293"/>
      <c r="HT56" s="293"/>
      <c r="HU56" s="293"/>
      <c r="HV56" s="293"/>
      <c r="HW56" s="293"/>
      <c r="HX56" s="293"/>
    </row>
    <row r="57" spans="1:234" s="291" customFormat="1" ht="15" customHeight="1" thickBot="1">
      <c r="A57" s="564"/>
      <c r="P57" s="567"/>
      <c r="U57" s="331"/>
      <c r="Z57" s="331"/>
      <c r="AE57" s="331"/>
      <c r="AF57" s="301"/>
      <c r="AG57" s="301"/>
      <c r="AH57" s="301"/>
      <c r="AI57" s="301"/>
      <c r="AJ57" s="331"/>
      <c r="AK57" s="301"/>
      <c r="AL57" s="301"/>
      <c r="AM57" s="301"/>
      <c r="AN57" s="301"/>
      <c r="AO57" s="331"/>
      <c r="AP57" s="301"/>
      <c r="AQ57" s="301"/>
      <c r="AR57" s="301"/>
      <c r="AS57" s="301"/>
      <c r="AT57" s="331"/>
      <c r="AU57" s="301"/>
      <c r="AV57" s="301"/>
      <c r="AW57" s="301"/>
      <c r="AX57" s="301"/>
      <c r="AY57" s="331"/>
      <c r="AZ57" s="301"/>
      <c r="BA57" s="301"/>
      <c r="BB57" s="301"/>
      <c r="BC57" s="301"/>
      <c r="BD57" s="331"/>
      <c r="BE57" s="301"/>
      <c r="BF57" s="301"/>
      <c r="BG57" s="301"/>
      <c r="BH57" s="301"/>
      <c r="BI57" s="331"/>
      <c r="BJ57" s="301"/>
      <c r="BK57" s="301"/>
      <c r="BL57" s="301"/>
      <c r="BM57" s="301"/>
      <c r="BN57" s="331"/>
      <c r="BO57" s="301"/>
      <c r="BP57" s="301"/>
      <c r="BQ57" s="301"/>
      <c r="BR57" s="301"/>
      <c r="BS57" s="331"/>
      <c r="BT57" s="301"/>
      <c r="BU57" s="301"/>
      <c r="BV57" s="301"/>
      <c r="BW57" s="301"/>
      <c r="BX57" s="331"/>
      <c r="BY57" s="301"/>
      <c r="BZ57" s="301"/>
      <c r="CA57" s="301"/>
      <c r="CB57" s="301"/>
      <c r="CC57" s="331"/>
      <c r="CD57" s="301"/>
      <c r="CE57" s="301"/>
      <c r="CF57" s="301"/>
      <c r="CG57" s="301"/>
      <c r="CH57" s="331"/>
      <c r="CI57" s="301"/>
      <c r="CJ57" s="301"/>
      <c r="CK57" s="301"/>
      <c r="CL57" s="301"/>
      <c r="CM57" s="331"/>
      <c r="CN57" s="301"/>
      <c r="CO57" s="301"/>
      <c r="CP57" s="301"/>
      <c r="CQ57" s="301"/>
      <c r="CR57" s="541"/>
      <c r="CS57" s="301">
        <f>$CW$58*CS56</f>
        <v>210.59232433948549</v>
      </c>
      <c r="CT57" s="301">
        <f>$CW$58*CT56</f>
        <v>110.07490617202748</v>
      </c>
      <c r="CU57" s="301">
        <f>$CW$58*CU56</f>
        <v>153.70397620538202</v>
      </c>
      <c r="CV57" s="301">
        <f>$CW$58*CV56</f>
        <v>3.8093562740112352</v>
      </c>
      <c r="CW57" s="541">
        <f>SUM(CS57:CV57)</f>
        <v>478.18056299090625</v>
      </c>
      <c r="CX57" s="301"/>
      <c r="CY57" s="301"/>
      <c r="CZ57" s="301"/>
      <c r="DA57" s="301"/>
      <c r="DB57" s="541"/>
      <c r="DC57" s="301"/>
      <c r="DD57" s="301"/>
      <c r="DE57" s="301"/>
      <c r="DF57" s="301"/>
      <c r="DG57" s="301"/>
      <c r="DH57" s="301"/>
      <c r="DI57" s="301"/>
      <c r="DJ57" s="301"/>
      <c r="DK57" s="301"/>
      <c r="DL57" s="324"/>
      <c r="DM57" s="301"/>
      <c r="DN57" s="301"/>
      <c r="DO57" s="301"/>
      <c r="DP57" s="301"/>
      <c r="DQ57" s="324"/>
      <c r="DR57" s="301"/>
      <c r="DS57" s="301"/>
      <c r="DT57" s="301"/>
      <c r="DU57" s="301"/>
      <c r="DV57" s="324"/>
      <c r="DW57" s="301"/>
      <c r="DX57" s="301"/>
      <c r="DY57" s="301"/>
      <c r="DZ57" s="301"/>
      <c r="EA57" s="324"/>
      <c r="EB57" s="301"/>
      <c r="EC57" s="301"/>
      <c r="ED57" s="301"/>
      <c r="EE57" s="301"/>
      <c r="EF57" s="324"/>
      <c r="EG57" s="301"/>
      <c r="EH57" s="301"/>
      <c r="EI57" s="301"/>
      <c r="EJ57" s="301"/>
      <c r="EK57" s="324"/>
      <c r="EL57" s="301"/>
      <c r="EM57" s="301"/>
      <c r="EN57" s="301"/>
      <c r="EO57" s="301"/>
      <c r="EP57" s="324"/>
      <c r="EQ57" s="301"/>
      <c r="ER57" s="301"/>
      <c r="ES57" s="301"/>
      <c r="ET57" s="301"/>
      <c r="EU57" s="324"/>
      <c r="EV57" s="301"/>
      <c r="EW57" s="301"/>
      <c r="EX57" s="301"/>
      <c r="EY57" s="301"/>
      <c r="EZ57" s="324"/>
      <c r="FA57" s="301"/>
      <c r="FB57" s="301"/>
      <c r="FC57" s="301"/>
      <c r="FD57" s="301"/>
      <c r="FE57" s="324"/>
      <c r="FF57" s="301"/>
      <c r="FG57" s="301"/>
      <c r="FH57" s="301"/>
      <c r="FI57" s="301"/>
      <c r="FJ57" s="324"/>
      <c r="FK57" s="301"/>
      <c r="FL57" s="301"/>
      <c r="FM57" s="301"/>
      <c r="FN57" s="301"/>
      <c r="FO57" s="301"/>
      <c r="FP57" s="301"/>
      <c r="FQ57" s="301"/>
      <c r="FR57" s="301"/>
      <c r="FS57" s="568"/>
      <c r="FT57" s="301"/>
      <c r="FU57" s="301"/>
      <c r="FV57" s="301"/>
      <c r="FW57" s="301"/>
      <c r="FX57" s="301"/>
      <c r="FY57" s="301"/>
      <c r="FZ57" s="301"/>
      <c r="GA57" s="301"/>
      <c r="GB57" s="301"/>
      <c r="GC57" s="301"/>
      <c r="GD57" s="301"/>
      <c r="GE57" s="301"/>
      <c r="GF57" s="301"/>
      <c r="GG57" s="301"/>
      <c r="GH57" s="301"/>
      <c r="GI57" s="301"/>
      <c r="GJ57" s="301"/>
      <c r="GK57" s="301"/>
      <c r="GL57" s="301"/>
      <c r="GM57" s="301"/>
      <c r="GN57" s="301"/>
      <c r="GO57" s="301"/>
      <c r="GP57" s="301"/>
      <c r="GQ57" s="301"/>
      <c r="GR57" s="301"/>
      <c r="GS57" s="301"/>
      <c r="GT57" s="301"/>
      <c r="GU57" s="301"/>
      <c r="GV57" s="301"/>
      <c r="GW57" s="301"/>
      <c r="GX57" s="301"/>
      <c r="GY57" s="301"/>
      <c r="GZ57" s="301"/>
      <c r="HA57" s="301"/>
      <c r="HB57" s="301"/>
      <c r="HC57" s="301"/>
      <c r="HD57" s="301"/>
      <c r="HE57" s="301"/>
      <c r="HF57" s="301"/>
      <c r="HG57" s="301"/>
      <c r="HH57" s="301"/>
      <c r="HI57" s="301"/>
      <c r="HJ57" s="301"/>
      <c r="HK57" s="301"/>
      <c r="HL57" s="301"/>
      <c r="HM57" s="301"/>
      <c r="HN57" s="301"/>
      <c r="HO57" s="303"/>
      <c r="HP57" s="295"/>
      <c r="HQ57" s="453"/>
      <c r="HR57" s="453"/>
      <c r="HS57" s="290"/>
      <c r="HT57" s="290"/>
      <c r="HU57" s="290"/>
      <c r="HV57" s="290"/>
      <c r="HW57" s="290"/>
      <c r="HX57" s="290"/>
    </row>
    <row r="58" spans="1:234" s="570" customFormat="1" ht="15" customHeight="1" thickBot="1">
      <c r="A58" s="569" t="s">
        <v>392</v>
      </c>
      <c r="L58" s="571"/>
      <c r="M58" s="571"/>
      <c r="N58" s="571"/>
      <c r="O58" s="571"/>
      <c r="P58" s="572"/>
      <c r="Q58" s="571"/>
      <c r="R58" s="571"/>
      <c r="S58" s="571"/>
      <c r="T58" s="571"/>
      <c r="U58" s="572"/>
      <c r="V58" s="573"/>
      <c r="W58" s="573"/>
      <c r="X58" s="573"/>
      <c r="Y58" s="305"/>
      <c r="Z58" s="306"/>
      <c r="AA58" s="574"/>
      <c r="AB58" s="304"/>
      <c r="AC58" s="304"/>
      <c r="AD58" s="304"/>
      <c r="AE58" s="306"/>
      <c r="AF58" s="305">
        <f>2*100.82</f>
        <v>201.64</v>
      </c>
      <c r="AG58" s="305">
        <f>2*101.937</f>
        <v>203.874</v>
      </c>
      <c r="AH58" s="305">
        <f>2*102.743</f>
        <v>205.48599999999999</v>
      </c>
      <c r="AI58" s="305">
        <f>2*102.063</f>
        <v>204.126</v>
      </c>
      <c r="AJ58" s="306">
        <f>AVERAGE(AF58:AI58)</f>
        <v>203.78149999999999</v>
      </c>
      <c r="AK58" s="305">
        <f>2*103.67</f>
        <v>207.34</v>
      </c>
      <c r="AL58" s="305">
        <f>2*104.249</f>
        <v>208.49799999999999</v>
      </c>
      <c r="AM58" s="305">
        <f>2*104.872</f>
        <v>209.744</v>
      </c>
      <c r="AN58" s="305">
        <f>2*95.942821</f>
        <v>191.88564199999999</v>
      </c>
      <c r="AO58" s="306">
        <f>AVERAGE(AK58:AN58)</f>
        <v>204.36691049999999</v>
      </c>
      <c r="AP58" s="305">
        <f>106.717*2</f>
        <v>213.434</v>
      </c>
      <c r="AQ58" s="305">
        <f>107.319*2</f>
        <v>214.63800000000001</v>
      </c>
      <c r="AR58" s="305">
        <f>107.319*2</f>
        <v>214.63800000000001</v>
      </c>
      <c r="AS58" s="305">
        <f>106.799*2</f>
        <v>213.59800000000001</v>
      </c>
      <c r="AT58" s="306">
        <f>AVERAGE(AP58:AS58)</f>
        <v>214.077</v>
      </c>
      <c r="AU58" s="305">
        <f>138.399*2</f>
        <v>276.798</v>
      </c>
      <c r="AV58" s="305">
        <f>135.266*2</f>
        <v>270.53199999999998</v>
      </c>
      <c r="AW58" s="305">
        <f>136.082*2</f>
        <v>272.16399999999999</v>
      </c>
      <c r="AX58" s="305">
        <f>137.639*2</f>
        <v>275.27800000000002</v>
      </c>
      <c r="AY58" s="306">
        <f>AVERAGE(AU58:AX58)</f>
        <v>273.69299999999998</v>
      </c>
      <c r="AZ58" s="305">
        <f>147.322*2</f>
        <v>294.64400000000001</v>
      </c>
      <c r="BA58" s="305">
        <f>147.919*2</f>
        <v>295.83800000000002</v>
      </c>
      <c r="BB58" s="305">
        <f>141.73*2</f>
        <v>283.45999999999998</v>
      </c>
      <c r="BC58" s="305">
        <f>141.889*2</f>
        <v>283.77800000000002</v>
      </c>
      <c r="BD58" s="306">
        <f>AVERAGE(AZ58:BC58)</f>
        <v>289.43</v>
      </c>
      <c r="BE58" s="305">
        <f>142.503*2</f>
        <v>285.00599999999997</v>
      </c>
      <c r="BF58" s="305">
        <f>143.462*2</f>
        <v>286.92399999999998</v>
      </c>
      <c r="BG58" s="305">
        <f>146.642*2</f>
        <v>293.28399999999999</v>
      </c>
      <c r="BH58" s="305">
        <f>149.949*2</f>
        <v>299.89800000000002</v>
      </c>
      <c r="BI58" s="306">
        <f>AVERAGE(BE58:BH58)</f>
        <v>291.27800000000002</v>
      </c>
      <c r="BJ58" s="305">
        <f>145.909*2</f>
        <v>291.81799999999998</v>
      </c>
      <c r="BK58" s="305">
        <f>149.54*2</f>
        <v>299.08</v>
      </c>
      <c r="BL58" s="305">
        <f>147.388*2</f>
        <v>294.77600000000001</v>
      </c>
      <c r="BM58" s="305">
        <f>152.75*2</f>
        <v>305.5</v>
      </c>
      <c r="BN58" s="306">
        <f>AVERAGE(BJ58:BM58)</f>
        <v>297.79349999999999</v>
      </c>
      <c r="BO58" s="305">
        <f>171.942*2</f>
        <v>343.88400000000001</v>
      </c>
      <c r="BP58" s="305">
        <f>176.218*2</f>
        <v>352.43599999999998</v>
      </c>
      <c r="BQ58" s="305">
        <v>352.89299999999997</v>
      </c>
      <c r="BR58" s="305">
        <v>349.78199999999998</v>
      </c>
      <c r="BS58" s="306">
        <f>AVERAGE(BO58:BR58)</f>
        <v>349.74874999999997</v>
      </c>
      <c r="BT58" s="305">
        <v>351.78500000000003</v>
      </c>
      <c r="BU58" s="305">
        <v>340.53300000000002</v>
      </c>
      <c r="BV58" s="305">
        <v>345.04399999999998</v>
      </c>
      <c r="BW58" s="305">
        <v>340.11900000000003</v>
      </c>
      <c r="BX58" s="306">
        <f>AVERAGE(BT58:BW58)</f>
        <v>344.37025000000006</v>
      </c>
      <c r="BY58" s="305">
        <v>340.80599999999998</v>
      </c>
      <c r="BZ58" s="305">
        <v>341.78199999999998</v>
      </c>
      <c r="CA58" s="305">
        <v>342.78</v>
      </c>
      <c r="CB58" s="305">
        <v>343.94900000000001</v>
      </c>
      <c r="CC58" s="306">
        <f>AVERAGE(BY58:CB58)</f>
        <v>342.32925</v>
      </c>
      <c r="CD58" s="305">
        <v>345.012</v>
      </c>
      <c r="CE58" s="305">
        <v>346.32</v>
      </c>
      <c r="CF58" s="305">
        <v>347.334</v>
      </c>
      <c r="CG58" s="305">
        <v>416.19</v>
      </c>
      <c r="CH58" s="306">
        <f>AVERAGE(CD58:CG58)</f>
        <v>363.714</v>
      </c>
      <c r="CI58" s="305">
        <v>417.76299999999998</v>
      </c>
      <c r="CJ58" s="305">
        <v>420.053</v>
      </c>
      <c r="CK58" s="305">
        <v>417.57600000000002</v>
      </c>
      <c r="CL58" s="306">
        <v>375.30799999999999</v>
      </c>
      <c r="CM58" s="306">
        <f>AVERAGE(CI58:CL58)</f>
        <v>407.67500000000001</v>
      </c>
      <c r="CN58" s="305">
        <v>393.077</v>
      </c>
      <c r="CO58" s="305">
        <v>405.73899999999998</v>
      </c>
      <c r="CP58" s="305">
        <v>443.68099999999998</v>
      </c>
      <c r="CQ58" s="305">
        <v>452.32299999999998</v>
      </c>
      <c r="CR58" s="306">
        <f>AVERAGE(CN58:CQ58)</f>
        <v>423.70500000000004</v>
      </c>
      <c r="CS58" s="305">
        <v>495.32600000000002</v>
      </c>
      <c r="CT58" s="305">
        <v>500.17599999999999</v>
      </c>
      <c r="CU58" s="305">
        <v>496.77199999999999</v>
      </c>
      <c r="CV58" s="305">
        <v>531</v>
      </c>
      <c r="CW58" s="306">
        <f>AVERAGE(CS58:CV58)</f>
        <v>505.81849999999997</v>
      </c>
      <c r="CX58" s="305">
        <v>549</v>
      </c>
      <c r="CY58" s="305">
        <v>552</v>
      </c>
      <c r="CZ58" s="305">
        <v>554</v>
      </c>
      <c r="DA58" s="305">
        <v>579</v>
      </c>
      <c r="DB58" s="306">
        <f>AVERAGE(CX58:DA58)</f>
        <v>558.5</v>
      </c>
      <c r="DC58" s="305">
        <v>606</v>
      </c>
      <c r="DD58" s="305">
        <v>607</v>
      </c>
      <c r="DE58" s="305">
        <f>DD58+1</f>
        <v>608</v>
      </c>
      <c r="DF58" s="305">
        <v>609</v>
      </c>
      <c r="DG58" s="306">
        <f>AVERAGE(DC58:DF58)</f>
        <v>607.5</v>
      </c>
      <c r="DH58" s="305">
        <v>626</v>
      </c>
      <c r="DI58" s="305">
        <v>667</v>
      </c>
      <c r="DJ58" s="305">
        <v>694</v>
      </c>
      <c r="DK58" s="305">
        <v>791</v>
      </c>
      <c r="DL58" s="306">
        <f>AVERAGE(DH58:DK58)</f>
        <v>694.5</v>
      </c>
      <c r="DM58" s="305">
        <v>754</v>
      </c>
      <c r="DN58" s="305">
        <v>709</v>
      </c>
      <c r="DO58" s="305">
        <v>713</v>
      </c>
      <c r="DP58" s="305">
        <v>758</v>
      </c>
      <c r="DQ58" s="306">
        <f>AVERAGE(DM58:DP58)</f>
        <v>733.5</v>
      </c>
      <c r="DR58" s="305">
        <v>764</v>
      </c>
      <c r="DS58" s="305">
        <v>743</v>
      </c>
      <c r="DT58" s="305">
        <v>741</v>
      </c>
      <c r="DU58" s="305">
        <v>732</v>
      </c>
      <c r="DV58" s="306">
        <f>AVERAGE(DR58:DU58)</f>
        <v>745</v>
      </c>
      <c r="DW58" s="305">
        <v>734</v>
      </c>
      <c r="DX58" s="305">
        <v>755</v>
      </c>
      <c r="DY58" s="305">
        <v>745</v>
      </c>
      <c r="DZ58" s="305">
        <v>747</v>
      </c>
      <c r="EA58" s="306">
        <f>AVERAGE(DW58:DZ58)</f>
        <v>745.25</v>
      </c>
      <c r="EB58" s="305">
        <v>749</v>
      </c>
      <c r="EC58" s="305">
        <v>752</v>
      </c>
      <c r="ED58" s="305">
        <v>764</v>
      </c>
      <c r="EE58" s="305">
        <v>766</v>
      </c>
      <c r="EF58" s="306">
        <f>AVERAGE(EB58:EE58)</f>
        <v>757.75</v>
      </c>
      <c r="EG58" s="305">
        <v>761</v>
      </c>
      <c r="EH58" s="305">
        <v>764</v>
      </c>
      <c r="EI58" s="304">
        <v>785</v>
      </c>
      <c r="EJ58" s="305">
        <v>781</v>
      </c>
      <c r="EK58" s="306">
        <f>AVERAGE(EG58:EJ58)</f>
        <v>772.75</v>
      </c>
      <c r="EL58" s="305">
        <v>777</v>
      </c>
      <c r="EM58" s="305">
        <v>778</v>
      </c>
      <c r="EN58" s="305">
        <v>785</v>
      </c>
      <c r="EO58" s="305">
        <v>791</v>
      </c>
      <c r="EP58" s="306">
        <f>AVERAGE(EL58:EO58)</f>
        <v>782.75</v>
      </c>
      <c r="EQ58" s="305">
        <v>793</v>
      </c>
      <c r="ER58" s="305">
        <v>821</v>
      </c>
      <c r="ES58" s="305">
        <v>815</v>
      </c>
      <c r="ET58" s="305">
        <v>931</v>
      </c>
      <c r="EU58" s="306">
        <f>AVERAGE(EQ58:ET58)</f>
        <v>840</v>
      </c>
      <c r="EV58" s="305">
        <v>939</v>
      </c>
      <c r="EW58" s="305">
        <v>945</v>
      </c>
      <c r="EX58" s="305">
        <v>957</v>
      </c>
      <c r="EY58" s="305">
        <v>965</v>
      </c>
      <c r="EZ58" s="306">
        <f>AVERAGE(EV58:EY58)</f>
        <v>951.5</v>
      </c>
      <c r="FA58" s="305">
        <v>968</v>
      </c>
      <c r="FB58" s="305">
        <v>972</v>
      </c>
      <c r="FC58" s="305">
        <v>987</v>
      </c>
      <c r="FD58" s="305">
        <v>1002</v>
      </c>
      <c r="FE58" s="306">
        <f>AVERAGE(FA58:FD58)</f>
        <v>982.25</v>
      </c>
      <c r="FF58" s="305">
        <v>1044</v>
      </c>
      <c r="FG58" s="305">
        <v>1084</v>
      </c>
      <c r="FH58" s="305">
        <v>1097</v>
      </c>
      <c r="FI58" s="305">
        <v>1140</v>
      </c>
      <c r="FJ58" s="306">
        <f>AVERAGE(FF58:FI58)</f>
        <v>1091.25</v>
      </c>
      <c r="FK58" s="305">
        <v>1170</v>
      </c>
      <c r="FL58" s="305">
        <v>1174</v>
      </c>
      <c r="FM58" s="305">
        <v>1184</v>
      </c>
      <c r="FN58" s="305">
        <v>1205</v>
      </c>
      <c r="FO58" s="306">
        <f>AVERAGE(FK58:FN58)</f>
        <v>1183.25</v>
      </c>
      <c r="FP58" s="305">
        <v>1213</v>
      </c>
      <c r="FQ58" s="305">
        <v>1216</v>
      </c>
      <c r="FR58" s="305">
        <v>1214</v>
      </c>
      <c r="FS58" s="305">
        <v>1208</v>
      </c>
      <c r="FT58" s="306">
        <f>AVERAGE(FP58:FS58)</f>
        <v>1212.75</v>
      </c>
      <c r="FU58" s="305">
        <v>1393</v>
      </c>
      <c r="FV58" s="305">
        <v>1618</v>
      </c>
      <c r="FW58" s="305">
        <v>1615</v>
      </c>
      <c r="FX58" s="305">
        <v>1613</v>
      </c>
      <c r="FY58" s="306">
        <f>AVERAGE(FU58:FX58)</f>
        <v>1559.75</v>
      </c>
      <c r="FZ58" s="305">
        <v>1611</v>
      </c>
      <c r="GA58" s="305">
        <v>1612</v>
      </c>
      <c r="GB58" s="305">
        <v>1616</v>
      </c>
      <c r="GC58" s="305">
        <v>1616</v>
      </c>
      <c r="GD58" s="306">
        <f>AVERAGE(FZ58:GC58)</f>
        <v>1613.75</v>
      </c>
      <c r="GE58" s="305">
        <v>1617</v>
      </c>
      <c r="GF58" s="305">
        <v>1618</v>
      </c>
      <c r="GG58" s="305">
        <v>1620</v>
      </c>
      <c r="GH58" s="305">
        <v>1623</v>
      </c>
      <c r="GI58" s="306">
        <f>AVERAGE(GE58:GH58)</f>
        <v>1619.5</v>
      </c>
      <c r="GJ58" s="305">
        <v>1620</v>
      </c>
      <c r="GK58" s="305">
        <v>1623</v>
      </c>
      <c r="GL58" s="305">
        <v>1626</v>
      </c>
      <c r="GM58" s="305">
        <v>1630</v>
      </c>
      <c r="GN58" s="306">
        <f>AVERAGE(GJ58:GM58)</f>
        <v>1624.75</v>
      </c>
      <c r="GO58" s="305">
        <v>1631</v>
      </c>
      <c r="GP58" s="305">
        <v>1641</v>
      </c>
      <c r="GQ58" s="305">
        <f>+GP58+(GQ54/$HO$58)+(GQ120/$HO$58)</f>
        <v>1641.4333565714285</v>
      </c>
      <c r="GR58" s="305">
        <f>+GQ58+(GR54/$HO$58)+(GR120/$HO$58)</f>
        <v>1648.5623326552382</v>
      </c>
      <c r="GS58" s="306">
        <f>AVERAGE(GO58:GR58)</f>
        <v>1640.4989223066668</v>
      </c>
      <c r="GT58" s="305">
        <f>+GR58+(GT54/$HO$58)+(GT120/$HO$58)</f>
        <v>1657.5151182628572</v>
      </c>
      <c r="GU58" s="305">
        <f>+GT58+(GU54/$HO$58)+(GU120/$HO$58)</f>
        <v>1667.2593405350094</v>
      </c>
      <c r="GV58" s="305">
        <f>+GU58+(GV54/$HO$58)+(GV120/$HO$58)</f>
        <v>1679.7003520145097</v>
      </c>
      <c r="GW58" s="305">
        <f>+GV58+(GW54/$HO$58)+(GW120/$HO$58)</f>
        <v>1693.6958980093141</v>
      </c>
      <c r="GX58" s="306">
        <f>AVERAGE(GT58:GW58)</f>
        <v>1674.5426772054227</v>
      </c>
      <c r="GY58" s="305">
        <f>+GW58+(GY54/$HO$58)+(GY120/$HO$58)</f>
        <v>1706.5485868612614</v>
      </c>
      <c r="GZ58" s="305">
        <f>+GY58+(GZ54/$HO$58)+(GZ120/$HO$58)</f>
        <v>1720.1183294902476</v>
      </c>
      <c r="HA58" s="305">
        <f>+GZ58+(HA54/$HO$58)+(HA120/$HO$58)</f>
        <v>1733.720038400385</v>
      </c>
      <c r="HB58" s="305">
        <f>+HA58+(HB54/$HO$58)+(HB120/$HO$58)</f>
        <v>1749.0686386315824</v>
      </c>
      <c r="HC58" s="306">
        <f>AVERAGE(GY58:HB58)</f>
        <v>1727.3638983458691</v>
      </c>
      <c r="HD58" s="305">
        <f>+HB58+(HD54/$HO$58)+(HD120/$HO$58)</f>
        <v>1767.0042518497928</v>
      </c>
      <c r="HE58" s="305">
        <f>+HD58+(HE54/$HO$58)+(HE120/$HO$58)</f>
        <v>1784.9731227869127</v>
      </c>
      <c r="HF58" s="305">
        <f>+HE58+(HF54/$HO$58)+(HF120/$HO$58)</f>
        <v>1804.3611979826019</v>
      </c>
      <c r="HG58" s="305">
        <f>+HF58+(HG54/$HO$58)+(HG120/$HO$58)</f>
        <v>1824.4765152016853</v>
      </c>
      <c r="HH58" s="306">
        <f>AVERAGE(HD58:HG58)</f>
        <v>1795.2037719552482</v>
      </c>
      <c r="HI58" s="305">
        <f>+HG58+(HI54/$HO$58)+(HI120/$HO$58)</f>
        <v>1849.7173735463098</v>
      </c>
      <c r="HJ58" s="305">
        <f>+HI58+(HJ54/$HO$58)+(HJ120/$HO$58)</f>
        <v>1874.9935252483031</v>
      </c>
      <c r="HK58" s="305">
        <f>+HJ58+(HK54/$HO$58)+(HK120/$HO$58)</f>
        <v>1900.3056761748123</v>
      </c>
      <c r="HL58" s="305">
        <f>+HK58+(HL54/$HO$58)+(HL120/$HO$58)</f>
        <v>1927.9402605960424</v>
      </c>
      <c r="HM58" s="306">
        <f>AVERAGE(HI58:HL58)</f>
        <v>1888.2392088913668</v>
      </c>
      <c r="HN58" s="306"/>
      <c r="HO58" s="575">
        <v>350</v>
      </c>
      <c r="HP58" s="307"/>
      <c r="HQ58" s="453"/>
      <c r="HR58" s="453"/>
      <c r="HS58" s="576"/>
      <c r="HT58" s="576"/>
      <c r="HU58" s="576"/>
      <c r="HV58" s="576"/>
      <c r="HW58" s="576"/>
      <c r="HX58" s="576"/>
    </row>
    <row r="59" spans="1:234" s="570" customFormat="1" ht="15" customHeight="1">
      <c r="A59" s="569" t="s">
        <v>393</v>
      </c>
      <c r="L59" s="571"/>
      <c r="M59" s="571"/>
      <c r="N59" s="571"/>
      <c r="O59" s="571"/>
      <c r="P59" s="572"/>
      <c r="Q59" s="571"/>
      <c r="R59" s="571"/>
      <c r="S59" s="571"/>
      <c r="T59" s="571"/>
      <c r="U59" s="572"/>
      <c r="V59" s="573"/>
      <c r="W59" s="573"/>
      <c r="X59" s="573"/>
      <c r="Y59" s="305"/>
      <c r="Z59" s="306"/>
      <c r="AA59" s="574"/>
      <c r="AB59" s="304"/>
      <c r="AC59" s="304"/>
      <c r="AD59" s="304"/>
      <c r="AE59" s="306"/>
      <c r="AF59" s="305"/>
      <c r="AG59" s="305"/>
      <c r="AH59" s="305"/>
      <c r="AI59" s="305"/>
      <c r="AJ59" s="306"/>
      <c r="AK59" s="305"/>
      <c r="AL59" s="305"/>
      <c r="AM59" s="305"/>
      <c r="AN59" s="305"/>
      <c r="AO59" s="306"/>
      <c r="AP59" s="305"/>
      <c r="AQ59" s="305"/>
      <c r="AR59" s="305"/>
      <c r="AS59" s="305"/>
      <c r="AT59" s="306"/>
      <c r="AU59" s="305"/>
      <c r="AV59" s="305"/>
      <c r="AW59" s="305"/>
      <c r="AX59" s="305"/>
      <c r="AY59" s="306"/>
      <c r="AZ59" s="305"/>
      <c r="BA59" s="305"/>
      <c r="BB59" s="305"/>
      <c r="BC59" s="305"/>
      <c r="BD59" s="306"/>
      <c r="BE59" s="305"/>
      <c r="BF59" s="305"/>
      <c r="BG59" s="305"/>
      <c r="BH59" s="305"/>
      <c r="BI59" s="306"/>
      <c r="BJ59" s="305"/>
      <c r="BK59" s="305"/>
      <c r="BL59" s="305"/>
      <c r="BM59" s="305"/>
      <c r="BN59" s="306"/>
      <c r="BO59" s="305"/>
      <c r="BP59" s="305"/>
      <c r="BQ59" s="305"/>
      <c r="BR59" s="305"/>
      <c r="BS59" s="306"/>
      <c r="BT59" s="305"/>
      <c r="BU59" s="305"/>
      <c r="BV59" s="305"/>
      <c r="BW59" s="305"/>
      <c r="BX59" s="306"/>
      <c r="BY59" s="305"/>
      <c r="BZ59" s="305"/>
      <c r="CA59" s="305"/>
      <c r="CB59" s="305"/>
      <c r="CC59" s="306"/>
      <c r="CD59" s="305"/>
      <c r="CE59" s="305"/>
      <c r="CF59" s="305"/>
      <c r="CG59" s="305"/>
      <c r="CH59" s="306"/>
      <c r="CI59" s="305"/>
      <c r="CJ59" s="305"/>
      <c r="CK59" s="305"/>
      <c r="CL59" s="306"/>
      <c r="CM59" s="306"/>
      <c r="CN59" s="305"/>
      <c r="CO59" s="305"/>
      <c r="CP59" s="305"/>
      <c r="CQ59" s="305"/>
      <c r="CR59" s="306"/>
      <c r="CS59" s="305"/>
      <c r="CT59" s="305"/>
      <c r="CU59" s="305"/>
      <c r="CV59" s="305"/>
      <c r="CW59" s="306"/>
      <c r="CX59" s="305"/>
      <c r="CY59" s="305"/>
      <c r="CZ59" s="305"/>
      <c r="DA59" s="305"/>
      <c r="DB59" s="306"/>
      <c r="DC59" s="305"/>
      <c r="DD59" s="305"/>
      <c r="DE59" s="305"/>
      <c r="DF59" s="305"/>
      <c r="DG59" s="306"/>
      <c r="DH59" s="305"/>
      <c r="DI59" s="305"/>
      <c r="DJ59" s="305"/>
      <c r="DK59" s="305"/>
      <c r="DL59" s="306"/>
      <c r="DM59" s="305"/>
      <c r="DN59" s="305"/>
      <c r="DO59" s="305"/>
      <c r="DP59" s="305"/>
      <c r="DQ59" s="306"/>
      <c r="DR59" s="305"/>
      <c r="DS59" s="305"/>
      <c r="DT59" s="305"/>
      <c r="DU59" s="305"/>
      <c r="DV59" s="306"/>
      <c r="DW59" s="305"/>
      <c r="DX59" s="305"/>
      <c r="DY59" s="305"/>
      <c r="DZ59" s="305"/>
      <c r="EA59" s="306"/>
      <c r="EB59" s="305"/>
      <c r="EC59" s="305"/>
      <c r="ED59" s="305"/>
      <c r="EE59" s="305"/>
      <c r="EF59" s="306"/>
      <c r="EG59" s="305"/>
      <c r="EH59" s="305"/>
      <c r="EI59" s="304"/>
      <c r="EJ59" s="305"/>
      <c r="EK59" s="306"/>
      <c r="EL59" s="305"/>
      <c r="EM59" s="305"/>
      <c r="EN59" s="305"/>
      <c r="EO59" s="305"/>
      <c r="EP59" s="306"/>
      <c r="EQ59" s="305"/>
      <c r="ER59" s="305"/>
      <c r="ES59" s="305"/>
      <c r="ET59" s="305"/>
      <c r="EU59" s="306"/>
      <c r="EV59" s="305"/>
      <c r="EW59" s="305">
        <v>1036</v>
      </c>
      <c r="EX59" s="305">
        <v>1042</v>
      </c>
      <c r="EY59" s="305">
        <v>1037</v>
      </c>
      <c r="EZ59" s="306">
        <f>AVERAGE(EV59:EY59)</f>
        <v>1038.3333333333333</v>
      </c>
      <c r="FA59" s="305">
        <v>1039</v>
      </c>
      <c r="FB59" s="305">
        <v>1046</v>
      </c>
      <c r="FC59" s="305">
        <v>1076</v>
      </c>
      <c r="FD59" s="305">
        <v>1079</v>
      </c>
      <c r="FE59" s="306">
        <f>AVERAGE(FA59:FD59)</f>
        <v>1060</v>
      </c>
      <c r="FF59" s="305">
        <v>1094</v>
      </c>
      <c r="FG59" s="305">
        <v>1109</v>
      </c>
      <c r="FH59" s="305">
        <v>1117</v>
      </c>
      <c r="FI59" s="305">
        <v>1188</v>
      </c>
      <c r="FJ59" s="306">
        <f>AVERAGE(FF59:FI59)</f>
        <v>1127</v>
      </c>
      <c r="FK59" s="305">
        <v>1224</v>
      </c>
      <c r="FL59" s="305">
        <v>1227</v>
      </c>
      <c r="FM59" s="305">
        <v>1215</v>
      </c>
      <c r="FN59" s="305">
        <v>1226</v>
      </c>
      <c r="FO59" s="306">
        <f>AVERAGE(FK59:FN59)</f>
        <v>1223</v>
      </c>
      <c r="FP59" s="305">
        <v>1231</v>
      </c>
      <c r="FQ59" s="305">
        <v>1232</v>
      </c>
      <c r="FR59" s="305">
        <v>1230</v>
      </c>
      <c r="FS59" s="305">
        <v>1222</v>
      </c>
      <c r="FT59" s="306">
        <f>AVERAGE(FP59:FS59)</f>
        <v>1228.75</v>
      </c>
      <c r="FU59" s="305">
        <v>1410</v>
      </c>
      <c r="FV59" s="305">
        <v>1632</v>
      </c>
      <c r="FW59" s="305">
        <v>1625</v>
      </c>
      <c r="FX59" s="305">
        <v>1618</v>
      </c>
      <c r="FY59" s="306">
        <f>AVERAGE(FU59:FX59)</f>
        <v>1571.25</v>
      </c>
      <c r="FZ59" s="305">
        <v>1611</v>
      </c>
      <c r="GA59" s="305">
        <v>1627</v>
      </c>
      <c r="GB59" s="305">
        <v>1629</v>
      </c>
      <c r="GC59" s="305">
        <v>1628</v>
      </c>
      <c r="GD59" s="306">
        <f>AVERAGE(FZ59:GC59)</f>
        <v>1623.75</v>
      </c>
      <c r="GE59" s="305">
        <v>1639</v>
      </c>
      <c r="GF59" s="305">
        <v>1637</v>
      </c>
      <c r="GG59" s="305">
        <v>1636</v>
      </c>
      <c r="GH59" s="305">
        <v>1634</v>
      </c>
      <c r="GI59" s="306">
        <f>AVERAGE(GE59:GH59)</f>
        <v>1636.5</v>
      </c>
      <c r="GJ59" s="305">
        <v>1626</v>
      </c>
      <c r="GK59" s="305">
        <v>1630</v>
      </c>
      <c r="GL59" s="305">
        <v>1641</v>
      </c>
      <c r="GM59" s="305">
        <v>1649</v>
      </c>
      <c r="GN59" s="306">
        <f>AVERAGE(GJ59:GM59)</f>
        <v>1636.5</v>
      </c>
      <c r="GO59" s="305">
        <v>1650</v>
      </c>
      <c r="GP59" s="305">
        <v>1660</v>
      </c>
      <c r="GQ59" s="305">
        <f>+GP59+(GQ54/$HO$58)+(GQ120/$HO$58)</f>
        <v>1660.4333565714285</v>
      </c>
      <c r="GR59" s="305">
        <f>+GQ59+(GR54/$HO$58)+(GR120/$HO$58)</f>
        <v>1667.5623326552382</v>
      </c>
      <c r="GS59" s="306">
        <f>AVERAGE(GO59:GR59)</f>
        <v>1659.4989223066668</v>
      </c>
      <c r="GT59" s="305">
        <f>+GR59+(GT54/$HO$58)+(GT120/$HO$58)</f>
        <v>1676.5151182628572</v>
      </c>
      <c r="GU59" s="305">
        <f>+GT59+(GU54/$HO$58)+(GU120/$HO$58)</f>
        <v>1686.2593405350094</v>
      </c>
      <c r="GV59" s="305">
        <f>+GU59+(GV54/$HO$58)+(GV120/$HO$58)</f>
        <v>1698.7003520145097</v>
      </c>
      <c r="GW59" s="305">
        <f>+GV59+(GW54/$HO$58)+(GW120/$HO$58)</f>
        <v>1712.6958980093141</v>
      </c>
      <c r="GX59" s="306">
        <f>AVERAGE(GT59:GW59)</f>
        <v>1693.5426772054227</v>
      </c>
      <c r="GY59" s="305">
        <f>+GW59+(GY54/$HO$58)+(GY120/$HO$58)</f>
        <v>1725.5485868612614</v>
      </c>
      <c r="GZ59" s="305">
        <f>+GY59+(GZ54/$HO$58)+(GZ120/$HO$58)</f>
        <v>1739.1183294902476</v>
      </c>
      <c r="HA59" s="305">
        <f>+GZ59+(HA54/$HO$58)+(HA120/$HO$58)</f>
        <v>1752.720038400385</v>
      </c>
      <c r="HB59" s="305">
        <f>+HA59+(HB54/$HO$58)+(HB120/$HO$58)</f>
        <v>1768.0686386315824</v>
      </c>
      <c r="HC59" s="306">
        <f>AVERAGE(GY59:HB59)</f>
        <v>1746.3638983458691</v>
      </c>
      <c r="HD59" s="305">
        <f>+HB59+(HD54/$HO$58)+(HD120/$HO$58)</f>
        <v>1786.0042518497928</v>
      </c>
      <c r="HE59" s="305">
        <f>+HD59+(HE54/$HO$58)+(HE120/$HO$58)</f>
        <v>1803.9731227869127</v>
      </c>
      <c r="HF59" s="305">
        <f>+HE59+(HF54/$HO$58)+(HF120/$HO$58)</f>
        <v>1823.3611979826019</v>
      </c>
      <c r="HG59" s="305">
        <f>+HF59+(HG54/$HO$58)+(HG120/$HO$58)</f>
        <v>1843.4765152016853</v>
      </c>
      <c r="HH59" s="306">
        <f>AVERAGE(HD59:HG59)</f>
        <v>1814.2037719552482</v>
      </c>
      <c r="HI59" s="305">
        <f>+HG59+(HI54/$HO$58)+(HI120/$HO$58)</f>
        <v>1868.7173735463098</v>
      </c>
      <c r="HJ59" s="305">
        <f>+HI59+(HJ54/$HO$58)+(HJ120/$HO$58)</f>
        <v>1893.9935252483031</v>
      </c>
      <c r="HK59" s="305">
        <f>+HJ59+(HK54/$HO$58)+(HK120/$HO$58)</f>
        <v>1919.3056761748123</v>
      </c>
      <c r="HL59" s="305">
        <f>+HK59+(HL54/$HO$58)+(HL120/$HO$58)</f>
        <v>1946.9402605960424</v>
      </c>
      <c r="HM59" s="306">
        <f>AVERAGE(HI59:HL59)</f>
        <v>1907.2392088913668</v>
      </c>
      <c r="HN59" s="306"/>
      <c r="HO59" s="308"/>
      <c r="HP59" s="307"/>
      <c r="HQ59" s="453"/>
      <c r="HR59" s="453"/>
      <c r="HS59" s="576"/>
      <c r="HT59" s="576"/>
      <c r="HU59" s="576"/>
      <c r="HV59" s="576"/>
      <c r="HW59" s="576"/>
      <c r="HX59" s="576"/>
    </row>
    <row r="60" spans="1:234" s="570" customFormat="1" ht="15" customHeight="1">
      <c r="A60" s="569" t="s">
        <v>394</v>
      </c>
      <c r="L60" s="571"/>
      <c r="M60" s="571"/>
      <c r="N60" s="571"/>
      <c r="O60" s="571"/>
      <c r="P60" s="572"/>
      <c r="Q60" s="571"/>
      <c r="R60" s="571"/>
      <c r="S60" s="571"/>
      <c r="T60" s="571"/>
      <c r="U60" s="572"/>
      <c r="V60" s="573"/>
      <c r="W60" s="573"/>
      <c r="X60" s="573"/>
      <c r="Y60" s="305"/>
      <c r="Z60" s="306"/>
      <c r="AA60" s="574"/>
      <c r="AB60" s="304"/>
      <c r="AC60" s="304"/>
      <c r="AD60" s="304"/>
      <c r="AE60" s="306"/>
      <c r="AF60" s="305"/>
      <c r="AG60" s="305"/>
      <c r="AH60" s="305"/>
      <c r="AI60" s="305"/>
      <c r="AJ60" s="306"/>
      <c r="AK60" s="305"/>
      <c r="AL60" s="305"/>
      <c r="AM60" s="305"/>
      <c r="AN60" s="305"/>
      <c r="AO60" s="306"/>
      <c r="AP60" s="305"/>
      <c r="AQ60" s="305"/>
      <c r="AR60" s="305"/>
      <c r="AS60" s="305"/>
      <c r="AT60" s="306"/>
      <c r="AU60" s="305"/>
      <c r="AV60" s="305"/>
      <c r="AW60" s="305"/>
      <c r="AX60" s="305"/>
      <c r="AY60" s="306"/>
      <c r="AZ60" s="305"/>
      <c r="BA60" s="305"/>
      <c r="BB60" s="305"/>
      <c r="BC60" s="305"/>
      <c r="BD60" s="306"/>
      <c r="BE60" s="305"/>
      <c r="BF60" s="305"/>
      <c r="BG60" s="305"/>
      <c r="BH60" s="305"/>
      <c r="BI60" s="306"/>
      <c r="BJ60" s="305"/>
      <c r="BK60" s="305"/>
      <c r="BL60" s="305"/>
      <c r="BM60" s="305"/>
      <c r="BN60" s="306"/>
      <c r="BO60" s="305"/>
      <c r="BP60" s="305"/>
      <c r="BQ60" s="305"/>
      <c r="BR60" s="305"/>
      <c r="BS60" s="306"/>
      <c r="BT60" s="305"/>
      <c r="BU60" s="305"/>
      <c r="BV60" s="305"/>
      <c r="BW60" s="305"/>
      <c r="BX60" s="306"/>
      <c r="BY60" s="305"/>
      <c r="BZ60" s="305"/>
      <c r="CA60" s="305"/>
      <c r="CB60" s="305"/>
      <c r="CC60" s="306"/>
      <c r="CD60" s="305"/>
      <c r="CE60" s="305"/>
      <c r="CF60" s="305"/>
      <c r="CG60" s="305"/>
      <c r="CH60" s="306"/>
      <c r="CI60" s="305"/>
      <c r="CJ60" s="305"/>
      <c r="CK60" s="305"/>
      <c r="CL60" s="306"/>
      <c r="CM60" s="306"/>
      <c r="CN60" s="305"/>
      <c r="CO60" s="305"/>
      <c r="CP60" s="305"/>
      <c r="CQ60" s="305"/>
      <c r="CR60" s="306"/>
      <c r="CS60" s="305"/>
      <c r="CT60" s="305"/>
      <c r="CU60" s="305"/>
      <c r="CV60" s="305"/>
      <c r="CW60" s="306"/>
      <c r="CX60" s="305"/>
      <c r="CY60" s="305"/>
      <c r="CZ60" s="305"/>
      <c r="DA60" s="305"/>
      <c r="DB60" s="306"/>
      <c r="DC60" s="305"/>
      <c r="DD60" s="305"/>
      <c r="DE60" s="305"/>
      <c r="DF60" s="305"/>
      <c r="DG60" s="306"/>
      <c r="DH60" s="305"/>
      <c r="DI60" s="305"/>
      <c r="DJ60" s="305"/>
      <c r="DK60" s="305"/>
      <c r="DL60" s="306"/>
      <c r="DM60" s="305"/>
      <c r="DN60" s="305"/>
      <c r="DO60" s="305"/>
      <c r="DP60" s="305"/>
      <c r="DQ60" s="306"/>
      <c r="DR60" s="305"/>
      <c r="DS60" s="305"/>
      <c r="DT60" s="305"/>
      <c r="DU60" s="305"/>
      <c r="DV60" s="306"/>
      <c r="DW60" s="305"/>
      <c r="DX60" s="305"/>
      <c r="DY60" s="305"/>
      <c r="DZ60" s="305"/>
      <c r="EA60" s="306"/>
      <c r="EB60" s="305"/>
      <c r="EC60" s="305"/>
      <c r="ED60" s="305"/>
      <c r="EE60" s="305"/>
      <c r="EF60" s="306"/>
      <c r="EG60" s="305"/>
      <c r="EH60" s="305"/>
      <c r="EI60" s="304"/>
      <c r="EJ60" s="305"/>
      <c r="EK60" s="306"/>
      <c r="EL60" s="305"/>
      <c r="EM60" s="305"/>
      <c r="EN60" s="305"/>
      <c r="EO60" s="305"/>
      <c r="EP60" s="306"/>
      <c r="EQ60" s="305"/>
      <c r="ER60" s="305"/>
      <c r="ES60" s="305"/>
      <c r="ET60" s="305"/>
      <c r="EU60" s="306"/>
      <c r="EV60" s="305"/>
      <c r="EW60" s="305"/>
      <c r="EX60" s="305">
        <v>1143</v>
      </c>
      <c r="EY60" s="305">
        <v>1137</v>
      </c>
      <c r="EZ60" s="306">
        <f>AVERAGE(EV60:EY60)</f>
        <v>1140</v>
      </c>
      <c r="FA60" s="305">
        <v>1140</v>
      </c>
      <c r="FB60" s="305">
        <v>1147</v>
      </c>
      <c r="FC60" s="305">
        <v>1177</v>
      </c>
      <c r="FD60" s="305">
        <f>1180</f>
        <v>1180</v>
      </c>
      <c r="FE60" s="306">
        <f>AVERAGE(FA60:FD60)</f>
        <v>1161</v>
      </c>
      <c r="FF60" s="305">
        <f>1195</f>
        <v>1195</v>
      </c>
      <c r="FG60" s="305">
        <v>1210</v>
      </c>
      <c r="FH60" s="305">
        <v>1212</v>
      </c>
      <c r="FI60" s="305">
        <v>1216</v>
      </c>
      <c r="FJ60" s="306">
        <f>AVERAGE(FF60:FI60)</f>
        <v>1208.25</v>
      </c>
      <c r="FK60" s="305">
        <v>1224</v>
      </c>
      <c r="FL60" s="305">
        <v>1227</v>
      </c>
      <c r="FM60" s="305">
        <v>1230</v>
      </c>
      <c r="FN60" s="305">
        <v>1232</v>
      </c>
      <c r="FO60" s="306">
        <f>AVERAGE(FK60:FN60)</f>
        <v>1228.25</v>
      </c>
      <c r="FP60" s="305">
        <v>1233</v>
      </c>
      <c r="FQ60" s="305">
        <v>1232</v>
      </c>
      <c r="FR60" s="305">
        <v>1230</v>
      </c>
      <c r="FS60" s="305">
        <v>1222</v>
      </c>
      <c r="FT60" s="306">
        <f>AVERAGE(FP60:FS60)</f>
        <v>1229.25</v>
      </c>
      <c r="FU60" s="305">
        <v>1410</v>
      </c>
      <c r="FV60" s="305">
        <v>1632</v>
      </c>
      <c r="FW60" s="305">
        <v>1625</v>
      </c>
      <c r="FX60" s="305">
        <v>1618</v>
      </c>
      <c r="FY60" s="306">
        <f>AVERAGE(FU60:FX60)</f>
        <v>1571.25</v>
      </c>
      <c r="FZ60" s="305">
        <v>1611</v>
      </c>
      <c r="GA60" s="305">
        <v>1627</v>
      </c>
      <c r="GB60" s="305">
        <v>1629</v>
      </c>
      <c r="GC60" s="305">
        <v>1628</v>
      </c>
      <c r="GD60" s="306">
        <f>AVERAGE(FZ60:GC60)</f>
        <v>1623.75</v>
      </c>
      <c r="GE60" s="305">
        <v>1639</v>
      </c>
      <c r="GF60" s="305">
        <v>1637</v>
      </c>
      <c r="GG60" s="305">
        <v>1636</v>
      </c>
      <c r="GH60" s="305">
        <v>1634</v>
      </c>
      <c r="GI60" s="306">
        <f>AVERAGE(GE60:GH60)</f>
        <v>1636.5</v>
      </c>
      <c r="GJ60" s="305">
        <v>1626</v>
      </c>
      <c r="GK60" s="305">
        <v>1630</v>
      </c>
      <c r="GL60" s="305">
        <v>1641</v>
      </c>
      <c r="GM60" s="305">
        <v>1649</v>
      </c>
      <c r="GN60" s="306">
        <f>AVERAGE(GJ60:GM60)</f>
        <v>1636.5</v>
      </c>
      <c r="GO60" s="305">
        <v>1650</v>
      </c>
      <c r="GP60" s="305">
        <v>1660</v>
      </c>
      <c r="GQ60" s="305">
        <f>+GP60+(GQ54/GQ$61)+(GQ120/GQ$61)</f>
        <v>1660.4333565714285</v>
      </c>
      <c r="GR60" s="305">
        <f>+GQ60+(GR54/GR$61)+(GR120/GR$61)</f>
        <v>1667.5623326552382</v>
      </c>
      <c r="GS60" s="306">
        <f>AVERAGE(GO60:GR60)</f>
        <v>1659.4989223066668</v>
      </c>
      <c r="GT60" s="305">
        <f>+GR60+(GT54/GT$61)+(GT120/GT$61)</f>
        <v>1675.3960200619049</v>
      </c>
      <c r="GU60" s="305">
        <f>+GT60+(GU54/GU$61)+(GU120/GU$61)</f>
        <v>1683.9222145500382</v>
      </c>
      <c r="GV60" s="305">
        <f>+GU60+(GV54/GV$61)+(GV120/GV$61)</f>
        <v>1694.8080995946009</v>
      </c>
      <c r="GW60" s="305">
        <f>+GV60+(GW54/GW$61)+(GW120/GW$61)</f>
        <v>1707.0542023400549</v>
      </c>
      <c r="GX60" s="306">
        <f>AVERAGE(GT60:GW60)</f>
        <v>1690.2951341366497</v>
      </c>
      <c r="GY60" s="305">
        <f>+GW60+(GY54/GY$61)+(GY120/GY$61)</f>
        <v>1717.0507381137918</v>
      </c>
      <c r="GZ60" s="305">
        <f>+GY60+(GZ54/GZ$61)+(GZ120/GZ$61)</f>
        <v>1727.6049823807812</v>
      </c>
      <c r="HA60" s="305">
        <f>+GZ60+(HA54/HA$61)+(HA120/HA$61)</f>
        <v>1738.1840893108881</v>
      </c>
      <c r="HB60" s="305">
        <f>+HA60+(HB54/HB$61)+(HB120/HB$61)</f>
        <v>1750.1218894907081</v>
      </c>
      <c r="HC60" s="306">
        <f>AVERAGE(GY60:HB60)</f>
        <v>1733.2404248240423</v>
      </c>
      <c r="HD60" s="305">
        <f>+HB60+(HD54/HD$61)+(HD120/HD$61)</f>
        <v>1762.6768187434554</v>
      </c>
      <c r="HE60" s="305">
        <f>+HD60+(HE54/HE$61)+(HE120/HE$61)</f>
        <v>1775.2550283994394</v>
      </c>
      <c r="HF60" s="305">
        <f>+HE60+(HF54/HF$61)+(HF120/HF$61)</f>
        <v>1788.8266810364219</v>
      </c>
      <c r="HG60" s="305">
        <f>+HF60+(HG54/HG$61)+(HG120/HG$61)</f>
        <v>1802.9074030897802</v>
      </c>
      <c r="HH60" s="306">
        <f>AVERAGE(HD60:HG60)</f>
        <v>1782.4164828172743</v>
      </c>
      <c r="HI60" s="305">
        <f>+HG60+(HI54/HI$61)+(HI120/HI$61)</f>
        <v>1817.6312371241445</v>
      </c>
      <c r="HJ60" s="305">
        <f>+HI60+(HJ54/HJ$61)+(HJ120/HJ$61)</f>
        <v>1832.3756589503071</v>
      </c>
      <c r="HK60" s="305">
        <f>+HJ60+(HK54/HK$61)+(HK120/HK$61)</f>
        <v>1847.1410803241042</v>
      </c>
      <c r="HL60" s="305">
        <f>+HK60+(HL54/HL$61)+(HL120/HL$61)</f>
        <v>1863.2612545698219</v>
      </c>
      <c r="HM60" s="306">
        <f>AVERAGE(HI60:HL60)</f>
        <v>1840.1023077420944</v>
      </c>
      <c r="HN60" s="306"/>
      <c r="HO60" s="308"/>
      <c r="HP60" s="307"/>
      <c r="HQ60" s="453"/>
      <c r="HR60" s="453"/>
      <c r="HS60" s="576"/>
      <c r="HT60" s="576"/>
      <c r="HU60" s="576"/>
      <c r="HV60" s="576"/>
      <c r="HW60" s="576"/>
      <c r="HX60" s="576"/>
    </row>
    <row r="61" spans="1:234" s="570" customFormat="1" ht="15" customHeight="1">
      <c r="A61" s="569" t="s">
        <v>395</v>
      </c>
      <c r="L61" s="571"/>
      <c r="M61" s="571"/>
      <c r="N61" s="571"/>
      <c r="O61" s="571"/>
      <c r="P61" s="572"/>
      <c r="Q61" s="571"/>
      <c r="R61" s="571"/>
      <c r="S61" s="571"/>
      <c r="T61" s="571"/>
      <c r="U61" s="572"/>
      <c r="V61" s="573"/>
      <c r="W61" s="573"/>
      <c r="X61" s="573"/>
      <c r="Y61" s="305"/>
      <c r="Z61" s="306"/>
      <c r="AA61" s="574"/>
      <c r="AB61" s="304"/>
      <c r="AC61" s="304"/>
      <c r="AD61" s="304"/>
      <c r="AE61" s="306"/>
      <c r="AF61" s="305"/>
      <c r="AG61" s="305"/>
      <c r="AH61" s="305"/>
      <c r="AI61" s="305"/>
      <c r="AJ61" s="306"/>
      <c r="AK61" s="305"/>
      <c r="AL61" s="305"/>
      <c r="AM61" s="305"/>
      <c r="AN61" s="305"/>
      <c r="AO61" s="306"/>
      <c r="AP61" s="305"/>
      <c r="AQ61" s="305"/>
      <c r="AR61" s="305"/>
      <c r="AS61" s="305"/>
      <c r="AT61" s="306"/>
      <c r="AU61" s="305"/>
      <c r="AV61" s="305"/>
      <c r="AW61" s="305"/>
      <c r="AX61" s="305"/>
      <c r="AY61" s="306"/>
      <c r="AZ61" s="305"/>
      <c r="BA61" s="305"/>
      <c r="BB61" s="305"/>
      <c r="BC61" s="305"/>
      <c r="BD61" s="306"/>
      <c r="BE61" s="305"/>
      <c r="BF61" s="305"/>
      <c r="BG61" s="305"/>
      <c r="BH61" s="305"/>
      <c r="BI61" s="306"/>
      <c r="BJ61" s="305"/>
      <c r="BK61" s="305"/>
      <c r="BL61" s="305"/>
      <c r="BM61" s="305"/>
      <c r="BN61" s="306"/>
      <c r="BO61" s="305"/>
      <c r="BP61" s="305"/>
      <c r="BQ61" s="305"/>
      <c r="BR61" s="305"/>
      <c r="BS61" s="306"/>
      <c r="BT61" s="305"/>
      <c r="BU61" s="305"/>
      <c r="BV61" s="305"/>
      <c r="BW61" s="305"/>
      <c r="BX61" s="306"/>
      <c r="BY61" s="305"/>
      <c r="BZ61" s="305"/>
      <c r="CA61" s="305"/>
      <c r="CB61" s="305"/>
      <c r="CC61" s="306"/>
      <c r="CD61" s="305"/>
      <c r="CE61" s="305"/>
      <c r="CF61" s="305"/>
      <c r="CG61" s="305"/>
      <c r="CH61" s="306"/>
      <c r="CI61" s="305"/>
      <c r="CJ61" s="305"/>
      <c r="CK61" s="305"/>
      <c r="CL61" s="306"/>
      <c r="CM61" s="306"/>
      <c r="CN61" s="305"/>
      <c r="CO61" s="305"/>
      <c r="CP61" s="305"/>
      <c r="CQ61" s="305"/>
      <c r="CR61" s="306"/>
      <c r="CS61" s="305"/>
      <c r="CT61" s="305"/>
      <c r="CU61" s="305"/>
      <c r="CV61" s="305"/>
      <c r="CW61" s="306"/>
      <c r="CX61" s="305"/>
      <c r="CY61" s="305"/>
      <c r="CZ61" s="305"/>
      <c r="DA61" s="305"/>
      <c r="DB61" s="306"/>
      <c r="DC61" s="305"/>
      <c r="DD61" s="305"/>
      <c r="DE61" s="305"/>
      <c r="DF61" s="305"/>
      <c r="DG61" s="306"/>
      <c r="DH61" s="305"/>
      <c r="DI61" s="305"/>
      <c r="DJ61" s="305"/>
      <c r="DK61" s="305"/>
      <c r="DL61" s="306"/>
      <c r="DM61" s="305"/>
      <c r="DN61" s="305"/>
      <c r="DO61" s="305"/>
      <c r="DP61" s="305"/>
      <c r="DQ61" s="306"/>
      <c r="DR61" s="305"/>
      <c r="DS61" s="305"/>
      <c r="DT61" s="305"/>
      <c r="DU61" s="305"/>
      <c r="DV61" s="306"/>
      <c r="DW61" s="305"/>
      <c r="DX61" s="305"/>
      <c r="DY61" s="305"/>
      <c r="DZ61" s="305"/>
      <c r="EA61" s="306"/>
      <c r="EB61" s="305"/>
      <c r="EC61" s="305"/>
      <c r="ED61" s="305"/>
      <c r="EE61" s="305"/>
      <c r="EF61" s="306"/>
      <c r="EG61" s="305"/>
      <c r="EH61" s="305"/>
      <c r="EI61" s="304"/>
      <c r="EJ61" s="305"/>
      <c r="EK61" s="306"/>
      <c r="EL61" s="305"/>
      <c r="EM61" s="305"/>
      <c r="EN61" s="305"/>
      <c r="EO61" s="305"/>
      <c r="EP61" s="306"/>
      <c r="EQ61" s="305"/>
      <c r="ER61" s="305"/>
      <c r="ES61" s="305"/>
      <c r="ET61" s="305"/>
      <c r="EU61" s="306"/>
      <c r="EV61" s="305"/>
      <c r="EW61" s="305"/>
      <c r="EX61" s="305"/>
      <c r="EY61" s="305"/>
      <c r="EZ61" s="306"/>
      <c r="FA61" s="305"/>
      <c r="FB61" s="305"/>
      <c r="FC61" s="305"/>
      <c r="FD61" s="305"/>
      <c r="FE61" s="306"/>
      <c r="FF61" s="305"/>
      <c r="FG61" s="305"/>
      <c r="FH61" s="305"/>
      <c r="FI61" s="305"/>
      <c r="FJ61" s="306"/>
      <c r="FK61" s="305"/>
      <c r="FL61" s="305"/>
      <c r="FM61" s="305"/>
      <c r="FN61" s="305"/>
      <c r="FO61" s="306"/>
      <c r="FP61" s="305"/>
      <c r="FQ61" s="305"/>
      <c r="FR61" s="305"/>
      <c r="FS61" s="305"/>
      <c r="FT61" s="306"/>
      <c r="FU61" s="305"/>
      <c r="FV61" s="305"/>
      <c r="FW61" s="305"/>
      <c r="FX61" s="305"/>
      <c r="FY61" s="306"/>
      <c r="FZ61" s="305"/>
      <c r="GA61" s="305"/>
      <c r="GB61" s="305"/>
      <c r="GC61" s="305"/>
      <c r="GD61" s="306"/>
      <c r="GE61" s="305"/>
      <c r="GF61" s="305"/>
      <c r="GG61" s="305"/>
      <c r="GH61" s="305"/>
      <c r="GI61" s="306"/>
      <c r="GJ61" s="305"/>
      <c r="GK61" s="305"/>
      <c r="GL61" s="305"/>
      <c r="GM61" s="305"/>
      <c r="GN61" s="306"/>
      <c r="GO61" s="305"/>
      <c r="GP61" s="305">
        <v>350</v>
      </c>
      <c r="GQ61" s="305">
        <v>350</v>
      </c>
      <c r="GR61" s="305">
        <v>350</v>
      </c>
      <c r="GS61" s="306"/>
      <c r="GT61" s="305">
        <v>400</v>
      </c>
      <c r="GU61" s="305">
        <v>400</v>
      </c>
      <c r="GV61" s="305">
        <v>400</v>
      </c>
      <c r="GW61" s="305">
        <v>400</v>
      </c>
      <c r="GX61" s="306"/>
      <c r="GY61" s="305">
        <v>450</v>
      </c>
      <c r="GZ61" s="305">
        <v>450</v>
      </c>
      <c r="HA61" s="305">
        <v>450</v>
      </c>
      <c r="HB61" s="305">
        <v>450</v>
      </c>
      <c r="HC61" s="306"/>
      <c r="HD61" s="305">
        <v>500</v>
      </c>
      <c r="HE61" s="305">
        <v>500</v>
      </c>
      <c r="HF61" s="305">
        <v>500</v>
      </c>
      <c r="HG61" s="305">
        <v>500</v>
      </c>
      <c r="HH61" s="306"/>
      <c r="HI61" s="305">
        <v>600</v>
      </c>
      <c r="HJ61" s="305">
        <v>600</v>
      </c>
      <c r="HK61" s="305">
        <v>600</v>
      </c>
      <c r="HL61" s="305">
        <v>600</v>
      </c>
      <c r="HM61" s="306"/>
      <c r="HN61" s="306"/>
      <c r="HO61" s="308"/>
      <c r="HP61" s="307"/>
      <c r="HQ61" s="453"/>
      <c r="HR61" s="453"/>
      <c r="HS61" s="576"/>
      <c r="HT61" s="576"/>
      <c r="HU61" s="576"/>
      <c r="HV61" s="576"/>
      <c r="HW61" s="576"/>
      <c r="HX61" s="576"/>
    </row>
    <row r="62" spans="1:234" s="509" customFormat="1" ht="15" customHeight="1">
      <c r="A62" s="532"/>
      <c r="K62" s="577"/>
      <c r="L62" s="578"/>
      <c r="M62" s="578"/>
      <c r="N62" s="578"/>
      <c r="O62" s="578"/>
      <c r="P62" s="533"/>
      <c r="Q62" s="578"/>
      <c r="R62" s="578"/>
      <c r="S62" s="578"/>
      <c r="T62" s="578"/>
      <c r="U62" s="533"/>
      <c r="V62" s="579"/>
      <c r="W62" s="579"/>
      <c r="X62" s="579"/>
      <c r="Y62" s="311"/>
      <c r="Z62" s="312"/>
      <c r="AA62" s="580"/>
      <c r="AB62" s="310"/>
      <c r="AC62" s="310"/>
      <c r="AD62" s="310"/>
      <c r="AE62" s="312"/>
      <c r="AF62" s="581"/>
      <c r="AG62" s="581"/>
      <c r="AH62" s="581"/>
      <c r="AI62" s="581"/>
      <c r="AJ62" s="312"/>
      <c r="AK62" s="581"/>
      <c r="AL62" s="581"/>
      <c r="AM62" s="581"/>
      <c r="AN62" s="581"/>
      <c r="AO62" s="312"/>
      <c r="AP62" s="581"/>
      <c r="AQ62" s="581"/>
      <c r="AR62" s="581"/>
      <c r="AS62" s="581"/>
      <c r="AT62" s="312"/>
      <c r="AU62" s="581"/>
      <c r="AV62" s="581"/>
      <c r="AW62" s="581"/>
      <c r="AX62" s="581"/>
      <c r="AY62" s="312"/>
      <c r="AZ62" s="581"/>
      <c r="BA62" s="581"/>
      <c r="BB62" s="581"/>
      <c r="BC62" s="581"/>
      <c r="BD62" s="312"/>
      <c r="BE62" s="581"/>
      <c r="BF62" s="581"/>
      <c r="BG62" s="581"/>
      <c r="BH62" s="581"/>
      <c r="BI62" s="312"/>
      <c r="BJ62" s="581"/>
      <c r="BK62" s="581"/>
      <c r="BL62" s="581"/>
      <c r="BM62" s="581"/>
      <c r="BN62" s="312"/>
      <c r="BO62" s="311"/>
      <c r="BP62" s="311"/>
      <c r="BQ62" s="311"/>
      <c r="BR62" s="311"/>
      <c r="BS62" s="582"/>
      <c r="BT62" s="311"/>
      <c r="BU62" s="311"/>
      <c r="BV62" s="311"/>
      <c r="BW62" s="311"/>
      <c r="BX62" s="312"/>
      <c r="BY62" s="311"/>
      <c r="BZ62" s="311"/>
      <c r="CA62" s="311"/>
      <c r="CB62" s="311"/>
      <c r="CC62" s="312"/>
      <c r="CD62" s="311"/>
      <c r="CE62" s="311"/>
      <c r="CF62" s="311"/>
      <c r="CG62" s="311"/>
      <c r="CH62" s="312"/>
      <c r="CI62" s="311"/>
      <c r="CJ62" s="311"/>
      <c r="CK62" s="311"/>
      <c r="CL62" s="312"/>
      <c r="CM62" s="312"/>
      <c r="CN62" s="311"/>
      <c r="CO62" s="311"/>
      <c r="CP62" s="311"/>
      <c r="CQ62" s="311"/>
      <c r="CR62" s="312"/>
      <c r="CS62" s="311"/>
      <c r="CT62" s="311"/>
      <c r="CU62" s="311"/>
      <c r="CV62" s="311"/>
      <c r="CW62" s="312"/>
      <c r="CX62" s="311"/>
      <c r="CY62" s="311"/>
      <c r="CZ62" s="311"/>
      <c r="DA62" s="311"/>
      <c r="DB62" s="312"/>
      <c r="DC62" s="311"/>
      <c r="DD62" s="311"/>
      <c r="DE62" s="311"/>
      <c r="DF62" s="311"/>
      <c r="DG62" s="312"/>
      <c r="DH62" s="311"/>
      <c r="DI62" s="311"/>
      <c r="DJ62" s="311"/>
      <c r="DK62" s="311"/>
      <c r="DL62" s="312"/>
      <c r="DM62" s="311"/>
      <c r="DN62" s="311"/>
      <c r="DO62" s="311"/>
      <c r="DP62" s="311"/>
      <c r="DQ62" s="312"/>
      <c r="DR62" s="311"/>
      <c r="DS62" s="311"/>
      <c r="DT62" s="311"/>
      <c r="DU62" s="311"/>
      <c r="DV62" s="312"/>
      <c r="DW62" s="311"/>
      <c r="DX62" s="311"/>
      <c r="DY62" s="311"/>
      <c r="DZ62" s="311"/>
      <c r="EA62" s="312"/>
      <c r="EB62" s="311"/>
      <c r="EC62" s="311"/>
      <c r="ED62" s="311"/>
      <c r="EE62" s="311"/>
      <c r="EF62" s="312"/>
      <c r="EG62" s="311"/>
      <c r="EH62" s="311"/>
      <c r="EI62" s="310"/>
      <c r="EJ62" s="311"/>
      <c r="EK62" s="312"/>
      <c r="EL62" s="583"/>
      <c r="EM62" s="583"/>
      <c r="EN62" s="583"/>
      <c r="EO62" s="583"/>
      <c r="EP62" s="312"/>
      <c r="EQ62" s="583"/>
      <c r="ER62" s="583"/>
      <c r="ES62" s="583"/>
      <c r="ET62" s="583"/>
      <c r="EU62" s="312"/>
      <c r="EV62" s="584"/>
      <c r="EW62" s="585"/>
      <c r="EX62" s="586"/>
      <c r="EY62" s="586"/>
      <c r="EZ62" s="312"/>
      <c r="FA62" s="586"/>
      <c r="FB62" s="586"/>
      <c r="FC62" s="586"/>
      <c r="FD62" s="586"/>
      <c r="FE62" s="312"/>
      <c r="FF62" s="586"/>
      <c r="FG62" s="584"/>
      <c r="FH62" s="584"/>
      <c r="FI62" s="584"/>
      <c r="FJ62" s="312"/>
      <c r="FK62" s="584"/>
      <c r="FL62" s="584"/>
      <c r="FM62" s="584"/>
      <c r="FN62" s="584"/>
      <c r="FO62" s="312"/>
      <c r="FP62" s="584"/>
      <c r="FQ62" s="584"/>
      <c r="FR62" s="584"/>
      <c r="FS62" s="584"/>
      <c r="FT62" s="312"/>
      <c r="FU62" s="584"/>
      <c r="FV62" s="584"/>
      <c r="FW62" s="584"/>
      <c r="FX62" s="584"/>
      <c r="FY62" s="312"/>
      <c r="FZ62" s="584"/>
      <c r="GA62" s="584"/>
      <c r="GB62" s="584"/>
      <c r="GC62" s="584"/>
      <c r="GD62" s="587"/>
      <c r="GE62" s="584"/>
      <c r="GF62" s="584"/>
      <c r="GG62" s="584"/>
      <c r="GH62" s="584"/>
      <c r="GI62" s="312"/>
      <c r="GJ62" s="584"/>
      <c r="GK62" s="584"/>
      <c r="GL62" s="584"/>
      <c r="GM62" s="584"/>
      <c r="GN62" s="312"/>
      <c r="GO62" s="584"/>
      <c r="GP62" s="584"/>
      <c r="GQ62" s="584"/>
      <c r="GR62" s="584"/>
      <c r="GS62" s="312"/>
      <c r="GT62" s="584"/>
      <c r="GU62" s="584"/>
      <c r="GV62" s="584"/>
      <c r="GW62" s="584"/>
      <c r="GX62" s="312"/>
      <c r="GY62" s="584"/>
      <c r="GZ62" s="584"/>
      <c r="HA62" s="584"/>
      <c r="HB62" s="584"/>
      <c r="HC62" s="312"/>
      <c r="HD62" s="584"/>
      <c r="HE62" s="584"/>
      <c r="HF62" s="584"/>
      <c r="HG62" s="584"/>
      <c r="HH62" s="312"/>
      <c r="HI62" s="584"/>
      <c r="HJ62" s="584"/>
      <c r="HK62" s="584"/>
      <c r="HL62" s="584"/>
      <c r="HM62" s="312"/>
      <c r="HN62" s="312"/>
      <c r="HO62" s="313"/>
      <c r="HP62" s="314"/>
      <c r="HR62" s="563"/>
      <c r="HS62" s="563"/>
      <c r="HT62" s="563"/>
      <c r="HU62" s="563"/>
      <c r="HV62" s="563"/>
      <c r="HW62" s="563"/>
      <c r="HX62" s="563"/>
    </row>
    <row r="63" spans="1:234" ht="15" customHeight="1">
      <c r="A63" s="265" t="s">
        <v>396</v>
      </c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6"/>
      <c r="M63" s="266"/>
      <c r="N63" s="266"/>
      <c r="O63" s="266"/>
      <c r="P63" s="266"/>
      <c r="Q63" s="266"/>
      <c r="R63" s="266"/>
      <c r="S63" s="266"/>
      <c r="T63" s="266"/>
      <c r="U63" s="266"/>
      <c r="V63" s="266"/>
      <c r="W63" s="266"/>
      <c r="X63" s="266"/>
      <c r="Y63" s="266"/>
      <c r="Z63" s="266"/>
      <c r="AA63" s="266"/>
      <c r="AB63" s="266"/>
      <c r="AC63" s="266"/>
      <c r="AD63" s="266"/>
      <c r="AE63" s="266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8">
        <f>CD47+CD26+CD40</f>
        <v>-146.35600000000008</v>
      </c>
      <c r="CE63" s="238">
        <f>CE47+CE26+CE40</f>
        <v>-140.09599999999998</v>
      </c>
      <c r="CF63" s="238">
        <f>CF47+CF26+CF40</f>
        <v>-31.23099999999998</v>
      </c>
      <c r="CG63" s="238">
        <f>CG47+CG26+CG40</f>
        <v>48.393000000000043</v>
      </c>
      <c r="CH63" s="239">
        <f>SUM(CD63:CG63)</f>
        <v>-269.29000000000002</v>
      </c>
      <c r="CI63" s="238">
        <f>CI47+CI26+CI40</f>
        <v>49.694999999999943</v>
      </c>
      <c r="CJ63" s="238">
        <f>CJ47+CJ26+CJ40</f>
        <v>39.114000000000047</v>
      </c>
      <c r="CK63" s="238">
        <f>CK47+CK26+CK40</f>
        <v>48.361000000000033</v>
      </c>
      <c r="CL63" s="238">
        <f>CL47+CL26+CL40</f>
        <v>18.979000000000028</v>
      </c>
      <c r="CM63" s="239">
        <f>SUM(CI63:CL63)</f>
        <v>156.14900000000006</v>
      </c>
      <c r="CN63" s="238">
        <f>CN47+CN26+CN40</f>
        <v>-17.423000000000037</v>
      </c>
      <c r="CO63" s="238">
        <f>CO47+CO26+CO40</f>
        <v>11.318999999999944</v>
      </c>
      <c r="CP63" s="238">
        <f>CP47+CP26+CP40</f>
        <v>79.456000000000174</v>
      </c>
      <c r="CQ63" s="238">
        <f>CQ47+CQ26+CQ40</f>
        <v>205.26900000000001</v>
      </c>
      <c r="CR63" s="239">
        <f>SUM(CN63:CQ63)</f>
        <v>278.62100000000009</v>
      </c>
      <c r="CS63" s="238">
        <f>CS47+CS26+CS40</f>
        <v>188.22388000000001</v>
      </c>
      <c r="CT63" s="238">
        <f>CT47+CT26+CT40</f>
        <v>88.847000000000037</v>
      </c>
      <c r="CU63" s="238">
        <f>CU47+CU26+CU40</f>
        <v>134.45500000000007</v>
      </c>
      <c r="CV63" s="238">
        <f>CV47+CV26+CV40</f>
        <v>-23</v>
      </c>
      <c r="CW63" s="239">
        <f>SUM(CS63:CV63)</f>
        <v>388.52588000000014</v>
      </c>
      <c r="CX63" s="238">
        <f>CX47+CX26+CX40</f>
        <v>-498</v>
      </c>
      <c r="CY63" s="238">
        <f>CY47+CY26+CY40</f>
        <v>-471</v>
      </c>
      <c r="CZ63" s="238">
        <f>CZ47+CZ26+CZ40</f>
        <v>-276</v>
      </c>
      <c r="DA63" s="238">
        <f>DA47+DA26+DA40</f>
        <v>-97</v>
      </c>
      <c r="DB63" s="239">
        <f>SUM(CX63:DA63)</f>
        <v>-1342</v>
      </c>
      <c r="DC63" s="238">
        <f>DC47+DC26+DC40</f>
        <v>-308</v>
      </c>
      <c r="DD63" s="238">
        <f>DD47+DD26+DD40</f>
        <v>-366</v>
      </c>
      <c r="DE63" s="238">
        <f>DE47+DE26+DE40</f>
        <v>-127</v>
      </c>
      <c r="DF63" s="238">
        <f>DF47+DF26+DF40</f>
        <v>-418</v>
      </c>
      <c r="DG63" s="239">
        <f>SUM(DC63:DF63)</f>
        <v>-1219</v>
      </c>
      <c r="DH63" s="238">
        <f>DH47+DH26+DH40</f>
        <v>-402</v>
      </c>
      <c r="DI63" s="238">
        <f>DI47+DI26+DI40</f>
        <v>-416</v>
      </c>
      <c r="DJ63" s="238">
        <f>DJ47+DJ26+DJ40</f>
        <v>-182</v>
      </c>
      <c r="DK63" s="238">
        <f>DK47+DK26+DK40</f>
        <v>-57</v>
      </c>
      <c r="DL63" s="239">
        <f>SUM(DH63:DK63)</f>
        <v>-1057</v>
      </c>
      <c r="DM63" s="238">
        <f>DM47+DM26+DM40</f>
        <v>-120</v>
      </c>
      <c r="DN63" s="238">
        <f>DN47+DN26+DN40</f>
        <v>-37</v>
      </c>
      <c r="DO63" s="238">
        <f>DO47+DO26+DO40</f>
        <v>-78</v>
      </c>
      <c r="DP63" s="238">
        <f>DP47+DP26+DP40</f>
        <v>93</v>
      </c>
      <c r="DQ63" s="239">
        <f>SUM(DM63:DP63)</f>
        <v>-142</v>
      </c>
      <c r="DR63" s="238">
        <f>DR47+DR26+DR40</f>
        <v>56</v>
      </c>
      <c r="DS63" s="238">
        <f>DS47+DS26+DS40</f>
        <v>70</v>
      </c>
      <c r="DT63" s="238">
        <f>DT47+DT26+DT40</f>
        <v>110</v>
      </c>
      <c r="DU63" s="238">
        <f>DU47+DU26+DU40</f>
        <v>137</v>
      </c>
      <c r="DV63" s="239">
        <f>SUM(DR63:DU63)</f>
        <v>373</v>
      </c>
      <c r="DW63" s="238">
        <f>DW47+DW26+DW40</f>
        <v>92</v>
      </c>
      <c r="DX63" s="238">
        <f>DX47+DX26+DX40</f>
        <v>46</v>
      </c>
      <c r="DY63" s="238">
        <f>DY47+DY26+DY40</f>
        <v>-150</v>
      </c>
      <c r="DZ63" s="238">
        <f>DZ47+DZ26+DZ40</f>
        <v>-106</v>
      </c>
      <c r="EA63" s="239">
        <f>SUM(DW63:DZ63)</f>
        <v>-118</v>
      </c>
      <c r="EB63" s="238">
        <f>EB47+EB26+EB40+EB54</f>
        <v>-70</v>
      </c>
      <c r="EC63" s="238">
        <f>EC47+EC26+EC40+EC54</f>
        <v>-45</v>
      </c>
      <c r="ED63" s="238">
        <f>ED47+ED26+ED40+ED54</f>
        <v>54</v>
      </c>
      <c r="EE63" s="238">
        <f>EE47+EE26+EE40+EE54</f>
        <v>69</v>
      </c>
      <c r="EF63" s="239">
        <f>SUM(EB63:EE63)</f>
        <v>8</v>
      </c>
      <c r="EG63" s="238">
        <f>EG47+EG26+EG40+EG54</f>
        <v>35</v>
      </c>
      <c r="EH63" s="238">
        <f>EH47+EH26+EH40+EH54</f>
        <v>38</v>
      </c>
      <c r="EI63" s="238">
        <f>EI47+EI26+EI40+EI54</f>
        <v>41</v>
      </c>
      <c r="EJ63" s="238">
        <f>EJ47+EJ26+EJ40+EJ54</f>
        <v>18</v>
      </c>
      <c r="EK63" s="239">
        <f>SUM(EG63:EJ63)</f>
        <v>132</v>
      </c>
      <c r="EL63" s="238">
        <f>EL47+EL26+EL40+EL54</f>
        <v>-73</v>
      </c>
      <c r="EM63" s="238">
        <f>EM47+EM26+EM40+EM54</f>
        <v>-131</v>
      </c>
      <c r="EN63" s="238">
        <f>EN47+EN26+EN40+EN54</f>
        <v>-136</v>
      </c>
      <c r="EO63" s="238">
        <f>EO47+EO26+EO40+EO54</f>
        <v>-79</v>
      </c>
      <c r="EP63" s="239">
        <f>SUM(EL63:EO63)</f>
        <v>-419</v>
      </c>
      <c r="EQ63" s="238">
        <f>EQ42+EQ46+EQ54</f>
        <v>-96</v>
      </c>
      <c r="ER63" s="238">
        <f>ER42+ER46+ER54</f>
        <v>-40</v>
      </c>
      <c r="ES63" s="238">
        <f>ES42+ES46+ES54</f>
        <v>27</v>
      </c>
      <c r="ET63" s="238">
        <f>ET42+ET46+ET54</f>
        <v>-8</v>
      </c>
      <c r="EU63" s="239">
        <f>SUM(EQ63:ET63)</f>
        <v>-117</v>
      </c>
      <c r="EV63" s="238">
        <f>EV42+EV46+EV54</f>
        <v>-38</v>
      </c>
      <c r="EW63" s="238">
        <f>EW42+EW46+EW54</f>
        <v>19</v>
      </c>
      <c r="EX63" s="238">
        <f>EX42+EX46+EX54</f>
        <v>110</v>
      </c>
      <c r="EY63" s="238">
        <f>EY42+EY46+EY54</f>
        <v>88</v>
      </c>
      <c r="EZ63" s="239">
        <f>SUM(EV63:EY63)</f>
        <v>179</v>
      </c>
      <c r="FA63" s="238">
        <f>FA42+FA46+FA54</f>
        <v>121</v>
      </c>
      <c r="FB63" s="238">
        <f>FB42+FB46+FB54</f>
        <v>156</v>
      </c>
      <c r="FC63" s="238">
        <f>FC42+FC46+FC54</f>
        <v>150</v>
      </c>
      <c r="FD63" s="238">
        <f>FD42+FD46+FD54</f>
        <v>87</v>
      </c>
      <c r="FE63" s="239">
        <f>SUM(FA63:FD63)</f>
        <v>514</v>
      </c>
      <c r="FF63" s="238">
        <f>FF42+FF46+FF54</f>
        <v>62</v>
      </c>
      <c r="FG63" s="238">
        <f>FG42+FG46+FG54</f>
        <v>92</v>
      </c>
      <c r="FH63" s="238">
        <f>FH42+FH46+FH54</f>
        <v>219</v>
      </c>
      <c r="FI63" s="238">
        <f>FI42+FI46+FI54</f>
        <v>383</v>
      </c>
      <c r="FJ63" s="239">
        <f>SUM(FF63:FI63)</f>
        <v>756</v>
      </c>
      <c r="FK63" s="238">
        <f>FK42+FK46+FK54</f>
        <v>222</v>
      </c>
      <c r="FL63" s="238">
        <f>FL42+FL46+FL54</f>
        <v>216</v>
      </c>
      <c r="FM63" s="238">
        <f>FM42+FM46+FM54</f>
        <v>501</v>
      </c>
      <c r="FN63" s="238">
        <f>FN42+FN46+FN54</f>
        <v>636</v>
      </c>
      <c r="FO63" s="239">
        <f>SUM(FK63:FN63)</f>
        <v>1575</v>
      </c>
      <c r="FP63" s="238">
        <f>FP42+FP46+FP54</f>
        <v>642</v>
      </c>
      <c r="FQ63" s="238">
        <f>FQ42+FQ46+FQ54</f>
        <v>778</v>
      </c>
      <c r="FR63" s="238">
        <f>FR42+FR46+FR54</f>
        <v>893</v>
      </c>
      <c r="FS63" s="238">
        <f>FS42+FS46+FS54</f>
        <v>1122</v>
      </c>
      <c r="FT63" s="239">
        <f>SUM(FP63:FS63)</f>
        <v>3435</v>
      </c>
      <c r="FU63" s="238">
        <f>FU42+FU46+FU54</f>
        <v>1589</v>
      </c>
      <c r="FV63" s="238">
        <f>FV42+FV46+FV54</f>
        <v>1707</v>
      </c>
      <c r="FW63" s="238">
        <f>FW42+FW46+FW54</f>
        <v>1095</v>
      </c>
      <c r="FX63" s="238">
        <f>FX42+FX46+FX54</f>
        <v>1113</v>
      </c>
      <c r="FY63" s="239">
        <f>SUM(FU63:FX63)</f>
        <v>5504</v>
      </c>
      <c r="FZ63" s="238">
        <f>FZ42+FZ46+FZ54</f>
        <v>970</v>
      </c>
      <c r="GA63" s="238">
        <f>GA42+GA46+GA54</f>
        <v>948</v>
      </c>
      <c r="GB63" s="238">
        <f>GB42+GB46+GB54</f>
        <v>1135</v>
      </c>
      <c r="GC63" s="238">
        <f>GC42+GC46+GC54</f>
        <v>1249</v>
      </c>
      <c r="GD63" s="239">
        <f>SUM(FZ63:GC63)</f>
        <v>4302</v>
      </c>
      <c r="GE63" s="238">
        <f>GE42+GE46+GE54</f>
        <v>1013</v>
      </c>
      <c r="GF63" s="238">
        <f>GF42+GF46+GF54</f>
        <v>1126</v>
      </c>
      <c r="GG63" s="238">
        <f>GG42+GG46+GG54</f>
        <v>1504</v>
      </c>
      <c r="GH63" s="238">
        <f>GH42+GH46+GH54</f>
        <v>1777</v>
      </c>
      <c r="GI63" s="239">
        <f>SUM(GE63:GH63)</f>
        <v>5420</v>
      </c>
      <c r="GJ63" s="238">
        <f>GJ42+GJ46+GJ54</f>
        <v>1566</v>
      </c>
      <c r="GK63" s="238">
        <f>GK42+GK46+GK54</f>
        <v>781</v>
      </c>
      <c r="GL63" s="238">
        <f>GL42+GL46+GL54</f>
        <v>1965</v>
      </c>
      <c r="GM63" s="238">
        <f>GM42+GM46+GM54</f>
        <v>2519</v>
      </c>
      <c r="GN63" s="239">
        <f>SUM(GJ63:GM63)</f>
        <v>6831</v>
      </c>
      <c r="GO63" s="238">
        <f>GO42+GO46+GO54</f>
        <v>2265</v>
      </c>
      <c r="GP63" s="238">
        <f>GP42+GP46+GP54</f>
        <v>2646.5040674265747</v>
      </c>
      <c r="GQ63" s="238">
        <f>GQ42+GQ46+GQ54</f>
        <v>2823.9196666935823</v>
      </c>
      <c r="GR63" s="238">
        <f>GR42+GR46+GR54</f>
        <v>4378.3155743371408</v>
      </c>
      <c r="GS63" s="239">
        <f>SUM(GO63:GR63)</f>
        <v>12113.739308457298</v>
      </c>
      <c r="GT63" s="238">
        <f>GT42+GT46+GT54</f>
        <v>4720.0526661607464</v>
      </c>
      <c r="GU63" s="238">
        <f>GU42+GU46+GU54</f>
        <v>5250.7619009713444</v>
      </c>
      <c r="GV63" s="238">
        <f>GV42+GV46+GV54</f>
        <v>6116.8086884112163</v>
      </c>
      <c r="GW63" s="238">
        <f>GW42+GW46+GW54</f>
        <v>6725.2152156387438</v>
      </c>
      <c r="GX63" s="239">
        <f>SUM(GT63:GW63)</f>
        <v>22812.838471182051</v>
      </c>
      <c r="GY63" s="238">
        <f>GY42+GY46+GY54</f>
        <v>6742.1001386968583</v>
      </c>
      <c r="GZ63" s="238">
        <f>GZ42+GZ46+GZ54</f>
        <v>7263.0169469339908</v>
      </c>
      <c r="HA63" s="238">
        <f>HA42+HA46+HA54</f>
        <v>8182.3237211634469</v>
      </c>
      <c r="HB63" s="238">
        <f>HB42+HB46+HB54</f>
        <v>9008.4128912568522</v>
      </c>
      <c r="HC63" s="239">
        <f>SUM(GY63:HB63)</f>
        <v>31195.853698051149</v>
      </c>
      <c r="HD63" s="238">
        <f>HD42+HD46+HD54</f>
        <v>8677.3023400014608</v>
      </c>
      <c r="HE63" s="238">
        <f>HE42+HE46+HE54</f>
        <v>9087.4796569065857</v>
      </c>
      <c r="HF63" s="238">
        <f>HF42+HF46+HF54</f>
        <v>10064.901860649286</v>
      </c>
      <c r="HG63" s="238">
        <f>HG42+HG46+HG54</f>
        <v>10490.141773285404</v>
      </c>
      <c r="HH63" s="239">
        <f>SUM(HD63:HG63)</f>
        <v>38319.825630842737</v>
      </c>
      <c r="HI63" s="238">
        <f>HI42+HI46+HI54</f>
        <v>9808.2357658971396</v>
      </c>
      <c r="HJ63" s="238">
        <f>HJ42+HJ46+HJ54</f>
        <v>10328.977787590784</v>
      </c>
      <c r="HK63" s="238">
        <f>HK42+HK46+HK54</f>
        <v>11797.97479823498</v>
      </c>
      <c r="HL63" s="238">
        <f>HL42+HL46+HL54</f>
        <v>12556.301904976464</v>
      </c>
      <c r="HM63" s="239">
        <f>SUM(HI63:HL63)</f>
        <v>44491.49025669937</v>
      </c>
      <c r="HN63" s="246"/>
      <c r="HO63" s="277"/>
    </row>
    <row r="64" spans="1:234" customFormat="1" ht="15" customHeight="1"/>
    <row r="65" spans="1:232" ht="15" customHeight="1">
      <c r="A65" s="248" t="s">
        <v>198</v>
      </c>
      <c r="L65" s="190"/>
      <c r="M65" s="190"/>
      <c r="N65" s="190"/>
      <c r="O65" s="190"/>
      <c r="P65" s="232"/>
      <c r="Q65" s="190"/>
      <c r="R65" s="190"/>
      <c r="S65" s="190"/>
      <c r="T65" s="190"/>
      <c r="U65" s="232"/>
      <c r="V65" s="190"/>
      <c r="W65" s="190"/>
      <c r="X65" s="190"/>
      <c r="Y65" s="190"/>
      <c r="Z65" s="190"/>
      <c r="AA65" s="190"/>
      <c r="AB65" s="190"/>
      <c r="AC65" s="190"/>
      <c r="AD65" s="190"/>
      <c r="AE65" s="249"/>
      <c r="AF65" s="193" t="s">
        <v>199</v>
      </c>
      <c r="AG65" s="190">
        <f>(AG52/AF52)-1</f>
        <v>3.5749394092252196E-2</v>
      </c>
      <c r="AH65" s="190">
        <f>(AH52/AG52)-1</f>
        <v>-5.4328242124319859E-2</v>
      </c>
      <c r="AI65" s="190">
        <f>(AI52/AH52)-1</f>
        <v>-0.31663207172616281</v>
      </c>
      <c r="AJ65" s="193" t="s">
        <v>199</v>
      </c>
      <c r="AK65" s="190">
        <f>(AK52/AI52)-1</f>
        <v>0.99994734908532101</v>
      </c>
      <c r="AL65" s="190">
        <f>(AL52/AK52)-1</f>
        <v>9.6104335434123334E-2</v>
      </c>
      <c r="AM65" s="190">
        <f>(AM52/AL52)-1</f>
        <v>-7.5755247011010884E-2</v>
      </c>
      <c r="AN65" s="190">
        <f>(AN52/AM52)-1</f>
        <v>-0.48604910891922137</v>
      </c>
      <c r="AO65" s="193" t="s">
        <v>199</v>
      </c>
      <c r="AP65" s="190">
        <f>(AP52/AN52)-1</f>
        <v>1.1349628993257728</v>
      </c>
      <c r="AQ65" s="190">
        <f>(AQ52/AP52)-1</f>
        <v>-5.4984293729419154E-2</v>
      </c>
      <c r="AR65" s="190">
        <f>(AR52/AQ52)-1</f>
        <v>-0.38943305973800124</v>
      </c>
      <c r="AS65" s="190">
        <f>(AS52/AR52)-1</f>
        <v>-5.7052184819370577E-3</v>
      </c>
      <c r="AT65" s="193" t="s">
        <v>199</v>
      </c>
      <c r="AU65" s="190">
        <f>(AU52/AS52)-1</f>
        <v>-0.64830843083691536</v>
      </c>
      <c r="AV65" s="190">
        <f>(AV52/AU52)-1</f>
        <v>-2.4006816794076018</v>
      </c>
      <c r="AW65" s="190">
        <f>(AW52/AV52)-1</f>
        <v>9.9791379111404011E-2</v>
      </c>
      <c r="AX65" s="190">
        <f>(AX52/AW52)-1</f>
        <v>-0.452513035834473</v>
      </c>
      <c r="AY65" s="193" t="s">
        <v>199</v>
      </c>
      <c r="AZ65" s="190">
        <f>(AZ52/AX52)-1</f>
        <v>-1.5695886895577944</v>
      </c>
      <c r="BA65" s="190">
        <f>(BA52/AZ52)-1</f>
        <v>-0.23343608794310833</v>
      </c>
      <c r="BB65" s="190">
        <f>(BB52/BA52)-1</f>
        <v>-4.3164294974143909</v>
      </c>
      <c r="BC65" s="190">
        <f>(BC52/BB52)-1</f>
        <v>-0.61104408554675915</v>
      </c>
      <c r="BD65" s="193" t="s">
        <v>199</v>
      </c>
      <c r="BE65" s="190">
        <f>(BE52/BC52)-1</f>
        <v>4.0637854186044091</v>
      </c>
      <c r="BF65" s="190">
        <f>(BF52/BE52)-1</f>
        <v>2.2341829868099072E-2</v>
      </c>
      <c r="BG65" s="190">
        <f>(BG52/BF52)-1</f>
        <v>-1.0152444922850918</v>
      </c>
      <c r="BH65" s="190">
        <f>(BH52/BG52)-1</f>
        <v>20.698537754658659</v>
      </c>
      <c r="BI65" s="193" t="s">
        <v>199</v>
      </c>
      <c r="BJ65" s="190">
        <f>(BJ52/BH52)-1</f>
        <v>-6.218830613209831</v>
      </c>
      <c r="BK65" s="190">
        <f>(BK52/BJ52)-1</f>
        <v>0.4889713062880181</v>
      </c>
      <c r="BL65" s="190">
        <f>(BL52/BK52)-1</f>
        <v>-0.38092119582095918</v>
      </c>
      <c r="BM65" s="190">
        <f>(BM52/BL52)-1</f>
        <v>-1.6470737779954241</v>
      </c>
      <c r="BN65" s="193" t="s">
        <v>199</v>
      </c>
      <c r="BO65" s="190">
        <f>(BO52/BM52)-1</f>
        <v>1.4740117110204358</v>
      </c>
      <c r="BP65" s="190">
        <f>(BP52/BO52)-1</f>
        <v>5.6110239289311359E-2</v>
      </c>
      <c r="BQ65" s="190">
        <f>(BQ52/BP52)-1</f>
        <v>6.0853894597960201E-2</v>
      </c>
      <c r="BR65" s="190">
        <f>(BR52/BQ52)-1</f>
        <v>-0.17570731314692012</v>
      </c>
      <c r="BS65" s="193" t="s">
        <v>199</v>
      </c>
      <c r="BT65" s="190">
        <f>(BT52/BR52)-1</f>
        <v>-0.30129690770897211</v>
      </c>
      <c r="BU65" s="190">
        <f>(BU52/BT52)-1</f>
        <v>-0.86223138282040557</v>
      </c>
      <c r="BV65" s="190">
        <f>(BV52/BU52)-1</f>
        <v>-6.5235908318938689</v>
      </c>
      <c r="BW65" s="190">
        <f>(BW52/BV52)-1</f>
        <v>-0.83451170528854968</v>
      </c>
      <c r="BX65" s="193" t="s">
        <v>199</v>
      </c>
      <c r="BY65" s="190">
        <f>(BY52/BW52)-1</f>
        <v>-0.42276675061159985</v>
      </c>
      <c r="BZ65" s="190">
        <f>(BZ52/BY52)-1</f>
        <v>19.125492424524612</v>
      </c>
      <c r="CA65" s="190">
        <f>(CA52/BZ52)-1</f>
        <v>0.3703564658277414</v>
      </c>
      <c r="CB65" s="190">
        <f>(CB52/CA52)-1</f>
        <v>-7.7999462368321781E-2</v>
      </c>
      <c r="CC65" s="193" t="s">
        <v>199</v>
      </c>
      <c r="CD65" s="190">
        <f>(CD52/CB52)-1</f>
        <v>-0.37951021915659422</v>
      </c>
      <c r="CE65" s="190">
        <f>(CE52/CD52)-1</f>
        <v>-4.6387726548431263E-2</v>
      </c>
      <c r="CF65" s="190">
        <f>(CF52/CE52)-1</f>
        <v>-0.77772509681084112</v>
      </c>
      <c r="CG65" s="190">
        <f>(CG52/CF52)-1</f>
        <v>-2.2931601484415438</v>
      </c>
      <c r="CH65" s="193" t="s">
        <v>199</v>
      </c>
      <c r="CI65" s="190">
        <f>(CI52/CG52)-1</f>
        <v>2.3038120724235833E-2</v>
      </c>
      <c r="CJ65" s="190">
        <f>(CJ52/CI52)-1</f>
        <v>-0.2222390393748338</v>
      </c>
      <c r="CK65" s="190">
        <f>(CK52/CJ52)-1</f>
        <v>0.25178827926123759</v>
      </c>
      <c r="CL65" s="190">
        <f>(CL52/CK52)-1</f>
        <v>-0.72385886714284564</v>
      </c>
      <c r="CM65" s="193" t="s">
        <v>199</v>
      </c>
      <c r="CN65" s="190">
        <f>(CN52/CL52)-1</f>
        <v>-2.3859720074402544</v>
      </c>
      <c r="CO65" s="190">
        <f>(CO52/CN52)-1</f>
        <v>-1.629384439696409</v>
      </c>
      <c r="CP65" s="190">
        <f>(CP52/CO52)-1</f>
        <v>5.4194018249138933</v>
      </c>
      <c r="CQ65" s="190">
        <f>(CQ52/CP52)-1</f>
        <v>1.5340589428879801</v>
      </c>
      <c r="CR65" s="193" t="s">
        <v>199</v>
      </c>
      <c r="CS65" s="190">
        <f>(CS52/CQ52)-1</f>
        <v>-0.16264230177134253</v>
      </c>
      <c r="CT65" s="190">
        <f>(CT52/CS52)-1</f>
        <v>-0.53254875336513097</v>
      </c>
      <c r="CU65" s="190">
        <f>(CU52/CT52)-1</f>
        <v>0.52370161813969229</v>
      </c>
      <c r="CV65" s="190">
        <f>(CV52/CU52)-1</f>
        <v>-1.1600414027165962</v>
      </c>
      <c r="CW65" s="193" t="s">
        <v>199</v>
      </c>
      <c r="CX65" s="190">
        <f>(CX52/CV52)-1</f>
        <v>19.750289067026479</v>
      </c>
      <c r="CY65" s="190">
        <f>(CY52/CX52)-1</f>
        <v>-5.0695627219781714E-2</v>
      </c>
      <c r="CZ65" s="190">
        <f>(CZ52/CY52)-1</f>
        <v>-0.41612821633056618</v>
      </c>
      <c r="DA65" s="190">
        <f>(DA52/CZ52)-1</f>
        <v>-0.66372556381567427</v>
      </c>
      <c r="DB65" s="193" t="s">
        <v>199</v>
      </c>
      <c r="DC65" s="190">
        <f>(DC52/DA52)-1</f>
        <v>2.0337858528120853</v>
      </c>
      <c r="DD65" s="190">
        <f>(DD52/DC52)-1</f>
        <v>0.18635400842979077</v>
      </c>
      <c r="DE65" s="190">
        <f>(DE52/DD52)-1</f>
        <v>-0.6535761791774517</v>
      </c>
      <c r="DF65" s="190">
        <f>(DF52/DE52)-1</f>
        <v>2.2859340858254789</v>
      </c>
      <c r="DG65" s="193" t="s">
        <v>199</v>
      </c>
      <c r="DH65" s="190">
        <f>(DH52/DF52)-1</f>
        <v>-6.4394576333369091E-2</v>
      </c>
      <c r="DI65" s="190">
        <f>(DI52/DH52)-1</f>
        <v>-2.8784115404984156E-2</v>
      </c>
      <c r="DJ65" s="190">
        <f>(DJ52/DI52)-1</f>
        <v>-0.57952089337175794</v>
      </c>
      <c r="DK65" s="190">
        <f>(DK52/DJ52)-1</f>
        <v>-0.82645420319250906</v>
      </c>
      <c r="DL65" s="193" t="s">
        <v>199</v>
      </c>
      <c r="DM65" s="190">
        <f>(DM52/DK52)-1</f>
        <v>2.2929192455054519</v>
      </c>
      <c r="DN65" s="190">
        <f>(DN52/DM52)-1</f>
        <v>-0.65178426551168911</v>
      </c>
      <c r="DO65" s="190">
        <f>(DO52/DN52)-1</f>
        <v>1.0962814146544861</v>
      </c>
      <c r="DP65" s="190">
        <f>((DP52/DO52)-1)-((DP52/DO52)-1)</f>
        <v>0</v>
      </c>
      <c r="DQ65" s="193" t="s">
        <v>199</v>
      </c>
      <c r="DR65" s="190">
        <f>(DR52/DP52)-1</f>
        <v>-0.49642534529795157</v>
      </c>
      <c r="DS65" s="190">
        <f>(DS52/DR52)-1</f>
        <v>0.14251532824884028</v>
      </c>
      <c r="DT65" s="190">
        <f>(DT52/DS52)-1</f>
        <v>0.5756699440909967</v>
      </c>
      <c r="DU65" s="190">
        <f>((DU52/DT52)-1)-((DU52/DT52)-1)</f>
        <v>0</v>
      </c>
      <c r="DV65" s="193" t="s">
        <v>199</v>
      </c>
      <c r="DW65" s="190">
        <f>(DW52/DU52)-1</f>
        <v>-0.33721093169843708</v>
      </c>
      <c r="DX65" s="190">
        <f>(DX52/DW52)-1</f>
        <v>-0.50883653198701173</v>
      </c>
      <c r="DY65" s="190">
        <f>(DY52/DX52)-1</f>
        <v>-4.3046396264954776</v>
      </c>
      <c r="DZ65" s="190">
        <f>(DZ52/DY52)-1</f>
        <v>-0.29522534582775561</v>
      </c>
      <c r="EA65" s="193" t="s">
        <v>199</v>
      </c>
      <c r="EB65" s="190">
        <f>(EB52/EA52)-1</f>
        <v>-0.21370721947902971</v>
      </c>
      <c r="EC65" s="190">
        <f>(EC52/EB52)-1</f>
        <v>-0.3112692394748755</v>
      </c>
      <c r="ED65" s="190">
        <f>(ED52/EC52)-1</f>
        <v>-1.4694321385420861</v>
      </c>
      <c r="EE65" s="190">
        <f>(EE52/ED52)-1</f>
        <v>0.44782279120693991</v>
      </c>
      <c r="EF65" s="193" t="s">
        <v>199</v>
      </c>
      <c r="EG65" s="190">
        <f>(EG52/EF52)-1</f>
        <v>-1.1462323164173407</v>
      </c>
      <c r="EH65" s="190">
        <f>(EH52/EG52)-1</f>
        <v>0.41110383944153583</v>
      </c>
      <c r="EI65" s="190">
        <f>(EI52/EH52)-1</f>
        <v>0.14499812663919043</v>
      </c>
      <c r="EJ65" s="190">
        <f>(EJ52/EI52)-1</f>
        <v>-0.89948783610755434</v>
      </c>
      <c r="EK65" s="193" t="s">
        <v>199</v>
      </c>
      <c r="EL65" s="190">
        <f>(EL52/EK52)-1</f>
        <v>-2.8574661578199514</v>
      </c>
      <c r="EM65" s="190">
        <f>(EM52/EL52)-1</f>
        <v>0.64233076263924582</v>
      </c>
      <c r="EN65" s="190">
        <f>(EN52/EM52)-1</f>
        <v>-2.2206920296090615E-3</v>
      </c>
      <c r="EO65" s="190">
        <f>(EO52/EN52)-1</f>
        <v>-0.36725239481074845</v>
      </c>
      <c r="EP65" s="193" t="s">
        <v>199</v>
      </c>
      <c r="EQ65" s="190">
        <f>(EQ52/EO52)-1</f>
        <v>0.1759739828764848</v>
      </c>
      <c r="ER65" s="190">
        <f>(ER52/EQ52)-1</f>
        <v>-0.4998042456934052</v>
      </c>
      <c r="ES65" s="190">
        <f>(ES52/ER52)-1</f>
        <v>-1.069473238840702</v>
      </c>
      <c r="ET65" s="260">
        <f>(ET52/ES52)-1</f>
        <v>-9.0974758324382847</v>
      </c>
      <c r="EU65" s="193" t="s">
        <v>199</v>
      </c>
      <c r="EV65" s="190">
        <f>(EV52/ET52)-1</f>
        <v>0.63460265377198288</v>
      </c>
      <c r="EW65" s="190">
        <f>(EW52/EV52)-1</f>
        <v>-0.9414463643971841</v>
      </c>
      <c r="EX65" s="190">
        <f>(EX52/EW52)-1</f>
        <v>-21.436155167188602</v>
      </c>
      <c r="EY65" s="190">
        <f>(EY52/EX52)-1</f>
        <v>-0.1688512684976845</v>
      </c>
      <c r="EZ65" s="193" t="s">
        <v>199</v>
      </c>
      <c r="FA65" s="190">
        <f>(FA52/EY52)-1</f>
        <v>0.32580121529024741</v>
      </c>
      <c r="FB65" s="190">
        <f>(FB52/FA52)-1</f>
        <v>0.37277375555889725</v>
      </c>
      <c r="FC65" s="190">
        <f>(FC52/FB52)-1</f>
        <v>-9.9011696436666963E-2</v>
      </c>
      <c r="FD65" s="190">
        <f>(FD52/FC52)-1</f>
        <v>-0.55387542071118478</v>
      </c>
      <c r="FE65" s="193" t="s">
        <v>199</v>
      </c>
      <c r="FF65" s="190">
        <f>(FF52/FD52)-1</f>
        <v>-0.59388106247983652</v>
      </c>
      <c r="FG65" s="190">
        <f>(FG52/FF52)-1</f>
        <v>1.2078234359568896</v>
      </c>
      <c r="FH65" s="190">
        <f>(FH52/FG52)-1</f>
        <v>2.4854949618087958</v>
      </c>
      <c r="FI65" s="190">
        <f>(FI52/FH52)-1</f>
        <v>0.85767778798081862</v>
      </c>
      <c r="FJ65" s="193" t="s">
        <v>199</v>
      </c>
      <c r="FK65" s="190">
        <f>(FK52/FI52)-1</f>
        <v>-0.50217292137492775</v>
      </c>
      <c r="FL65" s="190">
        <f>(FL52/FK52)-1</f>
        <v>-6.9320044439525885E-2</v>
      </c>
      <c r="FM65" s="190">
        <f>(FM52/FL52)-1</f>
        <v>1.7512662234884453</v>
      </c>
      <c r="FN65" s="190">
        <f>(FN52/FM52)-1</f>
        <v>0.29882928701660139</v>
      </c>
      <c r="FO65" s="193" t="s">
        <v>199</v>
      </c>
      <c r="FP65" s="190">
        <f>(FP52/FN52)-1</f>
        <v>-4.0617384240457799E-3</v>
      </c>
      <c r="FQ65" s="190">
        <f>(FQ52/FP52)-1</f>
        <v>0.24674304600247154</v>
      </c>
      <c r="FR65" s="190">
        <f>(FR52/FQ52)-1</f>
        <v>0.144303679008013</v>
      </c>
      <c r="FS65" s="190">
        <f>(FS52/FR52)-1</f>
        <v>0.28036789835385689</v>
      </c>
      <c r="FT65" s="193" t="s">
        <v>199</v>
      </c>
      <c r="FU65" s="190">
        <f>(FU52/FS52)-1</f>
        <v>0.21419141914191431</v>
      </c>
      <c r="FV65" s="190">
        <f>(FV52/FU52)-1</f>
        <v>-0.11588027437123249</v>
      </c>
      <c r="FW65" s="190">
        <f>(FW52/FV52)-1</f>
        <v>-0.42710072248193798</v>
      </c>
      <c r="FX65" s="190">
        <f>(FX52/FW52)-1</f>
        <v>-2.3639174301217869E-2</v>
      </c>
      <c r="FY65" s="193" t="s">
        <v>199</v>
      </c>
      <c r="FZ65" s="190">
        <f>(FZ52/FX52)-1</f>
        <v>-0.16825714866581187</v>
      </c>
      <c r="GA65" s="190">
        <f>(GA52/FZ52)-1</f>
        <v>-0.10661718833038336</v>
      </c>
      <c r="GB65" s="190">
        <f>(GB52/GA52)-1</f>
        <v>0.30173316963372199</v>
      </c>
      <c r="GC65" s="190">
        <f>(GC52/GB52)-1</f>
        <v>0.11961313208116287</v>
      </c>
      <c r="GD65" s="193" t="s">
        <v>199</v>
      </c>
      <c r="GE65" s="190">
        <f>(GE52/GC52)-1</f>
        <v>-0.27120997123681689</v>
      </c>
      <c r="GF65" s="190">
        <f>(GF52/GE52)-1</f>
        <v>0.21643763666154747</v>
      </c>
      <c r="GG65" s="190">
        <f>(GG52/GF52)-1</f>
        <v>0.47910867657200185</v>
      </c>
      <c r="GH65" s="190">
        <f>(GH52/GG52)-1</f>
        <v>0.24870780391952896</v>
      </c>
      <c r="GI65" s="193" t="s">
        <v>199</v>
      </c>
      <c r="GJ65" s="190">
        <f>(GJ52/GH52)-1</f>
        <v>-0.16000424260153601</v>
      </c>
      <c r="GK65" s="190">
        <f>(GK52/GJ52)-1</f>
        <v>-0.65807907066953841</v>
      </c>
      <c r="GL65" s="190">
        <f>(GL52/GK52)-1</f>
        <v>2.727273802973559</v>
      </c>
      <c r="GM65" s="190">
        <f>(GM52/GL52)-1</f>
        <v>0.30862681291025118</v>
      </c>
      <c r="GN65" s="193" t="s">
        <v>199</v>
      </c>
      <c r="GO65" s="190">
        <f>(GO52/GM52)-1</f>
        <v>-0.12596044060874356</v>
      </c>
      <c r="GP65" s="190">
        <f>(GP52/GO52)-1</f>
        <v>0.20180746989776255</v>
      </c>
      <c r="GQ65" s="190">
        <f>(GQ52/GP52)-1</f>
        <v>7.7625272447569227E-2</v>
      </c>
      <c r="GR65" s="190">
        <f>(GR52/GQ52)-1</f>
        <v>0.65929766393134459</v>
      </c>
      <c r="GS65" s="193" t="s">
        <v>199</v>
      </c>
      <c r="GT65" s="190">
        <f>(GT52/GR52)-1</f>
        <v>8.2685660104306447E-2</v>
      </c>
      <c r="GU65" s="190">
        <f>(GU52/GT52)-1</f>
        <v>0.1173087068934795</v>
      </c>
      <c r="GV65" s="190">
        <f>(GV52/GU52)-1</f>
        <v>0.17246174366988187</v>
      </c>
      <c r="GW65" s="190">
        <f>(GW52/GV52)-1</f>
        <v>9.8076082331025383E-2</v>
      </c>
      <c r="GX65" s="193" t="s">
        <v>199</v>
      </c>
      <c r="GY65" s="190">
        <f>(GY52/GW52)-1</f>
        <v>-4.7352114734097173E-3</v>
      </c>
      <c r="GZ65" s="190">
        <f>(GZ52/GY52)-1</f>
        <v>7.3888801680794147E-2</v>
      </c>
      <c r="HA65" s="190">
        <f>(HA52/GZ52)-1</f>
        <v>0.12665554080663632</v>
      </c>
      <c r="HB65" s="190">
        <f>(HB52/HA52)-1</f>
        <v>9.7419121615109017E-2</v>
      </c>
      <c r="HC65" s="193" t="s">
        <v>199</v>
      </c>
      <c r="HD65" s="190">
        <f>(HD52/HB52)-1</f>
        <v>-4.8942118834324422E-2</v>
      </c>
      <c r="HE65" s="190">
        <f>(HE52/HD52)-1</f>
        <v>3.8779632677875764E-2</v>
      </c>
      <c r="HF65" s="190">
        <f>(HF52/HE52)-1</f>
        <v>0.10183465642457468</v>
      </c>
      <c r="HG65" s="190">
        <f>(HG52/HF52)-1</f>
        <v>3.2285881977826891E-2</v>
      </c>
      <c r="HH65" s="193" t="s">
        <v>199</v>
      </c>
      <c r="HI65" s="190">
        <f>(HI52/HG52)-1</f>
        <v>-8.164530466728781E-2</v>
      </c>
      <c r="HJ65" s="190">
        <f>(HJ52/HI52)-1</f>
        <v>4.1232573033527675E-2</v>
      </c>
      <c r="HK65" s="190">
        <f>(HK52/HJ52)-1</f>
        <v>0.13499114985735816</v>
      </c>
      <c r="HL65" s="190">
        <f>(HL52/HK52)-1</f>
        <v>5.1684103906373791E-2</v>
      </c>
      <c r="HM65" s="193" t="s">
        <v>199</v>
      </c>
      <c r="HN65" s="193"/>
      <c r="HO65" s="193"/>
      <c r="HP65" s="322"/>
    </row>
    <row r="66" spans="1:232" ht="15" customHeight="1">
      <c r="A66" s="248" t="s">
        <v>200</v>
      </c>
      <c r="L66" s="190"/>
      <c r="M66" s="190"/>
      <c r="N66" s="190"/>
      <c r="O66" s="190"/>
      <c r="P66" s="249"/>
      <c r="Q66" s="190"/>
      <c r="R66" s="190"/>
      <c r="S66" s="190"/>
      <c r="T66" s="190"/>
      <c r="U66" s="249"/>
      <c r="V66" s="190"/>
      <c r="W66" s="190"/>
      <c r="X66" s="190"/>
      <c r="Y66" s="190"/>
      <c r="Z66" s="190"/>
      <c r="AA66" s="190"/>
      <c r="AB66" s="190"/>
      <c r="AC66" s="190"/>
      <c r="AD66" s="190"/>
      <c r="AE66" s="249"/>
      <c r="AF66" s="193" t="s">
        <v>199</v>
      </c>
      <c r="AG66" s="193" t="s">
        <v>199</v>
      </c>
      <c r="AH66" s="193" t="s">
        <v>199</v>
      </c>
      <c r="AI66" s="193" t="s">
        <v>199</v>
      </c>
      <c r="AJ66" s="193" t="s">
        <v>199</v>
      </c>
      <c r="AK66" s="190">
        <f>(AK52/AF52)-1</f>
        <v>0.33865376041265338</v>
      </c>
      <c r="AL66" s="190">
        <f>(AL52/AG52)-1</f>
        <v>0.41665947265117254</v>
      </c>
      <c r="AM66" s="190">
        <f>(AM52/AH52)-1</f>
        <v>0.38456084097429821</v>
      </c>
      <c r="AN66" s="190">
        <f>(AN52/AI52)-1</f>
        <v>4.1307688775736651E-2</v>
      </c>
      <c r="AO66" s="193" t="s">
        <v>199</v>
      </c>
      <c r="AP66" s="190">
        <f>(AP52/AK52)-1</f>
        <v>0.1116059046932556</v>
      </c>
      <c r="AQ66" s="190">
        <f>(AQ52/AL52)-1</f>
        <v>-4.1619483511859845E-2</v>
      </c>
      <c r="AR66" s="190">
        <f>(AR52/AM52)-1</f>
        <v>-0.36688257340223285</v>
      </c>
      <c r="AS66" s="190">
        <f>(AS52/AN52)-1</f>
        <v>0.22483561032558774</v>
      </c>
      <c r="AT66" s="193" t="s">
        <v>199</v>
      </c>
      <c r="AU66" s="190">
        <f>(AU52/AP52)-1</f>
        <v>-0.79823332859869978</v>
      </c>
      <c r="AV66" s="190">
        <f>(AV52/AQ52)-1</f>
        <v>-1.2990541620330875</v>
      </c>
      <c r="AW66" s="190">
        <f>(AW52/AR52)-1</f>
        <v>-1.5386750700099197</v>
      </c>
      <c r="AX66" s="190">
        <f>(AX52/AS52)-1</f>
        <v>-1.2966098024784072</v>
      </c>
      <c r="AY66" s="193" t="s">
        <v>199</v>
      </c>
      <c r="AZ66" s="190">
        <f>(AZ52/AU52)-1</f>
        <v>-0.51962002073092184</v>
      </c>
      <c r="BA66" s="190">
        <f>(BA52/AV52)-1</f>
        <v>-1.2629019580937588</v>
      </c>
      <c r="BB66" s="190">
        <f>(BB52/AW52)-1</f>
        <v>-0.20721709106811936</v>
      </c>
      <c r="BC66" s="190">
        <f>(BC52/AX52)-1</f>
        <v>-0.43677635909286916</v>
      </c>
      <c r="BD66" s="193" t="s">
        <v>199</v>
      </c>
      <c r="BE66" s="190">
        <f>(BE52/AZ52)-1</f>
        <v>-6.0071985496289031</v>
      </c>
      <c r="BF66" s="190">
        <f>(BF52/BA52)-1</f>
        <v>-7.6779409351592136</v>
      </c>
      <c r="BG66" s="190">
        <f>(BG52/BB52)-1</f>
        <v>-1.0306962108332776</v>
      </c>
      <c r="BH66" s="190">
        <f>(BH52/BC52)-1</f>
        <v>-2.7124380037442712</v>
      </c>
      <c r="BI66" s="193" t="s">
        <v>199</v>
      </c>
      <c r="BJ66" s="190">
        <f>(BJ52/BE52)-1</f>
        <v>0.76487017880539843</v>
      </c>
      <c r="BK66" s="190">
        <f>(BK52/BF52)-1</f>
        <v>1.5704133185117564</v>
      </c>
      <c r="BL66" s="260">
        <f>(BL52/BG52)-1</f>
        <v>-105.38448022479112</v>
      </c>
      <c r="BM66" s="190">
        <f>(BM52/BH52)-1</f>
        <v>2.1128576840917535</v>
      </c>
      <c r="BN66" s="193" t="s">
        <v>199</v>
      </c>
      <c r="BO66" s="190">
        <f>(BO52/BJ52)-1</f>
        <v>-2.4756651318955747</v>
      </c>
      <c r="BP66" s="190">
        <f>(BP52/BK52)-1</f>
        <v>-2.0466723226805206</v>
      </c>
      <c r="BQ66" s="260">
        <f>(BQ52/BL52)-1</f>
        <v>-2.7935784626901867</v>
      </c>
      <c r="BR66" s="190">
        <f>(BR52/BM52)-1</f>
        <v>1.2847991378552903</v>
      </c>
      <c r="BS66" s="193" t="s">
        <v>199</v>
      </c>
      <c r="BT66" s="190">
        <f>(BT52/BO52)-1</f>
        <v>-0.3547337646898554</v>
      </c>
      <c r="BU66" s="190">
        <f>(BU52/BP52)-1</f>
        <v>-0.91582560830848192</v>
      </c>
      <c r="BV66" s="260">
        <f>(BV52/BQ52)-1</f>
        <v>-1.4382742058968605</v>
      </c>
      <c r="BW66" s="260">
        <f>(BW52/BR52)-1</f>
        <v>-1.0879896814647028</v>
      </c>
      <c r="BX66" s="193" t="s">
        <v>199</v>
      </c>
      <c r="BY66" s="190">
        <f>(BY52/BT52)-1</f>
        <v>-1.0726926362641103</v>
      </c>
      <c r="BZ66" s="190">
        <f>(BZ52/BU52)-1</f>
        <v>-11.619073707802018</v>
      </c>
      <c r="CA66" s="260">
        <f>(CA52/BV52)-1</f>
        <v>1.6345029455410369</v>
      </c>
      <c r="CB66" s="260">
        <f>(CB52/BW52)-1</f>
        <v>13.677854626614929</v>
      </c>
      <c r="CC66" s="193" t="s">
        <v>199</v>
      </c>
      <c r="CD66" s="190">
        <f>(CD52/BY52)-1</f>
        <v>14.777779277561287</v>
      </c>
      <c r="CE66" s="190">
        <f>(CE52/BZ52)-1</f>
        <v>-0.25239672900835031</v>
      </c>
      <c r="CF66" s="190">
        <f>(CF52/CA52)-1</f>
        <v>-0.87873706672140006</v>
      </c>
      <c r="CG66" s="190">
        <f>(CG52/CB52)-1</f>
        <v>-1.1700784179603754</v>
      </c>
      <c r="CH66" s="193" t="s">
        <v>199</v>
      </c>
      <c r="CI66" s="190">
        <f>(CI52/CD52)-1</f>
        <v>-1.2804183251002572</v>
      </c>
      <c r="CJ66" s="190">
        <f>(CJ52/CE52)-1</f>
        <v>-1.2287076540211421</v>
      </c>
      <c r="CK66" s="190">
        <f>(CK52/CF52)-1</f>
        <v>-2.2880156804628569</v>
      </c>
      <c r="CL66" s="190">
        <f>(CL52/CG52)-1</f>
        <v>-0.72495741570026451</v>
      </c>
      <c r="CM66" s="193" t="s">
        <v>199</v>
      </c>
      <c r="CN66" s="190">
        <f>(CN52/CI52)-1</f>
        <v>-1.3726169289015324</v>
      </c>
      <c r="CO66" s="190">
        <f>(CO52/CJ52)-1</f>
        <v>-0.69846866982166289</v>
      </c>
      <c r="CP66" s="190">
        <f>(CP52/CK52)-1</f>
        <v>0.54630843193218337</v>
      </c>
      <c r="CQ66" s="190">
        <f>(CQ52/CL52)-1</f>
        <v>13.189978399298507</v>
      </c>
      <c r="CR66" s="193" t="s">
        <v>199</v>
      </c>
      <c r="CS66" s="190">
        <f>(CS52/CN52)-1</f>
        <v>-9.573107960741531</v>
      </c>
      <c r="CT66" s="190">
        <f>(CT52/CO52)-1</f>
        <v>5.3673483979315035</v>
      </c>
      <c r="CU66" s="190">
        <f>(CU52/CP52)-1</f>
        <v>0.51134627832984214</v>
      </c>
      <c r="CV66" s="190">
        <f>(CV52/CQ52)-1</f>
        <v>-1.0954508098768827</v>
      </c>
      <c r="CW66" s="193" t="s">
        <v>199</v>
      </c>
      <c r="CX66" s="190">
        <f>(CX52/CS52)-1</f>
        <v>-3.3653355081310212</v>
      </c>
      <c r="CY66" s="190">
        <f>(CY52/CT52)-1</f>
        <v>-5.8035455186517488</v>
      </c>
      <c r="CZ66" s="190">
        <f>(CZ52/CU52)-1</f>
        <v>-2.8406849848573059</v>
      </c>
      <c r="DA66" s="190">
        <f>(DA52/CV52)-1</f>
        <v>2.8675948533888813</v>
      </c>
      <c r="DB66" s="193" t="s">
        <v>199</v>
      </c>
      <c r="DC66" s="190">
        <f>(DC52/CX52)-1</f>
        <v>-0.43454018820078888</v>
      </c>
      <c r="DD66" s="190">
        <f>(DD52/CY52)-1</f>
        <v>-0.29333990912811259</v>
      </c>
      <c r="DE66" s="190">
        <f>(DE52/CZ52)-1</f>
        <v>-0.58072320747520978</v>
      </c>
      <c r="DF66" s="190">
        <f>(DF52/DA52)-1</f>
        <v>3.0969986288151947</v>
      </c>
      <c r="DG66" s="193" t="s">
        <v>199</v>
      </c>
      <c r="DH66" s="190">
        <f>(DH52/DC52)-1</f>
        <v>0.26349529065184019</v>
      </c>
      <c r="DI66" s="190">
        <f>(DI52/DD52)-1</f>
        <v>3.436806187070407E-2</v>
      </c>
      <c r="DJ66" s="190">
        <f>(DJ52/DE52)-1</f>
        <v>0.2554857155823822</v>
      </c>
      <c r="DK66" s="190">
        <f>(DK52/DF52)-1</f>
        <v>-0.93369183215480378</v>
      </c>
      <c r="DL66" s="193" t="s">
        <v>199</v>
      </c>
      <c r="DM66" s="190">
        <f>(DM52/DH52)-1</f>
        <v>-0.76662443749422648</v>
      </c>
      <c r="DN66" s="190">
        <f>(DN52/DI52)-1</f>
        <v>-0.91632648909623526</v>
      </c>
      <c r="DO66" s="190">
        <f>(DO52/DJ52)-1</f>
        <v>-0.58284912843117609</v>
      </c>
      <c r="DP66" s="190">
        <f>((DP52/DK52)-1)-((DP52/DK52)-1)</f>
        <v>0</v>
      </c>
      <c r="DQ66" s="193" t="s">
        <v>199</v>
      </c>
      <c r="DR66" s="190">
        <f>(DR52/DM52)-1</f>
        <v>-1.5502247138951957</v>
      </c>
      <c r="DS66" s="190">
        <f>(DS52/DN52)-1</f>
        <v>-2.8053181041067985</v>
      </c>
      <c r="DT66" s="190">
        <f>(DT52/DO52)-1</f>
        <v>-2.3569673691131179</v>
      </c>
      <c r="DU66" s="190">
        <f>((DU52/DP52)-1)-((DU52/DP52)-1)</f>
        <v>0</v>
      </c>
      <c r="DV66" s="193" t="s">
        <v>199</v>
      </c>
      <c r="DW66" s="190">
        <f>(DW52/DR52)-1</f>
        <v>0.50431100271029461</v>
      </c>
      <c r="DX66" s="190">
        <f>(DX52/DS52)-1</f>
        <v>-0.35330179754020807</v>
      </c>
      <c r="DY66" s="190">
        <f>(DY52/DT52)-1</f>
        <v>-2.3563148261134841</v>
      </c>
      <c r="DZ66" s="190">
        <f>(DZ52/DU52)-1</f>
        <v>-1.7581860287866795</v>
      </c>
      <c r="EA66" s="193" t="s">
        <v>199</v>
      </c>
      <c r="EB66" s="190">
        <f>(EB52/DW52)-1</f>
        <v>-2.0117220446067736</v>
      </c>
      <c r="EC66" s="190">
        <f>(EC52/DX52)-1</f>
        <v>-2.4186806197964845</v>
      </c>
      <c r="ED66" s="190">
        <f>(ED52/DY52)-1</f>
        <v>-1.2015270506108202</v>
      </c>
      <c r="EE66" s="190">
        <f>(EE52/DZ52)-1</f>
        <v>-1.4139982265136213</v>
      </c>
      <c r="EF66" s="193" t="s">
        <v>199</v>
      </c>
      <c r="EG66" s="190">
        <f>(EG52/EB52)-1</f>
        <v>-1.1256465456985489</v>
      </c>
      <c r="EH66" s="190">
        <f>(EH52/EC52)-1</f>
        <v>-1.2574305275875957</v>
      </c>
      <c r="EI66" s="190">
        <f>(EI52/ED52)-1</f>
        <v>-0.37209780152044392</v>
      </c>
      <c r="EJ66" s="190">
        <f>(EJ52/EE52)-1</f>
        <v>-0.95640916204296478</v>
      </c>
      <c r="EK66" s="190" t="s">
        <v>397</v>
      </c>
      <c r="EL66" s="190">
        <f>(EL52/EG52)-1</f>
        <v>-8.3455598455598441</v>
      </c>
      <c r="EM66" s="190">
        <f>(EM52/EH52)-1</f>
        <v>-9.5492212309088149</v>
      </c>
      <c r="EN66" s="190">
        <f>(EN52/EI52)-1</f>
        <v>-8.4500000000000011</v>
      </c>
      <c r="EO66" s="190">
        <f>(EO52/EJ52)-1</f>
        <v>-47.899494310998705</v>
      </c>
      <c r="EP66" s="193" t="s">
        <v>199</v>
      </c>
      <c r="EQ66" s="190">
        <f>(EQ52/EL52)-1</f>
        <v>0.21933585540142908</v>
      </c>
      <c r="ER66" s="190">
        <f>(ER52/EM52)-1</f>
        <v>-0.62863350561279918</v>
      </c>
      <c r="ES66" s="190">
        <f>(ES52/EN52)-1</f>
        <v>-1.0258574546053443</v>
      </c>
      <c r="ET66" s="190">
        <f>(ET52/EO52)-1</f>
        <v>-0.66909378709932721</v>
      </c>
      <c r="EU66" s="193" t="s">
        <v>199</v>
      </c>
      <c r="EV66" s="190">
        <f>(EV52/EQ52)-1</f>
        <v>-0.54004069678989797</v>
      </c>
      <c r="EW66" s="190">
        <f>(EW52/ER52)-1</f>
        <v>-0.94615650132891516</v>
      </c>
      <c r="EX66" s="190">
        <f>(EX52/ES52)-1</f>
        <v>14.838531669865736</v>
      </c>
      <c r="EY66" s="190">
        <f>(EY52/ET52)-1</f>
        <v>-2.625713466600641</v>
      </c>
      <c r="EZ66" s="193" t="s">
        <v>199</v>
      </c>
      <c r="FA66" s="190">
        <f>(FA52/EV52)-1</f>
        <v>-2.3185913315135931</v>
      </c>
      <c r="FB66" s="190">
        <f>(FB52/EW52)-1</f>
        <v>-31.914008251987514</v>
      </c>
      <c r="FC66" s="190">
        <f>(FC52/EX52)-1</f>
        <v>0.362935426132452</v>
      </c>
      <c r="FD66" s="190">
        <f>(FD52/EY52)-1</f>
        <v>-0.26843539485150703</v>
      </c>
      <c r="FE66" s="193" t="s">
        <v>199</v>
      </c>
      <c r="FF66" s="190">
        <f>(FF52/FA52)-1</f>
        <v>-0.77590740094078015</v>
      </c>
      <c r="FG66" s="190">
        <f>(FG52/FB52)-1</f>
        <v>-0.63959327600489702</v>
      </c>
      <c r="FH66" s="190">
        <f>(FH52/FC52)-1</f>
        <v>0.39424209583941949</v>
      </c>
      <c r="FI66" s="190">
        <f>(FI52/FD52)-1</f>
        <v>4.8056710899848154</v>
      </c>
      <c r="FJ66" s="193" t="s">
        <v>199</v>
      </c>
      <c r="FK66" s="190">
        <f>(FK52/FF52)-1</f>
        <v>6.1166843285698365</v>
      </c>
      <c r="FL66" s="190">
        <f>(FL52/FG52)-1</f>
        <v>1.9999479789835091</v>
      </c>
      <c r="FM66" s="190">
        <f>(FM52/FH52)-1</f>
        <v>1.3680009976306269</v>
      </c>
      <c r="FN66" s="190">
        <f>(FN52/FI52)-1</f>
        <v>0.65563106115953929</v>
      </c>
      <c r="FO66" s="193" t="s">
        <v>199</v>
      </c>
      <c r="FP66" s="190">
        <f>(FP52/FK52)-1</f>
        <v>2.312206972381714</v>
      </c>
      <c r="FQ66" s="190">
        <f>(FQ52/FL52)-1</f>
        <v>3.4370473276723281</v>
      </c>
      <c r="FR66" s="190">
        <f>(FR52/FM52)-1</f>
        <v>0.84545193687231013</v>
      </c>
      <c r="FS66" s="190">
        <f>(FS52/FN52)-1</f>
        <v>0.81922092575669825</v>
      </c>
      <c r="FT66" s="193" t="s">
        <v>199</v>
      </c>
      <c r="FU66" s="190">
        <f>(FU52/FP52)-1</f>
        <v>1.217890930389498</v>
      </c>
      <c r="FV66" s="190">
        <f>(FV52/FQ52)-1</f>
        <v>0.57280293412328964</v>
      </c>
      <c r="FW66" s="190">
        <f>(FW52/FR52)-1</f>
        <v>-0.21257120713040101</v>
      </c>
      <c r="FX66" s="190">
        <f>(FX52/FS52)-1</f>
        <v>-0.39953615880747528</v>
      </c>
      <c r="FY66" s="193" t="s">
        <v>199</v>
      </c>
      <c r="FZ66" s="190">
        <f>(FZ52/FU52)-1</f>
        <v>-0.58867152285633439</v>
      </c>
      <c r="GA66" s="190">
        <f>(GA52/FV52)-1</f>
        <v>-0.58436195825282611</v>
      </c>
      <c r="GB66" s="190">
        <f>(GB52/FW52)-1</f>
        <v>-5.5593458159241549E-2</v>
      </c>
      <c r="GC66" s="190">
        <f>(GC52/FX52)-1</f>
        <v>8.2970494552063512E-2</v>
      </c>
      <c r="GD66" s="193" t="s">
        <v>199</v>
      </c>
      <c r="GE66" s="190">
        <f>(GE52/FZ52)-1</f>
        <v>-5.1079192795900563E-2</v>
      </c>
      <c r="GF66" s="190">
        <f>(GF52/GA52)-1</f>
        <v>0.29205864386072089</v>
      </c>
      <c r="GG66" s="190">
        <f>(GG52/GB52)-1</f>
        <v>0.46811588991927167</v>
      </c>
      <c r="GH66" s="190">
        <f>(GH52/GC52)-1</f>
        <v>0.63739394999125731</v>
      </c>
      <c r="GI66" s="193" t="s">
        <v>199</v>
      </c>
      <c r="GJ66" s="190">
        <f>(GJ52/GE52)-1</f>
        <v>0.88724312476769618</v>
      </c>
      <c r="GK66" s="190">
        <f>(GK52/GF52)-1</f>
        <v>-0.46952650621362269</v>
      </c>
      <c r="GL66" s="190">
        <f>(GL52/GG52)-1</f>
        <v>0.33676449058783664</v>
      </c>
      <c r="GM66" s="190">
        <f>(GM52/GH52)-1</f>
        <v>0.4009088831179346</v>
      </c>
      <c r="GN66" s="193" t="s">
        <v>199</v>
      </c>
      <c r="GO66" s="190">
        <f>(GO52/GJ52)-1</f>
        <v>0.45768567538950244</v>
      </c>
      <c r="GP66" s="190">
        <f>(GP52/GK52)-1</f>
        <v>4.123575023256107</v>
      </c>
      <c r="GQ66" s="190">
        <f>(GQ52/GL52)-1</f>
        <v>0.4813223342854831</v>
      </c>
      <c r="GR66" s="190">
        <f>(GR52/GM52)-1</f>
        <v>0.87827015659490471</v>
      </c>
      <c r="GS66" s="193" t="s">
        <v>199</v>
      </c>
      <c r="GT66" s="190">
        <f>(GT52/GO52)-1</f>
        <v>1.3266408739708546</v>
      </c>
      <c r="GU66" s="190">
        <f>(GU52/GP52)-1</f>
        <v>1.1630553740217939</v>
      </c>
      <c r="GV66" s="190">
        <f>(GV52/GQ52)-1</f>
        <v>1.3534151808818979</v>
      </c>
      <c r="GW66" s="190">
        <f>(GW52/GR52)-1</f>
        <v>0.55742334729646292</v>
      </c>
      <c r="GX66" s="193" t="s">
        <v>199</v>
      </c>
      <c r="GY66" s="190">
        <f>(GY52/GT52)-1</f>
        <v>0.43167003638346513</v>
      </c>
      <c r="GZ66" s="190">
        <f>(GZ52/GU52)-1</f>
        <v>0.37603368727772213</v>
      </c>
      <c r="HA66" s="190">
        <f>(HA52/GV52)-1</f>
        <v>0.32227425455728897</v>
      </c>
      <c r="HB66" s="190">
        <f>(HB52/GW52)-1</f>
        <v>0.32148315979173536</v>
      </c>
      <c r="HC66" s="193" t="s">
        <v>199</v>
      </c>
      <c r="HD66" s="190">
        <f>(HD52/GY52)-1</f>
        <v>0.26278653523777495</v>
      </c>
      <c r="HE66" s="190">
        <f>(HE52/GZ52)-1</f>
        <v>0.22150164073949785</v>
      </c>
      <c r="HF66" s="190">
        <f>(HF52/HA52)-1</f>
        <v>0.194591240977396</v>
      </c>
      <c r="HG66" s="190">
        <f>(HG52/HB52)-1</f>
        <v>0.12369071078372951</v>
      </c>
      <c r="HH66" s="193" t="s">
        <v>199</v>
      </c>
      <c r="HI66" s="190">
        <f>(HI52/HD52)-1</f>
        <v>8.5051352589784468E-2</v>
      </c>
      <c r="HJ66" s="190">
        <f>(HJ52/HE52)-1</f>
        <v>8.7613557476167392E-2</v>
      </c>
      <c r="HK66" s="190">
        <f>(HK52/HF52)-1</f>
        <v>0.12034210850294591</v>
      </c>
      <c r="HL66" s="190">
        <f>(HL52/HG52)-1</f>
        <v>0.14139504086989563</v>
      </c>
      <c r="HM66" s="193" t="s">
        <v>199</v>
      </c>
      <c r="HN66" s="193"/>
      <c r="HO66" s="193"/>
      <c r="HP66" s="322"/>
    </row>
    <row r="67" spans="1:232" ht="15" customHeight="1"/>
    <row r="68" spans="1:232" s="291" customFormat="1" ht="15" customHeight="1">
      <c r="A68" s="323"/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298"/>
      <c r="Q68" s="179"/>
      <c r="R68" s="179"/>
      <c r="S68" s="179"/>
      <c r="T68" s="179"/>
      <c r="U68" s="289"/>
      <c r="V68" s="179"/>
      <c r="W68" s="179"/>
      <c r="X68" s="179"/>
      <c r="Y68" s="179"/>
      <c r="Z68" s="289"/>
      <c r="AA68" s="179"/>
      <c r="AB68" s="179"/>
      <c r="AC68" s="179"/>
      <c r="AD68" s="179"/>
      <c r="AE68" s="289"/>
      <c r="AF68" s="299"/>
      <c r="AG68" s="299"/>
      <c r="AH68" s="299"/>
      <c r="AI68" s="299"/>
      <c r="AJ68" s="289"/>
      <c r="AK68" s="299"/>
      <c r="AL68" s="299"/>
      <c r="AM68" s="299"/>
      <c r="AN68" s="299"/>
      <c r="AO68" s="289"/>
      <c r="AP68" s="299"/>
      <c r="AQ68" s="299"/>
      <c r="AR68" s="299"/>
      <c r="AS68" s="299"/>
      <c r="AT68" s="289"/>
      <c r="AU68" s="299"/>
      <c r="AV68" s="299"/>
      <c r="AW68" s="299"/>
      <c r="AX68" s="299"/>
      <c r="AY68" s="289"/>
      <c r="AZ68" s="299"/>
      <c r="BA68" s="299"/>
      <c r="BB68" s="299"/>
      <c r="BC68" s="299"/>
      <c r="BD68" s="289"/>
      <c r="BE68" s="299"/>
      <c r="BF68" s="299"/>
      <c r="BG68" s="299"/>
      <c r="BH68" s="299"/>
      <c r="BI68" s="289"/>
      <c r="BJ68" s="299"/>
      <c r="BK68" s="299"/>
      <c r="BL68" s="299"/>
      <c r="BM68" s="299"/>
      <c r="BN68" s="289"/>
      <c r="BO68" s="299"/>
      <c r="BP68" s="299"/>
      <c r="BQ68" s="299"/>
      <c r="BR68" s="299"/>
      <c r="BS68" s="289"/>
      <c r="BT68" s="299"/>
      <c r="BU68" s="299"/>
      <c r="BV68" s="299"/>
      <c r="BW68" s="299"/>
      <c r="BX68" s="289"/>
      <c r="BY68" s="299"/>
      <c r="BZ68" s="299"/>
      <c r="CA68" s="299"/>
      <c r="CB68" s="299"/>
      <c r="CC68" s="289"/>
      <c r="CD68" s="299"/>
      <c r="CE68" s="299"/>
      <c r="CF68" s="299"/>
      <c r="CG68" s="299"/>
      <c r="CH68" s="289"/>
      <c r="CI68" s="299"/>
      <c r="CJ68" s="299"/>
      <c r="CK68" s="299"/>
      <c r="CL68" s="299"/>
      <c r="CM68" s="289"/>
      <c r="CN68" s="299"/>
      <c r="CO68" s="299"/>
      <c r="CP68" s="299"/>
      <c r="CQ68" s="299"/>
      <c r="CR68" s="235"/>
      <c r="CS68" s="299"/>
      <c r="CT68" s="299"/>
      <c r="CU68" s="299"/>
      <c r="CV68" s="299"/>
      <c r="CW68" s="235"/>
      <c r="CX68" s="299"/>
      <c r="CY68" s="299"/>
      <c r="CZ68" s="299"/>
      <c r="DA68" s="299"/>
      <c r="DB68" s="235"/>
      <c r="DC68" s="299"/>
      <c r="DD68" s="299"/>
      <c r="DE68" s="299"/>
      <c r="DF68" s="299"/>
      <c r="DG68" s="299"/>
      <c r="DH68" s="299"/>
      <c r="DI68" s="299"/>
      <c r="DJ68" s="299"/>
      <c r="DK68" s="299"/>
      <c r="DL68" s="300"/>
      <c r="DM68" s="299"/>
      <c r="DN68" s="299"/>
      <c r="DO68" s="299"/>
      <c r="DP68" s="299"/>
      <c r="DQ68" s="300"/>
      <c r="DR68" s="299"/>
      <c r="DS68" s="299"/>
      <c r="DT68" s="299"/>
      <c r="DU68" s="299"/>
      <c r="DV68" s="300"/>
      <c r="DW68" s="299"/>
      <c r="DX68" s="299"/>
      <c r="DY68" s="299"/>
      <c r="DZ68" s="299"/>
      <c r="EA68" s="300"/>
      <c r="EB68" s="299"/>
      <c r="EC68" s="299"/>
      <c r="ED68" s="299"/>
      <c r="EE68" s="299"/>
      <c r="EF68" s="300"/>
      <c r="EG68" s="299"/>
      <c r="EH68" s="299"/>
      <c r="EI68" s="299"/>
      <c r="EJ68" s="299"/>
      <c r="EK68" s="300"/>
      <c r="EL68" s="299"/>
      <c r="EM68" s="299"/>
      <c r="EN68" s="299"/>
      <c r="EO68" s="299"/>
      <c r="EP68" s="300"/>
      <c r="EQ68" s="299"/>
      <c r="ER68" s="299"/>
      <c r="ES68" s="299"/>
      <c r="ET68" s="299"/>
      <c r="EU68" s="300"/>
      <c r="EV68" s="299"/>
      <c r="EW68" s="299"/>
      <c r="EX68" s="299"/>
      <c r="EY68" s="299"/>
      <c r="EZ68" s="300"/>
      <c r="FA68" s="299"/>
      <c r="FB68" s="299"/>
      <c r="FC68" s="299"/>
      <c r="FD68" s="299"/>
      <c r="FE68" s="300"/>
      <c r="FF68" s="299"/>
      <c r="FG68" s="299"/>
      <c r="FH68" s="299"/>
      <c r="FI68" s="299"/>
      <c r="FJ68" s="300"/>
      <c r="FK68" s="299"/>
      <c r="FL68" s="299"/>
      <c r="FM68" s="299"/>
      <c r="FN68" s="299"/>
      <c r="FO68" s="300"/>
      <c r="FP68" s="299"/>
      <c r="FQ68" s="299"/>
      <c r="FR68" s="299"/>
      <c r="FS68" s="302"/>
      <c r="FT68" s="300"/>
      <c r="FU68" s="299"/>
      <c r="FV68" s="299"/>
      <c r="FW68" s="299"/>
      <c r="FX68" s="299"/>
      <c r="FY68" s="300"/>
      <c r="FZ68" s="299"/>
      <c r="GA68" s="299"/>
      <c r="GB68" s="299"/>
      <c r="GC68" s="299"/>
      <c r="GD68" s="300"/>
      <c r="GE68" s="299"/>
      <c r="GF68" s="299"/>
      <c r="GG68" s="299"/>
      <c r="GH68" s="299"/>
      <c r="GI68" s="300"/>
      <c r="GJ68" s="299"/>
      <c r="GK68" s="299"/>
      <c r="GL68" s="299"/>
      <c r="GM68" s="299"/>
      <c r="GN68" s="300"/>
      <c r="GO68" s="299"/>
      <c r="GP68" s="299"/>
      <c r="GQ68" s="299"/>
      <c r="GR68" s="299"/>
      <c r="GS68" s="300"/>
      <c r="GT68" s="299"/>
      <c r="GU68" s="299"/>
      <c r="GV68" s="299"/>
      <c r="GW68" s="299"/>
      <c r="GX68" s="300"/>
      <c r="GY68" s="299"/>
      <c r="GZ68" s="299"/>
      <c r="HA68" s="299"/>
      <c r="HB68" s="299"/>
      <c r="HC68" s="300"/>
      <c r="HD68" s="299"/>
      <c r="HE68" s="299"/>
      <c r="HF68" s="299"/>
      <c r="HG68" s="299"/>
      <c r="HH68" s="300"/>
      <c r="HI68" s="299"/>
      <c r="HJ68" s="299"/>
      <c r="HK68" s="299"/>
      <c r="HL68" s="299"/>
      <c r="HM68" s="300"/>
      <c r="HN68" s="324"/>
      <c r="HO68" s="303"/>
      <c r="HP68" s="295"/>
      <c r="HR68" s="290"/>
      <c r="HS68" s="290"/>
      <c r="HT68" s="290"/>
      <c r="HU68" s="290"/>
      <c r="HV68" s="290"/>
      <c r="HW68" s="290"/>
      <c r="HX68" s="290"/>
    </row>
    <row r="69" spans="1:232" s="291" customFormat="1" ht="15" customHeight="1">
      <c r="A69" s="179" t="s">
        <v>398</v>
      </c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288"/>
      <c r="Q69" s="179"/>
      <c r="R69" s="179"/>
      <c r="S69" s="179"/>
      <c r="T69" s="179"/>
      <c r="U69" s="289"/>
      <c r="V69" s="179"/>
      <c r="W69" s="179"/>
      <c r="X69" s="179"/>
      <c r="Y69" s="179"/>
      <c r="Z69" s="289"/>
      <c r="AA69" s="179"/>
      <c r="AB69" s="179"/>
      <c r="AC69" s="179"/>
      <c r="AD69" s="179"/>
      <c r="AE69" s="289"/>
      <c r="AF69" s="179"/>
      <c r="AG69" s="179"/>
      <c r="AH69" s="179"/>
      <c r="AI69" s="179"/>
      <c r="AJ69" s="289"/>
      <c r="AK69" s="191">
        <f>AK108+AK25</f>
        <v>-58.390140251032982</v>
      </c>
      <c r="AL69" s="191">
        <f>AL108+AL25</f>
        <v>0.35086888544282668</v>
      </c>
      <c r="AM69" s="191">
        <f>AM108+AM25</f>
        <v>24.135628991335143</v>
      </c>
      <c r="AN69" s="191">
        <f>AN108+AN25</f>
        <v>13.726410354239425</v>
      </c>
      <c r="AO69" s="250">
        <f>SUM(AK69:AN69)</f>
        <v>-20.177232020015587</v>
      </c>
      <c r="AP69" s="191">
        <f>AP108+AP25</f>
        <v>20.607574749716171</v>
      </c>
      <c r="AQ69" s="191">
        <f>AQ108+AQ25</f>
        <v>48.550580906846534</v>
      </c>
      <c r="AR69" s="191">
        <f>AR108+AR25</f>
        <v>1.7645407911786397</v>
      </c>
      <c r="AS69" s="191">
        <f>AS108+AS25</f>
        <v>10.906338081274271</v>
      </c>
      <c r="AT69" s="250">
        <f>SUM(AP69:AS69)</f>
        <v>81.82903452901563</v>
      </c>
      <c r="AU69" s="191">
        <f>AU108+AU25</f>
        <v>-80.597002403475116</v>
      </c>
      <c r="AV69" s="191">
        <f>AV108+AV25</f>
        <v>-51.728914262861004</v>
      </c>
      <c r="AW69" s="191">
        <f>AW108+AW25</f>
        <v>-71.967361562134741</v>
      </c>
      <c r="AX69" s="191">
        <f>AX108+AX25</f>
        <v>96.064234959788109</v>
      </c>
      <c r="AY69" s="250">
        <f>SUM(AU69:AX69)</f>
        <v>-108.22904326868274</v>
      </c>
      <c r="AZ69" s="191">
        <f>AZ108+AZ25</f>
        <v>14.858333344806786</v>
      </c>
      <c r="BA69" s="191">
        <f>BA108+BA25</f>
        <v>-58.794373344366683</v>
      </c>
      <c r="BB69" s="191">
        <f>BB108+BB25</f>
        <v>-49.447927742506415</v>
      </c>
      <c r="BC69" s="191">
        <f>BC108+BC25</f>
        <v>107.24459144023444</v>
      </c>
      <c r="BD69" s="250">
        <f>SUM(AZ69:BC69)</f>
        <v>13.860623698168126</v>
      </c>
      <c r="BE69" s="191">
        <f>BE108+BE25</f>
        <v>-65.947170751549393</v>
      </c>
      <c r="BF69" s="191">
        <f>BF108+BF25</f>
        <v>50.662563157834747</v>
      </c>
      <c r="BG69" s="191">
        <f>BG108+BG25</f>
        <v>-165.73213700874874</v>
      </c>
      <c r="BH69" s="191">
        <f>BH108+BH25</f>
        <v>59.831874293248099</v>
      </c>
      <c r="BI69" s="250">
        <f>SUM(BE69:BH69)</f>
        <v>-121.18487030921528</v>
      </c>
      <c r="BJ69" s="191">
        <f>BJ108+BJ25</f>
        <v>27.722021570853382</v>
      </c>
      <c r="BK69" s="191">
        <f>BK108+BK25</f>
        <v>14.329496461992674</v>
      </c>
      <c r="BL69" s="191">
        <f>BL108+BL25</f>
        <v>-70.224488365912009</v>
      </c>
      <c r="BM69" s="191">
        <f>BM108+BM25</f>
        <v>150.12092691311125</v>
      </c>
      <c r="BN69" s="250">
        <f>SUM(BJ69:BM69)</f>
        <v>121.94795658004529</v>
      </c>
      <c r="BO69" s="191">
        <f>BO108+BO25</f>
        <v>83.346443408554165</v>
      </c>
      <c r="BP69" s="191">
        <f>BP108+BP25</f>
        <v>-105.01223625192985</v>
      </c>
      <c r="BQ69" s="191">
        <f>BQ108+BQ25</f>
        <v>-26.113152237497182</v>
      </c>
      <c r="BR69" s="191">
        <f>BR108+BR25</f>
        <v>-73.620044718560322</v>
      </c>
      <c r="BS69" s="250">
        <f>SUM(BO69:BR69)</f>
        <v>-121.3989897994332</v>
      </c>
      <c r="BT69" s="191">
        <f>BT108+BT25</f>
        <v>-134.85749996088319</v>
      </c>
      <c r="BU69" s="191">
        <f>BU108+BU25</f>
        <v>-336.10301604443072</v>
      </c>
      <c r="BV69" s="191">
        <f>BV108+BV25</f>
        <v>56.91683467168064</v>
      </c>
      <c r="BW69" s="191">
        <f>BW108+BW25</f>
        <v>-14.110220918126668</v>
      </c>
      <c r="BX69" s="250">
        <f>SUM(BT69:BW69)</f>
        <v>-428.15390225175997</v>
      </c>
      <c r="BY69" s="191">
        <f>BY108+BY25</f>
        <v>53.987986802620199</v>
      </c>
      <c r="BZ69" s="191">
        <f>BZ108+BZ25</f>
        <v>-6.972193726792824</v>
      </c>
      <c r="CA69" s="191">
        <f>CA108+CA25</f>
        <v>95.60915992853586</v>
      </c>
      <c r="CB69" s="191">
        <f>CB108+CB25</f>
        <v>18.750259764287698</v>
      </c>
      <c r="CC69" s="250">
        <f>SUM(BY69:CB69)</f>
        <v>161.37521276865095</v>
      </c>
      <c r="CD69" s="191">
        <f>CD108+CD25</f>
        <v>-124.60059273253982</v>
      </c>
      <c r="CE69" s="191">
        <f>CE108+CE25</f>
        <v>-66.955392320316903</v>
      </c>
      <c r="CF69" s="191">
        <f>CF108+CF25</f>
        <v>-244.52708245269503</v>
      </c>
      <c r="CG69" s="191">
        <f>CG108+CG25</f>
        <v>129.94633395764569</v>
      </c>
      <c r="CH69" s="250">
        <f>SUM(CD69:CG69)</f>
        <v>-306.13673354790603</v>
      </c>
      <c r="CI69" s="191">
        <f>CI108+CI25</f>
        <v>-101.91643322201853</v>
      </c>
      <c r="CJ69" s="191">
        <f>CJ108+CJ25</f>
        <v>-59.853599300860566</v>
      </c>
      <c r="CK69" s="191">
        <f>CK108+CK25</f>
        <v>-37.060848518587449</v>
      </c>
      <c r="CL69" s="191">
        <f>CL108+CL25</f>
        <v>77.298936925202455</v>
      </c>
      <c r="CM69" s="250">
        <f>SUM(CI69:CL69)</f>
        <v>-121.53194411626409</v>
      </c>
      <c r="CN69" s="191">
        <f>CN108+CN25</f>
        <v>11.688778446277118</v>
      </c>
      <c r="CO69" s="191">
        <f>CO108+CO25</f>
        <v>13.252340107848283</v>
      </c>
      <c r="CP69" s="191">
        <f>CP108+CP25</f>
        <v>110.53770102872753</v>
      </c>
      <c r="CQ69" s="191">
        <f>CQ108+CQ25</f>
        <v>83.918907025930835</v>
      </c>
      <c r="CR69" s="250">
        <f>SUM(CN69:CQ69)</f>
        <v>219.39772660878378</v>
      </c>
      <c r="CS69" s="191">
        <f>CS108+CS25</f>
        <v>200.21212111776532</v>
      </c>
      <c r="CT69" s="191">
        <f>CT108+CT25</f>
        <v>-70.994054118534919</v>
      </c>
      <c r="CU69" s="191">
        <f>CU108+CU25</f>
        <v>-94.097236498039365</v>
      </c>
      <c r="CV69" s="191">
        <f>CV108+CV25</f>
        <v>137.26053637901859</v>
      </c>
      <c r="CW69" s="250">
        <f>SUM(CS69:CV69)</f>
        <v>172.38136688020964</v>
      </c>
      <c r="CX69" s="191">
        <f>CX108+CX25</f>
        <v>305.68288726682886</v>
      </c>
      <c r="CY69" s="191">
        <f>CY108+CY25</f>
        <v>-410.23802612481859</v>
      </c>
      <c r="CZ69" s="191">
        <f>CZ108+CZ25</f>
        <v>238.90931372549019</v>
      </c>
      <c r="DA69" s="191">
        <f>DA108+DA25</f>
        <v>-108.00508474576272</v>
      </c>
      <c r="DB69" s="250">
        <f>SUM(CX69:DA69)</f>
        <v>26.349090121737746</v>
      </c>
      <c r="DC69" s="191">
        <f>DC108+DC25</f>
        <v>104.8578073089701</v>
      </c>
      <c r="DD69" s="191">
        <f>DD108+DD25</f>
        <v>-88.204595997034843</v>
      </c>
      <c r="DE69" s="191">
        <f>DE108+DE25</f>
        <v>-488.01743462017436</v>
      </c>
      <c r="DF69" s="191">
        <f>DF108+DF25</f>
        <v>129.776247848537</v>
      </c>
      <c r="DG69" s="250">
        <f>SUM(DC69:DF69)</f>
        <v>-341.58797545970208</v>
      </c>
      <c r="DH69" s="191">
        <f>DH108+DH25</f>
        <v>-253.12319456244691</v>
      </c>
      <c r="DI69" s="191">
        <f>DI108+DI25</f>
        <v>-129.1731418918919</v>
      </c>
      <c r="DJ69" s="191">
        <f>DJ108+DJ25</f>
        <v>-292.96633237822351</v>
      </c>
      <c r="DK69" s="191">
        <f>DK108+DK25</f>
        <v>-57.897326852976917</v>
      </c>
      <c r="DL69" s="250">
        <f>SUM(DH69:DK69)</f>
        <v>-733.15999568553923</v>
      </c>
      <c r="DM69" s="191">
        <f>DM108+DM25</f>
        <v>-40.917407878017791</v>
      </c>
      <c r="DN69" s="191">
        <f>DN108+DN25</f>
        <v>-278.91651542649726</v>
      </c>
      <c r="DO69" s="191">
        <f>DO108+DO25</f>
        <v>-344.91100123609397</v>
      </c>
      <c r="DP69" s="191">
        <f>DP108+DP25</f>
        <v>-654.91449363250456</v>
      </c>
      <c r="DQ69" s="250">
        <f>SUM(DM69:DP69)</f>
        <v>-1319.6594181731134</v>
      </c>
      <c r="DR69" s="191">
        <f>DR108+DR25</f>
        <v>-325.94296342219468</v>
      </c>
      <c r="DS69" s="191">
        <f>DS108+DS25</f>
        <v>8.0724269377382463</v>
      </c>
      <c r="DT69" s="191">
        <f>DT108+DT25</f>
        <v>-8.9136094674556219</v>
      </c>
      <c r="DU69" s="191">
        <f>DU108+DU25</f>
        <v>65.1017149615612</v>
      </c>
      <c r="DV69" s="250">
        <f>SUM(DR69:DU69)</f>
        <v>-261.68243099035084</v>
      </c>
      <c r="DW69" s="191">
        <f>DW108+DW25</f>
        <v>368.08706624605679</v>
      </c>
      <c r="DX69" s="191">
        <f>DX108+DX25</f>
        <v>-50.939136588818116</v>
      </c>
      <c r="DY69" s="191">
        <f>DY108+DY25</f>
        <v>-180.09771473601262</v>
      </c>
      <c r="DZ69" s="191">
        <f>DZ108+DZ25</f>
        <v>82.952380952380949</v>
      </c>
      <c r="EA69" s="250">
        <f>SUM(DW69:DZ69)</f>
        <v>220.00259587360705</v>
      </c>
      <c r="EB69" s="191">
        <f>+EB70-EB54</f>
        <v>16</v>
      </c>
      <c r="EC69" s="191">
        <f>EC108+EC25+20</f>
        <v>-27.017226528854437</v>
      </c>
      <c r="ED69" s="191">
        <f>ED108+ED25+20</f>
        <v>-74.946611909650926</v>
      </c>
      <c r="EE69" s="191">
        <f>EE108+EE25+24-4</f>
        <v>-132.94273127753303</v>
      </c>
      <c r="EF69" s="250">
        <f>SUM(EB69:EE69)</f>
        <v>-218.9065697160384</v>
      </c>
      <c r="EG69" s="191">
        <f>+EG70-EG54</f>
        <v>116</v>
      </c>
      <c r="EH69" s="191">
        <f>+EH70-EH54</f>
        <v>116</v>
      </c>
      <c r="EI69" s="191">
        <f>+EI70-EI54</f>
        <v>112</v>
      </c>
      <c r="EJ69" s="191">
        <f>+EJ70-EJ54</f>
        <v>80</v>
      </c>
      <c r="EK69" s="250">
        <f>SUM(EG69:EJ69)</f>
        <v>424</v>
      </c>
      <c r="EL69" s="191">
        <f>+EL70-EL54</f>
        <v>-4</v>
      </c>
      <c r="EM69" s="191">
        <f>+EM70-EM54</f>
        <v>-59</v>
      </c>
      <c r="EN69" s="191">
        <f>+EN70-EN54</f>
        <v>-68</v>
      </c>
      <c r="EO69" s="191">
        <f>+EO70-EO54</f>
        <v>-21</v>
      </c>
      <c r="EP69" s="250">
        <f>SUM(EL69:EO69)</f>
        <v>-152</v>
      </c>
      <c r="EQ69" s="191">
        <f>+EQ70-EQ54</f>
        <v>-45</v>
      </c>
      <c r="ER69" s="191">
        <f>+ER70-ER54</f>
        <v>-8</v>
      </c>
      <c r="ES69" s="191">
        <f>+ES70-ES54</f>
        <v>56</v>
      </c>
      <c r="ET69" s="191">
        <f>+ET70-ET54</f>
        <v>0</v>
      </c>
      <c r="EU69" s="250">
        <f>SUM(EQ69:ET69)</f>
        <v>3</v>
      </c>
      <c r="EV69" s="191">
        <f>+EV70-EV54</f>
        <v>5</v>
      </c>
      <c r="EW69" s="191">
        <f>+EW70-EW54</f>
        <v>60</v>
      </c>
      <c r="EX69" s="191">
        <f>+EX70-EX54</f>
        <v>162</v>
      </c>
      <c r="EY69" s="191">
        <f>+EY70-EY54</f>
        <v>121</v>
      </c>
      <c r="EZ69" s="250">
        <f>SUM(EV69:EY69)</f>
        <v>348</v>
      </c>
      <c r="FA69" s="191">
        <f>+FA70-FA54</f>
        <v>164</v>
      </c>
      <c r="FB69" s="191">
        <f>+FB70-FB54</f>
        <v>195</v>
      </c>
      <c r="FC69" s="191">
        <f>+FC70-FC54</f>
        <v>191</v>
      </c>
      <c r="FD69" s="191">
        <f>+FD70-FD54</f>
        <v>71</v>
      </c>
      <c r="FE69" s="250">
        <f>SUM(FA69:FD69)</f>
        <v>621</v>
      </c>
      <c r="FF69" s="191">
        <f>+FF70-FF54</f>
        <v>24</v>
      </c>
      <c r="FG69" s="191">
        <f>+FG70-FG54</f>
        <v>111</v>
      </c>
      <c r="FH69" s="191">
        <f>+FH70-FH54</f>
        <v>246</v>
      </c>
      <c r="FI69" s="191">
        <f>+FI70-FI54</f>
        <v>412</v>
      </c>
      <c r="FJ69" s="250">
        <f>SUM(FF69:FI69)</f>
        <v>793</v>
      </c>
      <c r="FK69" s="191">
        <f>+FK70-FK54</f>
        <v>245</v>
      </c>
      <c r="FL69" s="191">
        <f>+FL70-FL54</f>
        <v>245</v>
      </c>
      <c r="FM69" s="191">
        <f>+FM70-FM54</f>
        <v>531</v>
      </c>
      <c r="FN69" s="191">
        <f>+FN70-FN54</f>
        <v>664</v>
      </c>
      <c r="FO69" s="250">
        <f>SUM(FK69:FN69)</f>
        <v>1685</v>
      </c>
      <c r="FP69" s="191">
        <f>+FP70-FP54</f>
        <v>772</v>
      </c>
      <c r="FQ69" s="191">
        <f>+FQ70-FQ54</f>
        <v>928</v>
      </c>
      <c r="FR69" s="191">
        <f>+FR70-FR54</f>
        <v>1045</v>
      </c>
      <c r="FS69" s="191">
        <f>+FS70-FS54</f>
        <v>1325</v>
      </c>
      <c r="FT69" s="250">
        <f>SUM(FP69:FS69)</f>
        <v>4070</v>
      </c>
      <c r="FU69" s="191">
        <f>+FU70-FU54</f>
        <v>1793</v>
      </c>
      <c r="FV69" s="191">
        <f>+FV70-FV54</f>
        <v>683</v>
      </c>
      <c r="FW69" s="191">
        <f>+FW70-FW54</f>
        <v>99</v>
      </c>
      <c r="FX69" s="191">
        <f>+FX70-FX54</f>
        <v>27</v>
      </c>
      <c r="FY69" s="250">
        <f>SUM(FU69:FX69)</f>
        <v>2602</v>
      </c>
      <c r="FZ69" s="191">
        <f>+FZ70-FZ54</f>
        <v>14</v>
      </c>
      <c r="GA69" s="191">
        <f>+GA70-GA54</f>
        <v>136</v>
      </c>
      <c r="GB69" s="191">
        <f>+GB70-GB54</f>
        <v>387</v>
      </c>
      <c r="GC69" s="191">
        <f>+GC70-GC54</f>
        <v>506</v>
      </c>
      <c r="GD69" s="250">
        <f>SUM(FZ69:GC69)</f>
        <v>1043</v>
      </c>
      <c r="GE69" s="191">
        <f>+GE70-GE54</f>
        <v>198</v>
      </c>
      <c r="GF69" s="191">
        <f>+GF70-GF54</f>
        <v>435</v>
      </c>
      <c r="GG69" s="191">
        <f>+GG70-GG54</f>
        <v>895</v>
      </c>
      <c r="GH69" s="191">
        <f>+GH70-GH54</f>
        <v>1043</v>
      </c>
      <c r="GI69" s="250">
        <f>SUM(GE69:GH69)</f>
        <v>2571</v>
      </c>
      <c r="GJ69" s="191">
        <f>+GJ70-GJ54</f>
        <v>981</v>
      </c>
      <c r="GK69" s="191">
        <f>+GK70-GK54</f>
        <v>55</v>
      </c>
      <c r="GL69" s="191">
        <f>+GL70-GL54</f>
        <v>1462</v>
      </c>
      <c r="GM69" s="191">
        <f>+GM70-GM54</f>
        <v>1946</v>
      </c>
      <c r="GN69" s="250">
        <f>SUM(GJ69:GM69)</f>
        <v>4444</v>
      </c>
      <c r="GO69" s="191">
        <f>+GO70-GO54</f>
        <v>1682</v>
      </c>
      <c r="GP69" s="191">
        <f>+GP70-GP54</f>
        <v>2691.2186981914656</v>
      </c>
      <c r="GQ69" s="191">
        <f>+GQ70-GQ54</f>
        <v>2885.2098743604392</v>
      </c>
      <c r="GR69" s="191">
        <f>+GR70-GR54</f>
        <v>4661.7383411691271</v>
      </c>
      <c r="GS69" s="250">
        <f>SUM(GO69:GR69)</f>
        <v>11920.166913721032</v>
      </c>
      <c r="GT69" s="191">
        <f>+GT70-GT54</f>
        <v>5039.5395961387894</v>
      </c>
      <c r="GU69" s="191">
        <f>+GU70-GU54</f>
        <v>5639.2140449436138</v>
      </c>
      <c r="GV69" s="191">
        <f>+GV70-GV54</f>
        <v>6624.1272332223089</v>
      </c>
      <c r="GW69" s="191">
        <f>+GW70-GW54</f>
        <v>7312.6913335871031</v>
      </c>
      <c r="GX69" s="250">
        <f>SUM(GT69:GW69)</f>
        <v>24615.572207891815</v>
      </c>
      <c r="GY69" s="191">
        <f>+GY70-GY54</f>
        <v>7192.0992911251651</v>
      </c>
      <c r="GZ69" s="191">
        <f>+GZ70-GZ54</f>
        <v>7779.8854211582384</v>
      </c>
      <c r="HA69" s="191">
        <f>+HA70-HA54</f>
        <v>8825.3716758926403</v>
      </c>
      <c r="HB69" s="191">
        <f>+HB70-HB54</f>
        <v>9763.4874952382361</v>
      </c>
      <c r="HC69" s="250">
        <f>SUM(GY69:HB69)</f>
        <v>33560.84388341428</v>
      </c>
      <c r="HD69" s="191">
        <f>+HD70-HD54</f>
        <v>9212.9006547147965</v>
      </c>
      <c r="HE69" s="191">
        <f>+HE70-HE54</f>
        <v>9672.7286334471355</v>
      </c>
      <c r="HF69" s="191">
        <f>+HF70-HF54</f>
        <v>10784.329425201788</v>
      </c>
      <c r="HG69" s="191">
        <f>+HG70-HG54</f>
        <v>11261.000468215172</v>
      </c>
      <c r="HH69" s="250">
        <f>SUM(HD69:HG69)</f>
        <v>40930.959181578888</v>
      </c>
      <c r="HI69" s="191">
        <f>+HI70-HI54</f>
        <v>10482.200459722913</v>
      </c>
      <c r="HJ69" s="191">
        <f>+HJ70-HJ54</f>
        <v>11068.401832567602</v>
      </c>
      <c r="HK69" s="191">
        <f>+HK70-HK54</f>
        <v>12744.304415072267</v>
      </c>
      <c r="HL69" s="191">
        <f>+HL70-HL54</f>
        <v>13603.093044496452</v>
      </c>
      <c r="HM69" s="250">
        <f>SUM(HI69:HL69)</f>
        <v>47897.999751859235</v>
      </c>
      <c r="HN69" s="250"/>
      <c r="HO69" s="250"/>
      <c r="HP69" s="290"/>
      <c r="HR69" s="290"/>
      <c r="HS69" s="290"/>
      <c r="HT69" s="290"/>
      <c r="HU69" s="290"/>
      <c r="HV69" s="290"/>
      <c r="HW69" s="290"/>
      <c r="HX69" s="290"/>
    </row>
    <row r="70" spans="1:232" s="291" customFormat="1" ht="15" customHeight="1">
      <c r="A70" s="325" t="s">
        <v>399</v>
      </c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288"/>
      <c r="Q70" s="179"/>
      <c r="R70" s="179"/>
      <c r="S70" s="179"/>
      <c r="T70" s="179"/>
      <c r="U70" s="289"/>
      <c r="V70" s="179"/>
      <c r="W70" s="179"/>
      <c r="X70" s="179"/>
      <c r="Y70" s="179"/>
      <c r="Z70" s="289"/>
      <c r="AA70" s="179"/>
      <c r="AB70" s="179"/>
      <c r="AC70" s="179"/>
      <c r="AD70" s="179"/>
      <c r="AE70" s="289"/>
      <c r="AF70" s="179"/>
      <c r="AG70" s="179"/>
      <c r="AH70" s="179"/>
      <c r="AI70" s="179"/>
      <c r="AJ70" s="289"/>
      <c r="AK70" s="191">
        <f>AK107+AK24</f>
        <v>172.50000000000003</v>
      </c>
      <c r="AL70" s="191">
        <f>AL107+AL24</f>
        <v>191.67000000000002</v>
      </c>
      <c r="AM70" s="191">
        <f>AM107+AM24</f>
        <v>190.01700000000002</v>
      </c>
      <c r="AN70" s="191">
        <f>AN107+AN24</f>
        <v>174.93600000000004</v>
      </c>
      <c r="AO70" s="250">
        <f>SUM(AK70:AN70)</f>
        <v>729.12300000000016</v>
      </c>
      <c r="AP70" s="191">
        <f>AP107+AP24</f>
        <v>197.36100000000002</v>
      </c>
      <c r="AQ70" s="191">
        <f>AQ107+AQ24</f>
        <v>182.58900000000006</v>
      </c>
      <c r="AR70" s="191">
        <f>AR107+AR24</f>
        <v>116.40099999999998</v>
      </c>
      <c r="AS70" s="191">
        <f>AS107+AS24</f>
        <v>114.42699999999994</v>
      </c>
      <c r="AT70" s="250">
        <f>SUM(AP70:AS70)</f>
        <v>610.77799999999991</v>
      </c>
      <c r="AU70" s="191">
        <f>AU107+AU24</f>
        <v>53.492999999999981</v>
      </c>
      <c r="AV70" s="191">
        <f>AV107+AV24</f>
        <v>-12.534999999999997</v>
      </c>
      <c r="AW70" s="191">
        <f>AW107+AW24</f>
        <v>7.7339999999999947</v>
      </c>
      <c r="AX70" s="191">
        <f>AX107+AX24</f>
        <v>30.637999999999977</v>
      </c>
      <c r="AY70" s="250">
        <f>SUM(AU70:AX70)</f>
        <v>79.329999999999956</v>
      </c>
      <c r="AZ70" s="191">
        <f>AZ107+AZ24</f>
        <v>92.316999999999993</v>
      </c>
      <c r="BA70" s="191">
        <f>BA107+BA24</f>
        <v>103.29499999999994</v>
      </c>
      <c r="BB70" s="191">
        <f>BB107+BB24</f>
        <v>45.53700000000002</v>
      </c>
      <c r="BC70" s="191">
        <f>BC107+BC24</f>
        <v>62.663000000000054</v>
      </c>
      <c r="BD70" s="250">
        <f>SUM(AZ70:BC70)</f>
        <v>303.81200000000001</v>
      </c>
      <c r="BE70" s="191">
        <f>BE107+BE24</f>
        <v>13.09099999999998</v>
      </c>
      <c r="BF70" s="191">
        <f>BF107+BF24</f>
        <v>9.2160000000000508</v>
      </c>
      <c r="BG70" s="191">
        <f>BG107+BG24</f>
        <v>126.59500000000003</v>
      </c>
      <c r="BH70" s="191">
        <f>BH107+BH24</f>
        <v>154.97700000000003</v>
      </c>
      <c r="BI70" s="250">
        <f>SUM(BE70:BH70)</f>
        <v>303.87900000000008</v>
      </c>
      <c r="BJ70" s="191">
        <f>BJ107+BJ24</f>
        <v>21.393000000000029</v>
      </c>
      <c r="BK70" s="191">
        <f>BK107+BK24</f>
        <v>-27.143999999999949</v>
      </c>
      <c r="BL70" s="191">
        <f>BL107+BL24</f>
        <v>31.229000000000042</v>
      </c>
      <c r="BM70" s="191">
        <f>BM107+BM24</f>
        <v>207.35599999999997</v>
      </c>
      <c r="BN70" s="250">
        <f>SUM(BJ70:BM70)</f>
        <v>232.83400000000009</v>
      </c>
      <c r="BO70" s="191">
        <f>BO107+BO24</f>
        <v>308.56099999999992</v>
      </c>
      <c r="BP70" s="191">
        <f>BP107+BP24</f>
        <v>398.00799999999987</v>
      </c>
      <c r="BQ70" s="191">
        <f>BQ107+BQ24</f>
        <v>416.60199999999998</v>
      </c>
      <c r="BR70" s="191">
        <f>BR107+BR24</f>
        <v>344.6350000000001</v>
      </c>
      <c r="BS70" s="250">
        <f>SUM(BO70:BR70)</f>
        <v>1467.806</v>
      </c>
      <c r="BT70" s="191">
        <f>BT107+BT24</f>
        <v>319.952</v>
      </c>
      <c r="BU70" s="191">
        <f>BU107+BU24</f>
        <v>181.10300000000004</v>
      </c>
      <c r="BV70" s="191">
        <f>BV107+BV24</f>
        <v>26.625000000000057</v>
      </c>
      <c r="BW70" s="191">
        <f>BW107+BW24</f>
        <v>133.13399999999996</v>
      </c>
      <c r="BX70" s="250">
        <f>SUM(BT70:BW70)</f>
        <v>660.81400000000008</v>
      </c>
      <c r="BY70" s="191">
        <f>BY107+BY24</f>
        <v>160.56399999999994</v>
      </c>
      <c r="BZ70" s="191">
        <f>BZ107+BZ24</f>
        <v>-113.55600000000001</v>
      </c>
      <c r="CA70" s="191">
        <f>CA107+CA24</f>
        <v>-126.09700000000004</v>
      </c>
      <c r="CB70" s="191">
        <f>CB107+CB24</f>
        <v>-17.553000000000054</v>
      </c>
      <c r="CC70" s="250">
        <f>SUM(BY70:CB70)</f>
        <v>-96.642000000000166</v>
      </c>
      <c r="CD70" s="191">
        <f>CD107+CD24</f>
        <v>86.426999999999964</v>
      </c>
      <c r="CE70" s="191">
        <f>CE107+CE24</f>
        <v>90.070000000000022</v>
      </c>
      <c r="CF70" s="191">
        <f>CF107+CF24</f>
        <v>246.80099999999999</v>
      </c>
      <c r="CG70" s="191">
        <f>CG107+CG24</f>
        <v>325.08699999999999</v>
      </c>
      <c r="CH70" s="250">
        <f>SUM(CD70:CG70)</f>
        <v>748.38499999999999</v>
      </c>
      <c r="CI70" s="191">
        <f>CI107+CI24</f>
        <v>359.26599999999996</v>
      </c>
      <c r="CJ70" s="191">
        <f>CJ107+CJ24</f>
        <v>367.34700000000009</v>
      </c>
      <c r="CK70" s="191">
        <f>CK107+CK24</f>
        <v>373.08900000000006</v>
      </c>
      <c r="CL70" s="191">
        <f>CL107+CL24</f>
        <v>351.81499999999994</v>
      </c>
      <c r="CM70" s="250">
        <f>SUM(CI70:CL70)</f>
        <v>1451.5170000000003</v>
      </c>
      <c r="CN70" s="191">
        <f>CN107+CN24</f>
        <v>287.22399999999993</v>
      </c>
      <c r="CO70" s="191">
        <f>CO107+CO24</f>
        <v>311.32399999999996</v>
      </c>
      <c r="CP70" s="191">
        <f>CP107+CP24</f>
        <v>369.47800000000018</v>
      </c>
      <c r="CQ70" s="191">
        <f>CQ107+CQ24</f>
        <v>482.97399999999982</v>
      </c>
      <c r="CR70" s="250">
        <f>SUM(CN70:CQ70)</f>
        <v>1451</v>
      </c>
      <c r="CS70" s="191">
        <f>CS107+CS24</f>
        <v>432.15699999999987</v>
      </c>
      <c r="CT70" s="191">
        <f>CT107+CT24</f>
        <v>295.01400000000001</v>
      </c>
      <c r="CU70" s="191">
        <f>CU107+CU24</f>
        <v>318.9260000000001</v>
      </c>
      <c r="CV70" s="191">
        <f>CV107+CV24</f>
        <v>294.78399999999999</v>
      </c>
      <c r="CW70" s="250">
        <f>SUM(CS70:CV70)</f>
        <v>1340.8809999999999</v>
      </c>
      <c r="CX70" s="191">
        <f>CX107+CX24</f>
        <v>-77</v>
      </c>
      <c r="CY70" s="191">
        <f>CY107+CY24</f>
        <v>-2</v>
      </c>
      <c r="CZ70" s="191">
        <f>CZ107+CZ24</f>
        <v>186</v>
      </c>
      <c r="DA70" s="191">
        <f>DA107+DA24</f>
        <v>322</v>
      </c>
      <c r="DB70" s="250">
        <f>SUM(CX70:DA70)</f>
        <v>429</v>
      </c>
      <c r="DC70" s="191">
        <f>DC107+DC24</f>
        <v>103</v>
      </c>
      <c r="DD70" s="191">
        <f>DD107+DD24</f>
        <v>34</v>
      </c>
      <c r="DE70" s="191">
        <f>DE107+DE24</f>
        <v>265</v>
      </c>
      <c r="DF70" s="191">
        <f>DF107+DF24</f>
        <v>43</v>
      </c>
      <c r="DG70" s="250">
        <f>SUM(DC70:DF70)</f>
        <v>445</v>
      </c>
      <c r="DH70" s="191">
        <f>DH107+DH24</f>
        <v>135</v>
      </c>
      <c r="DI70" s="191">
        <f>DI107+DI24</f>
        <v>77</v>
      </c>
      <c r="DJ70" s="191">
        <f>DJ107+DJ24</f>
        <v>329</v>
      </c>
      <c r="DK70" s="191">
        <f>DK107+DK24</f>
        <v>451</v>
      </c>
      <c r="DL70" s="250">
        <f>SUM(DH70:DK70)</f>
        <v>992</v>
      </c>
      <c r="DM70" s="191">
        <f>DM107+DM24</f>
        <v>230</v>
      </c>
      <c r="DN70" s="191">
        <f>DN107+DN24</f>
        <v>238</v>
      </c>
      <c r="DO70" s="191">
        <f>DO107+DO24</f>
        <v>239</v>
      </c>
      <c r="DP70" s="191">
        <f>DP107+DP24</f>
        <v>230</v>
      </c>
      <c r="DQ70" s="250">
        <f>SUM(DM70:DP70)</f>
        <v>937</v>
      </c>
      <c r="DR70" s="191">
        <f>DR107+DR24</f>
        <v>180</v>
      </c>
      <c r="DS70" s="191">
        <f>DS107+DS24</f>
        <v>194</v>
      </c>
      <c r="DT70" s="191">
        <f>DT107+DT24</f>
        <v>225</v>
      </c>
      <c r="DU70" s="191">
        <f>DU107+DU24</f>
        <v>242</v>
      </c>
      <c r="DV70" s="250">
        <f>SUM(DR70:DU70)</f>
        <v>841</v>
      </c>
      <c r="DW70" s="191">
        <f>DW107+DW24</f>
        <v>201</v>
      </c>
      <c r="DX70" s="191">
        <f>DX107+DX24</f>
        <v>151</v>
      </c>
      <c r="DY70" s="191">
        <f>DY107+DY24</f>
        <v>-58</v>
      </c>
      <c r="DZ70" s="191">
        <f>DZ107+DZ24</f>
        <v>11</v>
      </c>
      <c r="EA70" s="250">
        <f>SUM(DW70:DZ70)</f>
        <v>305</v>
      </c>
      <c r="EB70" s="191">
        <f>EB107+EB24+24-4</f>
        <v>40</v>
      </c>
      <c r="EC70" s="191">
        <f>EC107+EC24+20</f>
        <v>59</v>
      </c>
      <c r="ED70" s="191">
        <f>ED107+ED24+20</f>
        <v>155</v>
      </c>
      <c r="EE70" s="191">
        <f>EE107+EE24+EE54-4</f>
        <v>165</v>
      </c>
      <c r="EF70" s="250">
        <f>SUM(EB70:EE70)</f>
        <v>419</v>
      </c>
      <c r="EG70" s="191">
        <f>EG107+EG24+EG54-3</f>
        <v>139</v>
      </c>
      <c r="EH70" s="191">
        <f>EH107+EH24+EH54-4</f>
        <v>137</v>
      </c>
      <c r="EI70" s="191">
        <f>EI107+EI24+EI54-3</f>
        <v>133</v>
      </c>
      <c r="EJ70" s="191">
        <f>EJ107+EJ24+EJ54-4</f>
        <v>96</v>
      </c>
      <c r="EK70" s="250">
        <f>SUM(EG70:EJ70)</f>
        <v>505</v>
      </c>
      <c r="EL70" s="191">
        <f>+EL24+EL14+EL54</f>
        <v>13</v>
      </c>
      <c r="EM70" s="191">
        <f>+EM24+EM14+EM54</f>
        <v>-42</v>
      </c>
      <c r="EN70" s="191">
        <f>+EN24+EN14+EN54</f>
        <v>-55</v>
      </c>
      <c r="EO70" s="191">
        <f>+EO24+EO14+EO54</f>
        <v>-5</v>
      </c>
      <c r="EP70" s="250">
        <f>SUM(EL70:EO70)</f>
        <v>-89</v>
      </c>
      <c r="EQ70" s="191">
        <f>+EQ24+EQ14+EQ54</f>
        <v>-29</v>
      </c>
      <c r="ER70" s="191">
        <f>+ER24+ER14+ER54</f>
        <v>10</v>
      </c>
      <c r="ES70" s="191">
        <f>+ES24+ES14+ES54</f>
        <v>79</v>
      </c>
      <c r="ET70" s="191">
        <f>+ET24+ET14+ET54</f>
        <v>29</v>
      </c>
      <c r="EU70" s="250">
        <f>SUM(EQ70:ET70)</f>
        <v>89</v>
      </c>
      <c r="EV70" s="191">
        <f>+EV24-EV26+EV14+EV54</f>
        <v>28</v>
      </c>
      <c r="EW70" s="191">
        <f>+EW24-EW26+EW14+EW54</f>
        <v>84</v>
      </c>
      <c r="EX70" s="191">
        <f>+EX24-EX26+EX14+EX54</f>
        <v>191</v>
      </c>
      <c r="EY70" s="191">
        <f>+EY24-EY26+EY14+EY54</f>
        <v>142</v>
      </c>
      <c r="EZ70" s="250">
        <f>SUM(EV70:EY70)</f>
        <v>445</v>
      </c>
      <c r="FA70" s="191">
        <f>+FA24-FA26+FA14+FA54</f>
        <v>196</v>
      </c>
      <c r="FB70" s="191">
        <f>+FB24-FB26+FB14+FB54</f>
        <v>228</v>
      </c>
      <c r="FC70" s="191">
        <f>+FC24-FC26+FC14+FC54</f>
        <v>227</v>
      </c>
      <c r="FD70" s="191">
        <f>+FD24-FD26+FD14+FD54</f>
        <v>107</v>
      </c>
      <c r="FE70" s="250">
        <f>SUM(FA70:FD70)</f>
        <v>758</v>
      </c>
      <c r="FF70" s="191">
        <f>+FF24-FF26+FF14+FF54</f>
        <v>65</v>
      </c>
      <c r="FG70" s="191">
        <f>+FG24-FG26+FG14+FG54</f>
        <v>156</v>
      </c>
      <c r="FH70" s="191">
        <f>+FH24-FH26+FH14+FH54</f>
        <v>300</v>
      </c>
      <c r="FI70" s="191">
        <f>+FI24-FI26+FI14+FI54</f>
        <v>469</v>
      </c>
      <c r="FJ70" s="250">
        <f>SUM(FF70:FI70)</f>
        <v>990</v>
      </c>
      <c r="FK70" s="191">
        <f>+FK24-FK26+FK14+FK54</f>
        <v>304</v>
      </c>
      <c r="FL70" s="191">
        <f>+FL24-FL26+FL14+FL54</f>
        <v>305</v>
      </c>
      <c r="FM70" s="191">
        <f>+FM24-FM26+FM14+FM54</f>
        <v>607</v>
      </c>
      <c r="FN70" s="191">
        <f>+FN24-FN26+FN14+FN54</f>
        <v>743</v>
      </c>
      <c r="FO70" s="250">
        <f>SUM(FK70:FN70)</f>
        <v>1959</v>
      </c>
      <c r="FP70" s="191">
        <f>+FP24+FP14+FP54</f>
        <v>857</v>
      </c>
      <c r="FQ70" s="191">
        <f>+FQ24-FQ26+FQ14+FQ54</f>
        <v>1011</v>
      </c>
      <c r="FR70" s="191">
        <f>+FR24-FR26+FR14+FR54</f>
        <v>1144</v>
      </c>
      <c r="FS70" s="191">
        <f>+FS24-FS26+FS14+FS54</f>
        <v>1437</v>
      </c>
      <c r="FT70" s="250">
        <f>SUM(FP70:FS70)</f>
        <v>4449</v>
      </c>
      <c r="FU70" s="191">
        <f>+FU24+FU14+FU54</f>
        <v>1967</v>
      </c>
      <c r="FV70" s="191">
        <f>+FV24-FV26+FV14+FV54</f>
        <v>942</v>
      </c>
      <c r="FW70" s="191">
        <f>+FW24-FW26+FW14+FW54</f>
        <v>368</v>
      </c>
      <c r="FX70" s="191">
        <f>+FX24-FX26+FX14+FX54</f>
        <v>337</v>
      </c>
      <c r="FY70" s="250">
        <f>SUM(FU70:FX70)</f>
        <v>3614</v>
      </c>
      <c r="FZ70" s="191">
        <f>+FZ24-FZ26+FZ14+FZ54</f>
        <v>319</v>
      </c>
      <c r="GA70" s="191">
        <f>+GA24-GA26+GA14+GA54</f>
        <v>484</v>
      </c>
      <c r="GB70" s="191">
        <f>+GB24-GB26+GB14+GB54</f>
        <v>740</v>
      </c>
      <c r="GC70" s="191">
        <f>+GC24-GC26+GC14+GC54</f>
        <v>880</v>
      </c>
      <c r="GD70" s="250">
        <f>SUM(FZ70:GC70)</f>
        <v>2423</v>
      </c>
      <c r="GE70" s="191">
        <f>+GE24-GE26+GE14+GE54</f>
        <v>569</v>
      </c>
      <c r="GF70" s="191">
        <f>+GF24-GF26+GF14+GF54</f>
        <v>781</v>
      </c>
      <c r="GG70" s="191">
        <f>+GG24-GG26+GG14+GG54</f>
        <v>1246</v>
      </c>
      <c r="GH70" s="191">
        <f>+GH24-GH26+GH14+GH54</f>
        <v>1382</v>
      </c>
      <c r="GI70" s="250">
        <f>SUM(GE70:GH70)</f>
        <v>3978</v>
      </c>
      <c r="GJ70" s="191">
        <f>+GJ24-GJ26+GJ14+GJ54</f>
        <v>1345</v>
      </c>
      <c r="GK70" s="191">
        <f>+GK24-GK26+GK14+GK54</f>
        <v>424</v>
      </c>
      <c r="GL70" s="191">
        <f>+GL24-GL26+GL14+GL54</f>
        <v>1881</v>
      </c>
      <c r="GM70" s="191">
        <f>+GM24-GM26+GM14+GM54</f>
        <v>2432</v>
      </c>
      <c r="GN70" s="250">
        <f>SUM(GJ70:GM70)</f>
        <v>6082</v>
      </c>
      <c r="GO70" s="191">
        <f>+GO24-GO26+GO14+GO54</f>
        <v>2169</v>
      </c>
      <c r="GP70" s="191">
        <f>+GP24-GP26+GP14+GP54</f>
        <v>3187.9586981914654</v>
      </c>
      <c r="GQ70" s="191">
        <f>+GQ24-GQ26+GQ14+GQ54</f>
        <v>3391.884674360439</v>
      </c>
      <c r="GR70" s="191">
        <f>+GR24-GR26+GR14+GR54</f>
        <v>5178.5466371691273</v>
      </c>
      <c r="GS70" s="250">
        <f>SUM(GO70:GR70)</f>
        <v>13927.390009721032</v>
      </c>
      <c r="GT70" s="191">
        <f>+GT24-GT26+GT14+GT54</f>
        <v>5556.3478921387896</v>
      </c>
      <c r="GU70" s="191">
        <f>+GU24-GU26+GU14+GU54</f>
        <v>6166.3585068636139</v>
      </c>
      <c r="GV70" s="191">
        <f>+GV24-GV26+GV14+GV54</f>
        <v>7161.8145843807088</v>
      </c>
      <c r="GW70" s="191">
        <f>+GW24-GW26+GW14+GW54</f>
        <v>7861.1324317686713</v>
      </c>
      <c r="GX70" s="250">
        <f>SUM(GT70:GW70)</f>
        <v>26745.653415151781</v>
      </c>
      <c r="GY70" s="191">
        <f>+GY24-GY26+GY14+GY54</f>
        <v>7740.5403893067332</v>
      </c>
      <c r="GZ70" s="191">
        <f>+GZ24-GZ26+GZ14+GZ54</f>
        <v>8339.2953413034375</v>
      </c>
      <c r="HA70" s="191">
        <f>+HA24-HA26+HA14+HA54</f>
        <v>9395.9697944407435</v>
      </c>
      <c r="HB70" s="191">
        <f>+HB24-HB26+HB14+HB54</f>
        <v>10345.497576157302</v>
      </c>
      <c r="HC70" s="250">
        <f>SUM(GY70:HB70)</f>
        <v>35821.303101208214</v>
      </c>
      <c r="HD70" s="191">
        <f>+HD24-HD26+HD14+HD54</f>
        <v>9794.9107356338627</v>
      </c>
      <c r="HE70" s="191">
        <f>+HE24-HE26+HE14+HE54</f>
        <v>10266.378915984582</v>
      </c>
      <c r="HF70" s="191">
        <f>+HF24-HF26+HF14+HF54</f>
        <v>11389.852713389984</v>
      </c>
      <c r="HG70" s="191">
        <f>+HG24-HG26+HG14+HG54</f>
        <v>11878.634222167131</v>
      </c>
      <c r="HH70" s="250">
        <f>SUM(HD70:HG70)</f>
        <v>43329.776587175562</v>
      </c>
      <c r="HI70" s="191">
        <f>+HI24-HI26+HI14+HI54</f>
        <v>11099.834213674872</v>
      </c>
      <c r="HJ70" s="191">
        <f>+HJ24-HJ26+HJ14+HJ54</f>
        <v>11698.388261598602</v>
      </c>
      <c r="HK70" s="191">
        <f>+HK24-HK26+HK14+HK54</f>
        <v>13386.890572683886</v>
      </c>
      <c r="HL70" s="191">
        <f>+HL24-HL26+HL14+HL54</f>
        <v>14258.530925260304</v>
      </c>
      <c r="HM70" s="250">
        <f>SUM(HI70:HL70)</f>
        <v>50443.643973217666</v>
      </c>
      <c r="HN70" s="250"/>
      <c r="HO70" s="250"/>
      <c r="HP70" s="290"/>
      <c r="HR70" s="290"/>
      <c r="HS70" s="290"/>
      <c r="HT70" s="290"/>
      <c r="HU70" s="290"/>
      <c r="HV70" s="290"/>
      <c r="HW70" s="290"/>
      <c r="HX70" s="290"/>
    </row>
    <row r="71" spans="1:232">
      <c r="A71" s="326"/>
      <c r="L71" s="191"/>
      <c r="M71" s="191"/>
      <c r="N71" s="191"/>
      <c r="O71" s="191"/>
      <c r="P71" s="250"/>
      <c r="Q71" s="191"/>
      <c r="R71" s="191"/>
      <c r="S71" s="191"/>
      <c r="T71" s="191"/>
      <c r="U71" s="250"/>
      <c r="V71" s="191"/>
      <c r="W71" s="191"/>
      <c r="X71" s="191"/>
      <c r="Y71" s="191"/>
      <c r="Z71" s="250"/>
      <c r="AA71" s="191"/>
      <c r="AB71" s="191"/>
      <c r="AC71" s="191"/>
      <c r="AD71" s="191"/>
      <c r="AE71" s="250"/>
      <c r="AF71" s="191"/>
      <c r="AG71" s="191"/>
      <c r="AH71" s="191"/>
      <c r="AI71" s="191"/>
      <c r="AJ71" s="250"/>
      <c r="AK71" s="191"/>
      <c r="AL71" s="191"/>
      <c r="AM71" s="191"/>
      <c r="AN71" s="191"/>
      <c r="AO71" s="250"/>
      <c r="AP71" s="191"/>
      <c r="AQ71" s="191"/>
      <c r="AR71" s="191"/>
      <c r="AS71" s="191"/>
      <c r="AT71" s="250"/>
      <c r="AU71" s="191"/>
      <c r="AV71" s="191"/>
      <c r="AW71" s="191"/>
      <c r="AX71" s="191"/>
      <c r="AY71" s="258"/>
      <c r="AZ71" s="315"/>
      <c r="BA71" s="315"/>
      <c r="BB71" s="315"/>
      <c r="BC71" s="315"/>
      <c r="BD71" s="250"/>
      <c r="BE71" s="316"/>
      <c r="BF71" s="317"/>
      <c r="BG71" s="318"/>
      <c r="BH71" s="317"/>
      <c r="BI71" s="250"/>
      <c r="BJ71" s="319"/>
      <c r="BK71" s="315"/>
      <c r="BL71" s="315"/>
      <c r="BM71" s="315"/>
      <c r="BN71" s="250"/>
      <c r="BO71" s="320"/>
      <c r="BP71" s="309"/>
      <c r="BQ71" s="317"/>
      <c r="BR71" s="258"/>
      <c r="BS71" s="250"/>
      <c r="BT71" s="250"/>
      <c r="BU71" s="317"/>
      <c r="BV71" s="320"/>
      <c r="BW71" s="317"/>
      <c r="BX71" s="250"/>
      <c r="BY71" s="278"/>
      <c r="BZ71" s="315"/>
      <c r="CA71" s="315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327"/>
      <c r="DM71" s="198"/>
      <c r="DN71" s="198"/>
      <c r="DO71" s="198"/>
      <c r="DP71" s="198"/>
      <c r="DQ71" s="327"/>
      <c r="DR71" s="198"/>
      <c r="DS71" s="198"/>
      <c r="DT71" s="198"/>
      <c r="DU71" s="198"/>
      <c r="DV71" s="327"/>
      <c r="DW71" s="198"/>
      <c r="DX71" s="198"/>
      <c r="DY71" s="198"/>
      <c r="DZ71" s="198"/>
      <c r="EA71" s="327"/>
      <c r="EB71" s="198"/>
      <c r="EC71" s="198"/>
      <c r="ED71" s="198"/>
      <c r="EE71" s="198"/>
      <c r="EF71" s="327"/>
      <c r="EG71" s="198"/>
      <c r="EH71" s="198"/>
      <c r="EI71" s="198"/>
      <c r="EJ71" s="198"/>
      <c r="EK71" s="327"/>
      <c r="EL71" s="198"/>
      <c r="EM71" s="198"/>
      <c r="EN71" s="198"/>
      <c r="EO71" s="198"/>
      <c r="EP71" s="327"/>
      <c r="EQ71" s="198"/>
      <c r="ER71" s="198"/>
      <c r="ES71" s="166"/>
      <c r="ET71" s="198"/>
      <c r="EU71" s="327"/>
      <c r="EV71" s="198"/>
      <c r="EW71" s="198"/>
      <c r="EX71" s="198"/>
      <c r="EY71" s="198"/>
      <c r="EZ71" s="327"/>
      <c r="FA71" s="198"/>
      <c r="FB71" s="198"/>
      <c r="FC71" s="198"/>
      <c r="FD71" s="198"/>
      <c r="FE71" s="327"/>
      <c r="FF71" s="198"/>
      <c r="FG71" s="198"/>
      <c r="FH71" s="198"/>
      <c r="FI71" s="198"/>
      <c r="FJ71" s="327"/>
      <c r="FK71" s="198"/>
      <c r="FL71" s="198"/>
      <c r="FM71" s="198"/>
      <c r="FN71" s="198"/>
      <c r="FO71" s="327"/>
      <c r="FP71" s="198"/>
      <c r="FQ71" s="198"/>
      <c r="FR71" s="198"/>
      <c r="FS71" s="198"/>
      <c r="FT71" s="327"/>
      <c r="FU71" s="198"/>
      <c r="FV71" s="198"/>
      <c r="FW71" s="198"/>
      <c r="FX71" s="198"/>
      <c r="FY71" s="327"/>
      <c r="FZ71" s="198"/>
      <c r="GA71" s="198"/>
      <c r="GB71" s="198"/>
      <c r="GC71" s="198"/>
      <c r="GD71" s="327"/>
      <c r="GE71" s="198"/>
      <c r="GF71" s="198"/>
      <c r="GG71" s="198"/>
      <c r="GH71" s="198"/>
      <c r="GI71" s="327"/>
      <c r="GJ71" s="198"/>
      <c r="GK71" s="198"/>
      <c r="GL71" s="198"/>
      <c r="GM71" s="198"/>
      <c r="GN71" s="327"/>
      <c r="GO71" s="198"/>
      <c r="GP71" s="198"/>
      <c r="GQ71" s="198"/>
      <c r="GR71" s="198"/>
      <c r="GS71" s="327"/>
      <c r="GT71" s="198"/>
      <c r="GU71" s="198"/>
      <c r="GV71" s="198"/>
      <c r="GW71" s="198"/>
      <c r="GX71" s="327"/>
      <c r="GY71" s="198"/>
      <c r="GZ71" s="198"/>
      <c r="HA71" s="198"/>
      <c r="HB71" s="198"/>
      <c r="HC71" s="327"/>
      <c r="HD71" s="198"/>
      <c r="HE71" s="198"/>
      <c r="HF71" s="198"/>
      <c r="HG71" s="198"/>
      <c r="HH71" s="327"/>
      <c r="HI71" s="198"/>
      <c r="HJ71" s="198"/>
      <c r="HK71" s="198"/>
      <c r="HL71" s="198"/>
      <c r="HM71" s="327"/>
      <c r="HN71" s="327"/>
    </row>
    <row r="72" spans="1:232" s="329" customFormat="1">
      <c r="A72" s="209" t="s">
        <v>400</v>
      </c>
      <c r="B72" s="210"/>
      <c r="C72" s="210"/>
      <c r="D72" s="210"/>
      <c r="E72" s="210"/>
      <c r="F72" s="210"/>
      <c r="G72" s="210"/>
      <c r="H72" s="210"/>
      <c r="I72" s="210"/>
      <c r="J72" s="210"/>
      <c r="K72" s="210"/>
      <c r="L72" s="211"/>
      <c r="M72" s="211"/>
      <c r="N72" s="211"/>
      <c r="O72" s="211"/>
      <c r="P72" s="212"/>
      <c r="Q72" s="211"/>
      <c r="R72" s="211"/>
      <c r="S72" s="211"/>
      <c r="T72" s="211"/>
      <c r="U72" s="212"/>
      <c r="V72" s="211"/>
      <c r="W72" s="211"/>
      <c r="X72" s="211"/>
      <c r="Y72" s="211"/>
      <c r="Z72" s="212"/>
      <c r="AA72" s="211"/>
      <c r="AB72" s="211"/>
      <c r="AC72" s="211"/>
      <c r="AD72" s="211"/>
      <c r="AE72" s="212"/>
      <c r="AF72" s="211"/>
      <c r="AG72" s="211"/>
      <c r="AH72" s="211"/>
      <c r="AI72" s="211"/>
      <c r="AJ72" s="212"/>
      <c r="AK72" s="213"/>
      <c r="AL72" s="211"/>
      <c r="AM72" s="211"/>
      <c r="AN72" s="211"/>
      <c r="AO72" s="214"/>
      <c r="AP72" s="211"/>
      <c r="AQ72" s="211"/>
      <c r="AR72" s="211"/>
      <c r="AS72" s="211"/>
      <c r="AT72" s="215"/>
      <c r="AU72" s="211"/>
      <c r="AV72" s="211"/>
      <c r="AW72" s="211"/>
      <c r="AX72" s="211"/>
      <c r="AY72" s="215"/>
      <c r="AZ72" s="211"/>
      <c r="BA72" s="211"/>
      <c r="BB72" s="211"/>
      <c r="BC72" s="211"/>
      <c r="BD72" s="215"/>
      <c r="BE72" s="211"/>
      <c r="BF72" s="211"/>
      <c r="BG72" s="211"/>
      <c r="BH72" s="211"/>
      <c r="BI72" s="215"/>
      <c r="BJ72" s="216"/>
      <c r="BK72" s="210"/>
      <c r="BL72" s="210"/>
      <c r="BM72" s="217"/>
      <c r="BN72" s="218"/>
      <c r="BO72" s="219"/>
      <c r="BP72" s="210"/>
      <c r="BQ72" s="210"/>
      <c r="BR72" s="210"/>
      <c r="BS72" s="220"/>
      <c r="BT72" s="219"/>
      <c r="BU72" s="210"/>
      <c r="BV72" s="221"/>
      <c r="BW72" s="210"/>
      <c r="BX72" s="218"/>
      <c r="BY72" s="222"/>
      <c r="BZ72" s="210"/>
      <c r="CA72" s="222"/>
      <c r="CB72" s="222"/>
      <c r="CC72" s="218"/>
      <c r="CD72" s="222"/>
      <c r="CE72" s="222"/>
      <c r="CF72" s="210"/>
      <c r="CG72" s="222"/>
      <c r="CH72" s="218"/>
      <c r="CI72" s="222"/>
      <c r="CJ72" s="210"/>
      <c r="CK72" s="222"/>
      <c r="CL72" s="222"/>
      <c r="CM72" s="218"/>
      <c r="CN72" s="222"/>
      <c r="CO72" s="223"/>
      <c r="CP72" s="210"/>
      <c r="CQ72" s="224"/>
      <c r="CR72" s="223"/>
      <c r="CS72" s="223"/>
      <c r="CT72" s="223"/>
      <c r="CU72" s="222"/>
      <c r="CV72" s="222"/>
      <c r="CW72" s="219"/>
      <c r="CX72" s="210"/>
      <c r="CY72" s="210"/>
      <c r="CZ72" s="210"/>
      <c r="DA72" s="221"/>
      <c r="DB72" s="218"/>
      <c r="DC72" s="224"/>
      <c r="DD72" s="210"/>
      <c r="DE72" s="222"/>
      <c r="DF72" s="222"/>
      <c r="DG72" s="218"/>
      <c r="DH72" s="222"/>
      <c r="DI72" s="222"/>
      <c r="DJ72" s="222"/>
      <c r="DK72" s="222"/>
      <c r="DL72" s="218"/>
      <c r="DM72" s="222"/>
      <c r="DN72" s="210"/>
      <c r="DO72" s="210"/>
      <c r="DP72" s="219"/>
      <c r="DQ72" s="218"/>
      <c r="DR72" s="210"/>
      <c r="DS72" s="210"/>
      <c r="DT72" s="219"/>
      <c r="DU72" s="222"/>
      <c r="DV72" s="221"/>
      <c r="DW72" s="225"/>
      <c r="DX72" s="210"/>
      <c r="DY72" s="210"/>
      <c r="DZ72" s="210"/>
      <c r="EA72" s="226"/>
      <c r="EB72" s="210"/>
      <c r="EC72" s="222"/>
      <c r="ED72" s="227"/>
      <c r="EE72" s="210"/>
      <c r="EF72" s="226"/>
      <c r="EG72" s="228"/>
      <c r="EH72" s="228"/>
      <c r="EI72" s="210"/>
      <c r="EJ72" s="210"/>
      <c r="EK72" s="218"/>
      <c r="EL72" s="228"/>
      <c r="EM72" s="225"/>
      <c r="EN72" s="210"/>
      <c r="EO72" s="210"/>
      <c r="EP72" s="218"/>
      <c r="EQ72" s="228"/>
      <c r="ER72" s="225"/>
      <c r="ES72" s="210"/>
      <c r="ET72" s="210"/>
      <c r="EU72" s="229"/>
      <c r="EV72" s="227"/>
      <c r="EW72" s="225"/>
      <c r="EX72" s="210"/>
      <c r="EY72" s="210"/>
      <c r="EZ72" s="218"/>
      <c r="FA72" s="228"/>
      <c r="FB72" s="225"/>
      <c r="FC72" s="210"/>
      <c r="FD72" s="210"/>
      <c r="FE72" s="218"/>
      <c r="FF72" s="228"/>
      <c r="FG72" s="225"/>
      <c r="FH72" s="210"/>
      <c r="FI72" s="210"/>
      <c r="FJ72" s="218"/>
      <c r="FK72" s="228"/>
      <c r="FL72" s="225"/>
      <c r="FM72" s="225"/>
      <c r="FN72" s="210"/>
      <c r="FO72" s="218"/>
      <c r="FP72" s="228"/>
      <c r="FQ72" s="225"/>
      <c r="FR72" s="210"/>
      <c r="FS72" s="210"/>
      <c r="FT72" s="218"/>
      <c r="FU72" s="228"/>
      <c r="FV72" s="228"/>
      <c r="FW72" s="210"/>
      <c r="FX72" s="210"/>
      <c r="FY72" s="218"/>
      <c r="FZ72" s="228"/>
      <c r="GA72" s="225"/>
      <c r="GB72" s="210"/>
      <c r="GC72" s="210"/>
      <c r="GD72" s="218"/>
      <c r="GE72" s="228"/>
      <c r="GF72" s="228"/>
      <c r="GG72" s="210"/>
      <c r="GH72" s="210"/>
      <c r="GI72" s="218"/>
      <c r="GJ72" s="228"/>
      <c r="GK72" s="228"/>
      <c r="GL72" s="210"/>
      <c r="GM72" s="210"/>
      <c r="GN72" s="218"/>
      <c r="GO72" s="228"/>
      <c r="GP72" s="225"/>
      <c r="GQ72" s="210"/>
      <c r="GR72" s="210"/>
      <c r="GS72" s="218"/>
      <c r="GT72" s="228"/>
      <c r="GU72" s="225"/>
      <c r="GV72" s="210"/>
      <c r="GW72" s="210"/>
      <c r="GX72" s="218"/>
      <c r="GY72" s="228"/>
      <c r="GZ72" s="225"/>
      <c r="HA72" s="210"/>
      <c r="HB72" s="210"/>
      <c r="HC72" s="218"/>
      <c r="HD72" s="228"/>
      <c r="HE72" s="225"/>
      <c r="HF72" s="210"/>
      <c r="HG72" s="210"/>
      <c r="HH72" s="218"/>
      <c r="HI72" s="228"/>
      <c r="HJ72" s="225"/>
      <c r="HK72" s="210"/>
      <c r="HL72" s="210"/>
      <c r="HM72" s="218"/>
      <c r="HN72" s="230"/>
      <c r="HO72" s="230"/>
      <c r="HP72" s="328"/>
      <c r="HR72" s="328"/>
      <c r="HS72" s="328"/>
      <c r="HT72" s="328"/>
      <c r="HU72" s="328"/>
      <c r="HV72" s="328"/>
      <c r="HW72" s="328"/>
      <c r="HX72" s="328"/>
    </row>
    <row r="73" spans="1:232" s="509" customFormat="1">
      <c r="A73" s="588" t="s">
        <v>366</v>
      </c>
      <c r="L73" s="523"/>
      <c r="M73" s="523"/>
      <c r="N73" s="523"/>
      <c r="O73" s="523"/>
      <c r="P73" s="524"/>
      <c r="Q73" s="523"/>
      <c r="R73" s="523"/>
      <c r="S73" s="523"/>
      <c r="T73" s="523"/>
      <c r="U73" s="524"/>
      <c r="V73" s="523"/>
      <c r="W73" s="523"/>
      <c r="X73" s="523"/>
      <c r="Y73" s="523"/>
      <c r="Z73" s="524"/>
      <c r="AA73" s="523"/>
      <c r="AB73" s="523"/>
      <c r="AC73" s="523"/>
      <c r="AD73" s="523"/>
      <c r="AE73" s="524"/>
      <c r="AF73" s="523"/>
      <c r="AG73" s="523"/>
      <c r="AH73" s="523"/>
      <c r="AI73" s="523"/>
      <c r="AJ73" s="524"/>
      <c r="AK73" s="523"/>
      <c r="AL73" s="523"/>
      <c r="AM73" s="523"/>
      <c r="AN73" s="523"/>
      <c r="AO73" s="524"/>
      <c r="AP73" s="589"/>
      <c r="AQ73" s="523"/>
      <c r="AR73" s="589"/>
      <c r="AS73" s="523"/>
      <c r="AT73" s="519"/>
      <c r="AU73" s="589"/>
      <c r="AV73" s="589"/>
      <c r="AW73" s="589"/>
      <c r="AX73" s="589"/>
      <c r="AY73" s="519"/>
      <c r="AZ73" s="589"/>
      <c r="BA73" s="589"/>
      <c r="BB73" s="589"/>
      <c r="BC73" s="589"/>
      <c r="BD73" s="519"/>
      <c r="BE73" s="589"/>
      <c r="BF73" s="589"/>
      <c r="BG73" s="589"/>
      <c r="BH73" s="589"/>
      <c r="BI73" s="519"/>
      <c r="BJ73" s="589"/>
      <c r="BN73" s="538"/>
      <c r="BS73" s="538"/>
      <c r="BW73" s="539"/>
      <c r="BX73" s="538"/>
      <c r="CC73" s="538"/>
      <c r="CH73" s="538"/>
      <c r="CJ73" s="539"/>
      <c r="CK73" s="577"/>
      <c r="CL73" s="577"/>
      <c r="CM73" s="538"/>
      <c r="CN73" s="577"/>
      <c r="CO73" s="590"/>
      <c r="CS73" s="348"/>
      <c r="CT73" s="348"/>
      <c r="CU73" s="348"/>
      <c r="CV73" s="348"/>
      <c r="CW73" s="348"/>
      <c r="CX73" s="348"/>
      <c r="CY73" s="348"/>
      <c r="CZ73" s="348"/>
      <c r="DA73" s="348"/>
      <c r="DB73" s="591"/>
      <c r="DC73" s="348"/>
      <c r="DD73" s="539"/>
      <c r="DE73" s="348"/>
      <c r="DF73" s="539"/>
      <c r="DG73" s="542"/>
      <c r="DH73" s="348"/>
      <c r="DI73" s="348"/>
      <c r="DJ73" s="348"/>
      <c r="DK73" s="348"/>
      <c r="DL73" s="542"/>
      <c r="DM73" s="538" t="s">
        <v>401</v>
      </c>
      <c r="DO73" s="539"/>
      <c r="DP73" s="539"/>
      <c r="DQ73" s="542"/>
      <c r="DS73" s="348"/>
      <c r="DT73" s="577"/>
      <c r="DU73" s="590"/>
      <c r="DV73" s="539"/>
      <c r="DW73" s="592">
        <f>DW79-DU79</f>
        <v>5.7127192205161066</v>
      </c>
      <c r="DX73" s="592">
        <f>DX79-DW79</f>
        <v>-7.2360706463863025</v>
      </c>
      <c r="DY73" s="592">
        <f>DY79-DX79</f>
        <v>1.0511812802096046</v>
      </c>
      <c r="DZ73" s="592">
        <f>DZ79-DY79</f>
        <v>1.5602836879432616</v>
      </c>
      <c r="EA73" s="593"/>
      <c r="EB73" s="592">
        <f>EB79-DZ79</f>
        <v>3.3547794117647101</v>
      </c>
      <c r="EC73" s="592">
        <f>EC79-EB79</f>
        <v>-1.4167949156406792</v>
      </c>
      <c r="ED73" s="592">
        <f>ED79-EC79</f>
        <v>1.8402495901182689</v>
      </c>
      <c r="EE73" s="592">
        <f>EE79-ED79</f>
        <v>-6.6542567420006336</v>
      </c>
      <c r="EF73" s="593"/>
      <c r="EG73" s="592">
        <f>EG79-EE79</f>
        <v>6.9919854331384315</v>
      </c>
      <c r="EH73" s="592">
        <f>EH79-EG79</f>
        <v>0.3462162649516074</v>
      </c>
      <c r="EI73" s="592">
        <f>EI79-EH79</f>
        <v>6.8184367729237181</v>
      </c>
      <c r="EJ73" s="592">
        <f>EJ79-EI79</f>
        <v>-1.8617296167082102</v>
      </c>
      <c r="EK73" s="594"/>
      <c r="EL73" s="592">
        <f>EL79-EJ79</f>
        <v>7.9500458402877427</v>
      </c>
      <c r="EM73" s="592">
        <f>EM79-EL79</f>
        <v>-1.7319893636757229</v>
      </c>
      <c r="EN73" s="592">
        <f>EN79-EM79</f>
        <v>-10.66993042256734</v>
      </c>
      <c r="EO73" s="592">
        <f>EO79-EN79</f>
        <v>-4.8939433590637051</v>
      </c>
      <c r="EP73" s="594"/>
      <c r="EQ73" s="592">
        <f>EQ79-EO79</f>
        <v>4.8788541833948926</v>
      </c>
      <c r="ER73" s="592">
        <f>ER79-EQ79</f>
        <v>3.8504138266796417</v>
      </c>
      <c r="ES73" s="592">
        <f>ES79-ER79</f>
        <v>-14.731946697022771</v>
      </c>
      <c r="ET73" s="592">
        <f>ET79-ES79</f>
        <v>-18.762976101697493</v>
      </c>
      <c r="EU73" s="594"/>
      <c r="EV73" s="592">
        <f t="shared" ref="EV73:EY74" si="102">MEDIAN(EQ73,EL73,EG73,EB73,DW73)</f>
        <v>5.7127192205161066</v>
      </c>
      <c r="EW73" s="592">
        <f t="shared" si="102"/>
        <v>-1.4167949156406792</v>
      </c>
      <c r="EX73" s="592">
        <f t="shared" si="102"/>
        <v>1.0511812802096046</v>
      </c>
      <c r="EY73" s="592">
        <f>MEDIAN(ET73,EO73,EJ73,EE73,DZ73)</f>
        <v>-4.8939433590637051</v>
      </c>
      <c r="EZ73" s="542"/>
      <c r="FA73" s="595"/>
      <c r="FB73" s="595"/>
      <c r="FC73" s="595"/>
      <c r="FD73" s="595"/>
      <c r="FE73" s="542"/>
      <c r="FI73" s="539"/>
      <c r="FJ73" s="542"/>
      <c r="FN73" s="539"/>
      <c r="FO73" s="542"/>
      <c r="FS73" s="539"/>
      <c r="FT73" s="542"/>
      <c r="FY73" s="542"/>
      <c r="GC73" s="539"/>
      <c r="GD73" s="542"/>
      <c r="GH73" s="539"/>
      <c r="GI73" s="542"/>
      <c r="GM73" s="539"/>
      <c r="GN73" s="542"/>
      <c r="GR73" s="539"/>
      <c r="GS73" s="542"/>
      <c r="GW73" s="539"/>
      <c r="GX73" s="542"/>
      <c r="HB73" s="539"/>
      <c r="HC73" s="542"/>
      <c r="HG73" s="539"/>
      <c r="HH73" s="542"/>
      <c r="HL73" s="539"/>
      <c r="HM73" s="542"/>
      <c r="HN73" s="542"/>
      <c r="HO73" s="542"/>
      <c r="HP73" s="563"/>
      <c r="HR73" s="563"/>
      <c r="HS73" s="563"/>
      <c r="HT73" s="563"/>
      <c r="HU73" s="563"/>
      <c r="HV73" s="563"/>
      <c r="HW73" s="563"/>
      <c r="HX73" s="563"/>
    </row>
    <row r="74" spans="1:232" s="509" customFormat="1">
      <c r="A74" s="522" t="s">
        <v>402</v>
      </c>
      <c r="L74" s="523"/>
      <c r="M74" s="523"/>
      <c r="N74" s="523"/>
      <c r="O74" s="523"/>
      <c r="P74" s="524"/>
      <c r="Q74" s="523"/>
      <c r="R74" s="523"/>
      <c r="S74" s="523"/>
      <c r="T74" s="523"/>
      <c r="U74" s="524"/>
      <c r="V74" s="523"/>
      <c r="W74" s="523"/>
      <c r="X74" s="523"/>
      <c r="Y74" s="523"/>
      <c r="Z74" s="524"/>
      <c r="AA74" s="523"/>
      <c r="AB74" s="523"/>
      <c r="AC74" s="523"/>
      <c r="AD74" s="523"/>
      <c r="AE74" s="524"/>
      <c r="AF74" s="523"/>
      <c r="AJ74" s="538"/>
      <c r="AK74" s="523"/>
      <c r="AL74" s="523"/>
      <c r="AM74" s="523"/>
      <c r="AN74" s="523"/>
      <c r="AO74" s="596"/>
      <c r="AP74" s="523"/>
      <c r="AQ74" s="523"/>
      <c r="AR74" s="523"/>
      <c r="AS74" s="523"/>
      <c r="AT74" s="596"/>
      <c r="AU74" s="589"/>
      <c r="AV74" s="589"/>
      <c r="AW74" s="589"/>
      <c r="AX74" s="597"/>
      <c r="AY74" s="596"/>
      <c r="AZ74" s="589"/>
      <c r="BA74" s="589"/>
      <c r="BB74" s="589"/>
      <c r="BC74" s="589"/>
      <c r="BD74" s="596"/>
      <c r="BE74" s="589"/>
      <c r="BF74" s="589"/>
      <c r="BG74" s="589"/>
      <c r="BH74" s="589"/>
      <c r="BI74" s="596"/>
      <c r="BJ74" s="589"/>
      <c r="BN74" s="538"/>
      <c r="BS74" s="538"/>
      <c r="BX74" s="538"/>
      <c r="CB74" s="598"/>
      <c r="CC74" s="538"/>
      <c r="CH74" s="538"/>
      <c r="CI74" s="539"/>
      <c r="CL74" s="590"/>
      <c r="CM74" s="591"/>
      <c r="CN74" s="599"/>
      <c r="CR74" s="591"/>
      <c r="CS74" s="518"/>
      <c r="CT74" s="518"/>
      <c r="CU74" s="518"/>
      <c r="CV74" s="518"/>
      <c r="CW74" s="539"/>
      <c r="CX74" s="348"/>
      <c r="DB74" s="538"/>
      <c r="DC74" s="348"/>
      <c r="DD74" s="348"/>
      <c r="DE74" s="348"/>
      <c r="DF74" s="348"/>
      <c r="DG74" s="538"/>
      <c r="DK74" s="539"/>
      <c r="DL74" s="538"/>
      <c r="DN74" s="348"/>
      <c r="DQ74" s="542"/>
      <c r="DV74" s="538"/>
      <c r="DW74" s="592">
        <f>DW85-DU85</f>
        <v>15.077972709551659</v>
      </c>
      <c r="DX74" s="592">
        <f>DX85-DW85</f>
        <v>36.18229665071771</v>
      </c>
      <c r="DY74" s="592">
        <f>DY85-DX85</f>
        <v>-21.245910645796627</v>
      </c>
      <c r="DZ74" s="592">
        <f>DZ85-DY85</f>
        <v>-4.5546575360215655</v>
      </c>
      <c r="EA74" s="594"/>
      <c r="EB74" s="592">
        <f>EB85-DZ85</f>
        <v>14.109390463735338</v>
      </c>
      <c r="EC74" s="592">
        <f>EC85-EB85</f>
        <v>5.4123898392949741</v>
      </c>
      <c r="ED74" s="592">
        <f>ED85-EC85</f>
        <v>-2.9092198581560353</v>
      </c>
      <c r="EE74" s="592">
        <f>EE85-ED85</f>
        <v>-11.60879815986199</v>
      </c>
      <c r="EF74" s="594"/>
      <c r="EG74" s="592">
        <f>EG85-EE85</f>
        <v>9.2513513513513601</v>
      </c>
      <c r="EH74" s="592">
        <f>EH85-EG85</f>
        <v>5.7405090137857826</v>
      </c>
      <c r="EI74" s="592">
        <f>EI85-EH85</f>
        <v>-5.3389047357109263</v>
      </c>
      <c r="EJ74" s="592">
        <f>EJ85-EI85</f>
        <v>-11.375903912666828</v>
      </c>
      <c r="EK74" s="594"/>
      <c r="EL74" s="592">
        <f>EL85-EJ85</f>
        <v>13.006117816410153</v>
      </c>
      <c r="EM74" s="592">
        <f>EM85-EL85</f>
        <v>18.467000134282259</v>
      </c>
      <c r="EN74" s="592">
        <f>EN85-EM85</f>
        <v>-23.151859678630856</v>
      </c>
      <c r="EO74" s="592">
        <f>EO85-EN85</f>
        <v>7.1574858069748615</v>
      </c>
      <c r="EP74" s="594"/>
      <c r="EQ74" s="592">
        <f>EQ85-EO85</f>
        <v>17.698575093743827</v>
      </c>
      <c r="ER74" s="592">
        <f>ER85-EQ85</f>
        <v>-13.604431967566811</v>
      </c>
      <c r="ES74" s="592">
        <f>ES85-ER85</f>
        <v>-18.128543517758033</v>
      </c>
      <c r="ET74" s="592">
        <f>ET85-ES85</f>
        <v>13.147836741838546</v>
      </c>
      <c r="EU74" s="594"/>
      <c r="EV74" s="592">
        <f t="shared" si="102"/>
        <v>14.109390463735338</v>
      </c>
      <c r="EW74" s="592">
        <f t="shared" si="102"/>
        <v>5.7405090137857826</v>
      </c>
      <c r="EX74" s="592">
        <f t="shared" si="102"/>
        <v>-18.128543517758033</v>
      </c>
      <c r="EY74" s="592">
        <f t="shared" si="102"/>
        <v>-4.5546575360215655</v>
      </c>
      <c r="EZ74" s="538"/>
      <c r="FA74" s="595"/>
      <c r="FB74" s="600"/>
      <c r="FC74" s="595"/>
      <c r="FD74" s="595"/>
      <c r="FE74" s="538"/>
      <c r="FJ74" s="538"/>
      <c r="FO74" s="538"/>
      <c r="FT74" s="538"/>
      <c r="FY74" s="538"/>
      <c r="GD74" s="538"/>
      <c r="GI74" s="538"/>
      <c r="GN74" s="538"/>
      <c r="GS74" s="538"/>
      <c r="GX74" s="538"/>
      <c r="HC74" s="538"/>
      <c r="HH74" s="538"/>
      <c r="HM74" s="538"/>
      <c r="HN74" s="538"/>
      <c r="HO74" s="538"/>
      <c r="HP74" s="563"/>
      <c r="HR74" s="563"/>
      <c r="HS74" s="601"/>
      <c r="HT74" s="563"/>
      <c r="HU74" s="563"/>
      <c r="HV74" s="563"/>
      <c r="HW74" s="563"/>
      <c r="HX74" s="563"/>
    </row>
    <row r="75" spans="1:232" s="509" customFormat="1">
      <c r="A75" s="522" t="s">
        <v>403</v>
      </c>
      <c r="L75" s="523"/>
      <c r="M75" s="523"/>
      <c r="N75" s="523"/>
      <c r="O75" s="523"/>
      <c r="P75" s="524"/>
      <c r="Q75" s="523"/>
      <c r="R75" s="523"/>
      <c r="S75" s="523"/>
      <c r="T75" s="523"/>
      <c r="U75" s="524"/>
      <c r="V75" s="523"/>
      <c r="W75" s="523"/>
      <c r="X75" s="523"/>
      <c r="Y75" s="523"/>
      <c r="Z75" s="524"/>
      <c r="AA75" s="523"/>
      <c r="AB75" s="523"/>
      <c r="AC75" s="523"/>
      <c r="AD75" s="523"/>
      <c r="AE75" s="524"/>
      <c r="AI75" s="539">
        <v>60.423000000000002</v>
      </c>
      <c r="AJ75" s="524">
        <f>AI75</f>
        <v>60.423000000000002</v>
      </c>
      <c r="AK75" s="546">
        <v>84.405000000000001</v>
      </c>
      <c r="AL75" s="546">
        <v>79.268000000000001</v>
      </c>
      <c r="AM75" s="546">
        <v>130.58699999999999</v>
      </c>
      <c r="AN75" s="546">
        <v>121.343</v>
      </c>
      <c r="AO75" s="524">
        <f>AN75</f>
        <v>121.343</v>
      </c>
      <c r="AP75" s="546">
        <v>162.68</v>
      </c>
      <c r="AQ75" s="546">
        <v>261.07400000000001</v>
      </c>
      <c r="AR75" s="546">
        <v>178.428</v>
      </c>
      <c r="AS75" s="546">
        <v>113.354</v>
      </c>
      <c r="AT75" s="524">
        <f>AS75</f>
        <v>113.354</v>
      </c>
      <c r="AU75" s="546">
        <v>85.382000000000005</v>
      </c>
      <c r="AV75" s="546">
        <v>77.805999999999997</v>
      </c>
      <c r="AW75" s="546">
        <v>108.748</v>
      </c>
      <c r="AX75" s="546">
        <v>166.19399999999999</v>
      </c>
      <c r="AY75" s="524">
        <f>AX75</f>
        <v>166.19399999999999</v>
      </c>
      <c r="AZ75" s="546">
        <f>225.385</f>
        <v>225.38499999999999</v>
      </c>
      <c r="BA75" s="546">
        <v>160.595</v>
      </c>
      <c r="BB75" s="546">
        <v>162.78100000000001</v>
      </c>
      <c r="BC75" s="546">
        <v>240.65799999999999</v>
      </c>
      <c r="BD75" s="524">
        <f>BC75</f>
        <v>240.65799999999999</v>
      </c>
      <c r="BE75" s="546">
        <v>192.48099999999999</v>
      </c>
      <c r="BF75" s="546">
        <v>160.166</v>
      </c>
      <c r="BG75" s="546">
        <v>135.69300000000001</v>
      </c>
      <c r="BH75" s="546">
        <v>361.90800000000002</v>
      </c>
      <c r="BI75" s="524">
        <f>BH75</f>
        <v>361.90800000000002</v>
      </c>
      <c r="BJ75" s="546">
        <v>163.57499999999999</v>
      </c>
      <c r="BK75" s="546">
        <v>220.63800000000001</v>
      </c>
      <c r="BL75" s="546">
        <v>93.266999999999996</v>
      </c>
      <c r="BM75" s="546">
        <v>294.125</v>
      </c>
      <c r="BN75" s="524">
        <f>BM75</f>
        <v>294.125</v>
      </c>
      <c r="BO75" s="546">
        <v>380.154</v>
      </c>
      <c r="BP75" s="546">
        <v>709.52300000000002</v>
      </c>
      <c r="BQ75" s="546">
        <v>582.29899999999998</v>
      </c>
      <c r="BR75" s="546">
        <v>591.45699999999999</v>
      </c>
      <c r="BS75" s="524">
        <f>BR75</f>
        <v>591.45699999999999</v>
      </c>
      <c r="BT75" s="546">
        <v>1055.7760000000001</v>
      </c>
      <c r="BU75" s="546">
        <v>392.5</v>
      </c>
      <c r="BV75" s="546">
        <v>397.423</v>
      </c>
      <c r="BW75" s="602">
        <v>427.28800000000001</v>
      </c>
      <c r="BX75" s="524">
        <f>BW75</f>
        <v>427.28800000000001</v>
      </c>
      <c r="BY75" s="546">
        <v>298.387</v>
      </c>
      <c r="BZ75" s="546">
        <v>506.19099999999997</v>
      </c>
      <c r="CA75" s="546">
        <v>533.38900000000001</v>
      </c>
      <c r="CB75" s="603">
        <v>428.74799999999999</v>
      </c>
      <c r="CC75" s="524">
        <f>CB75</f>
        <v>428.74799999999999</v>
      </c>
      <c r="CD75" s="603">
        <v>429.392</v>
      </c>
      <c r="CE75" s="603">
        <v>703.17600000000004</v>
      </c>
      <c r="CF75" s="603">
        <v>994.93499999999995</v>
      </c>
      <c r="CG75" s="603">
        <v>968.18299999999999</v>
      </c>
      <c r="CH75" s="524">
        <f>CG75</f>
        <v>968.18299999999999</v>
      </c>
      <c r="CI75" s="603">
        <v>957.423</v>
      </c>
      <c r="CJ75" s="603">
        <v>698.25</v>
      </c>
      <c r="CK75" s="603">
        <v>776.58799999999997</v>
      </c>
      <c r="CL75" s="603">
        <v>918.37699999999995</v>
      </c>
      <c r="CM75" s="524">
        <f>CL75</f>
        <v>918.37699999999995</v>
      </c>
      <c r="CN75" s="603">
        <v>661.98400000000004</v>
      </c>
      <c r="CO75" s="539">
        <v>711.221</v>
      </c>
      <c r="CP75" s="539">
        <f>806.115</f>
        <v>806.11500000000001</v>
      </c>
      <c r="CQ75" s="539">
        <v>633.06700000000001</v>
      </c>
      <c r="CR75" s="524">
        <f>CQ75</f>
        <v>633.06700000000001</v>
      </c>
      <c r="CS75" s="539">
        <f>828.626</f>
        <v>828.62599999999998</v>
      </c>
      <c r="CT75" s="539">
        <v>688.65700000000004</v>
      </c>
      <c r="CU75" s="539">
        <v>1384.5260000000001</v>
      </c>
      <c r="CV75" s="539">
        <v>1380</v>
      </c>
      <c r="CW75" s="542">
        <f>CV75</f>
        <v>1380</v>
      </c>
      <c r="CX75" s="539">
        <v>991</v>
      </c>
      <c r="CY75" s="539">
        <f>CY77-CY76</f>
        <v>1304</v>
      </c>
      <c r="CZ75" s="539">
        <v>1096</v>
      </c>
      <c r="DA75" s="539">
        <f>DA77-DA76</f>
        <v>1432</v>
      </c>
      <c r="DB75" s="524">
        <f>DA75</f>
        <v>1432</v>
      </c>
      <c r="DC75" s="539">
        <f>DA75+DC126</f>
        <v>1404</v>
      </c>
      <c r="DD75" s="539">
        <f>DD77-DD76</f>
        <v>1310</v>
      </c>
      <c r="DE75" s="539">
        <f>DE77-DE76</f>
        <v>1108</v>
      </c>
      <c r="DF75" s="539">
        <f>DF77-DF76</f>
        <v>933</v>
      </c>
      <c r="DG75" s="524">
        <f>DF75</f>
        <v>933</v>
      </c>
      <c r="DH75" s="539">
        <f>DH77-DH76</f>
        <v>2402</v>
      </c>
      <c r="DI75" s="539">
        <v>1979</v>
      </c>
      <c r="DJ75" s="539">
        <v>1847</v>
      </c>
      <c r="DK75" s="539">
        <f>DK77-DK76</f>
        <v>2011</v>
      </c>
      <c r="DL75" s="524">
        <f>DK75</f>
        <v>2011</v>
      </c>
      <c r="DM75" s="539">
        <v>642</v>
      </c>
      <c r="DN75" s="539">
        <f>DM75+DN126</f>
        <v>1084</v>
      </c>
      <c r="DO75" s="539">
        <v>620</v>
      </c>
      <c r="DP75" s="539">
        <v>606</v>
      </c>
      <c r="DQ75" s="524">
        <f>DP75</f>
        <v>606</v>
      </c>
      <c r="DR75" s="539">
        <v>602</v>
      </c>
      <c r="DS75" s="539">
        <v>554</v>
      </c>
      <c r="DT75" s="539">
        <f>DS75+DT126</f>
        <v>625</v>
      </c>
      <c r="DU75" s="539">
        <v>869</v>
      </c>
      <c r="DV75" s="524">
        <f>DU75</f>
        <v>869</v>
      </c>
      <c r="DW75" s="539">
        <v>1193</v>
      </c>
      <c r="DX75" s="539">
        <v>1015</v>
      </c>
      <c r="DY75" s="539">
        <v>776</v>
      </c>
      <c r="DZ75" s="539">
        <v>549</v>
      </c>
      <c r="EA75" s="524">
        <f>DZ75</f>
        <v>549</v>
      </c>
      <c r="EB75" s="539">
        <v>441</v>
      </c>
      <c r="EC75" s="539">
        <v>334</v>
      </c>
      <c r="ED75" s="539">
        <f>EC75+ED126</f>
        <v>543</v>
      </c>
      <c r="EE75" s="539">
        <f>869</f>
        <v>869</v>
      </c>
      <c r="EF75" s="524">
        <f>EE75</f>
        <v>869</v>
      </c>
      <c r="EG75" s="539">
        <v>554</v>
      </c>
      <c r="EH75" s="539">
        <v>503</v>
      </c>
      <c r="EI75" s="539">
        <v>640</v>
      </c>
      <c r="EJ75" s="539">
        <v>805</v>
      </c>
      <c r="EK75" s="524">
        <f>EJ75</f>
        <v>805</v>
      </c>
      <c r="EL75" s="539">
        <v>677</v>
      </c>
      <c r="EM75" s="539">
        <f>829-EM76</f>
        <v>829</v>
      </c>
      <c r="EN75" s="539">
        <v>755</v>
      </c>
      <c r="EO75" s="539">
        <v>785</v>
      </c>
      <c r="EP75" s="524">
        <f>EO75</f>
        <v>785</v>
      </c>
      <c r="EQ75" s="539">
        <v>716</v>
      </c>
      <c r="ER75" s="539">
        <v>957</v>
      </c>
      <c r="ES75" s="539">
        <v>1258</v>
      </c>
      <c r="ET75" s="539">
        <v>1264</v>
      </c>
      <c r="EU75" s="524">
        <f>ET75</f>
        <v>1264</v>
      </c>
      <c r="EV75" s="539">
        <v>722</v>
      </c>
      <c r="EW75" s="539">
        <v>760</v>
      </c>
      <c r="EX75" s="539">
        <f>879-EX76</f>
        <v>879</v>
      </c>
      <c r="EY75" s="539">
        <v>1185</v>
      </c>
      <c r="EZ75" s="524">
        <f>EY75</f>
        <v>1185</v>
      </c>
      <c r="FA75" s="539">
        <v>1045</v>
      </c>
      <c r="FB75" s="539">
        <f>948</f>
        <v>948</v>
      </c>
      <c r="FC75" s="539">
        <v>1045</v>
      </c>
      <c r="FD75" s="539">
        <v>1077</v>
      </c>
      <c r="FE75" s="524">
        <f>FD75</f>
        <v>1077</v>
      </c>
      <c r="FF75" s="539">
        <v>977</v>
      </c>
      <c r="FG75" s="539">
        <v>962</v>
      </c>
      <c r="FH75" s="539">
        <v>1155</v>
      </c>
      <c r="FI75" s="539">
        <f>1466-2</f>
        <v>1464</v>
      </c>
      <c r="FJ75" s="524">
        <f>FI75</f>
        <v>1464</v>
      </c>
      <c r="FK75" s="539">
        <v>1328</v>
      </c>
      <c r="FL75" s="539">
        <v>1775</v>
      </c>
      <c r="FM75" s="539">
        <v>1296</v>
      </c>
      <c r="FN75" s="539">
        <v>1595</v>
      </c>
      <c r="FO75" s="524">
        <f>FN75</f>
        <v>1595</v>
      </c>
      <c r="FP75" s="539">
        <v>1763</v>
      </c>
      <c r="FQ75" s="539">
        <v>2623</v>
      </c>
      <c r="FR75" s="539">
        <v>2440</v>
      </c>
      <c r="FS75" s="539">
        <v>2535</v>
      </c>
      <c r="FT75" s="524">
        <f>FS75</f>
        <v>2535</v>
      </c>
      <c r="FU75" s="539">
        <v>4740</v>
      </c>
      <c r="FV75" s="539">
        <v>4964</v>
      </c>
      <c r="FW75" s="539">
        <v>3398</v>
      </c>
      <c r="FX75" s="539">
        <v>4835</v>
      </c>
      <c r="FY75" s="524">
        <f>FX75</f>
        <v>4835</v>
      </c>
      <c r="FZ75" s="539">
        <v>3825</v>
      </c>
      <c r="GA75" s="539">
        <v>3841</v>
      </c>
      <c r="GB75" s="539">
        <v>3561</v>
      </c>
      <c r="GC75" s="539">
        <v>3933</v>
      </c>
      <c r="GD75" s="524">
        <f>GC75</f>
        <v>3933</v>
      </c>
      <c r="GE75" s="539">
        <v>4190</v>
      </c>
      <c r="GF75" s="539">
        <v>4113</v>
      </c>
      <c r="GG75" s="539">
        <v>3897</v>
      </c>
      <c r="GH75" s="539">
        <v>3811</v>
      </c>
      <c r="GI75" s="524">
        <f>GH75</f>
        <v>3811</v>
      </c>
      <c r="GJ75" s="539">
        <v>6059</v>
      </c>
      <c r="GK75" s="539">
        <v>4453</v>
      </c>
      <c r="GL75" s="539">
        <v>4825</v>
      </c>
      <c r="GM75" s="539">
        <f>5539+17</f>
        <v>5556</v>
      </c>
      <c r="GN75" s="524">
        <f>GM75</f>
        <v>5556</v>
      </c>
      <c r="GO75" s="539">
        <f>5585+11</f>
        <v>5596</v>
      </c>
      <c r="GP75" s="539">
        <f>GO75+GP126</f>
        <v>5233.8892609335144</v>
      </c>
      <c r="GQ75" s="539">
        <f>GP75+GQ126</f>
        <v>6941.8799828186757</v>
      </c>
      <c r="GR75" s="539">
        <f>GQ75+GR126</f>
        <v>8199.6970632637513</v>
      </c>
      <c r="GS75" s="524">
        <f>GR75</f>
        <v>8199.6970632637513</v>
      </c>
      <c r="GT75" s="539">
        <f>GR75+GT126</f>
        <v>12996.519279413544</v>
      </c>
      <c r="GU75" s="539">
        <f>GT75+GU126</f>
        <v>16661.888348059852</v>
      </c>
      <c r="GV75" s="539">
        <f>GU75+GV126</f>
        <v>20666.819083308623</v>
      </c>
      <c r="GW75" s="539">
        <f>GV75+GW126</f>
        <v>26846.667624305599</v>
      </c>
      <c r="GX75" s="524">
        <f>GW75</f>
        <v>26846.667624305599</v>
      </c>
      <c r="GY75" s="539">
        <f>GW75+GY126</f>
        <v>38585.518830917303</v>
      </c>
      <c r="GZ75" s="539">
        <f>GY75+GZ126</f>
        <v>48375.698602075398</v>
      </c>
      <c r="HA75" s="539">
        <f>GZ75+HA126</f>
        <v>56698.695746644815</v>
      </c>
      <c r="HB75" s="539">
        <f>HA75+HB126</f>
        <v>66042.417351382435</v>
      </c>
      <c r="HC75" s="524">
        <f>HB75</f>
        <v>66042.417351382435</v>
      </c>
      <c r="HD75" s="539">
        <f>HB75+HD126</f>
        <v>81018.01908416854</v>
      </c>
      <c r="HE75" s="539">
        <f>HD75+HE126</f>
        <v>93733.207008307916</v>
      </c>
      <c r="HF75" s="539">
        <f>HE75+HF126</f>
        <v>106325.23273633183</v>
      </c>
      <c r="HG75" s="539">
        <f>HF75+HG126</f>
        <v>120951.17840917486</v>
      </c>
      <c r="HH75" s="524">
        <f>HG75</f>
        <v>120951.17840917486</v>
      </c>
      <c r="HI75" s="539">
        <f>HG75+HI126</f>
        <v>141058.10285494645</v>
      </c>
      <c r="HJ75" s="539">
        <f>HI75+HJ126</f>
        <v>157341.11048775868</v>
      </c>
      <c r="HK75" s="539">
        <f>HJ75+HK126</f>
        <v>172274.89806018263</v>
      </c>
      <c r="HL75" s="539">
        <f>HK75+HL126</f>
        <v>191193.42804510251</v>
      </c>
      <c r="HM75" s="524">
        <f>HL75</f>
        <v>191193.42804510251</v>
      </c>
      <c r="HN75" s="524"/>
      <c r="HO75" s="524"/>
      <c r="HP75" s="563"/>
      <c r="HR75" s="563"/>
      <c r="HS75" s="563"/>
      <c r="HT75" s="563"/>
      <c r="HU75" s="563"/>
      <c r="HV75" s="563"/>
      <c r="HW75" s="563"/>
      <c r="HX75" s="563"/>
    </row>
    <row r="76" spans="1:232" s="509" customFormat="1">
      <c r="A76" s="522" t="s">
        <v>404</v>
      </c>
      <c r="L76" s="523"/>
      <c r="M76" s="523"/>
      <c r="N76" s="523"/>
      <c r="O76" s="523"/>
      <c r="P76" s="524"/>
      <c r="Q76" s="523"/>
      <c r="R76" s="523"/>
      <c r="S76" s="523"/>
      <c r="T76" s="523"/>
      <c r="U76" s="524"/>
      <c r="V76" s="523"/>
      <c r="W76" s="523"/>
      <c r="X76" s="523"/>
      <c r="Y76" s="523"/>
      <c r="Z76" s="524"/>
      <c r="AA76" s="523"/>
      <c r="AB76" s="523"/>
      <c r="AC76" s="523"/>
      <c r="AD76" s="523"/>
      <c r="AE76" s="524"/>
      <c r="AI76" s="539">
        <f>427.775</f>
        <v>427.77499999999998</v>
      </c>
      <c r="AJ76" s="524">
        <f>AI76</f>
        <v>427.77499999999998</v>
      </c>
      <c r="AK76" s="546">
        <v>458.28199999999998</v>
      </c>
      <c r="AL76" s="546">
        <v>492.06099999999998</v>
      </c>
      <c r="AM76" s="546">
        <f>388.398+34</f>
        <v>422.39800000000002</v>
      </c>
      <c r="AN76" s="546">
        <v>256.51100000000002</v>
      </c>
      <c r="AO76" s="524">
        <f>AN76</f>
        <v>256.51100000000002</v>
      </c>
      <c r="AP76" s="546">
        <v>324.84800000000001</v>
      </c>
      <c r="AQ76" s="546">
        <v>287.88600000000002</v>
      </c>
      <c r="AR76" s="546">
        <v>314.495</v>
      </c>
      <c r="AS76" s="546">
        <v>377.29300000000001</v>
      </c>
      <c r="AT76" s="524">
        <f>AS76</f>
        <v>377.29300000000001</v>
      </c>
      <c r="AU76" s="546">
        <v>323.91699999999997</v>
      </c>
      <c r="AV76" s="546">
        <v>203.852</v>
      </c>
      <c r="AW76" s="546">
        <v>252.596</v>
      </c>
      <c r="AX76" s="546">
        <v>220.00399999999999</v>
      </c>
      <c r="AY76" s="524">
        <f>AX76</f>
        <v>220.00399999999999</v>
      </c>
      <c r="AZ76" s="546">
        <v>403.50200000000001</v>
      </c>
      <c r="BA76" s="546">
        <v>382.42</v>
      </c>
      <c r="BB76" s="546">
        <v>278.22899999999998</v>
      </c>
      <c r="BC76" s="546">
        <v>226.374</v>
      </c>
      <c r="BD76" s="524">
        <f>BC76</f>
        <v>226.374</v>
      </c>
      <c r="BE76" s="546">
        <v>114</v>
      </c>
      <c r="BF76" s="546">
        <v>532.27700000000004</v>
      </c>
      <c r="BG76" s="546">
        <v>444.81700000000001</v>
      </c>
      <c r="BH76" s="546">
        <v>335.11700000000002</v>
      </c>
      <c r="BI76" s="524">
        <f>BH76</f>
        <v>335.11700000000002</v>
      </c>
      <c r="BJ76" s="546">
        <v>325.57</v>
      </c>
      <c r="BK76" s="546">
        <v>430.19200000000001</v>
      </c>
      <c r="BL76" s="546">
        <v>283.76799999999997</v>
      </c>
      <c r="BM76" s="546">
        <v>302.38600000000002</v>
      </c>
      <c r="BN76" s="524">
        <f>BM76</f>
        <v>302.38600000000002</v>
      </c>
      <c r="BO76" s="546">
        <v>539.029</v>
      </c>
      <c r="BP76" s="546">
        <v>370.37</v>
      </c>
      <c r="BQ76" s="546">
        <v>651.19799999999998</v>
      </c>
      <c r="BR76" s="546">
        <v>701.70799999999997</v>
      </c>
      <c r="BS76" s="524">
        <f>BR76</f>
        <v>701.70799999999997</v>
      </c>
      <c r="BT76" s="546">
        <v>539.78</v>
      </c>
      <c r="BU76" s="546">
        <v>664.66300000000001</v>
      </c>
      <c r="BV76" s="546">
        <v>506.11099999999999</v>
      </c>
      <c r="BW76" s="602">
        <v>442.709</v>
      </c>
      <c r="BX76" s="524">
        <f>BW76</f>
        <v>442.709</v>
      </c>
      <c r="BY76" s="602">
        <v>978.33600000000001</v>
      </c>
      <c r="BZ76" s="602">
        <v>593.75199999999995</v>
      </c>
      <c r="CA76" s="602">
        <v>332.435</v>
      </c>
      <c r="CB76" s="603">
        <v>608.95699999999999</v>
      </c>
      <c r="CC76" s="524">
        <f>CB76</f>
        <v>608.95699999999999</v>
      </c>
      <c r="CD76" s="603">
        <v>370.61700000000002</v>
      </c>
      <c r="CE76" s="603">
        <v>35.625</v>
      </c>
      <c r="CF76" s="603">
        <v>81.004000000000005</v>
      </c>
      <c r="CG76" s="603">
        <v>345.18400000000003</v>
      </c>
      <c r="CH76" s="524">
        <f>CG76</f>
        <v>345.18400000000003</v>
      </c>
      <c r="CI76" s="603">
        <v>350.93299999999999</v>
      </c>
      <c r="CJ76" s="603">
        <v>444.024</v>
      </c>
      <c r="CK76" s="603">
        <v>408.589</v>
      </c>
      <c r="CL76" s="603">
        <v>277.18200000000002</v>
      </c>
      <c r="CM76" s="524">
        <f>CL76</f>
        <v>277.18200000000002</v>
      </c>
      <c r="CN76" s="603">
        <v>422.82499999999999</v>
      </c>
      <c r="CO76" s="539">
        <v>508.84300000000002</v>
      </c>
      <c r="CP76" s="539">
        <f>536.052</f>
        <v>536.05200000000002</v>
      </c>
      <c r="CQ76" s="539">
        <f>1002.742+158.957</f>
        <v>1161.6990000000001</v>
      </c>
      <c r="CR76" s="524">
        <f>CQ76</f>
        <v>1161.6990000000001</v>
      </c>
      <c r="CS76" s="539">
        <f>1636.912+167.125</f>
        <v>1804.037</v>
      </c>
      <c r="CT76" s="539">
        <v>1841.405</v>
      </c>
      <c r="CU76" s="539">
        <v>972.37699999999995</v>
      </c>
      <c r="CV76" s="539">
        <v>161</v>
      </c>
      <c r="CW76" s="524">
        <f>CV76</f>
        <v>161</v>
      </c>
      <c r="CX76" s="539">
        <v>176</v>
      </c>
      <c r="CY76" s="539">
        <v>290</v>
      </c>
      <c r="CZ76" s="539">
        <v>432</v>
      </c>
      <c r="DA76" s="539">
        <v>457</v>
      </c>
      <c r="DB76" s="524">
        <f>DA76</f>
        <v>457</v>
      </c>
      <c r="DC76" s="539">
        <f>DC77-DC75</f>
        <v>349</v>
      </c>
      <c r="DD76" s="539">
        <v>257</v>
      </c>
      <c r="DE76" s="539">
        <v>233</v>
      </c>
      <c r="DF76" s="539">
        <v>163</v>
      </c>
      <c r="DG76" s="524">
        <f>DF76</f>
        <v>163</v>
      </c>
      <c r="DH76" s="539">
        <v>317</v>
      </c>
      <c r="DI76" s="539">
        <v>535</v>
      </c>
      <c r="DJ76" s="539">
        <v>664</v>
      </c>
      <c r="DK76" s="539">
        <v>665</v>
      </c>
      <c r="DL76" s="524">
        <f>DK76</f>
        <v>665</v>
      </c>
      <c r="DM76" s="539">
        <f>DM77-DM75</f>
        <v>1290</v>
      </c>
      <c r="DN76" s="539">
        <f>DN77-DN75</f>
        <v>812</v>
      </c>
      <c r="DO76" s="539">
        <f>DO77-DO75</f>
        <v>1106</v>
      </c>
      <c r="DP76" s="539">
        <f>DP77-DP75</f>
        <v>1183</v>
      </c>
      <c r="DQ76" s="524">
        <f>DP76</f>
        <v>1183</v>
      </c>
      <c r="DR76" s="539">
        <v>1143</v>
      </c>
      <c r="DS76" s="539">
        <f>DS77-DS75</f>
        <v>1307</v>
      </c>
      <c r="DT76" s="539">
        <f>DT77-DT75</f>
        <v>1182</v>
      </c>
      <c r="DU76" s="539">
        <f>DU77-DU75</f>
        <v>896</v>
      </c>
      <c r="DV76" s="524">
        <f>DU76</f>
        <v>896</v>
      </c>
      <c r="DW76" s="539">
        <v>351</v>
      </c>
      <c r="DX76" s="539">
        <v>564</v>
      </c>
      <c r="DY76" s="539">
        <v>524</v>
      </c>
      <c r="DZ76" s="539">
        <f>DZ77-DZ75</f>
        <v>453</v>
      </c>
      <c r="EA76" s="524">
        <f>DZ76</f>
        <v>453</v>
      </c>
      <c r="EB76" s="539">
        <v>562</v>
      </c>
      <c r="EC76" s="539">
        <f>EC77-EC75</f>
        <v>634</v>
      </c>
      <c r="ED76" s="539">
        <f>ED77-ED75</f>
        <v>638</v>
      </c>
      <c r="EE76" s="539">
        <f>228+90</f>
        <v>318</v>
      </c>
      <c r="EF76" s="524">
        <f>EE76</f>
        <v>318</v>
      </c>
      <c r="EG76" s="539">
        <v>348</v>
      </c>
      <c r="EH76" s="539">
        <v>445</v>
      </c>
      <c r="EI76" s="539">
        <v>298</v>
      </c>
      <c r="EJ76" s="539">
        <v>235</v>
      </c>
      <c r="EK76" s="524">
        <f>EJ76</f>
        <v>235</v>
      </c>
      <c r="EL76" s="539">
        <v>229</v>
      </c>
      <c r="EM76" s="539">
        <v>0</v>
      </c>
      <c r="EN76" s="539">
        <v>0</v>
      </c>
      <c r="EO76" s="539">
        <f>EN76</f>
        <v>0</v>
      </c>
      <c r="EP76" s="524">
        <f>EO76</f>
        <v>0</v>
      </c>
      <c r="EQ76" s="539">
        <f>EO76</f>
        <v>0</v>
      </c>
      <c r="ER76" s="539">
        <f>EQ76</f>
        <v>0</v>
      </c>
      <c r="ES76" s="539">
        <f>ER76</f>
        <v>0</v>
      </c>
      <c r="ET76" s="539">
        <f>ES76</f>
        <v>0</v>
      </c>
      <c r="EU76" s="524">
        <f>ET76</f>
        <v>0</v>
      </c>
      <c r="EV76" s="539">
        <v>221</v>
      </c>
      <c r="EW76" s="539">
        <v>84</v>
      </c>
      <c r="EX76" s="539">
        <v>0</v>
      </c>
      <c r="EY76" s="539">
        <f>EX76</f>
        <v>0</v>
      </c>
      <c r="EZ76" s="524">
        <f>EY76</f>
        <v>0</v>
      </c>
      <c r="FA76" s="539">
        <f>EY76</f>
        <v>0</v>
      </c>
      <c r="FB76" s="539">
        <v>35</v>
      </c>
      <c r="FC76" s="539">
        <v>11</v>
      </c>
      <c r="FD76" s="539">
        <v>79</v>
      </c>
      <c r="FE76" s="524">
        <f>FD76</f>
        <v>79</v>
      </c>
      <c r="FF76" s="539">
        <v>217</v>
      </c>
      <c r="FG76" s="539">
        <v>166</v>
      </c>
      <c r="FH76" s="539">
        <v>54</v>
      </c>
      <c r="FI76" s="539">
        <f>37+2</f>
        <v>39</v>
      </c>
      <c r="FJ76" s="524">
        <f>FI76</f>
        <v>39</v>
      </c>
      <c r="FK76" s="539">
        <f>55+2</f>
        <v>57</v>
      </c>
      <c r="FL76" s="539">
        <v>0</v>
      </c>
      <c r="FM76" s="539">
        <v>475</v>
      </c>
      <c r="FN76" s="539">
        <v>695</v>
      </c>
      <c r="FO76" s="524">
        <f>FN76</f>
        <v>695</v>
      </c>
      <c r="FP76" s="539">
        <v>1353</v>
      </c>
      <c r="FQ76" s="539">
        <v>1170</v>
      </c>
      <c r="FR76" s="539">
        <v>1168</v>
      </c>
      <c r="FS76" s="539">
        <v>1073</v>
      </c>
      <c r="FT76" s="524">
        <f>FS76</f>
        <v>1073</v>
      </c>
      <c r="FU76" s="539">
        <v>1792</v>
      </c>
      <c r="FV76" s="539">
        <v>1028</v>
      </c>
      <c r="FW76" s="539">
        <v>2193</v>
      </c>
      <c r="FX76" s="539">
        <v>1020</v>
      </c>
      <c r="FY76" s="524">
        <f>FX76</f>
        <v>1020</v>
      </c>
      <c r="FZ76" s="539">
        <v>2114</v>
      </c>
      <c r="GA76" s="539">
        <v>2444</v>
      </c>
      <c r="GB76" s="539">
        <v>2224</v>
      </c>
      <c r="GC76" s="539">
        <v>1840</v>
      </c>
      <c r="GD76" s="524">
        <f>GC76</f>
        <v>1840</v>
      </c>
      <c r="GE76" s="539">
        <v>1845</v>
      </c>
      <c r="GF76" s="539">
        <v>1227</v>
      </c>
      <c r="GG76" s="539">
        <v>647</v>
      </c>
      <c r="GH76" s="539">
        <v>1321</v>
      </c>
      <c r="GI76" s="524">
        <f>GH76</f>
        <v>1321</v>
      </c>
      <c r="GJ76" s="539">
        <f>1261-10</f>
        <v>1251</v>
      </c>
      <c r="GK76" s="539">
        <v>1425</v>
      </c>
      <c r="GL76" s="539">
        <v>2435</v>
      </c>
      <c r="GM76" s="539">
        <v>5013</v>
      </c>
      <c r="GN76" s="524">
        <f>GM76</f>
        <v>5013</v>
      </c>
      <c r="GO76" s="539">
        <f>6762-11</f>
        <v>6751</v>
      </c>
      <c r="GP76" s="539">
        <f>GO76</f>
        <v>6751</v>
      </c>
      <c r="GQ76" s="539">
        <f>GP76</f>
        <v>6751</v>
      </c>
      <c r="GR76" s="539">
        <f>GQ76</f>
        <v>6751</v>
      </c>
      <c r="GS76" s="524">
        <f>GR76</f>
        <v>6751</v>
      </c>
      <c r="GT76" s="539">
        <f>GR76</f>
        <v>6751</v>
      </c>
      <c r="GU76" s="539">
        <f>GT76</f>
        <v>6751</v>
      </c>
      <c r="GV76" s="539">
        <f>GU76</f>
        <v>6751</v>
      </c>
      <c r="GW76" s="539">
        <f>GV76</f>
        <v>6751</v>
      </c>
      <c r="GX76" s="524">
        <f>GW76</f>
        <v>6751</v>
      </c>
      <c r="GY76" s="539">
        <f>GW76</f>
        <v>6751</v>
      </c>
      <c r="GZ76" s="539">
        <f>GY76</f>
        <v>6751</v>
      </c>
      <c r="HA76" s="539">
        <f>GZ76</f>
        <v>6751</v>
      </c>
      <c r="HB76" s="539">
        <f>HA76</f>
        <v>6751</v>
      </c>
      <c r="HC76" s="524">
        <f>HB76</f>
        <v>6751</v>
      </c>
      <c r="HD76" s="539">
        <f>HB76</f>
        <v>6751</v>
      </c>
      <c r="HE76" s="539">
        <f>HD76</f>
        <v>6751</v>
      </c>
      <c r="HF76" s="539">
        <f>HE76</f>
        <v>6751</v>
      </c>
      <c r="HG76" s="539">
        <f>HF76</f>
        <v>6751</v>
      </c>
      <c r="HH76" s="524">
        <f>HG76</f>
        <v>6751</v>
      </c>
      <c r="HI76" s="539">
        <f>HG76</f>
        <v>6751</v>
      </c>
      <c r="HJ76" s="539">
        <f>HI76</f>
        <v>6751</v>
      </c>
      <c r="HK76" s="539">
        <f>HJ76</f>
        <v>6751</v>
      </c>
      <c r="HL76" s="539">
        <f>HK76</f>
        <v>6751</v>
      </c>
      <c r="HM76" s="524">
        <f>HL76</f>
        <v>6751</v>
      </c>
      <c r="HN76" s="524"/>
      <c r="HO76" s="524"/>
      <c r="HP76" s="563"/>
      <c r="HR76" s="563"/>
      <c r="HS76" s="563"/>
      <c r="HT76" s="563"/>
      <c r="HU76" s="563"/>
      <c r="HV76" s="563"/>
      <c r="HW76" s="563"/>
      <c r="HX76" s="563"/>
    </row>
    <row r="77" spans="1:232" s="509" customFormat="1">
      <c r="A77" s="522" t="s">
        <v>405</v>
      </c>
      <c r="L77" s="523"/>
      <c r="M77" s="523"/>
      <c r="N77" s="523"/>
      <c r="O77" s="523"/>
      <c r="P77" s="524"/>
      <c r="Q77" s="523"/>
      <c r="R77" s="523"/>
      <c r="S77" s="523"/>
      <c r="T77" s="523"/>
      <c r="U77" s="524"/>
      <c r="V77" s="546"/>
      <c r="W77" s="546"/>
      <c r="X77" s="546"/>
      <c r="Y77" s="546"/>
      <c r="Z77" s="524"/>
      <c r="AA77" s="546"/>
      <c r="AB77" s="546"/>
      <c r="AC77" s="546"/>
      <c r="AD77" s="546"/>
      <c r="AE77" s="524"/>
      <c r="AF77" s="602">
        <v>396.81799999999998</v>
      </c>
      <c r="AG77" s="602">
        <v>410.64100000000002</v>
      </c>
      <c r="AH77" s="602">
        <v>433.35399999999998</v>
      </c>
      <c r="AI77" s="602">
        <f>SUM(AI75:AI76)</f>
        <v>488.19799999999998</v>
      </c>
      <c r="AJ77" s="524">
        <f>AI77</f>
        <v>488.19799999999998</v>
      </c>
      <c r="AK77" s="546">
        <f>SUM(AK75:AK76)</f>
        <v>542.68700000000001</v>
      </c>
      <c r="AL77" s="546">
        <f>SUM(AL75:AL76)</f>
        <v>571.32899999999995</v>
      </c>
      <c r="AM77" s="546">
        <f>SUM(AM75:AM76)</f>
        <v>552.98500000000001</v>
      </c>
      <c r="AN77" s="546">
        <f>SUM(AN75:AN76)</f>
        <v>377.85400000000004</v>
      </c>
      <c r="AO77" s="524">
        <f>AN77</f>
        <v>377.85400000000004</v>
      </c>
      <c r="AP77" s="546">
        <f>SUM(AP75:AP76)</f>
        <v>487.52800000000002</v>
      </c>
      <c r="AQ77" s="546">
        <f>SUM(AQ75:AQ76)</f>
        <v>548.96</v>
      </c>
      <c r="AR77" s="546">
        <f>SUM(AR75:AR76)</f>
        <v>492.923</v>
      </c>
      <c r="AS77" s="546">
        <f>SUM(AS75:AS76)</f>
        <v>490.64699999999999</v>
      </c>
      <c r="AT77" s="524">
        <f>AS77</f>
        <v>490.64699999999999</v>
      </c>
      <c r="AU77" s="602">
        <f>SUM(AU75:AU76)</f>
        <v>409.29899999999998</v>
      </c>
      <c r="AV77" s="602">
        <f>SUM(AV75:AV76)</f>
        <v>281.65800000000002</v>
      </c>
      <c r="AW77" s="602">
        <f>SUM(AW75:AW76)</f>
        <v>361.34399999999999</v>
      </c>
      <c r="AX77" s="602">
        <f>SUM(AX75:AX76)</f>
        <v>386.19799999999998</v>
      </c>
      <c r="AY77" s="524">
        <f>AX77</f>
        <v>386.19799999999998</v>
      </c>
      <c r="AZ77" s="602">
        <f>SUM(AZ75:AZ76)</f>
        <v>628.88699999999994</v>
      </c>
      <c r="BA77" s="602">
        <f>SUM(BA75:BA76)</f>
        <v>543.01499999999999</v>
      </c>
      <c r="BB77" s="602">
        <f>SUM(BB75:BB76)</f>
        <v>441.01</v>
      </c>
      <c r="BC77" s="602">
        <f>SUM(BC75:BC76)</f>
        <v>467.03199999999998</v>
      </c>
      <c r="BD77" s="524">
        <f>BC77</f>
        <v>467.03199999999998</v>
      </c>
      <c r="BE77" s="602">
        <f>SUM(BE75:BE76)</f>
        <v>306.48099999999999</v>
      </c>
      <c r="BF77" s="602">
        <f>SUM(BF75:BF76)</f>
        <v>692.44299999999998</v>
      </c>
      <c r="BG77" s="602">
        <f>SUM(BG75:BG76)</f>
        <v>580.51</v>
      </c>
      <c r="BH77" s="602">
        <f>SUM(BH75:BH76)</f>
        <v>697.02500000000009</v>
      </c>
      <c r="BI77" s="524">
        <f>BH77</f>
        <v>697.02500000000009</v>
      </c>
      <c r="BJ77" s="602">
        <f>SUM(BJ75:BJ76)</f>
        <v>489.14499999999998</v>
      </c>
      <c r="BK77" s="602">
        <f>SUM(BK75:BK76)</f>
        <v>650.83000000000004</v>
      </c>
      <c r="BL77" s="602">
        <f>SUM(BL75:BL76)</f>
        <v>377.03499999999997</v>
      </c>
      <c r="BM77" s="602">
        <v>596.51099999999997</v>
      </c>
      <c r="BN77" s="524">
        <f>BM77</f>
        <v>596.51099999999997</v>
      </c>
      <c r="BO77" s="602">
        <f>SUM(BO75:BO76)</f>
        <v>919.18299999999999</v>
      </c>
      <c r="BP77" s="602">
        <f>SUM(BP75:BP76)</f>
        <v>1079.893</v>
      </c>
      <c r="BQ77" s="602">
        <f>SUM(BQ75:BQ76)</f>
        <v>1233.4969999999998</v>
      </c>
      <c r="BR77" s="602">
        <f>SUM(BR75:BR76)</f>
        <v>1293.165</v>
      </c>
      <c r="BS77" s="524">
        <f>BR77</f>
        <v>1293.165</v>
      </c>
      <c r="BT77" s="602">
        <f>SUM(BT75:BT76)</f>
        <v>1595.556</v>
      </c>
      <c r="BU77" s="602">
        <f>SUM(BU75:BU76)</f>
        <v>1057.163</v>
      </c>
      <c r="BV77" s="602">
        <f>SUM(BV75:BV76)</f>
        <v>903.53399999999999</v>
      </c>
      <c r="BW77" s="599">
        <f>SUM(BW75:BW76)</f>
        <v>869.99700000000007</v>
      </c>
      <c r="BX77" s="524">
        <f>BW77</f>
        <v>869.99700000000007</v>
      </c>
      <c r="BY77" s="602">
        <f>SUM(BY75:BY76)</f>
        <v>1276.723</v>
      </c>
      <c r="BZ77" s="602">
        <f>SUM(BZ75:BZ76)</f>
        <v>1099.943</v>
      </c>
      <c r="CA77" s="602">
        <f>SUM(CA75:CA76)</f>
        <v>865.82400000000007</v>
      </c>
      <c r="CB77" s="546">
        <f>SUM(CB75:CB76)</f>
        <v>1037.7049999999999</v>
      </c>
      <c r="CC77" s="524">
        <f>CB77</f>
        <v>1037.7049999999999</v>
      </c>
      <c r="CD77" s="546">
        <f>SUM(CD75:CD76)</f>
        <v>800.00900000000001</v>
      </c>
      <c r="CE77" s="546">
        <f>SUM(CE75:CE76)</f>
        <v>738.80100000000004</v>
      </c>
      <c r="CF77" s="546">
        <f>SUM(CF75:CF76)</f>
        <v>1075.9389999999999</v>
      </c>
      <c r="CG77" s="546">
        <f>SUM(CG75:CG76)</f>
        <v>1313.367</v>
      </c>
      <c r="CH77" s="524">
        <f>CG77</f>
        <v>1313.367</v>
      </c>
      <c r="CI77" s="546">
        <f>SUM(CI75:CI76)</f>
        <v>1308.356</v>
      </c>
      <c r="CJ77" s="546">
        <f>SUM(CJ75:CJ76)</f>
        <v>1142.2739999999999</v>
      </c>
      <c r="CK77" s="546">
        <f>SUM(CK75:CK76)</f>
        <v>1185.1769999999999</v>
      </c>
      <c r="CL77" s="546">
        <f>SUM(CL75:CL76)</f>
        <v>1195.559</v>
      </c>
      <c r="CM77" s="524">
        <f>CL77</f>
        <v>1195.559</v>
      </c>
      <c r="CN77" s="546">
        <f>SUM(CN75:CN76)</f>
        <v>1084.809</v>
      </c>
      <c r="CO77" s="539">
        <f>SUM(CO75:CO76)</f>
        <v>1220.0640000000001</v>
      </c>
      <c r="CP77" s="539">
        <f>SUM(CP75:CP76)</f>
        <v>1342.1669999999999</v>
      </c>
      <c r="CQ77" s="539">
        <f>SUM(CQ75:CQ76)</f>
        <v>1794.7660000000001</v>
      </c>
      <c r="CR77" s="524">
        <f>CQ77</f>
        <v>1794.7660000000001</v>
      </c>
      <c r="CS77" s="539">
        <f>SUM(CS75:CS76)</f>
        <v>2632.663</v>
      </c>
      <c r="CT77" s="539">
        <f>SUM(CT75:CT76)</f>
        <v>2530.0619999999999</v>
      </c>
      <c r="CU77" s="539">
        <f>SUM(CU75:CU76)</f>
        <v>2356.9030000000002</v>
      </c>
      <c r="CV77" s="539">
        <f>SUM(CV75:CV76)</f>
        <v>1541</v>
      </c>
      <c r="CW77" s="524">
        <f>CV77</f>
        <v>1541</v>
      </c>
      <c r="CX77" s="539">
        <f>SUM(CX75:CX76)</f>
        <v>1167</v>
      </c>
      <c r="CY77" s="539">
        <v>1594</v>
      </c>
      <c r="CZ77" s="539">
        <f>SUM(CZ75:CZ76)</f>
        <v>1528</v>
      </c>
      <c r="DA77" s="539">
        <v>1889</v>
      </c>
      <c r="DB77" s="524">
        <f>DA77</f>
        <v>1889</v>
      </c>
      <c r="DC77" s="546">
        <v>1753</v>
      </c>
      <c r="DD77" s="539">
        <f>1567</f>
        <v>1567</v>
      </c>
      <c r="DE77" s="539">
        <v>1341</v>
      </c>
      <c r="DF77" s="539">
        <v>1096</v>
      </c>
      <c r="DG77" s="524">
        <f>DF77</f>
        <v>1096</v>
      </c>
      <c r="DH77" s="546">
        <v>2719</v>
      </c>
      <c r="DI77" s="539">
        <v>2514</v>
      </c>
      <c r="DJ77" s="539">
        <v>2511</v>
      </c>
      <c r="DK77" s="539">
        <v>2676</v>
      </c>
      <c r="DL77" s="524">
        <f>DK77</f>
        <v>2676</v>
      </c>
      <c r="DM77" s="539">
        <v>1932</v>
      </c>
      <c r="DN77" s="539">
        <v>1896</v>
      </c>
      <c r="DO77" s="539">
        <v>1726</v>
      </c>
      <c r="DP77" s="539">
        <v>1789</v>
      </c>
      <c r="DQ77" s="524">
        <f>DP77</f>
        <v>1789</v>
      </c>
      <c r="DR77" s="546">
        <v>1745</v>
      </c>
      <c r="DS77" s="546">
        <v>1861</v>
      </c>
      <c r="DT77" s="539">
        <v>1807</v>
      </c>
      <c r="DU77" s="539">
        <v>1765</v>
      </c>
      <c r="DV77" s="524">
        <f>DU77</f>
        <v>1765</v>
      </c>
      <c r="DW77" s="539">
        <f>SUM(DW75:DW76)</f>
        <v>1544</v>
      </c>
      <c r="DX77" s="539">
        <f>SUM(DX75:DX76)</f>
        <v>1579</v>
      </c>
      <c r="DY77" s="539">
        <v>1300</v>
      </c>
      <c r="DZ77" s="539">
        <v>1002</v>
      </c>
      <c r="EA77" s="524">
        <f>DZ77</f>
        <v>1002</v>
      </c>
      <c r="EB77" s="546">
        <f>SUM(EB75:EB76)</f>
        <v>1003</v>
      </c>
      <c r="EC77" s="539">
        <v>968</v>
      </c>
      <c r="ED77" s="539">
        <f>1060+121</f>
        <v>1181</v>
      </c>
      <c r="EE77" s="539">
        <f>SUM(EE75:EE76)</f>
        <v>1187</v>
      </c>
      <c r="EF77" s="524">
        <f>EE77</f>
        <v>1187</v>
      </c>
      <c r="EG77" s="546">
        <f>SUM(EG75:EG76)</f>
        <v>902</v>
      </c>
      <c r="EH77" s="546">
        <f>SUM(EH75:EH76)</f>
        <v>948</v>
      </c>
      <c r="EI77" s="546">
        <f>SUM(EI75:EI76)</f>
        <v>938</v>
      </c>
      <c r="EJ77" s="539">
        <f>SUM(EJ75:EJ76)</f>
        <v>1040</v>
      </c>
      <c r="EK77" s="524">
        <f>EJ77</f>
        <v>1040</v>
      </c>
      <c r="EL77" s="546">
        <f>SUM(EL75:EL76)</f>
        <v>906</v>
      </c>
      <c r="EM77" s="546">
        <f>SUM(EM75:EM76)</f>
        <v>829</v>
      </c>
      <c r="EN77" s="546">
        <f>SUM(EN75:EN76)</f>
        <v>755</v>
      </c>
      <c r="EO77" s="546">
        <f>SUM(EO75:EO76)</f>
        <v>785</v>
      </c>
      <c r="EP77" s="524">
        <f>EO77</f>
        <v>785</v>
      </c>
      <c r="EQ77" s="546">
        <f>SUM(EQ75:EQ76)</f>
        <v>716</v>
      </c>
      <c r="ER77" s="539">
        <f>SUM(ER75:ER76)</f>
        <v>957</v>
      </c>
      <c r="ES77" s="539">
        <f>SUM(ES75:ES76)</f>
        <v>1258</v>
      </c>
      <c r="ET77" s="539">
        <f>SUM(ET75:ET76)</f>
        <v>1264</v>
      </c>
      <c r="EU77" s="524">
        <f>ET77</f>
        <v>1264</v>
      </c>
      <c r="EV77" s="546">
        <f>SUM(EV75:EV76)</f>
        <v>943</v>
      </c>
      <c r="EW77" s="539">
        <f>SUM(EW75:EW76)</f>
        <v>844</v>
      </c>
      <c r="EX77" s="539">
        <f>SUM(EX75:EX76)</f>
        <v>879</v>
      </c>
      <c r="EY77" s="539">
        <f>SUM(EY75:EY76)</f>
        <v>1185</v>
      </c>
      <c r="EZ77" s="524">
        <f>EY77</f>
        <v>1185</v>
      </c>
      <c r="FA77" s="546">
        <f>SUM(FA75:FA76)</f>
        <v>1045</v>
      </c>
      <c r="FB77" s="539">
        <f>SUM(FB75:FB76)</f>
        <v>983</v>
      </c>
      <c r="FC77" s="539">
        <f>SUM(FC75:FC76)</f>
        <v>1056</v>
      </c>
      <c r="FD77" s="539">
        <f>SUM(FD75:FD76)</f>
        <v>1156</v>
      </c>
      <c r="FE77" s="524">
        <f>FD77</f>
        <v>1156</v>
      </c>
      <c r="FF77" s="546">
        <f>SUM(FF75:FF76)</f>
        <v>1194</v>
      </c>
      <c r="FG77" s="539">
        <f>SUM(FG75:FG76)</f>
        <v>1128</v>
      </c>
      <c r="FH77" s="539">
        <f>SUM(FH75:FH76)</f>
        <v>1209</v>
      </c>
      <c r="FI77" s="539">
        <f>SUM(FI75:FI76)</f>
        <v>1503</v>
      </c>
      <c r="FJ77" s="524">
        <f>FI77</f>
        <v>1503</v>
      </c>
      <c r="FK77" s="546">
        <f>SUM(FK75:FK76)</f>
        <v>1385</v>
      </c>
      <c r="FL77" s="539">
        <f>SUM(FL75:FL76)</f>
        <v>1775</v>
      </c>
      <c r="FM77" s="539">
        <f>SUM(FM75:FM76)</f>
        <v>1771</v>
      </c>
      <c r="FN77" s="539">
        <f>SUM(FN75:FN76)</f>
        <v>2290</v>
      </c>
      <c r="FO77" s="524">
        <f>FN77</f>
        <v>2290</v>
      </c>
      <c r="FP77" s="546">
        <f>SUM(FP75:FP76)</f>
        <v>3116</v>
      </c>
      <c r="FQ77" s="539">
        <f>SUM(FQ75:FQ76)</f>
        <v>3793</v>
      </c>
      <c r="FR77" s="539">
        <f>SUM(FR75:FR76)</f>
        <v>3608</v>
      </c>
      <c r="FS77" s="539">
        <f>SUM(FS75:FS76)</f>
        <v>3608</v>
      </c>
      <c r="FT77" s="524">
        <f>FS77</f>
        <v>3608</v>
      </c>
      <c r="FU77" s="546">
        <f>SUM(FU75:FU76)</f>
        <v>6532</v>
      </c>
      <c r="FV77" s="546">
        <f>SUM(FV75:FV76)</f>
        <v>5992</v>
      </c>
      <c r="FW77" s="539">
        <f>SUM(FW75:FW76)</f>
        <v>5591</v>
      </c>
      <c r="FX77" s="539">
        <f>SUM(FX75:FX76)</f>
        <v>5855</v>
      </c>
      <c r="FY77" s="524">
        <f>FX77</f>
        <v>5855</v>
      </c>
      <c r="FZ77" s="546">
        <f>SUM(FZ75:FZ76)</f>
        <v>5939</v>
      </c>
      <c r="GA77" s="546">
        <f>SUM(GA75:GA76)</f>
        <v>6285</v>
      </c>
      <c r="GB77" s="546">
        <f>SUM(GB75:GB76)</f>
        <v>5785</v>
      </c>
      <c r="GC77" s="546">
        <f>SUM(GC75:GC76)</f>
        <v>5773</v>
      </c>
      <c r="GD77" s="524">
        <f>GC77</f>
        <v>5773</v>
      </c>
      <c r="GE77" s="546">
        <f>SUM(GE75:GE76)</f>
        <v>6035</v>
      </c>
      <c r="GF77" s="546">
        <f>SUM(GF75:GF76)</f>
        <v>5340</v>
      </c>
      <c r="GG77" s="546">
        <f>SUM(GG75:GG76)</f>
        <v>4544</v>
      </c>
      <c r="GH77" s="539">
        <f>SUM(GH75:GH76)</f>
        <v>5132</v>
      </c>
      <c r="GI77" s="524">
        <f>GH77</f>
        <v>5132</v>
      </c>
      <c r="GJ77" s="546">
        <f>SUM(GJ75:GJ76)</f>
        <v>7310</v>
      </c>
      <c r="GK77" s="546">
        <f>SUM(GK75:GK76)</f>
        <v>5878</v>
      </c>
      <c r="GL77" s="546">
        <f>SUM(GL75:GL76)</f>
        <v>7260</v>
      </c>
      <c r="GM77" s="546">
        <f>SUM(GM75:GM76)-17</f>
        <v>10552</v>
      </c>
      <c r="GN77" s="524">
        <f>GM77</f>
        <v>10552</v>
      </c>
      <c r="GO77" s="546">
        <f>SUM(GO75:GO76)</f>
        <v>12347</v>
      </c>
      <c r="GP77" s="539">
        <f>SUM(GP75:GP76)</f>
        <v>11984.889260933514</v>
      </c>
      <c r="GQ77" s="539">
        <f>SUM(GQ75:GQ76)</f>
        <v>13692.879982818675</v>
      </c>
      <c r="GR77" s="539">
        <f>SUM(GR75:GR76)</f>
        <v>14950.697063263751</v>
      </c>
      <c r="GS77" s="524">
        <f>GR77</f>
        <v>14950.697063263751</v>
      </c>
      <c r="GT77" s="546">
        <f>SUM(GT75:GT76)</f>
        <v>19747.519279413544</v>
      </c>
      <c r="GU77" s="539">
        <f>SUM(GU75:GU76)</f>
        <v>23412.888348059852</v>
      </c>
      <c r="GV77" s="539">
        <f>SUM(GV75:GV76)</f>
        <v>27417.819083308623</v>
      </c>
      <c r="GW77" s="539">
        <f>SUM(GW75:GW76)</f>
        <v>33597.667624305599</v>
      </c>
      <c r="GX77" s="524">
        <f>GW77</f>
        <v>33597.667624305599</v>
      </c>
      <c r="GY77" s="546">
        <f>SUM(GY75:GY76)</f>
        <v>45336.518830917303</v>
      </c>
      <c r="GZ77" s="539">
        <f>SUM(GZ75:GZ76)</f>
        <v>55126.698602075398</v>
      </c>
      <c r="HA77" s="539">
        <f>SUM(HA75:HA76)</f>
        <v>63449.695746644815</v>
      </c>
      <c r="HB77" s="539">
        <f>SUM(HB75:HB76)</f>
        <v>72793.417351382435</v>
      </c>
      <c r="HC77" s="524">
        <f>HB77</f>
        <v>72793.417351382435</v>
      </c>
      <c r="HD77" s="546">
        <f>SUM(HD75:HD76)</f>
        <v>87769.01908416854</v>
      </c>
      <c r="HE77" s="539">
        <f>SUM(HE75:HE76)</f>
        <v>100484.20700830792</v>
      </c>
      <c r="HF77" s="539">
        <f>SUM(HF75:HF76)</f>
        <v>113076.23273633183</v>
      </c>
      <c r="HG77" s="539">
        <f>SUM(HG75:HG76)</f>
        <v>127702.17840917486</v>
      </c>
      <c r="HH77" s="524">
        <f>HG77</f>
        <v>127702.17840917486</v>
      </c>
      <c r="HI77" s="546">
        <f>SUM(HI75:HI76)</f>
        <v>147809.10285494645</v>
      </c>
      <c r="HJ77" s="539">
        <f>SUM(HJ75:HJ76)</f>
        <v>164092.11048775868</v>
      </c>
      <c r="HK77" s="539">
        <f>SUM(HK75:HK76)</f>
        <v>179025.89806018263</v>
      </c>
      <c r="HL77" s="539">
        <f>SUM(HL75:HL76)</f>
        <v>197944.42804510251</v>
      </c>
      <c r="HM77" s="524">
        <f>HL77</f>
        <v>197944.42804510251</v>
      </c>
      <c r="HN77" s="524"/>
      <c r="HO77" s="524"/>
      <c r="HP77" s="563"/>
      <c r="HR77" s="563"/>
      <c r="HS77" s="563"/>
      <c r="HT77" s="563"/>
      <c r="HU77" s="563"/>
      <c r="HV77" s="563"/>
      <c r="HW77" s="563"/>
      <c r="HX77" s="563"/>
    </row>
    <row r="78" spans="1:232" s="539" customFormat="1">
      <c r="A78" s="604" t="s">
        <v>406</v>
      </c>
      <c r="L78" s="523"/>
      <c r="M78" s="523"/>
      <c r="N78" s="523"/>
      <c r="O78" s="523"/>
      <c r="P78" s="524"/>
      <c r="Q78" s="523"/>
      <c r="R78" s="523"/>
      <c r="S78" s="523"/>
      <c r="T78" s="523"/>
      <c r="U78" s="524"/>
      <c r="V78" s="605"/>
      <c r="W78" s="605"/>
      <c r="X78" s="605"/>
      <c r="Y78" s="605"/>
      <c r="Z78" s="524"/>
      <c r="AA78" s="605"/>
      <c r="AB78" s="605"/>
      <c r="AC78" s="605"/>
      <c r="AD78" s="605"/>
      <c r="AE78" s="524"/>
      <c r="AF78" s="603">
        <v>224.16399999999999</v>
      </c>
      <c r="AG78" s="603">
        <v>236.68</v>
      </c>
      <c r="AH78" s="603">
        <v>271.048</v>
      </c>
      <c r="AI78" s="603">
        <v>263.61700000000002</v>
      </c>
      <c r="AJ78" s="524">
        <f>AI78</f>
        <v>263.61700000000002</v>
      </c>
      <c r="AK78" s="603">
        <v>313.97199999999998</v>
      </c>
      <c r="AL78" s="603">
        <v>314.74299999999999</v>
      </c>
      <c r="AM78" s="603">
        <v>332.411</v>
      </c>
      <c r="AN78" s="603">
        <v>337.10700000000003</v>
      </c>
      <c r="AO78" s="524">
        <f>AN78</f>
        <v>337.10700000000003</v>
      </c>
      <c r="AP78" s="603">
        <v>339.08</v>
      </c>
      <c r="AQ78" s="603">
        <v>366.35899999999998</v>
      </c>
      <c r="AR78" s="603">
        <v>344.04700000000003</v>
      </c>
      <c r="AS78" s="603">
        <v>275.733</v>
      </c>
      <c r="AT78" s="524">
        <f>AS78</f>
        <v>275.733</v>
      </c>
      <c r="AU78" s="603">
        <v>235.15899999999999</v>
      </c>
      <c r="AV78" s="603">
        <v>209.691</v>
      </c>
      <c r="AW78" s="603">
        <v>234.24199999999999</v>
      </c>
      <c r="AX78" s="603">
        <v>220.02799999999999</v>
      </c>
      <c r="AY78" s="524">
        <f>AX78</f>
        <v>220.02799999999999</v>
      </c>
      <c r="AZ78" s="603">
        <v>282.58999999999997</v>
      </c>
      <c r="BA78" s="603">
        <v>314.101</v>
      </c>
      <c r="BB78" s="603">
        <v>309.15300000000002</v>
      </c>
      <c r="BC78" s="603">
        <v>329.11099999999999</v>
      </c>
      <c r="BD78" s="524">
        <f>BC78</f>
        <v>329.11099999999999</v>
      </c>
      <c r="BE78" s="603">
        <v>254.346</v>
      </c>
      <c r="BF78" s="603">
        <v>239.602</v>
      </c>
      <c r="BG78" s="603">
        <v>372.39299999999997</v>
      </c>
      <c r="BH78" s="603">
        <v>415.55700000000002</v>
      </c>
      <c r="BI78" s="524">
        <f>BH78</f>
        <v>415.55700000000002</v>
      </c>
      <c r="BJ78" s="603">
        <v>376.36</v>
      </c>
      <c r="BK78" s="603">
        <v>320.755</v>
      </c>
      <c r="BL78" s="603">
        <v>382.47800000000001</v>
      </c>
      <c r="BM78" s="603">
        <v>429.80900000000003</v>
      </c>
      <c r="BN78" s="524">
        <f>BM78</f>
        <v>429.80900000000003</v>
      </c>
      <c r="BO78" s="603">
        <v>408.14800000000002</v>
      </c>
      <c r="BP78" s="603">
        <v>533.00699999999995</v>
      </c>
      <c r="BQ78" s="603">
        <v>687.69200000000001</v>
      </c>
      <c r="BR78" s="603">
        <v>547.20000000000005</v>
      </c>
      <c r="BS78" s="524">
        <f>BR78</f>
        <v>547.20000000000005</v>
      </c>
      <c r="BT78" s="603">
        <v>602.06700000000001</v>
      </c>
      <c r="BU78" s="603">
        <v>728.35599999999999</v>
      </c>
      <c r="BV78" s="603">
        <v>588.56299999999999</v>
      </c>
      <c r="BW78" s="603">
        <v>659.78300000000002</v>
      </c>
      <c r="BX78" s="524">
        <f>BW78</f>
        <v>659.78300000000002</v>
      </c>
      <c r="BY78" s="603">
        <v>692.16499999999996</v>
      </c>
      <c r="BZ78" s="603">
        <v>534.92899999999997</v>
      </c>
      <c r="CA78" s="603">
        <v>428.65300000000002</v>
      </c>
      <c r="CB78" s="603">
        <v>395.82799999999997</v>
      </c>
      <c r="CC78" s="524">
        <f>CB78</f>
        <v>395.82799999999997</v>
      </c>
      <c r="CD78" s="603">
        <v>371.84100000000001</v>
      </c>
      <c r="CE78" s="603">
        <v>351.834</v>
      </c>
      <c r="CF78" s="603">
        <v>543.44399999999996</v>
      </c>
      <c r="CG78" s="603">
        <v>609.45699999999999</v>
      </c>
      <c r="CH78" s="524">
        <f>CG78</f>
        <v>609.45699999999999</v>
      </c>
      <c r="CI78" s="603">
        <v>669.35699999999997</v>
      </c>
      <c r="CJ78" s="603">
        <v>744.548</v>
      </c>
      <c r="CK78" s="603">
        <v>790.75</v>
      </c>
      <c r="CL78" s="603">
        <v>719.572</v>
      </c>
      <c r="CM78" s="524">
        <f>CL78</f>
        <v>719.572</v>
      </c>
      <c r="CN78" s="603">
        <v>698.30799999999999</v>
      </c>
      <c r="CO78" s="539">
        <v>735.68700000000001</v>
      </c>
      <c r="CP78" s="539">
        <v>861.79899999999998</v>
      </c>
      <c r="CQ78" s="539">
        <f>818.305-12.774</f>
        <v>805.53099999999995</v>
      </c>
      <c r="CR78" s="524">
        <f>CQ78</f>
        <v>805.53099999999995</v>
      </c>
      <c r="CS78" s="539">
        <v>819.96299999999997</v>
      </c>
      <c r="CT78" s="539">
        <v>571.53899999999999</v>
      </c>
      <c r="CU78" s="539">
        <v>688.02300000000002</v>
      </c>
      <c r="CV78" s="539">
        <v>1141</v>
      </c>
      <c r="CW78" s="524">
        <f>CV78</f>
        <v>1141</v>
      </c>
      <c r="CX78" s="539">
        <v>667</v>
      </c>
      <c r="CY78" s="539">
        <v>648</v>
      </c>
      <c r="CZ78" s="539">
        <v>689</v>
      </c>
      <c r="DA78" s="539">
        <v>640</v>
      </c>
      <c r="DB78" s="524">
        <f>DA78</f>
        <v>640</v>
      </c>
      <c r="DC78" s="539">
        <v>538</v>
      </c>
      <c r="DD78" s="539">
        <v>437</v>
      </c>
      <c r="DE78" s="539">
        <v>620</v>
      </c>
      <c r="DF78" s="539">
        <v>320</v>
      </c>
      <c r="DG78" s="524">
        <f>DF78</f>
        <v>320</v>
      </c>
      <c r="DH78" s="539">
        <v>414</v>
      </c>
      <c r="DI78" s="539">
        <v>366</v>
      </c>
      <c r="DJ78" s="539">
        <v>572</v>
      </c>
      <c r="DK78" s="539">
        <v>745</v>
      </c>
      <c r="DL78" s="524">
        <f>DK78</f>
        <v>745</v>
      </c>
      <c r="DM78" s="539">
        <v>675</v>
      </c>
      <c r="DN78" s="539">
        <v>725</v>
      </c>
      <c r="DO78" s="539">
        <v>765</v>
      </c>
      <c r="DP78" s="539">
        <v>968</v>
      </c>
      <c r="DQ78" s="524">
        <f>DP78</f>
        <v>968</v>
      </c>
      <c r="DR78" s="539">
        <v>797</v>
      </c>
      <c r="DS78" s="539">
        <v>759</v>
      </c>
      <c r="DT78" s="539">
        <v>908</v>
      </c>
      <c r="DU78" s="539">
        <v>919</v>
      </c>
      <c r="DV78" s="524">
        <f>DU78</f>
        <v>919</v>
      </c>
      <c r="DW78" s="539">
        <v>962</v>
      </c>
      <c r="DX78" s="539">
        <v>744</v>
      </c>
      <c r="DY78" s="539">
        <v>683</v>
      </c>
      <c r="DZ78" s="539">
        <v>630</v>
      </c>
      <c r="EA78" s="524">
        <f>DZ78</f>
        <v>630</v>
      </c>
      <c r="EB78" s="539">
        <v>645</v>
      </c>
      <c r="EC78" s="539">
        <v>670</v>
      </c>
      <c r="ED78" s="539">
        <v>873</v>
      </c>
      <c r="EE78" s="539">
        <v>832</v>
      </c>
      <c r="EF78" s="524">
        <f>EE78</f>
        <v>832</v>
      </c>
      <c r="EG78" s="539">
        <v>840</v>
      </c>
      <c r="EH78" s="539">
        <v>872</v>
      </c>
      <c r="EI78" s="539">
        <v>973</v>
      </c>
      <c r="EJ78" s="539">
        <v>818</v>
      </c>
      <c r="EK78" s="524">
        <f>EJ78</f>
        <v>818</v>
      </c>
      <c r="EL78" s="539">
        <v>771</v>
      </c>
      <c r="EM78" s="539">
        <v>687</v>
      </c>
      <c r="EN78" s="539">
        <v>648</v>
      </c>
      <c r="EO78" s="539">
        <v>533</v>
      </c>
      <c r="EP78" s="524">
        <f>EO78</f>
        <v>533</v>
      </c>
      <c r="EQ78" s="539">
        <v>508</v>
      </c>
      <c r="ER78" s="539">
        <v>671</v>
      </c>
      <c r="ES78" s="539">
        <v>640</v>
      </c>
      <c r="ET78" s="539">
        <v>311</v>
      </c>
      <c r="EU78" s="524">
        <f>ET78</f>
        <v>311</v>
      </c>
      <c r="EV78" s="539">
        <v>494</v>
      </c>
      <c r="EW78" s="539">
        <v>614</v>
      </c>
      <c r="EX78" s="539">
        <v>771</v>
      </c>
      <c r="EY78" s="539">
        <v>400</v>
      </c>
      <c r="EZ78" s="524">
        <f>EY78</f>
        <v>400</v>
      </c>
      <c r="FA78" s="539">
        <v>738</v>
      </c>
      <c r="FB78" s="539">
        <v>1118</v>
      </c>
      <c r="FC78" s="539">
        <v>1207</v>
      </c>
      <c r="FD78" s="539">
        <v>1235</v>
      </c>
      <c r="FE78" s="524">
        <f>FD78</f>
        <v>1235</v>
      </c>
      <c r="FF78" s="539">
        <v>1241</v>
      </c>
      <c r="FG78" s="539">
        <v>1333</v>
      </c>
      <c r="FH78" s="539">
        <v>1393</v>
      </c>
      <c r="FI78" s="539">
        <v>1859</v>
      </c>
      <c r="FJ78" s="524">
        <f>FI78</f>
        <v>1859</v>
      </c>
      <c r="FK78" s="539">
        <v>1691</v>
      </c>
      <c r="FL78" s="539">
        <v>1789</v>
      </c>
      <c r="FM78" s="539">
        <v>2134</v>
      </c>
      <c r="FN78" s="539">
        <v>2066</v>
      </c>
      <c r="FO78" s="524">
        <f>FN78</f>
        <v>2066</v>
      </c>
      <c r="FP78" s="539">
        <v>2178</v>
      </c>
      <c r="FQ78" s="539">
        <v>2020</v>
      </c>
      <c r="FR78" s="539">
        <v>2224</v>
      </c>
      <c r="FS78" s="539">
        <v>2706</v>
      </c>
      <c r="FT78" s="524">
        <f>FS78</f>
        <v>2706</v>
      </c>
      <c r="FU78" s="539">
        <v>3677</v>
      </c>
      <c r="FV78" s="539">
        <v>4050</v>
      </c>
      <c r="FW78" s="539">
        <v>4336</v>
      </c>
      <c r="FX78" s="539">
        <v>4126</v>
      </c>
      <c r="FY78" s="524">
        <f>FX78</f>
        <v>4126</v>
      </c>
      <c r="FZ78" s="539">
        <v>4040</v>
      </c>
      <c r="GA78" s="539">
        <v>4312</v>
      </c>
      <c r="GB78" s="539">
        <v>5054</v>
      </c>
      <c r="GC78" s="539">
        <v>5376</v>
      </c>
      <c r="GD78" s="524">
        <f>GC78</f>
        <v>5376</v>
      </c>
      <c r="GE78" s="539">
        <v>5038</v>
      </c>
      <c r="GF78" s="539">
        <v>5749</v>
      </c>
      <c r="GG78" s="539">
        <v>7241</v>
      </c>
      <c r="GH78" s="539">
        <v>6192</v>
      </c>
      <c r="GI78" s="524">
        <f>GH78</f>
        <v>6192</v>
      </c>
      <c r="GJ78" s="539">
        <v>5443</v>
      </c>
      <c r="GK78" s="539">
        <v>5115</v>
      </c>
      <c r="GL78" s="539">
        <v>6201</v>
      </c>
      <c r="GM78" s="539">
        <v>6315</v>
      </c>
      <c r="GN78" s="524">
        <f>GM78</f>
        <v>6315</v>
      </c>
      <c r="GO78" s="539">
        <v>6035</v>
      </c>
      <c r="GP78" s="539">
        <f>GP79/91*GP$9</f>
        <v>7399.4599841979016</v>
      </c>
      <c r="GQ78" s="539">
        <f>GQ79/91*GQ$9</f>
        <v>7907.8813411013834</v>
      </c>
      <c r="GR78" s="539">
        <f>GR79/91*GR$9</f>
        <v>10675.764168362226</v>
      </c>
      <c r="GS78" s="524">
        <f>GR78</f>
        <v>10675.764168362226</v>
      </c>
      <c r="GT78" s="539">
        <f>GT79/91*GT$9</f>
        <v>11495.4957085025</v>
      </c>
      <c r="GU78" s="539">
        <f>GU79/91*GU$9</f>
        <v>14778.091871714951</v>
      </c>
      <c r="GV78" s="539">
        <f>GV79/91*GV$9</f>
        <v>17027.562448839362</v>
      </c>
      <c r="GW78" s="539">
        <f>GW79/91*GW$9</f>
        <v>18860.390658834258</v>
      </c>
      <c r="GX78" s="524">
        <f>GW78</f>
        <v>18860.390658834258</v>
      </c>
      <c r="GY78" s="539">
        <f>GY79/91*GY$9</f>
        <v>18416.513938280081</v>
      </c>
      <c r="GZ78" s="539">
        <f>GZ79/91*GZ$9</f>
        <v>19256.221249786908</v>
      </c>
      <c r="HA78" s="539">
        <f>HA79/91*HA$9</f>
        <v>20670.714850977274</v>
      </c>
      <c r="HB78" s="539">
        <f>HB79/91*HB$9</f>
        <v>22116.988507369857</v>
      </c>
      <c r="HC78" s="524">
        <f>HB78</f>
        <v>22116.988507369857</v>
      </c>
      <c r="HD78" s="539">
        <f>HD79/91*HD$9</f>
        <v>21674.280569476268</v>
      </c>
      <c r="HE78" s="539">
        <f>HE79/91*HE$9</f>
        <v>22598.677589989533</v>
      </c>
      <c r="HF78" s="539">
        <f>HF79/91*HF$9</f>
        <v>24397.021974674957</v>
      </c>
      <c r="HG78" s="539">
        <f>HG79/91*HG$9</f>
        <v>25472.48217399657</v>
      </c>
      <c r="HH78" s="524">
        <f>HG78</f>
        <v>25472.48217399657</v>
      </c>
      <c r="HI78" s="539">
        <f>HI79/91*HI$9</f>
        <v>24395.077997807901</v>
      </c>
      <c r="HJ78" s="539">
        <f>HJ79/91*HJ$9</f>
        <v>25426.875548974647</v>
      </c>
      <c r="HK78" s="539">
        <f>HK79/91*HK$9</f>
        <v>27939.661577160728</v>
      </c>
      <c r="HL78" s="539">
        <f>HL79/91*HL$9</f>
        <v>29228.622062797625</v>
      </c>
      <c r="HM78" s="524">
        <f>HL78</f>
        <v>29228.622062797625</v>
      </c>
      <c r="HN78" s="524"/>
      <c r="HO78" s="524"/>
      <c r="HP78" s="563"/>
      <c r="HR78" s="606"/>
      <c r="HS78" s="606"/>
      <c r="HT78" s="606"/>
      <c r="HU78" s="606"/>
      <c r="HV78" s="606"/>
      <c r="HW78" s="606"/>
      <c r="HX78" s="606"/>
    </row>
    <row r="79" spans="1:232" s="608" customFormat="1">
      <c r="A79" s="607" t="s">
        <v>407</v>
      </c>
      <c r="L79" s="609"/>
      <c r="M79" s="609"/>
      <c r="N79" s="609"/>
      <c r="O79" s="609"/>
      <c r="P79" s="524"/>
      <c r="Q79" s="523"/>
      <c r="R79" s="523"/>
      <c r="S79" s="523"/>
      <c r="T79" s="523"/>
      <c r="U79" s="524"/>
      <c r="V79" s="546"/>
      <c r="W79" s="546"/>
      <c r="X79" s="546"/>
      <c r="Y79" s="546"/>
      <c r="Z79" s="610"/>
      <c r="AA79" s="546"/>
      <c r="AB79" s="546"/>
      <c r="AC79" s="546"/>
      <c r="AD79" s="546"/>
      <c r="AE79" s="610"/>
      <c r="AF79" s="611">
        <f>AF78/(AF$9/90)</f>
        <v>49.516754902032964</v>
      </c>
      <c r="AG79" s="611">
        <f>AG78/(AG$9/90)</f>
        <v>52.069461148103613</v>
      </c>
      <c r="AH79" s="611">
        <f>AH78/(AH$9/90)</f>
        <v>58.310653016247123</v>
      </c>
      <c r="AI79" s="611">
        <f>AI78/(AI$9/90)</f>
        <v>57.390663854244281</v>
      </c>
      <c r="AJ79" s="612" t="s">
        <v>199</v>
      </c>
      <c r="AK79" s="611">
        <f>AK78/(AK$9/90)</f>
        <v>55.074218445466585</v>
      </c>
      <c r="AL79" s="611">
        <f>AL78/(AL$9/90)</f>
        <v>53.116499811549659</v>
      </c>
      <c r="AM79" s="611">
        <f>AM78/(AM$9/90)</f>
        <v>55.084181221621975</v>
      </c>
      <c r="AN79" s="611">
        <f>AN78/(AN$9/90)</f>
        <v>55.651890793296744</v>
      </c>
      <c r="AO79" s="612" t="s">
        <v>199</v>
      </c>
      <c r="AP79" s="611">
        <f>AP78/(AP$9/90)</f>
        <v>49.213670141397458</v>
      </c>
      <c r="AQ79" s="611">
        <f>AQ78/(AQ$9/90)</f>
        <v>52.653421993120553</v>
      </c>
      <c r="AR79" s="611">
        <f>AR78/(AR$9/90)</f>
        <v>52.447521532559264</v>
      </c>
      <c r="AS79" s="611">
        <f>AS78/(AS$9/90)</f>
        <v>41.846132313934056</v>
      </c>
      <c r="AT79" s="612" t="s">
        <v>199</v>
      </c>
      <c r="AU79" s="611">
        <f>AU78/(AU$9/90)</f>
        <v>38.889826023681948</v>
      </c>
      <c r="AV79" s="611">
        <f>AV78/(AV$9/90)</f>
        <v>41.470322604746009</v>
      </c>
      <c r="AW79" s="611">
        <f>AW78/(AW$9/90)</f>
        <v>46.144743927050179</v>
      </c>
      <c r="AX79" s="611">
        <f>AX78/(AX$9/90)</f>
        <v>39.854689776761631</v>
      </c>
      <c r="AY79" s="612" t="s">
        <v>199</v>
      </c>
      <c r="AZ79" s="611">
        <f>AZ78/(AZ$9/90)</f>
        <v>46.074539990108669</v>
      </c>
      <c r="BA79" s="611">
        <f>BA78/(BA$9/90)</f>
        <v>47.546155903263077</v>
      </c>
      <c r="BB79" s="611">
        <f>BB78/(BB$9/90)</f>
        <v>46.633788322684886</v>
      </c>
      <c r="BC79" s="611">
        <f>BC78/(BC$9/90)</f>
        <v>48.306247360034959</v>
      </c>
      <c r="BD79" s="612" t="s">
        <v>199</v>
      </c>
      <c r="BE79" s="611">
        <f>BE78/(BE$9/90)</f>
        <v>42.323908766843672</v>
      </c>
      <c r="BF79" s="611">
        <f>BF78/(BF$9/90)</f>
        <v>40.954650946370442</v>
      </c>
      <c r="BG79" s="611">
        <f>BG78/(BG$9/90)</f>
        <v>48.861424029087637</v>
      </c>
      <c r="BH79" s="611">
        <f>BH78/(BH$9/90)</f>
        <v>47.412755761770747</v>
      </c>
      <c r="BI79" s="612" t="s">
        <v>199</v>
      </c>
      <c r="BJ79" s="611">
        <f>BJ78/(BJ$9/90)</f>
        <v>53.630106730125263</v>
      </c>
      <c r="BK79" s="611">
        <f>BK78/(BK$9/90)</f>
        <v>48.508676561772717</v>
      </c>
      <c r="BL79" s="611">
        <f>BL78/(BL$9/90)</f>
        <v>51.983442868533594</v>
      </c>
      <c r="BM79" s="611">
        <f>BM78/(BM$9/90)</f>
        <v>39.932291397838362</v>
      </c>
      <c r="BN79" s="612" t="s">
        <v>199</v>
      </c>
      <c r="BO79" s="611">
        <f>BO78/(BO$9/90)</f>
        <v>33.637678120269698</v>
      </c>
      <c r="BP79" s="611">
        <f>BP78/(BP$9/90)</f>
        <v>40.98523030286978</v>
      </c>
      <c r="BQ79" s="611">
        <f>BQ78/(BQ$9/90)</f>
        <v>51.296946912226524</v>
      </c>
      <c r="BR79" s="611">
        <f>BR78/(BR$9/90)</f>
        <v>41.907057009527122</v>
      </c>
      <c r="BS79" s="612" t="s">
        <v>199</v>
      </c>
      <c r="BT79" s="611">
        <f>BT78/(BT$9/90)</f>
        <v>45.582474656087456</v>
      </c>
      <c r="BU79" s="611">
        <f>BU78/(BU$9/90)</f>
        <v>66.532462365416777</v>
      </c>
      <c r="BV79" s="611">
        <f>BV78/(BV$9/90)</f>
        <v>69.164048728896546</v>
      </c>
      <c r="BW79" s="611">
        <f>BW78/(BW$9/90)</f>
        <v>62.3827653478983</v>
      </c>
      <c r="BX79" s="612" t="s">
        <v>199</v>
      </c>
      <c r="BY79" s="611">
        <f>BY78/(BY$9/90)</f>
        <v>69.0574377018268</v>
      </c>
      <c r="BZ79" s="611">
        <f>BZ78/(BZ$9/90)</f>
        <v>80.199383973653127</v>
      </c>
      <c r="CA79" s="611">
        <f>CA78/(CA$9/90)</f>
        <v>75.908540868548897</v>
      </c>
      <c r="CB79" s="611">
        <f>CB78/(CB$9/90)</f>
        <v>51.898256195096366</v>
      </c>
      <c r="CC79" s="612" t="s">
        <v>199</v>
      </c>
      <c r="CD79" s="611">
        <f>CD78/(CD$9/90)</f>
        <v>46.834309465331572</v>
      </c>
      <c r="CE79" s="611">
        <f>CE78/(CE$9/90)</f>
        <v>49.07325872786361</v>
      </c>
      <c r="CF79" s="611">
        <f>CF78/(CF$9/90)</f>
        <v>51.281256585783197</v>
      </c>
      <c r="CG79" s="611">
        <f>CG78/(CG$9/90)</f>
        <v>45.497220040262341</v>
      </c>
      <c r="CH79" s="612" t="s">
        <v>199</v>
      </c>
      <c r="CI79" s="611">
        <f>CI78/(CI$9/90)</f>
        <v>48.722518729280111</v>
      </c>
      <c r="CJ79" s="611">
        <f>CJ78/(CJ$9/90)</f>
        <v>53.10457689860101</v>
      </c>
      <c r="CK79" s="611">
        <f>CK78/(CK$9/90)</f>
        <v>57.41819616461698</v>
      </c>
      <c r="CL79" s="611">
        <f>CL78/(CL$9/90)</f>
        <v>51.247267956312626</v>
      </c>
      <c r="CM79" s="612" t="s">
        <v>199</v>
      </c>
      <c r="CN79" s="611">
        <f>CN78/(CN$9/90)</f>
        <v>51.23616940099199</v>
      </c>
      <c r="CO79" s="611">
        <f>CO78/(CO$9/90)</f>
        <v>52.552491511352329</v>
      </c>
      <c r="CP79" s="611">
        <f>CP78/(CP$9/90)</f>
        <v>50.935252223765467</v>
      </c>
      <c r="CQ79" s="611">
        <f>CQ78/(CQ$9/90)</f>
        <v>39.437924446601052</v>
      </c>
      <c r="CR79" s="612" t="s">
        <v>199</v>
      </c>
      <c r="CS79" s="611">
        <f>CS78/(CS$9/90)</f>
        <v>55.396334368746047</v>
      </c>
      <c r="CT79" s="611">
        <f>CT78/(CT$9/90)</f>
        <v>42.288643147997277</v>
      </c>
      <c r="CU79" s="611">
        <f>CU78/(CU$9/90)</f>
        <v>46.641340682814842</v>
      </c>
      <c r="CV79" s="611">
        <f>CV78/(CV$9/90)</f>
        <v>57.91878172588833</v>
      </c>
      <c r="CW79" s="612" t="s">
        <v>199</v>
      </c>
      <c r="CX79" s="611">
        <f>CX78/(CX$9/90)</f>
        <v>48.686131386861319</v>
      </c>
      <c r="CY79" s="611">
        <f>CY78/(CY$9/90)</f>
        <v>42.322206095791003</v>
      </c>
      <c r="CZ79" s="611">
        <f>CZ78/(CZ$9/90)</f>
        <v>37.996323529411768</v>
      </c>
      <c r="DA79" s="611">
        <f>DA78/(DA$9/90)</f>
        <v>32.542372881355931</v>
      </c>
      <c r="DB79" s="612" t="s">
        <v>199</v>
      </c>
      <c r="DC79" s="611">
        <f>DC78/(DC$9/90)</f>
        <v>32.17275747508306</v>
      </c>
      <c r="DD79" s="611">
        <f>DD78/(DD$9/90)</f>
        <v>29.154929577464788</v>
      </c>
      <c r="DE79" s="611">
        <f>DE78/(DE$9/90)</f>
        <v>34.744707347447076</v>
      </c>
      <c r="DF79" s="611">
        <f>DF78/(DF$9/90)</f>
        <v>24.784853700516351</v>
      </c>
      <c r="DG79" s="612" t="s">
        <v>199</v>
      </c>
      <c r="DH79" s="611">
        <f>DH78/(DH$9/90)</f>
        <v>31.656754460492778</v>
      </c>
      <c r="DI79" s="611">
        <f>DI78/(DI$9/90)</f>
        <v>27.820945945945947</v>
      </c>
      <c r="DJ79" s="611">
        <f>DJ78/(DJ$9/90)</f>
        <v>36.876790830945559</v>
      </c>
      <c r="DK79" s="611">
        <f>DK78/(DK$9/90)</f>
        <v>40.735115431348724</v>
      </c>
      <c r="DL79" s="612" t="s">
        <v>199</v>
      </c>
      <c r="DM79" s="611">
        <f>DM78/(DM$9/90)</f>
        <v>38.595933926302415</v>
      </c>
      <c r="DN79" s="611">
        <f>DN78/(DN$9/90)</f>
        <v>39.473684210526315</v>
      </c>
      <c r="DO79" s="611">
        <f>DO78/(DO$9/90)</f>
        <v>42.552533992583434</v>
      </c>
      <c r="DP79" s="611">
        <f>DP78/(DP$9/90)</f>
        <v>52.832019405700422</v>
      </c>
      <c r="DQ79" s="612" t="s">
        <v>199</v>
      </c>
      <c r="DR79" s="611">
        <f>DR78/(DR$9/90)</f>
        <v>44.469931804091757</v>
      </c>
      <c r="DS79" s="611">
        <f>DS78/(DS$9/90)</f>
        <v>43.398983481575605</v>
      </c>
      <c r="DT79" s="611">
        <f t="shared" ref="DT79:DY79" si="103">DT78/(DT$9/90)</f>
        <v>48.355029585798817</v>
      </c>
      <c r="DU79" s="611">
        <f t="shared" si="103"/>
        <v>48.91188645771733</v>
      </c>
      <c r="DV79" s="612" t="s">
        <v>199</v>
      </c>
      <c r="DW79" s="611">
        <f t="shared" si="103"/>
        <v>54.624605678233436</v>
      </c>
      <c r="DX79" s="611">
        <f t="shared" si="103"/>
        <v>47.388535031847134</v>
      </c>
      <c r="DY79" s="611">
        <f t="shared" si="103"/>
        <v>48.439716312056738</v>
      </c>
      <c r="DZ79" s="611">
        <v>50</v>
      </c>
      <c r="EA79" s="612" t="s">
        <v>199</v>
      </c>
      <c r="EB79" s="611">
        <f>EB78/(EB$9/90)</f>
        <v>53.35477941176471</v>
      </c>
      <c r="EC79" s="611">
        <f t="shared" ref="EC79:EH79" si="104">EC78/(EC$9/90)</f>
        <v>51.937984496124031</v>
      </c>
      <c r="ED79" s="611">
        <f t="shared" si="104"/>
        <v>53.7782340862423</v>
      </c>
      <c r="EE79" s="611">
        <f t="shared" si="104"/>
        <v>47.123977344241666</v>
      </c>
      <c r="EF79" s="612" t="s">
        <v>199</v>
      </c>
      <c r="EG79" s="611">
        <f t="shared" si="104"/>
        <v>54.115962777380098</v>
      </c>
      <c r="EH79" s="611">
        <f t="shared" si="104"/>
        <v>54.462179042331705</v>
      </c>
      <c r="EI79" s="611">
        <f>EI78/(EI$9/90)</f>
        <v>61.280615815255423</v>
      </c>
      <c r="EJ79" s="611">
        <f>EJ78/(EJ$9/90)</f>
        <v>59.418886198547213</v>
      </c>
      <c r="EK79" s="613" t="s">
        <v>199</v>
      </c>
      <c r="EL79" s="611">
        <f>EL78/(EL$9/90)</f>
        <v>67.368932038834956</v>
      </c>
      <c r="EM79" s="611">
        <f>EM78/(EM$9/90)</f>
        <v>65.636942675159233</v>
      </c>
      <c r="EN79" s="611">
        <f t="shared" ref="EN79:FG79" si="105">EN78/(EN$9/90)</f>
        <v>54.967012252591893</v>
      </c>
      <c r="EO79" s="611">
        <f t="shared" si="105"/>
        <v>50.073068893528188</v>
      </c>
      <c r="EP79" s="613" t="s">
        <v>199</v>
      </c>
      <c r="EQ79" s="611">
        <f t="shared" si="105"/>
        <v>54.95192307692308</v>
      </c>
      <c r="ER79" s="611">
        <f t="shared" si="105"/>
        <v>58.802336903602722</v>
      </c>
      <c r="ES79" s="611">
        <f t="shared" si="105"/>
        <v>44.070390206579951</v>
      </c>
      <c r="ET79" s="611">
        <f t="shared" si="105"/>
        <v>25.307414104882458</v>
      </c>
      <c r="EU79" s="613" t="s">
        <v>199</v>
      </c>
      <c r="EV79" s="611">
        <f t="shared" si="105"/>
        <v>45.18292682926829</v>
      </c>
      <c r="EW79" s="611">
        <f t="shared" si="105"/>
        <v>45.220949263502455</v>
      </c>
      <c r="EX79" s="611">
        <f t="shared" si="105"/>
        <v>42.233718807060256</v>
      </c>
      <c r="EY79" s="611">
        <f t="shared" si="105"/>
        <v>24.324324324324326</v>
      </c>
      <c r="EZ79" s="613" t="s">
        <v>199</v>
      </c>
      <c r="FA79" s="611">
        <f t="shared" si="105"/>
        <v>40.327868852459012</v>
      </c>
      <c r="FB79" s="611">
        <f t="shared" si="105"/>
        <v>57.300683371298398</v>
      </c>
      <c r="FC79" s="611">
        <f t="shared" si="105"/>
        <v>65.716878402903816</v>
      </c>
      <c r="FD79" s="611">
        <f t="shared" si="105"/>
        <v>78.329809725158555</v>
      </c>
      <c r="FE79" s="613" t="s">
        <v>199</v>
      </c>
      <c r="FF79" s="611">
        <f t="shared" si="105"/>
        <v>87.806603773584911</v>
      </c>
      <c r="FG79" s="611">
        <f t="shared" si="105"/>
        <v>78.360548661005865</v>
      </c>
      <c r="FH79" s="611">
        <f>FH78/(FH$9/90)</f>
        <v>69.611327040533027</v>
      </c>
      <c r="FI79" s="611">
        <f>FI78/(FI$9/90)</f>
        <v>78.660084626234138</v>
      </c>
      <c r="FJ79" s="613" t="s">
        <v>199</v>
      </c>
      <c r="FK79" s="611">
        <f>FK78/(FK$9/90)</f>
        <v>85.212765957446805</v>
      </c>
      <c r="FL79" s="611">
        <f>FL78/(FL$9/90)</f>
        <v>83.3385093167702</v>
      </c>
      <c r="FM79" s="611">
        <f>FM78/(FM$9/90)</f>
        <v>68.568368439842914</v>
      </c>
      <c r="FN79" s="611">
        <f>FN78/(FN$9/90)</f>
        <v>57.318125770653516</v>
      </c>
      <c r="FO79" s="613" t="s">
        <v>199</v>
      </c>
      <c r="FP79" s="611">
        <f>FP78/(FP$9/90)</f>
        <v>56.899854862119014</v>
      </c>
      <c r="FQ79" s="611">
        <f>FQ78/(FQ$9/90)</f>
        <v>47.220779220779221</v>
      </c>
      <c r="FR79" s="611">
        <f>FR78/(FR$9/90)</f>
        <v>46.40853234407605</v>
      </c>
      <c r="FS79" s="611">
        <f>FS78/(FS$9/90)</f>
        <v>50.464152507252386</v>
      </c>
      <c r="FT79" s="613" t="s">
        <v>199</v>
      </c>
      <c r="FU79" s="611">
        <f>FU78/(FU$9/90)</f>
        <v>56.21369118396467</v>
      </c>
      <c r="FV79" s="611">
        <f>FV78/(FV$9/90)</f>
        <v>55.648854961832065</v>
      </c>
      <c r="FW79" s="611">
        <f>FW78/(FW$9/90)</f>
        <v>70.123989218328845</v>
      </c>
      <c r="FX79" s="611">
        <f>FX78/(FX$9/90)</f>
        <v>66.322557599571354</v>
      </c>
      <c r="FY79" s="613" t="s">
        <v>199</v>
      </c>
      <c r="FZ79" s="611">
        <f>FZ78/(FZ$9/90)</f>
        <v>67.924528301886795</v>
      </c>
      <c r="GA79" s="611">
        <f>GA78/(GA$9/90)</f>
        <v>72.416495614853517</v>
      </c>
      <c r="GB79" s="611">
        <f>GB78/(GB$9/90)</f>
        <v>78.42413793103448</v>
      </c>
      <c r="GC79" s="611">
        <f>GC78/(GC$9/90)</f>
        <v>78.443579766536971</v>
      </c>
      <c r="GD79" s="613" t="s">
        <v>199</v>
      </c>
      <c r="GE79" s="611">
        <f>GE78/(GE$9/90)</f>
        <v>82.846701991595111</v>
      </c>
      <c r="GF79" s="611">
        <f>GF78/(GF$9/90)</f>
        <v>88.673521850899746</v>
      </c>
      <c r="GG79" s="611">
        <f>GG78/(GG$9/90)</f>
        <v>95.569731632204139</v>
      </c>
      <c r="GH79" s="611">
        <f>GH78/(GH$9/90)</f>
        <v>72.770958474797595</v>
      </c>
      <c r="GI79" s="613" t="s">
        <v>199</v>
      </c>
      <c r="GJ79" s="611">
        <f>GJ78/(GJ$9/90)</f>
        <v>65.860446356547456</v>
      </c>
      <c r="GK79" s="611">
        <f>GK78/(GK$9/90)</f>
        <v>59.902407286922582</v>
      </c>
      <c r="GL79" s="611">
        <f>GL78/(GL$9/90)</f>
        <v>60.360155743024009</v>
      </c>
      <c r="GM79" s="611">
        <f>GM78/(GM$9/90)</f>
        <v>55.340798442064262</v>
      </c>
      <c r="GN79" s="613" t="s">
        <v>199</v>
      </c>
      <c r="GO79" s="611">
        <f>GO78/(GO$9/90)</f>
        <v>52.974739100751002</v>
      </c>
      <c r="GP79" s="614">
        <v>60</v>
      </c>
      <c r="GQ79" s="614">
        <v>60</v>
      </c>
      <c r="GR79" s="614">
        <v>60</v>
      </c>
      <c r="GS79" s="613" t="s">
        <v>199</v>
      </c>
      <c r="GT79" s="614">
        <v>60</v>
      </c>
      <c r="GU79" s="614">
        <v>70</v>
      </c>
      <c r="GV79" s="614">
        <v>70</v>
      </c>
      <c r="GW79" s="614">
        <v>70</v>
      </c>
      <c r="GX79" s="613" t="s">
        <v>199</v>
      </c>
      <c r="GY79" s="614">
        <v>70</v>
      </c>
      <c r="GZ79" s="614">
        <v>70</v>
      </c>
      <c r="HA79" s="614">
        <v>70</v>
      </c>
      <c r="HB79" s="614">
        <v>70</v>
      </c>
      <c r="HC79" s="613" t="s">
        <v>199</v>
      </c>
      <c r="HD79" s="614">
        <v>70</v>
      </c>
      <c r="HE79" s="614">
        <v>70</v>
      </c>
      <c r="HF79" s="614">
        <v>70</v>
      </c>
      <c r="HG79" s="614">
        <v>70</v>
      </c>
      <c r="HH79" s="613" t="s">
        <v>199</v>
      </c>
      <c r="HI79" s="614">
        <v>70</v>
      </c>
      <c r="HJ79" s="614">
        <v>70</v>
      </c>
      <c r="HK79" s="614">
        <v>70</v>
      </c>
      <c r="HL79" s="614">
        <v>70</v>
      </c>
      <c r="HM79" s="613" t="s">
        <v>199</v>
      </c>
      <c r="HN79" s="613"/>
      <c r="HO79" s="613"/>
      <c r="HP79" s="615"/>
      <c r="HR79" s="615"/>
      <c r="HS79" s="615"/>
      <c r="HT79" s="615"/>
      <c r="HU79" s="615"/>
      <c r="HV79" s="615"/>
      <c r="HW79" s="615"/>
      <c r="HX79" s="615"/>
    </row>
    <row r="80" spans="1:232" s="509" customFormat="1" hidden="1" outlineLevel="1">
      <c r="A80" s="532" t="s">
        <v>408</v>
      </c>
      <c r="L80" s="523"/>
      <c r="M80" s="523"/>
      <c r="N80" s="523"/>
      <c r="O80" s="523"/>
      <c r="P80" s="524"/>
      <c r="Q80" s="523"/>
      <c r="R80" s="523"/>
      <c r="S80" s="523"/>
      <c r="T80" s="523"/>
      <c r="U80" s="524"/>
      <c r="V80" s="523"/>
      <c r="W80" s="523"/>
      <c r="X80" s="523"/>
      <c r="Y80" s="523"/>
      <c r="Z80" s="524"/>
      <c r="AA80" s="523"/>
      <c r="AB80" s="523"/>
      <c r="AC80" s="523"/>
      <c r="AD80" s="523"/>
      <c r="AE80" s="524"/>
      <c r="AF80" s="523"/>
      <c r="AG80" s="523"/>
      <c r="AH80" s="523"/>
      <c r="AI80" s="523"/>
      <c r="AJ80" s="524"/>
      <c r="AK80" s="523"/>
      <c r="AL80" s="523"/>
      <c r="AM80" s="523"/>
      <c r="AN80" s="523"/>
      <c r="AO80" s="524"/>
      <c r="AP80" s="523"/>
      <c r="AQ80" s="523"/>
      <c r="AR80" s="523"/>
      <c r="AS80" s="523"/>
      <c r="AT80" s="524"/>
      <c r="AU80" s="523"/>
      <c r="AV80" s="523"/>
      <c r="AW80" s="523"/>
      <c r="AX80" s="523"/>
      <c r="AY80" s="524"/>
      <c r="AZ80" s="523"/>
      <c r="BA80" s="523"/>
      <c r="BB80" s="523"/>
      <c r="BC80" s="523"/>
      <c r="BD80" s="524"/>
      <c r="BE80" s="523"/>
      <c r="BF80" s="523"/>
      <c r="BG80" s="523"/>
      <c r="BH80" s="523"/>
      <c r="BI80" s="524"/>
      <c r="BJ80" s="523"/>
      <c r="BK80" s="523"/>
      <c r="BL80" s="523"/>
      <c r="BM80" s="523"/>
      <c r="BN80" s="524"/>
      <c r="BO80" s="523"/>
      <c r="BP80" s="523"/>
      <c r="BQ80" s="523"/>
      <c r="BR80" s="523"/>
      <c r="BS80" s="524"/>
      <c r="BX80" s="524"/>
      <c r="CC80" s="524"/>
      <c r="CH80" s="524"/>
      <c r="CK80" s="590"/>
      <c r="CL80" s="590"/>
      <c r="CM80" s="524"/>
      <c r="CN80" s="590"/>
      <c r="CO80" s="590"/>
      <c r="CP80" s="590"/>
      <c r="CQ80" s="590"/>
      <c r="CR80" s="524"/>
      <c r="CS80" s="590"/>
      <c r="CT80" s="590"/>
      <c r="CU80" s="590"/>
      <c r="CV80" s="590"/>
      <c r="CW80" s="524"/>
      <c r="CX80" s="590"/>
      <c r="CY80" s="590"/>
      <c r="CZ80" s="590"/>
      <c r="DA80" s="590"/>
      <c r="DB80" s="524"/>
      <c r="DC80" s="590"/>
      <c r="DD80" s="590"/>
      <c r="DE80" s="590"/>
      <c r="DF80" s="590"/>
      <c r="DG80" s="524"/>
      <c r="DH80" s="590"/>
      <c r="DI80" s="590"/>
      <c r="DJ80" s="590"/>
      <c r="DK80" s="590"/>
      <c r="DL80" s="524"/>
      <c r="DM80" s="590"/>
      <c r="DN80" s="590"/>
      <c r="DO80" s="590"/>
      <c r="DP80" s="590"/>
      <c r="DQ80" s="524"/>
      <c r="DR80" s="590"/>
      <c r="DS80" s="590"/>
      <c r="DT80" s="590"/>
      <c r="DU80" s="590"/>
      <c r="DV80" s="524"/>
      <c r="DW80" s="590"/>
      <c r="DX80" s="590"/>
      <c r="DY80" s="590"/>
      <c r="DZ80" s="590"/>
      <c r="EA80" s="524"/>
      <c r="EB80" s="590"/>
      <c r="EC80" s="590"/>
      <c r="ED80" s="590"/>
      <c r="EE80" s="590"/>
      <c r="EF80" s="524"/>
      <c r="EG80" s="590"/>
      <c r="EH80" s="590"/>
      <c r="EI80" s="590"/>
      <c r="EJ80" s="590"/>
      <c r="EK80" s="524"/>
      <c r="EL80" s="590"/>
      <c r="EM80" s="590"/>
      <c r="EN80" s="590"/>
      <c r="EO80" s="590"/>
      <c r="EP80" s="524"/>
      <c r="EQ80" s="590"/>
      <c r="ER80" s="590"/>
      <c r="ES80" s="590"/>
      <c r="ET80" s="590"/>
      <c r="EU80" s="524"/>
      <c r="EV80" s="590"/>
      <c r="EW80" s="590"/>
      <c r="EX80" s="590"/>
      <c r="EY80" s="590"/>
      <c r="EZ80" s="524"/>
      <c r="FA80" s="590"/>
      <c r="FB80" s="590"/>
      <c r="FC80" s="590"/>
      <c r="FD80" s="590"/>
      <c r="FE80" s="524"/>
      <c r="FF80" s="590"/>
      <c r="FG80" s="590"/>
      <c r="FH80" s="590"/>
      <c r="FI80" s="590"/>
      <c r="FJ80" s="524"/>
      <c r="FK80" s="590"/>
      <c r="FL80" s="590"/>
      <c r="FM80" s="590"/>
      <c r="FN80" s="590"/>
      <c r="FO80" s="524"/>
      <c r="FP80" s="590"/>
      <c r="FQ80" s="590"/>
      <c r="FR80" s="590"/>
      <c r="FS80" s="590"/>
      <c r="FT80" s="524"/>
      <c r="FU80" s="590"/>
      <c r="FV80" s="590"/>
      <c r="FW80" s="590"/>
      <c r="FX80" s="590"/>
      <c r="FY80" s="524"/>
      <c r="FZ80" s="590"/>
      <c r="GA80" s="590"/>
      <c r="GB80" s="590"/>
      <c r="GC80" s="590"/>
      <c r="GD80" s="524"/>
      <c r="GE80" s="590"/>
      <c r="GF80" s="590"/>
      <c r="GG80" s="590"/>
      <c r="GH80" s="590"/>
      <c r="GI80" s="524"/>
      <c r="GJ80" s="590"/>
      <c r="GK80" s="590"/>
      <c r="GL80" s="590"/>
      <c r="GM80" s="590"/>
      <c r="GN80" s="524"/>
      <c r="GO80" s="590"/>
      <c r="GP80" s="590"/>
      <c r="GQ80" s="590"/>
      <c r="GR80" s="590"/>
      <c r="GS80" s="524"/>
      <c r="GT80" s="590"/>
      <c r="GU80" s="590"/>
      <c r="GV80" s="590"/>
      <c r="GW80" s="590"/>
      <c r="GX80" s="524"/>
      <c r="GY80" s="590"/>
      <c r="GZ80" s="590"/>
      <c r="HA80" s="590"/>
      <c r="HB80" s="590"/>
      <c r="HC80" s="524"/>
      <c r="HD80" s="590"/>
      <c r="HE80" s="590"/>
      <c r="HF80" s="590"/>
      <c r="HG80" s="590"/>
      <c r="HH80" s="524"/>
      <c r="HI80" s="590"/>
      <c r="HJ80" s="590"/>
      <c r="HK80" s="590"/>
      <c r="HL80" s="590"/>
      <c r="HM80" s="524"/>
      <c r="HN80" s="524"/>
      <c r="HO80" s="524"/>
      <c r="HP80" s="563"/>
      <c r="HR80" s="563"/>
      <c r="HS80" s="563"/>
      <c r="HT80" s="563"/>
      <c r="HU80" s="563"/>
      <c r="HV80" s="563"/>
      <c r="HW80" s="563"/>
      <c r="HX80" s="563"/>
    </row>
    <row r="81" spans="1:232" s="539" customFormat="1" hidden="1" outlineLevel="1">
      <c r="A81" s="605" t="s">
        <v>409</v>
      </c>
      <c r="L81" s="523"/>
      <c r="M81" s="523"/>
      <c r="N81" s="523"/>
      <c r="O81" s="523"/>
      <c r="P81" s="524"/>
      <c r="Q81" s="523"/>
      <c r="R81" s="523"/>
      <c r="S81" s="523"/>
      <c r="T81" s="523"/>
      <c r="U81" s="524"/>
      <c r="V81" s="523"/>
      <c r="W81" s="523"/>
      <c r="X81" s="523"/>
      <c r="Y81" s="523"/>
      <c r="Z81" s="524"/>
      <c r="AA81" s="523"/>
      <c r="AB81" s="523"/>
      <c r="AC81" s="523"/>
      <c r="AD81" s="523"/>
      <c r="AE81" s="524"/>
      <c r="AF81" s="603">
        <v>22.757000000000001</v>
      </c>
      <c r="AG81" s="603">
        <v>26.402000000000001</v>
      </c>
      <c r="AH81" s="603">
        <v>30.422999999999998</v>
      </c>
      <c r="AI81" s="603">
        <v>32.174999999999997</v>
      </c>
      <c r="AJ81" s="524">
        <f>AI81</f>
        <v>32.174999999999997</v>
      </c>
      <c r="AK81" s="603">
        <v>30.507000000000001</v>
      </c>
      <c r="AL81" s="603">
        <v>37.192</v>
      </c>
      <c r="AM81" s="603">
        <v>41.506</v>
      </c>
      <c r="AN81" s="603">
        <v>34.454000000000001</v>
      </c>
      <c r="AO81" s="524">
        <f>AN81</f>
        <v>34.454000000000001</v>
      </c>
      <c r="AP81" s="603">
        <v>31.227</v>
      </c>
      <c r="AQ81" s="603">
        <v>39.829000000000001</v>
      </c>
      <c r="AR81" s="603">
        <v>53.024000000000001</v>
      </c>
      <c r="AS81" s="603">
        <v>56.570999999999998</v>
      </c>
      <c r="AT81" s="524">
        <f>AS81</f>
        <v>56.570999999999998</v>
      </c>
      <c r="AU81" s="603">
        <v>48.063000000000002</v>
      </c>
      <c r="AV81" s="603">
        <v>44.23</v>
      </c>
      <c r="AW81" s="603">
        <v>41.863</v>
      </c>
      <c r="AX81" s="603">
        <v>48.106999999999999</v>
      </c>
      <c r="AY81" s="524">
        <f>AX81</f>
        <v>48.106999999999999</v>
      </c>
      <c r="AZ81" s="603">
        <v>37.395000000000003</v>
      </c>
      <c r="BA81" s="603">
        <v>29.344999999999999</v>
      </c>
      <c r="BB81" s="603">
        <v>31.045999999999999</v>
      </c>
      <c r="BC81" s="603">
        <v>38.43</v>
      </c>
      <c r="BD81" s="524">
        <f>BC81</f>
        <v>38.43</v>
      </c>
      <c r="BE81" s="603">
        <v>33.119</v>
      </c>
      <c r="BF81" s="603">
        <v>33.174999999999997</v>
      </c>
      <c r="BG81" s="603">
        <v>27.972000000000001</v>
      </c>
      <c r="BH81" s="603">
        <v>24.853999999999999</v>
      </c>
      <c r="BI81" s="524">
        <f>BH81</f>
        <v>24.853999999999999</v>
      </c>
      <c r="BJ81" s="603">
        <v>35.465000000000003</v>
      </c>
      <c r="BK81" s="603">
        <v>87.807000000000002</v>
      </c>
      <c r="BL81" s="603">
        <v>99</v>
      </c>
      <c r="BM81" s="603">
        <v>90.834000000000003</v>
      </c>
      <c r="BN81" s="524">
        <f>BM81</f>
        <v>90.834000000000003</v>
      </c>
      <c r="BO81" s="603">
        <v>92.813999999999993</v>
      </c>
      <c r="BP81" s="603">
        <v>82.048000000000002</v>
      </c>
      <c r="BQ81" s="603">
        <v>106.63</v>
      </c>
      <c r="BR81" s="603">
        <v>154.274</v>
      </c>
      <c r="BS81" s="524">
        <f>BR81</f>
        <v>154.274</v>
      </c>
      <c r="BT81" s="603">
        <v>138.28700000000001</v>
      </c>
      <c r="BU81" s="603">
        <v>134.304</v>
      </c>
      <c r="BV81" s="603">
        <v>124.60599999999999</v>
      </c>
      <c r="BW81" s="603">
        <v>117.306</v>
      </c>
      <c r="BX81" s="524">
        <f>BW81</f>
        <v>117.306</v>
      </c>
      <c r="BY81" s="603">
        <v>90.369</v>
      </c>
      <c r="BZ81" s="603">
        <v>224.55199999999999</v>
      </c>
      <c r="CA81" s="603">
        <v>168.60400000000001</v>
      </c>
      <c r="CB81" s="605">
        <v>154.905</v>
      </c>
      <c r="CC81" s="524">
        <f>CB81</f>
        <v>154.905</v>
      </c>
      <c r="CD81" s="605">
        <f>137.401</f>
        <v>137.40100000000001</v>
      </c>
      <c r="CE81" s="605">
        <v>130.464</v>
      </c>
      <c r="CF81" s="605">
        <v>172.09299999999999</v>
      </c>
      <c r="CG81" s="605">
        <f>149.872</f>
        <v>149.87200000000001</v>
      </c>
      <c r="CH81" s="524">
        <f>CG81</f>
        <v>149.87200000000001</v>
      </c>
      <c r="CI81" s="605">
        <v>167.76599999999999</v>
      </c>
      <c r="CJ81" s="605">
        <v>155.21100000000001</v>
      </c>
      <c r="CK81" s="603">
        <v>212.56200000000001</v>
      </c>
      <c r="CL81" s="605">
        <v>239.26400000000001</v>
      </c>
      <c r="CM81" s="524">
        <f>CL81</f>
        <v>239.26400000000001</v>
      </c>
      <c r="CN81" s="605">
        <v>217.94399999999999</v>
      </c>
      <c r="CO81" s="539">
        <v>211.18700000000001</v>
      </c>
      <c r="CP81" s="539">
        <v>204.03399999999999</v>
      </c>
      <c r="CQ81" s="539">
        <v>145.86600000000001</v>
      </c>
      <c r="CR81" s="524">
        <f>CQ81</f>
        <v>145.86600000000001</v>
      </c>
      <c r="CS81" s="539">
        <v>127.78100000000001</v>
      </c>
      <c r="CW81" s="524">
        <f>CV81</f>
        <v>0</v>
      </c>
      <c r="CZ81" s="539">
        <v>219</v>
      </c>
      <c r="DB81" s="524">
        <f>DA81</f>
        <v>0</v>
      </c>
      <c r="DG81" s="524">
        <f>DF81</f>
        <v>0</v>
      </c>
      <c r="DH81" s="539">
        <v>84</v>
      </c>
      <c r="DI81" s="539">
        <v>158</v>
      </c>
      <c r="DL81" s="524">
        <f>DK81</f>
        <v>0</v>
      </c>
      <c r="DQ81" s="524">
        <f>DP81</f>
        <v>0</v>
      </c>
      <c r="DV81" s="524">
        <f>DU81</f>
        <v>0</v>
      </c>
      <c r="EA81" s="524">
        <f>DZ81</f>
        <v>0</v>
      </c>
      <c r="EF81" s="524">
        <f>EE81</f>
        <v>0</v>
      </c>
      <c r="EK81" s="524">
        <f>EJ81</f>
        <v>0</v>
      </c>
      <c r="EP81" s="524">
        <f>EO81</f>
        <v>0</v>
      </c>
      <c r="EU81" s="524">
        <f>ET81</f>
        <v>0</v>
      </c>
      <c r="EZ81" s="524">
        <f>EY81</f>
        <v>0</v>
      </c>
      <c r="FE81" s="524">
        <f>FD81</f>
        <v>0</v>
      </c>
      <c r="FJ81" s="524">
        <f>FI81</f>
        <v>0</v>
      </c>
      <c r="FO81" s="524">
        <f>FN81</f>
        <v>0</v>
      </c>
      <c r="FS81" s="539">
        <v>197</v>
      </c>
      <c r="FT81" s="524">
        <f>FS81</f>
        <v>197</v>
      </c>
      <c r="FW81" s="539">
        <v>696</v>
      </c>
      <c r="FX81" s="539">
        <v>892</v>
      </c>
      <c r="FY81" s="524">
        <f>FX81</f>
        <v>892</v>
      </c>
      <c r="FZ81" s="539">
        <v>865</v>
      </c>
      <c r="GA81" s="539">
        <v>943</v>
      </c>
      <c r="GB81" s="539">
        <v>930</v>
      </c>
      <c r="GC81" s="539">
        <v>812</v>
      </c>
      <c r="GD81" s="524">
        <f>GC81</f>
        <v>812</v>
      </c>
      <c r="GE81" s="539">
        <v>984</v>
      </c>
      <c r="GF81" s="539">
        <v>926</v>
      </c>
      <c r="GG81" s="539">
        <v>963</v>
      </c>
      <c r="GH81" s="539">
        <v>1094</v>
      </c>
      <c r="GI81" s="524">
        <f>GH81</f>
        <v>1094</v>
      </c>
      <c r="GN81" s="524">
        <f>GM81</f>
        <v>0</v>
      </c>
      <c r="GS81" s="524">
        <f>GR81</f>
        <v>0</v>
      </c>
      <c r="GX81" s="524">
        <f>GW81</f>
        <v>0</v>
      </c>
      <c r="HC81" s="524">
        <f>HB81</f>
        <v>0</v>
      </c>
      <c r="HH81" s="524">
        <f>HG81</f>
        <v>0</v>
      </c>
      <c r="HM81" s="524">
        <f>HL81</f>
        <v>0</v>
      </c>
      <c r="HN81" s="524"/>
      <c r="HO81" s="524"/>
      <c r="HP81" s="606"/>
      <c r="HR81" s="606"/>
      <c r="HS81" s="606"/>
      <c r="HT81" s="606"/>
      <c r="HU81" s="606"/>
      <c r="HV81" s="606"/>
      <c r="HW81" s="606"/>
      <c r="HX81" s="606"/>
    </row>
    <row r="82" spans="1:232" s="539" customFormat="1" hidden="1" outlineLevel="1">
      <c r="A82" s="605" t="s">
        <v>410</v>
      </c>
      <c r="L82" s="523"/>
      <c r="M82" s="523"/>
      <c r="N82" s="523"/>
      <c r="O82" s="523"/>
      <c r="P82" s="524"/>
      <c r="Q82" s="523"/>
      <c r="R82" s="523"/>
      <c r="S82" s="523"/>
      <c r="T82" s="523"/>
      <c r="U82" s="524"/>
      <c r="V82" s="523"/>
      <c r="W82" s="523"/>
      <c r="X82" s="523"/>
      <c r="Y82" s="523"/>
      <c r="Z82" s="524"/>
      <c r="AA82" s="523"/>
      <c r="AB82" s="523"/>
      <c r="AC82" s="523"/>
      <c r="AD82" s="523"/>
      <c r="AE82" s="524"/>
      <c r="AF82" s="603">
        <v>43.412999999999997</v>
      </c>
      <c r="AG82" s="603">
        <v>43.124000000000002</v>
      </c>
      <c r="AH82" s="603">
        <v>46.216000000000001</v>
      </c>
      <c r="AI82" s="603">
        <v>56.503999999999998</v>
      </c>
      <c r="AJ82" s="524">
        <f>AI82</f>
        <v>56.503999999999998</v>
      </c>
      <c r="AK82" s="603">
        <v>59.372</v>
      </c>
      <c r="AL82" s="603">
        <v>60.387999999999998</v>
      </c>
      <c r="AM82" s="603">
        <v>62.616999999999997</v>
      </c>
      <c r="AN82" s="603">
        <v>72.632000000000005</v>
      </c>
      <c r="AO82" s="524">
        <f>AN82</f>
        <v>72.632000000000005</v>
      </c>
      <c r="AP82" s="603">
        <v>70.59</v>
      </c>
      <c r="AQ82" s="603">
        <v>68.805000000000007</v>
      </c>
      <c r="AR82" s="603">
        <v>66.147999999999996</v>
      </c>
      <c r="AS82" s="603">
        <v>68.826999999999998</v>
      </c>
      <c r="AT82" s="524">
        <f>AS82</f>
        <v>68.826999999999998</v>
      </c>
      <c r="AU82" s="603">
        <v>81.725999999999999</v>
      </c>
      <c r="AV82" s="603">
        <v>99.683000000000007</v>
      </c>
      <c r="AW82" s="603">
        <v>97.945999999999998</v>
      </c>
      <c r="AX82" s="603">
        <v>83.852999999999994</v>
      </c>
      <c r="AY82" s="524">
        <f>AX82</f>
        <v>83.852999999999994</v>
      </c>
      <c r="AZ82" s="603">
        <v>86.486000000000004</v>
      </c>
      <c r="BA82" s="603">
        <v>100.258</v>
      </c>
      <c r="BB82" s="603">
        <v>94.111999999999995</v>
      </c>
      <c r="BC82" s="603">
        <v>96.712000000000003</v>
      </c>
      <c r="BD82" s="524">
        <f>BC82</f>
        <v>96.712000000000003</v>
      </c>
      <c r="BE82" s="603">
        <v>92.712000000000003</v>
      </c>
      <c r="BF82" s="603">
        <v>116.401</v>
      </c>
      <c r="BG82" s="603">
        <v>128.63900000000001</v>
      </c>
      <c r="BH82" s="603">
        <v>129.036</v>
      </c>
      <c r="BI82" s="524">
        <f>BH82</f>
        <v>129.036</v>
      </c>
      <c r="BJ82" s="603">
        <v>132.51599999999999</v>
      </c>
      <c r="BK82" s="603">
        <v>102.667</v>
      </c>
      <c r="BL82" s="603">
        <v>121.792</v>
      </c>
      <c r="BM82" s="603">
        <v>97.143000000000001</v>
      </c>
      <c r="BN82" s="524">
        <f>BM82</f>
        <v>97.143000000000001</v>
      </c>
      <c r="BO82" s="603">
        <v>102.866</v>
      </c>
      <c r="BP82" s="603">
        <v>162.101</v>
      </c>
      <c r="BQ82" s="603">
        <v>173.613</v>
      </c>
      <c r="BR82" s="603">
        <v>154.85400000000001</v>
      </c>
      <c r="BS82" s="524">
        <f>BR82</f>
        <v>154.85400000000001</v>
      </c>
      <c r="BT82" s="603">
        <v>171.87299999999999</v>
      </c>
      <c r="BU82" s="603">
        <v>215.261</v>
      </c>
      <c r="BV82" s="603">
        <v>292.98099999999999</v>
      </c>
      <c r="BW82" s="603">
        <v>236.679</v>
      </c>
      <c r="BX82" s="524">
        <f>BW82</f>
        <v>236.679</v>
      </c>
      <c r="BY82" s="603">
        <v>266.40100000000001</v>
      </c>
      <c r="BZ82" s="603">
        <v>116.205</v>
      </c>
      <c r="CA82" s="603">
        <v>234.99100000000001</v>
      </c>
      <c r="CB82" s="605">
        <v>254.95699999999999</v>
      </c>
      <c r="CC82" s="524">
        <f>CB82</f>
        <v>254.95699999999999</v>
      </c>
      <c r="CD82" s="605">
        <v>280.70600000000002</v>
      </c>
      <c r="CE82" s="605">
        <v>317.44499999999999</v>
      </c>
      <c r="CF82" s="605">
        <v>494.142</v>
      </c>
      <c r="CG82" s="605">
        <v>504.86099999999999</v>
      </c>
      <c r="CH82" s="524">
        <f>CG82</f>
        <v>504.86099999999999</v>
      </c>
      <c r="CI82" s="605">
        <v>490.17200000000003</v>
      </c>
      <c r="CJ82" s="605">
        <v>524.24699999999996</v>
      </c>
      <c r="CK82" s="603">
        <v>534.48699999999997</v>
      </c>
      <c r="CL82" s="605">
        <v>571.65099999999995</v>
      </c>
      <c r="CM82" s="524">
        <f>CL82</f>
        <v>571.65099999999995</v>
      </c>
      <c r="CN82" s="605">
        <v>579.94600000000003</v>
      </c>
      <c r="CO82" s="539">
        <v>659.15200000000004</v>
      </c>
      <c r="CP82" s="539">
        <v>677.99099999999999</v>
      </c>
      <c r="CQ82" s="539">
        <v>225.00299999999999</v>
      </c>
      <c r="CR82" s="524">
        <f>CQ82</f>
        <v>225.00299999999999</v>
      </c>
      <c r="CS82" s="539">
        <v>196.63200000000001</v>
      </c>
      <c r="CW82" s="524">
        <f>CV82</f>
        <v>0</v>
      </c>
      <c r="CZ82" s="539">
        <v>564</v>
      </c>
      <c r="DB82" s="524">
        <f>DA82</f>
        <v>0</v>
      </c>
      <c r="DG82" s="524">
        <f>DF82</f>
        <v>0</v>
      </c>
      <c r="DH82" s="539">
        <v>433</v>
      </c>
      <c r="DI82" s="539">
        <v>312</v>
      </c>
      <c r="DL82" s="524">
        <f>DK82</f>
        <v>0</v>
      </c>
      <c r="DQ82" s="524">
        <f>DP82</f>
        <v>0</v>
      </c>
      <c r="DV82" s="524">
        <f>DU82</f>
        <v>0</v>
      </c>
      <c r="EA82" s="524">
        <f>DZ82</f>
        <v>0</v>
      </c>
      <c r="EF82" s="524">
        <f>EE82</f>
        <v>0</v>
      </c>
      <c r="EK82" s="524">
        <f>EJ82</f>
        <v>0</v>
      </c>
      <c r="EP82" s="524">
        <f>EO82</f>
        <v>0</v>
      </c>
      <c r="EU82" s="524">
        <f>ET82</f>
        <v>0</v>
      </c>
      <c r="EZ82" s="524">
        <f>EY82</f>
        <v>0</v>
      </c>
      <c r="FE82" s="524">
        <f>FD82</f>
        <v>0</v>
      </c>
      <c r="FJ82" s="524">
        <f>FI82</f>
        <v>0</v>
      </c>
      <c r="FO82" s="524">
        <f>FN82</f>
        <v>0</v>
      </c>
      <c r="FS82" s="539">
        <v>1676</v>
      </c>
      <c r="FT82" s="524">
        <f>FS82</f>
        <v>1676</v>
      </c>
      <c r="FW82" s="539">
        <v>2466</v>
      </c>
      <c r="FX82" s="539">
        <v>2648</v>
      </c>
      <c r="FY82" s="524">
        <f>FX82</f>
        <v>2648</v>
      </c>
      <c r="FZ82" s="539">
        <v>3129</v>
      </c>
      <c r="GA82" s="539">
        <v>3470</v>
      </c>
      <c r="GB82" s="539">
        <v>3270</v>
      </c>
      <c r="GC82" s="539">
        <v>3260</v>
      </c>
      <c r="GD82" s="524">
        <f>GC82</f>
        <v>3260</v>
      </c>
      <c r="GE82" s="539">
        <v>3376</v>
      </c>
      <c r="GF82" s="539">
        <v>3727</v>
      </c>
      <c r="GG82" s="539">
        <v>3999</v>
      </c>
      <c r="GH82" s="539">
        <v>4289</v>
      </c>
      <c r="GI82" s="524">
        <f>GH82</f>
        <v>4289</v>
      </c>
      <c r="GN82" s="524">
        <f>GM82</f>
        <v>0</v>
      </c>
      <c r="GS82" s="524">
        <f>GR82</f>
        <v>0</v>
      </c>
      <c r="GX82" s="524">
        <f>GW82</f>
        <v>0</v>
      </c>
      <c r="HC82" s="524">
        <f>HB82</f>
        <v>0</v>
      </c>
      <c r="HH82" s="524">
        <f>HG82</f>
        <v>0</v>
      </c>
      <c r="HM82" s="524">
        <f>HL82</f>
        <v>0</v>
      </c>
      <c r="HN82" s="524"/>
      <c r="HO82" s="524"/>
      <c r="HP82" s="606"/>
      <c r="HR82" s="606"/>
      <c r="HS82" s="606"/>
      <c r="HT82" s="606"/>
      <c r="HU82" s="606"/>
      <c r="HV82" s="606"/>
      <c r="HW82" s="606"/>
      <c r="HX82" s="606"/>
    </row>
    <row r="83" spans="1:232" s="539" customFormat="1" hidden="1" outlineLevel="1">
      <c r="A83" s="605" t="s">
        <v>411</v>
      </c>
      <c r="L83" s="523"/>
      <c r="M83" s="523"/>
      <c r="N83" s="523"/>
      <c r="O83" s="523"/>
      <c r="P83" s="524"/>
      <c r="Q83" s="523"/>
      <c r="R83" s="523"/>
      <c r="S83" s="523"/>
      <c r="T83" s="523"/>
      <c r="U83" s="524"/>
      <c r="V83" s="523"/>
      <c r="W83" s="523"/>
      <c r="X83" s="523"/>
      <c r="Y83" s="523"/>
      <c r="Z83" s="524"/>
      <c r="AA83" s="523"/>
      <c r="AB83" s="523"/>
      <c r="AC83" s="523"/>
      <c r="AD83" s="523"/>
      <c r="AE83" s="524"/>
      <c r="AF83" s="603">
        <v>15.493</v>
      </c>
      <c r="AG83" s="603">
        <v>12.23</v>
      </c>
      <c r="AH83" s="603">
        <v>16.893000000000001</v>
      </c>
      <c r="AI83" s="603">
        <v>15.371</v>
      </c>
      <c r="AJ83" s="524">
        <f>AI83</f>
        <v>15.371</v>
      </c>
      <c r="AK83" s="603">
        <v>14.952999999999999</v>
      </c>
      <c r="AL83" s="603">
        <v>15.067</v>
      </c>
      <c r="AM83" s="603">
        <v>16.001000000000001</v>
      </c>
      <c r="AN83" s="603">
        <v>21.603999999999999</v>
      </c>
      <c r="AO83" s="524">
        <f>AN83</f>
        <v>21.603999999999999</v>
      </c>
      <c r="AP83" s="603">
        <v>23.445</v>
      </c>
      <c r="AQ83" s="603">
        <v>24.57</v>
      </c>
      <c r="AR83" s="603">
        <v>31.957999999999998</v>
      </c>
      <c r="AS83" s="603">
        <v>29.271999999999998</v>
      </c>
      <c r="AT83" s="524">
        <f>AS83</f>
        <v>29.271999999999998</v>
      </c>
      <c r="AU83" s="603">
        <v>38.384</v>
      </c>
      <c r="AV83" s="603">
        <v>31.923999999999999</v>
      </c>
      <c r="AW83" s="603">
        <v>23.68</v>
      </c>
      <c r="AX83" s="603">
        <v>22.05</v>
      </c>
      <c r="AY83" s="524">
        <f>AX83</f>
        <v>22.05</v>
      </c>
      <c r="AZ83" s="603">
        <v>25.337</v>
      </c>
      <c r="BA83" s="603">
        <v>33.011000000000003</v>
      </c>
      <c r="BB83" s="603">
        <v>38.273000000000003</v>
      </c>
      <c r="BC83" s="603">
        <v>33.375</v>
      </c>
      <c r="BD83" s="524">
        <f>BC83</f>
        <v>33.375</v>
      </c>
      <c r="BE83" s="603">
        <v>32.027999999999999</v>
      </c>
      <c r="BF83" s="603">
        <v>22.056999999999999</v>
      </c>
      <c r="BG83" s="603">
        <v>15.62</v>
      </c>
      <c r="BH83" s="603">
        <v>21.184999999999999</v>
      </c>
      <c r="BI83" s="524">
        <f>BH83</f>
        <v>21.184999999999999</v>
      </c>
      <c r="BJ83" s="603">
        <v>14.689</v>
      </c>
      <c r="BK83" s="603">
        <v>12.582000000000001</v>
      </c>
      <c r="BL83" s="603">
        <v>13.318</v>
      </c>
      <c r="BM83" s="603">
        <v>10.236000000000001</v>
      </c>
      <c r="BN83" s="524">
        <f>BM83</f>
        <v>10.236000000000001</v>
      </c>
      <c r="BO83" s="603">
        <v>9.2850000000000001</v>
      </c>
      <c r="BP83" s="603">
        <v>11.43</v>
      </c>
      <c r="BQ83" s="603">
        <v>10.183</v>
      </c>
      <c r="BR83" s="603">
        <v>34.412999999999997</v>
      </c>
      <c r="BS83" s="524">
        <f>BR83</f>
        <v>34.412999999999997</v>
      </c>
      <c r="BT83" s="603">
        <v>44.47</v>
      </c>
      <c r="BU83" s="603">
        <v>51.283999999999999</v>
      </c>
      <c r="BV83" s="603">
        <v>31.491</v>
      </c>
      <c r="BW83" s="603">
        <v>26.489000000000001</v>
      </c>
      <c r="BX83" s="524">
        <f>BW83</f>
        <v>26.489000000000001</v>
      </c>
      <c r="BY83" s="603">
        <v>20.024999999999999</v>
      </c>
      <c r="BZ83" s="603">
        <v>39.320999999999998</v>
      </c>
      <c r="CA83" s="603">
        <v>16.637</v>
      </c>
      <c r="CB83" s="605">
        <v>22.741</v>
      </c>
      <c r="CC83" s="524">
        <f>CB83</f>
        <v>22.741</v>
      </c>
      <c r="CD83" s="605">
        <v>21.942</v>
      </c>
      <c r="CE83" s="605">
        <v>19.475000000000001</v>
      </c>
      <c r="CF83" s="605">
        <v>26.16</v>
      </c>
      <c r="CG83" s="605">
        <v>42.924999999999997</v>
      </c>
      <c r="CH83" s="524">
        <f>CG83</f>
        <v>42.924999999999997</v>
      </c>
      <c r="CI83" s="605">
        <v>34.65</v>
      </c>
      <c r="CJ83" s="605">
        <v>46.720999999999997</v>
      </c>
      <c r="CK83" s="603">
        <v>60.183999999999997</v>
      </c>
      <c r="CL83" s="605">
        <v>63.875</v>
      </c>
      <c r="CM83" s="524">
        <f>CL83</f>
        <v>63.875</v>
      </c>
      <c r="CN83" s="605">
        <v>48.262</v>
      </c>
      <c r="CO83" s="539">
        <v>40.823999999999998</v>
      </c>
      <c r="CP83" s="539">
        <v>49.738</v>
      </c>
      <c r="CQ83" s="539">
        <v>17.762</v>
      </c>
      <c r="CR83" s="524">
        <f>CQ83</f>
        <v>17.762</v>
      </c>
      <c r="CS83" s="539">
        <v>12.803000000000001</v>
      </c>
      <c r="CW83" s="524">
        <f>CV83</f>
        <v>0</v>
      </c>
      <c r="CZ83" s="539">
        <v>56</v>
      </c>
      <c r="DB83" s="524">
        <f>DA83</f>
        <v>0</v>
      </c>
      <c r="DG83" s="524">
        <f>DF83</f>
        <v>0</v>
      </c>
      <c r="DH83" s="539">
        <v>22</v>
      </c>
      <c r="DI83" s="539">
        <v>23</v>
      </c>
      <c r="DL83" s="524">
        <f>DK83</f>
        <v>0</v>
      </c>
      <c r="DQ83" s="524">
        <f>DP83</f>
        <v>0</v>
      </c>
      <c r="DV83" s="524">
        <f>DU83</f>
        <v>0</v>
      </c>
      <c r="EA83" s="524">
        <f>DZ83</f>
        <v>0</v>
      </c>
      <c r="EF83" s="524">
        <f>EE83</f>
        <v>0</v>
      </c>
      <c r="EK83" s="524">
        <f>EJ83</f>
        <v>0</v>
      </c>
      <c r="EP83" s="524">
        <f>EO83</f>
        <v>0</v>
      </c>
      <c r="EU83" s="524">
        <f>ET83</f>
        <v>0</v>
      </c>
      <c r="EZ83" s="524">
        <f>EY83</f>
        <v>0</v>
      </c>
      <c r="FE83" s="524">
        <f>FD83</f>
        <v>0</v>
      </c>
      <c r="FJ83" s="524">
        <f>FI83</f>
        <v>0</v>
      </c>
      <c r="FO83" s="524">
        <f>FN83</f>
        <v>0</v>
      </c>
      <c r="FS83" s="539">
        <v>82</v>
      </c>
      <c r="FT83" s="524">
        <f>FS83</f>
        <v>82</v>
      </c>
      <c r="FW83" s="539">
        <v>207</v>
      </c>
      <c r="FX83" s="539">
        <v>231</v>
      </c>
      <c r="FY83" s="524">
        <f>FX83</f>
        <v>231</v>
      </c>
      <c r="FZ83" s="539">
        <v>241</v>
      </c>
      <c r="GA83" s="539">
        <v>154</v>
      </c>
      <c r="GB83" s="539">
        <v>245</v>
      </c>
      <c r="GC83" s="539">
        <v>279</v>
      </c>
      <c r="GD83" s="524">
        <f>GC83</f>
        <v>279</v>
      </c>
      <c r="GE83" s="539">
        <v>292</v>
      </c>
      <c r="GF83" s="539">
        <v>338</v>
      </c>
      <c r="GG83" s="539">
        <v>412</v>
      </c>
      <c r="GH83" s="539">
        <v>351</v>
      </c>
      <c r="GI83" s="524">
        <f>GH83</f>
        <v>351</v>
      </c>
      <c r="GN83" s="524">
        <f>GM83</f>
        <v>0</v>
      </c>
      <c r="GS83" s="524">
        <f>GR83</f>
        <v>0</v>
      </c>
      <c r="GX83" s="524">
        <f>GW83</f>
        <v>0</v>
      </c>
      <c r="HC83" s="524">
        <f>HB83</f>
        <v>0</v>
      </c>
      <c r="HH83" s="524">
        <f>HG83</f>
        <v>0</v>
      </c>
      <c r="HM83" s="524">
        <f>HL83</f>
        <v>0</v>
      </c>
      <c r="HN83" s="524"/>
      <c r="HO83" s="524"/>
      <c r="HP83" s="606"/>
      <c r="HR83" s="606"/>
      <c r="HS83" s="606"/>
      <c r="HT83" s="606"/>
      <c r="HU83" s="606"/>
      <c r="HV83" s="606"/>
      <c r="HW83" s="606"/>
      <c r="HX83" s="606"/>
    </row>
    <row r="84" spans="1:232" s="539" customFormat="1" collapsed="1">
      <c r="A84" s="604" t="s">
        <v>412</v>
      </c>
      <c r="L84" s="523"/>
      <c r="M84" s="523"/>
      <c r="N84" s="523"/>
      <c r="O84" s="523"/>
      <c r="P84" s="524"/>
      <c r="Q84" s="523"/>
      <c r="R84" s="523"/>
      <c r="S84" s="523"/>
      <c r="T84" s="523"/>
      <c r="U84" s="524"/>
      <c r="V84" s="605"/>
      <c r="W84" s="605"/>
      <c r="X84" s="605"/>
      <c r="Y84" s="605"/>
      <c r="Z84" s="524"/>
      <c r="AA84" s="605"/>
      <c r="AB84" s="605"/>
      <c r="AC84" s="605"/>
      <c r="AD84" s="605"/>
      <c r="AE84" s="524"/>
      <c r="AF84" s="605">
        <f>SUM(AF81:AF83)</f>
        <v>81.662999999999997</v>
      </c>
      <c r="AG84" s="605">
        <f>SUM(AG81:AG83)</f>
        <v>81.756000000000014</v>
      </c>
      <c r="AH84" s="605">
        <f>SUM(AH81:AH83)</f>
        <v>93.531999999999996</v>
      </c>
      <c r="AI84" s="605">
        <f>SUM(AI81:AI83)</f>
        <v>104.05</v>
      </c>
      <c r="AJ84" s="524">
        <f>AI84</f>
        <v>104.05</v>
      </c>
      <c r="AK84" s="605">
        <f>SUM(AK81:AK83)</f>
        <v>104.83200000000001</v>
      </c>
      <c r="AL84" s="605">
        <f>SUM(AL81:AL83)</f>
        <v>112.64699999999999</v>
      </c>
      <c r="AM84" s="605">
        <f>SUM(AM81:AM83)</f>
        <v>120.124</v>
      </c>
      <c r="AN84" s="605">
        <f>SUM(AN81:AN83)</f>
        <v>128.69</v>
      </c>
      <c r="AO84" s="524">
        <f>AN84</f>
        <v>128.69</v>
      </c>
      <c r="AP84" s="605">
        <f>SUM(AP81:AP83)</f>
        <v>125.262</v>
      </c>
      <c r="AQ84" s="605">
        <f>SUM(AQ81:AQ83)</f>
        <v>133.20400000000001</v>
      </c>
      <c r="AR84" s="605">
        <f>SUM(AR81:AR83)</f>
        <v>151.13</v>
      </c>
      <c r="AS84" s="605">
        <f>SUM(AS81:AS83)</f>
        <v>154.66999999999999</v>
      </c>
      <c r="AT84" s="524">
        <f>AS84</f>
        <v>154.66999999999999</v>
      </c>
      <c r="AU84" s="605">
        <f>SUM(AU81:AU83)</f>
        <v>168.173</v>
      </c>
      <c r="AV84" s="605">
        <f>SUM(AV81:AV83)</f>
        <v>175.83700000000002</v>
      </c>
      <c r="AW84" s="605">
        <f>SUM(AW81:AW83)</f>
        <v>163.489</v>
      </c>
      <c r="AX84" s="605">
        <f>SUM(AX81:AX83)</f>
        <v>154.01</v>
      </c>
      <c r="AY84" s="524">
        <f>AX84</f>
        <v>154.01</v>
      </c>
      <c r="AZ84" s="605">
        <f>SUM(AZ81:AZ83)</f>
        <v>149.21799999999999</v>
      </c>
      <c r="BA84" s="605">
        <f>SUM(BA81:BA83)</f>
        <v>162.614</v>
      </c>
      <c r="BB84" s="605">
        <f>SUM(BB81:BB83)</f>
        <v>163.43099999999998</v>
      </c>
      <c r="BC84" s="605">
        <f>SUM(BC81:BC83)</f>
        <v>168.517</v>
      </c>
      <c r="BD84" s="524">
        <f>BC84</f>
        <v>168.517</v>
      </c>
      <c r="BE84" s="605">
        <f>SUM(BE81:BE83)</f>
        <v>157.85900000000001</v>
      </c>
      <c r="BF84" s="605">
        <f>SUM(BF81:BF83)</f>
        <v>171.63299999999998</v>
      </c>
      <c r="BG84" s="605">
        <f>SUM(BG81:BG83)</f>
        <v>172.23100000000002</v>
      </c>
      <c r="BH84" s="605">
        <f>SUM(BH81:BH83)</f>
        <v>175.07499999999999</v>
      </c>
      <c r="BI84" s="524">
        <f>BH84</f>
        <v>175.07499999999999</v>
      </c>
      <c r="BJ84" s="605">
        <f>SUM(BJ81:BJ83)</f>
        <v>182.67</v>
      </c>
      <c r="BK84" s="605">
        <f>SUM(BK81:BK83)</f>
        <v>203.05599999999998</v>
      </c>
      <c r="BL84" s="605">
        <f>SUM(BL81:BL83)</f>
        <v>234.11</v>
      </c>
      <c r="BM84" s="605">
        <f>SUM(BM81:BM83)</f>
        <v>198.21299999999999</v>
      </c>
      <c r="BN84" s="524">
        <f>BM84</f>
        <v>198.21299999999999</v>
      </c>
      <c r="BO84" s="605">
        <f>SUM(BO81:BO83)</f>
        <v>204.965</v>
      </c>
      <c r="BP84" s="605">
        <f>SUM(BP81:BP83)</f>
        <v>255.57900000000001</v>
      </c>
      <c r="BQ84" s="605">
        <f>SUM(BQ81:BQ83)</f>
        <v>290.42599999999999</v>
      </c>
      <c r="BR84" s="605">
        <f>SUM(BR81:BR83)</f>
        <v>343.54100000000005</v>
      </c>
      <c r="BS84" s="524">
        <f>BR84</f>
        <v>343.54100000000005</v>
      </c>
      <c r="BT84" s="605">
        <f>SUM(BT81:BT83)</f>
        <v>354.63</v>
      </c>
      <c r="BU84" s="605">
        <f>SUM(BU81:BU83)</f>
        <v>400.84899999999999</v>
      </c>
      <c r="BV84" s="605">
        <f>SUM(BV81:BV83)</f>
        <v>449.07799999999997</v>
      </c>
      <c r="BW84" s="605">
        <f>SUM(BW81:BW83)</f>
        <v>380.47399999999999</v>
      </c>
      <c r="BX84" s="524">
        <f>BW84</f>
        <v>380.47399999999999</v>
      </c>
      <c r="BY84" s="539">
        <f>SUM(BY81:BY83)</f>
        <v>376.79499999999996</v>
      </c>
      <c r="BZ84" s="539">
        <f>SUM(BZ81:BZ83)</f>
        <v>380.07799999999997</v>
      </c>
      <c r="CA84" s="539">
        <f>SUM(CA81:CA83)</f>
        <v>420.23200000000003</v>
      </c>
      <c r="CB84" s="539">
        <f>SUM(CB81:CB83)</f>
        <v>432.60299999999995</v>
      </c>
      <c r="CC84" s="524">
        <f>CB84</f>
        <v>432.60299999999995</v>
      </c>
      <c r="CD84" s="539">
        <f>SUM(CD81:CD83)</f>
        <v>440.04900000000004</v>
      </c>
      <c r="CE84" s="539">
        <f>SUM(CE81:CE83)</f>
        <v>467.38400000000001</v>
      </c>
      <c r="CF84" s="539">
        <f>SUM(CF81:CF83)</f>
        <v>692.39499999999998</v>
      </c>
      <c r="CG84" s="539">
        <f>SUM(CG81:CG83)</f>
        <v>697.6579999999999</v>
      </c>
      <c r="CH84" s="524">
        <f>CG84</f>
        <v>697.6579999999999</v>
      </c>
      <c r="CI84" s="539">
        <f>SUM(CI81:CI83)</f>
        <v>692.58799999999997</v>
      </c>
      <c r="CJ84" s="539">
        <f>SUM(CJ81:CJ83)</f>
        <v>726.17899999999997</v>
      </c>
      <c r="CK84" s="539">
        <f>SUM(CK81:CK83)</f>
        <v>807.23299999999995</v>
      </c>
      <c r="CL84" s="539">
        <f>SUM(CL81:CL83)</f>
        <v>874.79</v>
      </c>
      <c r="CM84" s="524">
        <f>CL84</f>
        <v>874.79</v>
      </c>
      <c r="CN84" s="539">
        <f>SUM(CN81:CN83)</f>
        <v>846.15200000000004</v>
      </c>
      <c r="CO84" s="539">
        <f>SUM(CO81:CO83)</f>
        <v>911.16300000000001</v>
      </c>
      <c r="CP84" s="539">
        <f>SUM(CP81:CP83)</f>
        <v>931.76299999999992</v>
      </c>
      <c r="CQ84" s="539">
        <v>388.63099999999997</v>
      </c>
      <c r="CR84" s="524">
        <f>CQ84</f>
        <v>388.63099999999997</v>
      </c>
      <c r="CS84" s="539">
        <f>SUM(CS81:CS83)</f>
        <v>337.21600000000001</v>
      </c>
      <c r="CT84" s="539">
        <v>405.28500000000003</v>
      </c>
      <c r="CU84" s="539">
        <v>465.71600000000001</v>
      </c>
      <c r="CV84" s="539">
        <v>814</v>
      </c>
      <c r="CW84" s="524">
        <f>CV84</f>
        <v>814</v>
      </c>
      <c r="CX84" s="539">
        <v>937</v>
      </c>
      <c r="CY84" s="539">
        <v>892</v>
      </c>
      <c r="CZ84" s="539">
        <v>839</v>
      </c>
      <c r="DA84" s="539">
        <v>821</v>
      </c>
      <c r="DB84" s="524">
        <f>DA84</f>
        <v>821</v>
      </c>
      <c r="DC84" s="539">
        <v>785</v>
      </c>
      <c r="DD84" s="539">
        <v>791</v>
      </c>
      <c r="DE84" s="539">
        <v>844</v>
      </c>
      <c r="DF84" s="539">
        <v>656</v>
      </c>
      <c r="DG84" s="524">
        <f>DF84</f>
        <v>656</v>
      </c>
      <c r="DH84" s="539">
        <f>SUM(DH81:DH83)</f>
        <v>539</v>
      </c>
      <c r="DI84" s="539">
        <f>SUM(DI81:DI83)</f>
        <v>493</v>
      </c>
      <c r="DJ84" s="539">
        <v>515</v>
      </c>
      <c r="DK84" s="539">
        <v>567</v>
      </c>
      <c r="DL84" s="524">
        <f>DK84</f>
        <v>567</v>
      </c>
      <c r="DM84" s="539">
        <v>577</v>
      </c>
      <c r="DN84" s="539">
        <v>581</v>
      </c>
      <c r="DO84" s="539">
        <v>622</v>
      </c>
      <c r="DP84" s="539">
        <v>632</v>
      </c>
      <c r="DQ84" s="524">
        <f>DP84</f>
        <v>632</v>
      </c>
      <c r="DR84" s="539">
        <v>648</v>
      </c>
      <c r="DS84" s="539">
        <v>642</v>
      </c>
      <c r="DT84" s="539">
        <v>540</v>
      </c>
      <c r="DU84" s="539">
        <v>476</v>
      </c>
      <c r="DV84" s="524">
        <f>DU84</f>
        <v>476</v>
      </c>
      <c r="DW84" s="539">
        <v>585</v>
      </c>
      <c r="DX84" s="539">
        <v>833</v>
      </c>
      <c r="DY84" s="539">
        <v>744</v>
      </c>
      <c r="DZ84" s="539">
        <v>562</v>
      </c>
      <c r="EA84" s="524">
        <f>DZ84</f>
        <v>562</v>
      </c>
      <c r="EB84" s="539">
        <v>613</v>
      </c>
      <c r="EC84" s="539">
        <v>711</v>
      </c>
      <c r="ED84" s="539">
        <v>922</v>
      </c>
      <c r="EE84" s="539">
        <v>884</v>
      </c>
      <c r="EF84" s="524">
        <f>EE84</f>
        <v>884</v>
      </c>
      <c r="EG84" s="539">
        <v>869</v>
      </c>
      <c r="EH84" s="539">
        <v>960</v>
      </c>
      <c r="EI84" s="539">
        <v>897</v>
      </c>
      <c r="EJ84" s="539">
        <v>685</v>
      </c>
      <c r="EK84" s="524">
        <f>EJ84</f>
        <v>685</v>
      </c>
      <c r="EL84" s="539">
        <v>688</v>
      </c>
      <c r="EM84" s="539">
        <v>799</v>
      </c>
      <c r="EN84" s="539">
        <v>761</v>
      </c>
      <c r="EO84" s="539">
        <v>678</v>
      </c>
      <c r="EP84" s="524">
        <f>EO84</f>
        <v>678</v>
      </c>
      <c r="EQ84" s="539">
        <v>675</v>
      </c>
      <c r="ER84" s="539">
        <v>743</v>
      </c>
      <c r="ES84" s="539">
        <v>772</v>
      </c>
      <c r="ET84" s="539">
        <v>751</v>
      </c>
      <c r="EU84" s="524">
        <f>ET84</f>
        <v>751</v>
      </c>
      <c r="EV84" s="539">
        <v>839</v>
      </c>
      <c r="EW84" s="539">
        <v>833</v>
      </c>
      <c r="EX84" s="539">
        <v>794</v>
      </c>
      <c r="EY84" s="539">
        <v>739</v>
      </c>
      <c r="EZ84" s="524">
        <f>EY84</f>
        <v>739</v>
      </c>
      <c r="FA84" s="539">
        <v>715</v>
      </c>
      <c r="FB84" s="539">
        <v>750</v>
      </c>
      <c r="FC84" s="539">
        <v>738</v>
      </c>
      <c r="FD84" s="539">
        <v>845</v>
      </c>
      <c r="FE84" s="524">
        <f>FD84</f>
        <v>845</v>
      </c>
      <c r="FF84" s="539">
        <v>955</v>
      </c>
      <c r="FG84" s="539">
        <v>1015</v>
      </c>
      <c r="FH84" s="539">
        <v>1040</v>
      </c>
      <c r="FI84" s="539">
        <v>982</v>
      </c>
      <c r="FJ84" s="524">
        <f>FI84</f>
        <v>982</v>
      </c>
      <c r="FK84" s="539">
        <v>1056</v>
      </c>
      <c r="FL84" s="539">
        <v>1324</v>
      </c>
      <c r="FM84" s="539">
        <v>1292</v>
      </c>
      <c r="FN84" s="539">
        <v>1399</v>
      </c>
      <c r="FO84" s="524">
        <f>FN84</f>
        <v>1399</v>
      </c>
      <c r="FP84" s="539">
        <v>1653</v>
      </c>
      <c r="FQ84" s="539">
        <v>1765</v>
      </c>
      <c r="FR84" s="539">
        <v>1902</v>
      </c>
      <c r="FS84" s="539">
        <v>1955</v>
      </c>
      <c r="FT84" s="524">
        <f>FS84</f>
        <v>1955</v>
      </c>
      <c r="FU84" s="539">
        <v>2431</v>
      </c>
      <c r="FV84" s="539">
        <v>2648</v>
      </c>
      <c r="FW84" s="539">
        <v>3369</v>
      </c>
      <c r="FX84" s="539">
        <v>3771</v>
      </c>
      <c r="FY84" s="524">
        <f>FX84</f>
        <v>3771</v>
      </c>
      <c r="FZ84" s="539">
        <v>4235</v>
      </c>
      <c r="GA84" s="539">
        <v>4567</v>
      </c>
      <c r="GB84" s="539">
        <v>4445</v>
      </c>
      <c r="GC84" s="539">
        <v>4351</v>
      </c>
      <c r="GD84" s="524">
        <f>GC84</f>
        <v>4351</v>
      </c>
      <c r="GE84" s="539">
        <v>4652</v>
      </c>
      <c r="GF84" s="539">
        <v>4991</v>
      </c>
      <c r="GG84" s="539">
        <v>5374</v>
      </c>
      <c r="GH84" s="539">
        <v>5734</v>
      </c>
      <c r="GI84" s="524">
        <f>GH84</f>
        <v>5734</v>
      </c>
      <c r="GJ84" s="539">
        <v>6416</v>
      </c>
      <c r="GK84" s="539">
        <v>6677</v>
      </c>
      <c r="GL84" s="539">
        <v>7313</v>
      </c>
      <c r="GM84" s="539">
        <v>7920</v>
      </c>
      <c r="GN84" s="524">
        <f>GM84</f>
        <v>7920</v>
      </c>
      <c r="GO84" s="539">
        <v>8045</v>
      </c>
      <c r="GP84" s="539">
        <f>GP85/91*GP16</f>
        <v>9484.7992522602926</v>
      </c>
      <c r="GQ84" s="539">
        <f>GQ85/91*GQ16</f>
        <v>9818.3960674655536</v>
      </c>
      <c r="GR84" s="539">
        <f>GR85/91*GR16</f>
        <v>13429.741084777375</v>
      </c>
      <c r="GS84" s="524">
        <f>GR84</f>
        <v>13429.741084777375</v>
      </c>
      <c r="GT84" s="539">
        <f>GT85/91*GT16</f>
        <v>15390.531777320513</v>
      </c>
      <c r="GU84" s="539">
        <f>GU85/91*GU16</f>
        <v>17004.285036522728</v>
      </c>
      <c r="GV84" s="539">
        <f>GV85/91*GV16</f>
        <v>21513.075174379333</v>
      </c>
      <c r="GW84" s="539">
        <f>GW85/91*GW16</f>
        <v>25216.258728543231</v>
      </c>
      <c r="GX84" s="524">
        <f>GW84</f>
        <v>25216.258728543231</v>
      </c>
      <c r="GY84" s="539">
        <f>GY85/91*GY16</f>
        <v>24224.065993909186</v>
      </c>
      <c r="GZ84" s="539">
        <f>GZ85/91*GZ16</f>
        <v>25242.838457189144</v>
      </c>
      <c r="HA84" s="539">
        <f>HA85/91*HA16</f>
        <v>28335.800595771085</v>
      </c>
      <c r="HB84" s="539">
        <f>HB85/91*HB16</f>
        <v>31817.922476742428</v>
      </c>
      <c r="HC84" s="524">
        <f>HB84</f>
        <v>31817.922476742428</v>
      </c>
      <c r="HD84" s="539">
        <f>HD85/91*HD16</f>
        <v>31278.782310624778</v>
      </c>
      <c r="HE84" s="539">
        <f>HE85/91*HE16</f>
        <v>32666.981970806642</v>
      </c>
      <c r="HF84" s="539">
        <f>HF85/91*HF16</f>
        <v>35166.321925454446</v>
      </c>
      <c r="HG84" s="539">
        <f>HG85/91*HG16</f>
        <v>36695.508561479284</v>
      </c>
      <c r="HH84" s="524">
        <f>HG84</f>
        <v>36695.508561479284</v>
      </c>
      <c r="HI84" s="539">
        <f>HI85/91*HI16</f>
        <v>35037.574740399359</v>
      </c>
      <c r="HJ84" s="539">
        <f>HJ85/91*HJ16</f>
        <v>36578.534283522924</v>
      </c>
      <c r="HK84" s="539">
        <f>HK85/91*HK16</f>
        <v>40134.414768490424</v>
      </c>
      <c r="HL84" s="539">
        <f>HL85/91*HL16</f>
        <v>41935.121971354572</v>
      </c>
      <c r="HM84" s="524">
        <f>HL84</f>
        <v>41935.121971354572</v>
      </c>
      <c r="HN84" s="524"/>
      <c r="HO84" s="524"/>
      <c r="HP84" s="606"/>
      <c r="HR84" s="606"/>
      <c r="HS84" s="606"/>
      <c r="HT84" s="606"/>
      <c r="HU84" s="606"/>
      <c r="HV84" s="606"/>
      <c r="HW84" s="606"/>
      <c r="HX84" s="606"/>
    </row>
    <row r="85" spans="1:232" s="509" customFormat="1">
      <c r="A85" s="607" t="s">
        <v>413</v>
      </c>
      <c r="L85" s="523"/>
      <c r="M85" s="523"/>
      <c r="N85" s="523"/>
      <c r="O85" s="523"/>
      <c r="P85" s="524"/>
      <c r="Q85" s="523"/>
      <c r="R85" s="523"/>
      <c r="S85" s="523"/>
      <c r="T85" s="523"/>
      <c r="U85" s="524"/>
      <c r="V85" s="616"/>
      <c r="W85" s="616"/>
      <c r="X85" s="616"/>
      <c r="Y85" s="616"/>
      <c r="Z85" s="617"/>
      <c r="AA85" s="616"/>
      <c r="AB85" s="616"/>
      <c r="AC85" s="616"/>
      <c r="AD85" s="546"/>
      <c r="AE85" s="610"/>
      <c r="AF85" s="618">
        <f>91*AF84/AF16</f>
        <v>38.289655918632327</v>
      </c>
      <c r="AG85" s="618">
        <f>91*AG84/AG16</f>
        <v>39.799690794999229</v>
      </c>
      <c r="AH85" s="618">
        <f>91*AH84/AH16</f>
        <v>42.557272786363932</v>
      </c>
      <c r="AI85" s="618">
        <f>91*AI84/AI16</f>
        <v>45.401386704514941</v>
      </c>
      <c r="AJ85" s="612" t="s">
        <v>199</v>
      </c>
      <c r="AK85" s="618">
        <f>91*AK84/AK16</f>
        <v>41.398351827180534</v>
      </c>
      <c r="AL85" s="618">
        <f>91*AL84/AL16</f>
        <v>43.505417552615825</v>
      </c>
      <c r="AM85" s="618">
        <f>91*AM84/AM16</f>
        <v>43.307821828857129</v>
      </c>
      <c r="AN85" s="618">
        <f>91*AN84/AN16</f>
        <v>44.386458305696316</v>
      </c>
      <c r="AO85" s="612" t="s">
        <v>199</v>
      </c>
      <c r="AP85" s="618">
        <f>91*AP84/AP16</f>
        <v>39.201993314349387</v>
      </c>
      <c r="AQ85" s="618">
        <f>91*AQ84/AQ16</f>
        <v>40.276462906907589</v>
      </c>
      <c r="AR85" s="618">
        <f>91*AR84/AR16</f>
        <v>39.939217758985201</v>
      </c>
      <c r="AS85" s="618">
        <f>91*AS84/AS16</f>
        <v>38.795289979906336</v>
      </c>
      <c r="AT85" s="612" t="s">
        <v>199</v>
      </c>
      <c r="AU85" s="618">
        <f>91*AU84/AU16</f>
        <v>41.503364204645614</v>
      </c>
      <c r="AV85" s="618">
        <f>91*AV84/AV16</f>
        <v>42.132837781973201</v>
      </c>
      <c r="AW85" s="618">
        <f>91*AW84/AW16</f>
        <v>44.056415313362471</v>
      </c>
      <c r="AX85" s="618">
        <f>91*AX84/AX16</f>
        <v>39.520700915340839</v>
      </c>
      <c r="AY85" s="612" t="s">
        <v>199</v>
      </c>
      <c r="AZ85" s="618">
        <f>91*AZ84/AZ16</f>
        <v>38.899374348279451</v>
      </c>
      <c r="BA85" s="618">
        <f>91*BA84/BA16</f>
        <v>39.750807218494295</v>
      </c>
      <c r="BB85" s="618">
        <f>91*BB84/BB16</f>
        <v>34.7287058658696</v>
      </c>
      <c r="BC85" s="618">
        <f>91*BC84/BC16</f>
        <v>35.758032999421722</v>
      </c>
      <c r="BD85" s="612" t="s">
        <v>199</v>
      </c>
      <c r="BE85" s="618">
        <f>91*BE84/BE16</f>
        <v>33.912828648389606</v>
      </c>
      <c r="BF85" s="618">
        <f>91*BF84/BF16</f>
        <v>40.033329061362586</v>
      </c>
      <c r="BG85" s="618">
        <f>91*BG84/BG16</f>
        <v>37.053373051053825</v>
      </c>
      <c r="BH85" s="618">
        <f>91*BH84/BH16</f>
        <v>33.054470348785337</v>
      </c>
      <c r="BI85" s="612" t="s">
        <v>199</v>
      </c>
      <c r="BJ85" s="618">
        <f>91*BJ84/BJ16</f>
        <v>36.904586940064071</v>
      </c>
      <c r="BK85" s="618">
        <f>91*BK84/BK16</f>
        <v>40.315347373887008</v>
      </c>
      <c r="BL85" s="618">
        <f>91*BL84/BL16</f>
        <v>44.933887905778938</v>
      </c>
      <c r="BM85" s="618">
        <f>91*BM84/BM16</f>
        <v>31.016315160477685</v>
      </c>
      <c r="BN85" s="612" t="s">
        <v>199</v>
      </c>
      <c r="BO85" s="618">
        <f>91*BO84/BO16</f>
        <v>30.790919461104036</v>
      </c>
      <c r="BP85" s="618">
        <f>91*BP84/BP16</f>
        <v>37.967583954081761</v>
      </c>
      <c r="BQ85" s="618">
        <f>91*BQ84/BQ16</f>
        <v>41.3589239605014</v>
      </c>
      <c r="BR85" s="618">
        <f>91*BR84/BR16</f>
        <v>47.561369718379503</v>
      </c>
      <c r="BS85" s="612" t="s">
        <v>199</v>
      </c>
      <c r="BT85" s="618">
        <f>91*BT84/BT16</f>
        <v>45.145461158597143</v>
      </c>
      <c r="BU85" s="618">
        <f>91*BU84/BU16</f>
        <v>57.336240704559422</v>
      </c>
      <c r="BV85" s="618">
        <f>91*BV84/BV16</f>
        <v>69.60018734405736</v>
      </c>
      <c r="BW85" s="618">
        <f>91*BW84/BW16</f>
        <v>53.707421873788121</v>
      </c>
      <c r="BX85" s="612" t="s">
        <v>199</v>
      </c>
      <c r="BY85" s="618">
        <f>91*BY84/BY16</f>
        <v>58.425394548063117</v>
      </c>
      <c r="BZ85" s="618">
        <f>91*BZ84/BZ16</f>
        <v>61.951849397266656</v>
      </c>
      <c r="CA85" s="618">
        <f>91*CA84/CA16</f>
        <v>84.253051440456147</v>
      </c>
      <c r="CB85" s="618">
        <f>91*CB84/CB16</f>
        <v>77.706006359884171</v>
      </c>
      <c r="CC85" s="612" t="s">
        <v>199</v>
      </c>
      <c r="CD85" s="618">
        <f>91*CD84/CD16</f>
        <v>80.63855035924864</v>
      </c>
      <c r="CE85" s="618">
        <f>91*CE84/CE16</f>
        <v>100.05515132267666</v>
      </c>
      <c r="CF85" s="618">
        <f>91*CF84/CF16</f>
        <v>100.51037678662583</v>
      </c>
      <c r="CG85" s="618">
        <f>91*CG84/CG16</f>
        <v>81.549422741962815</v>
      </c>
      <c r="CH85" s="612" t="s">
        <v>199</v>
      </c>
      <c r="CI85" s="618">
        <f>91*CI84/CI16</f>
        <v>81.97480360022891</v>
      </c>
      <c r="CJ85" s="618">
        <f>91*CJ84/CJ16</f>
        <v>84.388845682819792</v>
      </c>
      <c r="CK85" s="618">
        <f>91*CK84/CK16</f>
        <v>99.53335383848264</v>
      </c>
      <c r="CL85" s="618">
        <f>91*CL84/CL16</f>
        <v>107.19166498350504</v>
      </c>
      <c r="CM85" s="612" t="s">
        <v>199</v>
      </c>
      <c r="CN85" s="618">
        <f>91*CN84/CN16</f>
        <v>95.361851955974942</v>
      </c>
      <c r="CO85" s="618">
        <f>91*CO84/CO16</f>
        <v>108.25171354937764</v>
      </c>
      <c r="CP85" s="618">
        <f>91*CP84/CP16</f>
        <v>94.604621867960333</v>
      </c>
      <c r="CQ85" s="618">
        <f>91*CQ84/CQ16</f>
        <v>35.862183972385473</v>
      </c>
      <c r="CR85" s="612" t="s">
        <v>199</v>
      </c>
      <c r="CS85" s="618">
        <f>91*CS84/CS16</f>
        <v>55.457143889832651</v>
      </c>
      <c r="CT85" s="618">
        <f>91*CT84/CT16</f>
        <v>70.107982184507833</v>
      </c>
      <c r="CU85" s="618">
        <f>91*CU84/CU16</f>
        <v>65.678785737310619</v>
      </c>
      <c r="CV85" s="618">
        <f>91*CV84/CV16</f>
        <v>69.228037383177565</v>
      </c>
      <c r="CW85" s="612" t="s">
        <v>199</v>
      </c>
      <c r="CX85" s="618">
        <f>91*CX84/CX16</f>
        <v>99.494749124854138</v>
      </c>
      <c r="CY85" s="618">
        <f>91*CY84/CY16</f>
        <v>91.719774011299435</v>
      </c>
      <c r="CZ85" s="618">
        <f>91*CZ84/CZ16</f>
        <v>79.447450572320506</v>
      </c>
      <c r="DA85" s="618">
        <f>91*DA84/DA16</f>
        <v>75.848730964467009</v>
      </c>
      <c r="DB85" s="612" t="s">
        <v>199</v>
      </c>
      <c r="DC85" s="618">
        <f>91*DC84/DC16</f>
        <v>81.453819840364886</v>
      </c>
      <c r="DD85" s="618">
        <f>91*DD84/DD16</f>
        <v>85.083924349881798</v>
      </c>
      <c r="DE85" s="618">
        <f>91*DE84/DE16</f>
        <v>87.178206583427922</v>
      </c>
      <c r="DF85" s="618">
        <f>91*DF84/DF16</f>
        <v>90.039215686274517</v>
      </c>
      <c r="DG85" s="612" t="s">
        <v>199</v>
      </c>
      <c r="DH85" s="618">
        <f>91*DH84/DH16</f>
        <v>64.116339869281049</v>
      </c>
      <c r="DI85" s="618">
        <f>91*DI84/DI16</f>
        <v>52.105691056910572</v>
      </c>
      <c r="DJ85" s="618">
        <f>91*DJ84/DJ16</f>
        <v>53.929804372842348</v>
      </c>
      <c r="DK85" s="611">
        <f>91*DK84/DK16</f>
        <v>53.357807652533609</v>
      </c>
      <c r="DL85" s="612" t="s">
        <v>199</v>
      </c>
      <c r="DM85" s="611">
        <f>91*DM84/DM16</f>
        <v>58.211751662971174</v>
      </c>
      <c r="DN85" s="611">
        <f>91*DN84/DN16</f>
        <v>57.782513661202188</v>
      </c>
      <c r="DO85" s="611">
        <f>91*DO84/DO16</f>
        <v>64.393629124004548</v>
      </c>
      <c r="DP85" s="611">
        <f>91*DP84/DP16</f>
        <v>63.479028697571742</v>
      </c>
      <c r="DQ85" s="612" t="s">
        <v>199</v>
      </c>
      <c r="DR85" s="611">
        <f>91*DR84/DR16</f>
        <v>66.033594624860029</v>
      </c>
      <c r="DS85" s="611">
        <f>91*DS84/DS16</f>
        <v>68.409836065573771</v>
      </c>
      <c r="DT85" s="611">
        <f>91*DT84/DT16</f>
        <v>52.612419700214133</v>
      </c>
      <c r="DU85" s="611">
        <f>91*DU84/DU16</f>
        <v>47.185185185185183</v>
      </c>
      <c r="DV85" s="612" t="s">
        <v>199</v>
      </c>
      <c r="DW85" s="611">
        <f>91*DW84/DW16</f>
        <v>62.263157894736842</v>
      </c>
      <c r="DX85" s="611">
        <f>91*DX84/DX16</f>
        <v>98.445454545454552</v>
      </c>
      <c r="DY85" s="611">
        <f>91*DY84/DY16</f>
        <v>77.199543899657925</v>
      </c>
      <c r="DZ85" s="611">
        <f>91*DZ84/DZ16</f>
        <v>72.64488636363636</v>
      </c>
      <c r="EA85" s="612" t="s">
        <v>199</v>
      </c>
      <c r="EB85" s="611">
        <f>91*EB84/EB16</f>
        <v>86.754276827371697</v>
      </c>
      <c r="EC85" s="611">
        <f>91*EC84/EC16</f>
        <v>92.166666666666671</v>
      </c>
      <c r="ED85" s="611">
        <f>91*ED84/ED16</f>
        <v>89.257446808510636</v>
      </c>
      <c r="EE85" s="611">
        <f>91*EE84/EE16</f>
        <v>77.648648648648646</v>
      </c>
      <c r="EF85" s="612" t="s">
        <v>199</v>
      </c>
      <c r="EG85" s="611">
        <f>91*EG84/EG16</f>
        <v>86.9</v>
      </c>
      <c r="EH85" s="611">
        <f>91*EH84/EH16</f>
        <v>92.640509013785788</v>
      </c>
      <c r="EI85" s="611">
        <f>91*EI84/EI16</f>
        <v>87.301604278074862</v>
      </c>
      <c r="EJ85" s="611">
        <f>91*EJ84/EJ16</f>
        <v>75.925700365408034</v>
      </c>
      <c r="EK85" s="613" t="s">
        <v>199</v>
      </c>
      <c r="EL85" s="611">
        <f>91*EL84/EL16</f>
        <v>88.931818181818187</v>
      </c>
      <c r="EM85" s="611">
        <f>91*EM84/EM16</f>
        <v>107.39881831610045</v>
      </c>
      <c r="EN85" s="611">
        <f>91*EN84/EN16</f>
        <v>84.246958637469589</v>
      </c>
      <c r="EO85" s="611">
        <f>91*EO84/EO16</f>
        <v>91.404444444444451</v>
      </c>
      <c r="EP85" s="613" t="s">
        <v>199</v>
      </c>
      <c r="EQ85" s="611">
        <f>91*EQ84/EQ16</f>
        <v>109.10301953818828</v>
      </c>
      <c r="ER85" s="611">
        <f>91*ER84/ER16</f>
        <v>95.498587570621467</v>
      </c>
      <c r="ES85" s="611">
        <f>91*ES84/ES16</f>
        <v>77.370044052863435</v>
      </c>
      <c r="ET85" s="611">
        <f>91*ET84/ET16</f>
        <v>90.517880794701981</v>
      </c>
      <c r="EU85" s="613" t="s">
        <v>199</v>
      </c>
      <c r="EV85" s="611">
        <f>91*EV84/EV16</f>
        <v>116.92036753445636</v>
      </c>
      <c r="EW85" s="611">
        <f>91*EW84/EW16</f>
        <v>92.668704156479222</v>
      </c>
      <c r="EX85" s="611">
        <f>91*EX84/EX16</f>
        <v>67.527102803738316</v>
      </c>
      <c r="EY85" s="611">
        <f>91*EY84/EY16</f>
        <v>69.688082901554409</v>
      </c>
      <c r="EZ85" s="613" t="s">
        <v>199</v>
      </c>
      <c r="FA85" s="611">
        <f>91*FA84/FA16</f>
        <v>61.966666666666669</v>
      </c>
      <c r="FB85" s="611">
        <f>91*FB84/FB16</f>
        <v>61.820652173913047</v>
      </c>
      <c r="FC85" s="611">
        <f>91*FC84/FC16</f>
        <v>67.699596774193552</v>
      </c>
      <c r="FD85" s="611">
        <f>91*FD84/FD16</f>
        <v>87.182539682539684</v>
      </c>
      <c r="FE85" s="613" t="s">
        <v>199</v>
      </c>
      <c r="FF85" s="611">
        <f>91*FF84/FF16</f>
        <v>115.71904127829561</v>
      </c>
      <c r="FG85" s="611">
        <f>91*FG84/FG16</f>
        <v>101.5</v>
      </c>
      <c r="FH85" s="611">
        <f>91*FH84/FH16</f>
        <v>92.421875</v>
      </c>
      <c r="FI85" s="611">
        <f>91*FI84/FI16</f>
        <v>75.859083191850601</v>
      </c>
      <c r="FJ85" s="613" t="s">
        <v>199</v>
      </c>
      <c r="FK85" s="611">
        <f>91*FK84/FK16</f>
        <v>99.272727272727266</v>
      </c>
      <c r="FL85" s="611">
        <f>91*FL84/FL16</f>
        <v>111.14760147601476</v>
      </c>
      <c r="FM85" s="611">
        <f>91*FM84/FM16</f>
        <v>74.838956078930622</v>
      </c>
      <c r="FN85" s="611">
        <f>91*FN84/FN16</f>
        <v>71.003346346904635</v>
      </c>
      <c r="FO85" s="613" t="s">
        <v>199</v>
      </c>
      <c r="FP85" s="611">
        <f>91*FP84/FP16</f>
        <v>80.959634015069966</v>
      </c>
      <c r="FQ85" s="611">
        <f>91*FQ84/FQ16</f>
        <v>79.512376237623769</v>
      </c>
      <c r="FR85" s="611">
        <f>91*FR84/FR16</f>
        <v>77.719802424786707</v>
      </c>
      <c r="FS85" s="611">
        <f>91*FS84/FS16</f>
        <v>74.127083333333331</v>
      </c>
      <c r="FT85" s="613" t="s">
        <v>199</v>
      </c>
      <c r="FU85" s="611">
        <f>91*FU84/FU16</f>
        <v>79.262271587244712</v>
      </c>
      <c r="FV85" s="611">
        <f>91*FV84/FV16</f>
        <v>79.790728476821187</v>
      </c>
      <c r="FW85" s="611">
        <f>91*FW84/FW16</f>
        <v>109.60993922059349</v>
      </c>
      <c r="FX85" s="611">
        <f>91*FX84/FX16</f>
        <v>124.83121134958166</v>
      </c>
      <c r="FY85" s="613" t="s">
        <v>199</v>
      </c>
      <c r="FZ85" s="611">
        <f>91*FZ84/FZ16</f>
        <v>143.47915115413255</v>
      </c>
      <c r="GA85" s="611">
        <f>91*GA84/GA16</f>
        <v>153.69711538461539</v>
      </c>
      <c r="GB85" s="611">
        <f>91*GB84/GB16</f>
        <v>142.27752374252549</v>
      </c>
      <c r="GC85" s="611">
        <f>91*GC84/GC16</f>
        <v>130.20092074975338</v>
      </c>
      <c r="GD85" s="613" t="s">
        <v>199</v>
      </c>
      <c r="GE85" s="611">
        <f>91*GE84/GE16</f>
        <v>161.70053475935828</v>
      </c>
      <c r="GF85" s="611">
        <f>91*GF84/GF16</f>
        <v>165.82000730193502</v>
      </c>
      <c r="GG85" s="611">
        <f>91*GG84/GG16</f>
        <v>154.41553520682032</v>
      </c>
      <c r="GH85" s="611">
        <f>91*GH84/GH16</f>
        <v>148.06867196367764</v>
      </c>
      <c r="GI85" s="613" t="s">
        <v>199</v>
      </c>
      <c r="GJ85" s="611">
        <f>91*GJ84/GJ16</f>
        <v>169.18458417849899</v>
      </c>
      <c r="GK85" s="611">
        <f>91*GK84/GK16</f>
        <v>139.19977090492554</v>
      </c>
      <c r="GL85" s="611">
        <f>91*GL84/GL16</f>
        <v>156.18000469373388</v>
      </c>
      <c r="GM85" s="611">
        <f>91*GM84/GM16</f>
        <v>162.94822518652498</v>
      </c>
      <c r="GN85" s="613" t="s">
        <v>199</v>
      </c>
      <c r="GO85" s="611">
        <f>91*GO84/GO16</f>
        <v>159.98579545454547</v>
      </c>
      <c r="GP85" s="614">
        <v>175</v>
      </c>
      <c r="GQ85" s="614">
        <v>170</v>
      </c>
      <c r="GR85" s="614">
        <v>165</v>
      </c>
      <c r="GS85" s="613" t="s">
        <v>199</v>
      </c>
      <c r="GT85" s="614">
        <v>175</v>
      </c>
      <c r="GU85" s="614">
        <v>175</v>
      </c>
      <c r="GV85" s="614">
        <v>190</v>
      </c>
      <c r="GW85" s="614">
        <v>200</v>
      </c>
      <c r="GX85" s="613" t="s">
        <v>199</v>
      </c>
      <c r="GY85" s="614">
        <v>200</v>
      </c>
      <c r="GZ85" s="614">
        <v>200</v>
      </c>
      <c r="HA85" s="614">
        <v>210</v>
      </c>
      <c r="HB85" s="614">
        <v>220</v>
      </c>
      <c r="HC85" s="613" t="s">
        <v>199</v>
      </c>
      <c r="HD85" s="614">
        <v>220</v>
      </c>
      <c r="HE85" s="614">
        <v>220</v>
      </c>
      <c r="HF85" s="614">
        <v>220</v>
      </c>
      <c r="HG85" s="614">
        <v>220</v>
      </c>
      <c r="HH85" s="613" t="s">
        <v>199</v>
      </c>
      <c r="HI85" s="614">
        <v>220</v>
      </c>
      <c r="HJ85" s="614">
        <v>220</v>
      </c>
      <c r="HK85" s="614">
        <v>220</v>
      </c>
      <c r="HL85" s="614">
        <v>220</v>
      </c>
      <c r="HM85" s="613" t="s">
        <v>199</v>
      </c>
      <c r="HN85" s="613"/>
      <c r="HO85" s="613"/>
      <c r="HP85" s="563"/>
      <c r="HR85" s="563"/>
      <c r="HS85" s="563"/>
      <c r="HT85" s="563"/>
      <c r="HU85" s="563"/>
      <c r="HV85" s="563"/>
      <c r="HW85" s="563"/>
      <c r="HX85" s="563"/>
    </row>
    <row r="86" spans="1:232" s="509" customFormat="1">
      <c r="A86" s="522" t="s">
        <v>414</v>
      </c>
      <c r="L86" s="523"/>
      <c r="M86" s="523"/>
      <c r="N86" s="523"/>
      <c r="O86" s="523"/>
      <c r="P86" s="524"/>
      <c r="Q86" s="523"/>
      <c r="R86" s="523"/>
      <c r="S86" s="523"/>
      <c r="T86" s="523"/>
      <c r="U86" s="524"/>
      <c r="V86" s="546"/>
      <c r="W86" s="546"/>
      <c r="X86" s="546"/>
      <c r="Y86" s="546"/>
      <c r="Z86" s="524"/>
      <c r="AA86" s="546"/>
      <c r="AB86" s="546"/>
      <c r="AC86" s="546"/>
      <c r="AD86" s="546"/>
      <c r="AE86" s="524"/>
      <c r="AF86" s="602">
        <v>102.13200000000001</v>
      </c>
      <c r="AG86" s="602">
        <v>109.012</v>
      </c>
      <c r="AH86" s="602">
        <v>107.277</v>
      </c>
      <c r="AI86" s="602">
        <v>108.321</v>
      </c>
      <c r="AJ86" s="524">
        <f t="shared" ref="AJ86:AJ92" si="106">AI86</f>
        <v>108.321</v>
      </c>
      <c r="AK86" s="602">
        <v>111.006</v>
      </c>
      <c r="AL86" s="602">
        <v>116.389</v>
      </c>
      <c r="AM86" s="602">
        <v>126.703</v>
      </c>
      <c r="AN86" s="602">
        <v>142.96799999999999</v>
      </c>
      <c r="AO86" s="524">
        <f t="shared" ref="AO86:AO92" si="107">AN86</f>
        <v>142.96799999999999</v>
      </c>
      <c r="AP86" s="602">
        <v>129.494</v>
      </c>
      <c r="AQ86" s="602">
        <f>98.675+46.442</f>
        <v>145.11699999999999</v>
      </c>
      <c r="AR86" s="602">
        <v>141.56200000000001</v>
      </c>
      <c r="AS86" s="602">
        <v>175.71799999999999</v>
      </c>
      <c r="AT86" s="524">
        <f t="shared" ref="AT86:AT92" si="108">AS86</f>
        <v>175.71799999999999</v>
      </c>
      <c r="AU86" s="602">
        <v>200.31899999999999</v>
      </c>
      <c r="AV86" s="602">
        <v>205.32499999999999</v>
      </c>
      <c r="AW86" s="602">
        <v>244.57599999999999</v>
      </c>
      <c r="AX86" s="602">
        <v>268.84100000000001</v>
      </c>
      <c r="AY86" s="524">
        <f t="shared" ref="AY86:AY92" si="109">AX86</f>
        <v>268.84100000000001</v>
      </c>
      <c r="AZ86" s="602">
        <v>192.06100000000001</v>
      </c>
      <c r="BA86" s="602">
        <v>189.37200000000001</v>
      </c>
      <c r="BB86" s="602">
        <v>220.12</v>
      </c>
      <c r="BC86" s="602">
        <v>210.607</v>
      </c>
      <c r="BD86" s="524">
        <f t="shared" ref="BD86:BD92" si="110">BC86</f>
        <v>210.607</v>
      </c>
      <c r="BE86" s="602">
        <v>196.797</v>
      </c>
      <c r="BF86" s="602">
        <v>223.976</v>
      </c>
      <c r="BG86" s="602">
        <v>240.46899999999999</v>
      </c>
      <c r="BH86" s="602">
        <v>274.37</v>
      </c>
      <c r="BI86" s="524">
        <f t="shared" ref="BI86:BI92" si="111">BH86</f>
        <v>274.37</v>
      </c>
      <c r="BJ86" s="602">
        <v>280.44600000000003</v>
      </c>
      <c r="BK86" s="602">
        <v>123.23399999999999</v>
      </c>
      <c r="BL86" s="602">
        <v>167.15799999999999</v>
      </c>
      <c r="BM86" s="602">
        <v>185.345</v>
      </c>
      <c r="BN86" s="524">
        <f t="shared" ref="BN86:BN92" si="112">BM86</f>
        <v>185.345</v>
      </c>
      <c r="BO86" s="602">
        <v>200.577</v>
      </c>
      <c r="BP86" s="602">
        <v>190.91200000000001</v>
      </c>
      <c r="BQ86" s="602">
        <v>241.23400000000001</v>
      </c>
      <c r="BR86" s="602">
        <v>473.78300000000002</v>
      </c>
      <c r="BS86" s="524">
        <f t="shared" ref="BS86:BS92" si="113">BR86</f>
        <v>473.78300000000002</v>
      </c>
      <c r="BT86" s="602">
        <v>328.846</v>
      </c>
      <c r="BU86" s="602">
        <v>364.46800000000002</v>
      </c>
      <c r="BV86" s="602">
        <v>458.56799999999998</v>
      </c>
      <c r="BW86" s="602">
        <v>442.85500000000002</v>
      </c>
      <c r="BX86" s="524">
        <f t="shared" ref="BX86:BX92" si="114">BW86</f>
        <v>442.85500000000002</v>
      </c>
      <c r="BY86" s="602">
        <v>314.197</v>
      </c>
      <c r="BZ86" s="602">
        <v>500.815</v>
      </c>
      <c r="CA86" s="602">
        <v>430.93700000000001</v>
      </c>
      <c r="CB86" s="603">
        <v>153.542</v>
      </c>
      <c r="CC86" s="524">
        <f t="shared" ref="CC86:CC92" si="115">CB86</f>
        <v>153.542</v>
      </c>
      <c r="CD86" s="603">
        <v>183.09100000000001</v>
      </c>
      <c r="CE86" s="603">
        <v>157.02199999999999</v>
      </c>
      <c r="CF86" s="603">
        <v>206.202</v>
      </c>
      <c r="CG86" s="603">
        <v>279.79599999999999</v>
      </c>
      <c r="CH86" s="524">
        <f t="shared" ref="CH86:CH92" si="116">CG86</f>
        <v>279.79599999999999</v>
      </c>
      <c r="CI86" s="603">
        <v>273.375</v>
      </c>
      <c r="CJ86" s="603">
        <v>264.44600000000003</v>
      </c>
      <c r="CK86" s="603">
        <v>268.08</v>
      </c>
      <c r="CL86" s="603">
        <v>438.07600000000002</v>
      </c>
      <c r="CM86" s="524">
        <f t="shared" ref="CM86:CM92" si="117">CL86</f>
        <v>438.07600000000002</v>
      </c>
      <c r="CN86" s="603">
        <f>76.499+421.706</f>
        <v>498.20500000000004</v>
      </c>
      <c r="CO86" s="599">
        <f>309.491+71.656</f>
        <v>381.14699999999999</v>
      </c>
      <c r="CP86" s="599">
        <f>54.232+263.878+8.564</f>
        <v>326.67400000000004</v>
      </c>
      <c r="CQ86" s="599">
        <f>92.606+334.016+21.701+121.585</f>
        <v>569.90800000000002</v>
      </c>
      <c r="CR86" s="524">
        <f t="shared" ref="CR86:CR92" si="118">CQ86</f>
        <v>569.90800000000002</v>
      </c>
      <c r="CS86" s="599">
        <f>322.031+104.98</f>
        <v>427.01100000000002</v>
      </c>
      <c r="CT86" s="599">
        <f>308.323+90.323</f>
        <v>398.64599999999996</v>
      </c>
      <c r="CU86" s="599">
        <f>326.238+74.981</f>
        <v>401.21899999999999</v>
      </c>
      <c r="CV86" s="599">
        <f>443+27</f>
        <v>470</v>
      </c>
      <c r="CW86" s="524">
        <f>CV86</f>
        <v>470</v>
      </c>
      <c r="CX86" s="599">
        <f>344+71</f>
        <v>415</v>
      </c>
      <c r="CY86" s="599">
        <f>410+54</f>
        <v>464</v>
      </c>
      <c r="CZ86" s="599">
        <f>62+432-7</f>
        <v>487</v>
      </c>
      <c r="DA86" s="599">
        <f>402+64</f>
        <v>466</v>
      </c>
      <c r="DB86" s="524">
        <f>DA86</f>
        <v>466</v>
      </c>
      <c r="DC86" s="599">
        <f>332+105</f>
        <v>437</v>
      </c>
      <c r="DD86" s="599">
        <f>244+20+372</f>
        <v>636</v>
      </c>
      <c r="DE86" s="599">
        <f>240+20+283</f>
        <v>543</v>
      </c>
      <c r="DF86" s="599">
        <f>279+28</f>
        <v>307</v>
      </c>
      <c r="DG86" s="524">
        <f>DF86</f>
        <v>307</v>
      </c>
      <c r="DH86" s="599">
        <f>254+45</f>
        <v>299</v>
      </c>
      <c r="DI86" s="599">
        <f>302+38</f>
        <v>340</v>
      </c>
      <c r="DJ86" s="599">
        <f>41+279</f>
        <v>320</v>
      </c>
      <c r="DK86" s="599">
        <f>9+278</f>
        <v>287</v>
      </c>
      <c r="DL86" s="524">
        <f>DK86</f>
        <v>287</v>
      </c>
      <c r="DM86" s="599">
        <f>147</f>
        <v>147</v>
      </c>
      <c r="DN86" s="599">
        <f>111</f>
        <v>111</v>
      </c>
      <c r="DO86" s="599">
        <f>99</f>
        <v>99</v>
      </c>
      <c r="DP86" s="599">
        <v>205</v>
      </c>
      <c r="DQ86" s="524">
        <f>DP86</f>
        <v>205</v>
      </c>
      <c r="DR86" s="599">
        <v>221</v>
      </c>
      <c r="DS86" s="599">
        <v>176</v>
      </c>
      <c r="DT86" s="599">
        <v>157</v>
      </c>
      <c r="DU86" s="599">
        <v>69</v>
      </c>
      <c r="DV86" s="524">
        <f>DU86</f>
        <v>69</v>
      </c>
      <c r="DW86" s="599">
        <v>104</v>
      </c>
      <c r="DX86" s="599">
        <v>77</v>
      </c>
      <c r="DY86" s="599">
        <v>88</v>
      </c>
      <c r="DZ86" s="599">
        <f>71</f>
        <v>71</v>
      </c>
      <c r="EA86" s="524">
        <f>DZ86</f>
        <v>71</v>
      </c>
      <c r="EB86" s="599">
        <v>77</v>
      </c>
      <c r="EC86" s="599">
        <v>109</v>
      </c>
      <c r="ED86" s="599">
        <v>84</v>
      </c>
      <c r="EE86" s="599">
        <v>71</v>
      </c>
      <c r="EF86" s="524">
        <f>EE86</f>
        <v>71</v>
      </c>
      <c r="EG86" s="599">
        <v>79</v>
      </c>
      <c r="EH86" s="599">
        <v>152</v>
      </c>
      <c r="EI86" s="599">
        <v>212</v>
      </c>
      <c r="EJ86" s="599">
        <v>193</v>
      </c>
      <c r="EK86" s="524">
        <f>EJ86</f>
        <v>193</v>
      </c>
      <c r="EL86" s="599">
        <f>44+88</f>
        <v>132</v>
      </c>
      <c r="EM86" s="599">
        <f>19+117</f>
        <v>136</v>
      </c>
      <c r="EN86" s="599">
        <f>182+63+20</f>
        <v>265</v>
      </c>
      <c r="EO86" s="599">
        <f>33+43+248</f>
        <v>324</v>
      </c>
      <c r="EP86" s="524">
        <f>EO86</f>
        <v>324</v>
      </c>
      <c r="EQ86" s="599">
        <f>26+49+252</f>
        <v>327</v>
      </c>
      <c r="ER86" s="599">
        <f>12+68+55</f>
        <v>135</v>
      </c>
      <c r="ES86" s="599">
        <f>13+63+78</f>
        <v>154</v>
      </c>
      <c r="ET86" s="599">
        <f>32+63+109</f>
        <v>204</v>
      </c>
      <c r="EU86" s="524">
        <f>ET86</f>
        <v>204</v>
      </c>
      <c r="EV86" s="599">
        <f>31+73+118</f>
        <v>222</v>
      </c>
      <c r="EW86" s="599">
        <f>10+68+142</f>
        <v>220</v>
      </c>
      <c r="EX86" s="599">
        <f>26+72+157</f>
        <v>255</v>
      </c>
      <c r="EY86" s="599">
        <f>33+77+188</f>
        <v>298</v>
      </c>
      <c r="EZ86" s="524">
        <f>EY86</f>
        <v>298</v>
      </c>
      <c r="FA86" s="599">
        <f>18+67+168</f>
        <v>253</v>
      </c>
      <c r="FB86" s="599">
        <f>25+68+155</f>
        <v>248</v>
      </c>
      <c r="FC86" s="599">
        <f>53+60+200</f>
        <v>313</v>
      </c>
      <c r="FD86" s="599">
        <f>52+57+195</f>
        <v>304</v>
      </c>
      <c r="FE86" s="524">
        <f>FD86</f>
        <v>304</v>
      </c>
      <c r="FF86" s="599">
        <f>50+65+172</f>
        <v>287</v>
      </c>
      <c r="FG86" s="599">
        <f>30+248</f>
        <v>278</v>
      </c>
      <c r="FH86" s="599">
        <f>17+253</f>
        <v>270</v>
      </c>
      <c r="FI86" s="599">
        <f>20+233</f>
        <v>253</v>
      </c>
      <c r="FJ86" s="524">
        <f>FI86</f>
        <v>253</v>
      </c>
      <c r="FK86" s="599">
        <f>17+241</f>
        <v>258</v>
      </c>
      <c r="FL86" s="599">
        <f>10+211</f>
        <v>221</v>
      </c>
      <c r="FM86" s="599">
        <f>4+299</f>
        <v>303</v>
      </c>
      <c r="FN86" s="599">
        <f>10+378</f>
        <v>388</v>
      </c>
      <c r="FO86" s="524">
        <f>FN86</f>
        <v>388</v>
      </c>
      <c r="FP86" s="599">
        <f>7+243</f>
        <v>250</v>
      </c>
      <c r="FQ86" s="599">
        <f>6+234</f>
        <v>240</v>
      </c>
      <c r="FR86" s="599">
        <f>5+249</f>
        <v>254</v>
      </c>
      <c r="FS86" s="539">
        <f>2+312</f>
        <v>314</v>
      </c>
      <c r="FT86" s="524">
        <f>FS86</f>
        <v>314</v>
      </c>
      <c r="FU86" s="599">
        <f>4+725</f>
        <v>729</v>
      </c>
      <c r="FV86" s="599">
        <f>3+769</f>
        <v>772</v>
      </c>
      <c r="FW86" s="599">
        <f>4+1120</f>
        <v>1124</v>
      </c>
      <c r="FX86" s="599">
        <f>1265+2</f>
        <v>1267</v>
      </c>
      <c r="FY86" s="524">
        <f>FX86</f>
        <v>1267</v>
      </c>
      <c r="FZ86" s="599">
        <f>1442+2</f>
        <v>1444</v>
      </c>
      <c r="GA86" s="599">
        <f>1339+2</f>
        <v>1341</v>
      </c>
      <c r="GB86" s="599">
        <f>1+1403</f>
        <v>1404</v>
      </c>
      <c r="GC86" s="599">
        <f>9+1259</f>
        <v>1268</v>
      </c>
      <c r="GD86" s="524">
        <f>GC86</f>
        <v>1268</v>
      </c>
      <c r="GE86" s="599">
        <f>31+1328</f>
        <v>1359</v>
      </c>
      <c r="GF86" s="599">
        <f>1361+24</f>
        <v>1385</v>
      </c>
      <c r="GG86" s="599">
        <f>29+1547</f>
        <v>1576</v>
      </c>
      <c r="GH86" s="599">
        <f>113+1878</f>
        <v>1991</v>
      </c>
      <c r="GI86" s="524">
        <f>GH86</f>
        <v>1991</v>
      </c>
      <c r="GJ86" s="599">
        <v>2426</v>
      </c>
      <c r="GK86" s="599">
        <f>4326+2534-11</f>
        <v>6849</v>
      </c>
      <c r="GL86" s="599">
        <f>3990+2253-17</f>
        <v>6226</v>
      </c>
      <c r="GM86" s="599">
        <v>2160</v>
      </c>
      <c r="GN86" s="524">
        <f>GM86</f>
        <v>2160</v>
      </c>
      <c r="GO86" s="599">
        <v>2201</v>
      </c>
      <c r="GP86" s="599">
        <f>GO86</f>
        <v>2201</v>
      </c>
      <c r="GQ86" s="599">
        <f>GP86</f>
        <v>2201</v>
      </c>
      <c r="GR86" s="599">
        <f>GQ86</f>
        <v>2201</v>
      </c>
      <c r="GS86" s="524">
        <f>GR86</f>
        <v>2201</v>
      </c>
      <c r="GT86" s="599">
        <f>GR86</f>
        <v>2201</v>
      </c>
      <c r="GU86" s="599">
        <f>GT86</f>
        <v>2201</v>
      </c>
      <c r="GV86" s="599">
        <f>GU86</f>
        <v>2201</v>
      </c>
      <c r="GW86" s="599">
        <f>GV86</f>
        <v>2201</v>
      </c>
      <c r="GX86" s="524">
        <f>GW86</f>
        <v>2201</v>
      </c>
      <c r="GY86" s="599">
        <f>GW86</f>
        <v>2201</v>
      </c>
      <c r="GZ86" s="599">
        <f>GY86</f>
        <v>2201</v>
      </c>
      <c r="HA86" s="599">
        <f>GZ86</f>
        <v>2201</v>
      </c>
      <c r="HB86" s="599">
        <f>HA86</f>
        <v>2201</v>
      </c>
      <c r="HC86" s="524">
        <f>HB86</f>
        <v>2201</v>
      </c>
      <c r="HD86" s="599">
        <f>HB86</f>
        <v>2201</v>
      </c>
      <c r="HE86" s="599">
        <f>HD86</f>
        <v>2201</v>
      </c>
      <c r="HF86" s="599">
        <f>HE86</f>
        <v>2201</v>
      </c>
      <c r="HG86" s="599">
        <f>HF86</f>
        <v>2201</v>
      </c>
      <c r="HH86" s="524">
        <f>HG86</f>
        <v>2201</v>
      </c>
      <c r="HI86" s="599">
        <f>HG86</f>
        <v>2201</v>
      </c>
      <c r="HJ86" s="599">
        <f>HI86</f>
        <v>2201</v>
      </c>
      <c r="HK86" s="599">
        <f>HJ86</f>
        <v>2201</v>
      </c>
      <c r="HL86" s="599">
        <f>HK86</f>
        <v>2201</v>
      </c>
      <c r="HM86" s="524">
        <f>HL86</f>
        <v>2201</v>
      </c>
      <c r="HN86" s="524"/>
      <c r="HO86" s="524"/>
      <c r="HP86" s="563"/>
      <c r="HR86" s="563"/>
      <c r="HS86" s="563"/>
      <c r="HT86" s="563"/>
      <c r="HU86" s="563"/>
      <c r="HV86" s="563"/>
      <c r="HW86" s="563"/>
      <c r="HX86" s="563"/>
    </row>
    <row r="87" spans="1:232" s="509" customFormat="1">
      <c r="A87" s="522" t="s">
        <v>415</v>
      </c>
      <c r="L87" s="523"/>
      <c r="M87" s="523"/>
      <c r="N87" s="523"/>
      <c r="O87" s="523"/>
      <c r="P87" s="524"/>
      <c r="Q87" s="523"/>
      <c r="R87" s="523"/>
      <c r="S87" s="523"/>
      <c r="T87" s="523"/>
      <c r="U87" s="524"/>
      <c r="V87" s="523"/>
      <c r="W87" s="523"/>
      <c r="X87" s="523"/>
      <c r="Y87" s="523"/>
      <c r="Z87" s="524"/>
      <c r="AA87" s="523"/>
      <c r="AB87" s="523"/>
      <c r="AC87" s="523"/>
      <c r="AD87" s="523"/>
      <c r="AE87" s="524"/>
      <c r="AF87" s="523">
        <f>AF86+AF84+AF78+AF77</f>
        <v>804.77700000000004</v>
      </c>
      <c r="AG87" s="523">
        <f>AG86+AG84+AG78+AG77</f>
        <v>838.08900000000006</v>
      </c>
      <c r="AH87" s="523">
        <f>AH86+AH84+AH78+AH77</f>
        <v>905.21100000000001</v>
      </c>
      <c r="AI87" s="523">
        <f>AI86+AI84+AI78+AI77</f>
        <v>964.18599999999992</v>
      </c>
      <c r="AJ87" s="524">
        <f t="shared" si="106"/>
        <v>964.18599999999992</v>
      </c>
      <c r="AK87" s="523">
        <f>AK86+AK84+AK78+AK77</f>
        <v>1072.4969999999998</v>
      </c>
      <c r="AL87" s="523">
        <f>AL86+AL84+AL78+AL77</f>
        <v>1115.1079999999999</v>
      </c>
      <c r="AM87" s="523">
        <f>AM86+AM84+AM78+AM77</f>
        <v>1132.223</v>
      </c>
      <c r="AN87" s="523">
        <f>AN86+AN84+AN78+AN77</f>
        <v>986.61900000000014</v>
      </c>
      <c r="AO87" s="524">
        <f t="shared" si="107"/>
        <v>986.61900000000014</v>
      </c>
      <c r="AP87" s="523">
        <f>AP86+AP84+AP78+AP77</f>
        <v>1081.364</v>
      </c>
      <c r="AQ87" s="523">
        <f>AQ86+AQ84+AQ78+AQ77</f>
        <v>1193.6400000000001</v>
      </c>
      <c r="AR87" s="523">
        <f>AR86+AR84+AR78+AR77</f>
        <v>1129.662</v>
      </c>
      <c r="AS87" s="523">
        <f>AS86+AS84+AS78+AS77</f>
        <v>1096.768</v>
      </c>
      <c r="AT87" s="524">
        <f t="shared" si="108"/>
        <v>1096.768</v>
      </c>
      <c r="AU87" s="523">
        <f>AU86+AU84+AU78+AU77</f>
        <v>1012.9499999999999</v>
      </c>
      <c r="AV87" s="523">
        <f>AV86+AV84+AV78+AV77</f>
        <v>872.51100000000008</v>
      </c>
      <c r="AW87" s="523">
        <f>AW86+AW84+AW78+AW77</f>
        <v>1003.6510000000001</v>
      </c>
      <c r="AX87" s="523">
        <f>AX86+AX84+AX78+AX77</f>
        <v>1029.077</v>
      </c>
      <c r="AY87" s="524">
        <f t="shared" si="109"/>
        <v>1029.077</v>
      </c>
      <c r="AZ87" s="523">
        <f>AZ86+AZ84+AZ78+AZ77</f>
        <v>1252.7559999999999</v>
      </c>
      <c r="BA87" s="523">
        <f>BA86+BA84+BA78+BA77</f>
        <v>1209.1019999999999</v>
      </c>
      <c r="BB87" s="523">
        <f>BB86+BB84+BB78+BB77</f>
        <v>1133.7139999999999</v>
      </c>
      <c r="BC87" s="523">
        <f>BC86+BC84+BC78+BC77</f>
        <v>1175.2670000000001</v>
      </c>
      <c r="BD87" s="524">
        <f t="shared" si="110"/>
        <v>1175.2670000000001</v>
      </c>
      <c r="BE87" s="523">
        <f>BE86+BE84+BE78+BE77</f>
        <v>915.48299999999995</v>
      </c>
      <c r="BF87" s="523">
        <f>BF86+BF84+BF78+BF77</f>
        <v>1327.654</v>
      </c>
      <c r="BG87" s="523">
        <f>BG86+BG84+BG78+BG77</f>
        <v>1365.6030000000001</v>
      </c>
      <c r="BH87" s="523">
        <f>BH86+BH84+BH78+BH77</f>
        <v>1562.027</v>
      </c>
      <c r="BI87" s="524">
        <f t="shared" si="111"/>
        <v>1562.027</v>
      </c>
      <c r="BJ87" s="523">
        <f>BJ86+BJ84+BJ78+BJ77</f>
        <v>1328.6210000000001</v>
      </c>
      <c r="BK87" s="523">
        <f>BK86+BK84+BK78+BK77</f>
        <v>1297.875</v>
      </c>
      <c r="BL87" s="523">
        <f>BL86+BL84+BL78+BL77</f>
        <v>1160.7809999999999</v>
      </c>
      <c r="BM87" s="523">
        <f>BM86+BM84+BM78+BM77</f>
        <v>1409.8779999999999</v>
      </c>
      <c r="BN87" s="524">
        <f t="shared" si="112"/>
        <v>1409.8779999999999</v>
      </c>
      <c r="BO87" s="523">
        <f>BO86+BO84+BO78+BO77</f>
        <v>1732.873</v>
      </c>
      <c r="BP87" s="523">
        <f>BP86+BP84+BP78+BP77</f>
        <v>2059.3910000000001</v>
      </c>
      <c r="BQ87" s="523">
        <f>BQ86+BQ84+BQ78+BQ77</f>
        <v>2452.8489999999997</v>
      </c>
      <c r="BR87" s="523">
        <f>BR86+BR84+BR78+BR77</f>
        <v>2657.6890000000003</v>
      </c>
      <c r="BS87" s="524">
        <f t="shared" si="113"/>
        <v>2657.6890000000003</v>
      </c>
      <c r="BT87" s="523">
        <f>BT86+BT84+BT78+BT77</f>
        <v>2881.0990000000002</v>
      </c>
      <c r="BU87" s="523">
        <f>BU86+BU84+BU78+BU77</f>
        <v>2550.8360000000002</v>
      </c>
      <c r="BV87" s="523">
        <f>BV86+BV84+BV78+BV77</f>
        <v>2399.7429999999999</v>
      </c>
      <c r="BW87" s="523">
        <f>BW86+BW84+BW78+BW77</f>
        <v>2353.1090000000004</v>
      </c>
      <c r="BX87" s="524">
        <f t="shared" si="114"/>
        <v>2353.1090000000004</v>
      </c>
      <c r="BY87" s="523">
        <f>BY86+BY84+BY78+BY77</f>
        <v>2659.88</v>
      </c>
      <c r="BZ87" s="523">
        <f>BZ86+BZ84+BZ78+BZ77</f>
        <v>2515.7650000000003</v>
      </c>
      <c r="CA87" s="523">
        <f>CA86+CA84+CA78+CA77</f>
        <v>2145.6460000000002</v>
      </c>
      <c r="CB87" s="523">
        <f>CB86+CB84+CB78+CB77</f>
        <v>2019.6779999999999</v>
      </c>
      <c r="CC87" s="524">
        <f t="shared" si="115"/>
        <v>2019.6779999999999</v>
      </c>
      <c r="CD87" s="523">
        <f>CD86+CD84+CD78+CD77</f>
        <v>1794.9900000000002</v>
      </c>
      <c r="CE87" s="523">
        <f>CE86+CE84+CE78+CE77</f>
        <v>1715.0410000000002</v>
      </c>
      <c r="CF87" s="523">
        <f>CF86+CF84+CF78+CF77</f>
        <v>2517.9799999999996</v>
      </c>
      <c r="CG87" s="523">
        <f>CG86+CG84+CG78+CG77</f>
        <v>2900.2780000000002</v>
      </c>
      <c r="CH87" s="524">
        <f t="shared" si="116"/>
        <v>2900.2780000000002</v>
      </c>
      <c r="CI87" s="523">
        <f>CI86+CI84+CI78+CI77</f>
        <v>2943.6759999999999</v>
      </c>
      <c r="CJ87" s="523">
        <f>CJ86+CJ84+CJ78+CJ77</f>
        <v>2877.4470000000001</v>
      </c>
      <c r="CK87" s="523">
        <f>CK86+CK84+CK78+CK77</f>
        <v>3051.24</v>
      </c>
      <c r="CL87" s="523">
        <f>CL86+CL84+CL78+CL77</f>
        <v>3227.9970000000003</v>
      </c>
      <c r="CM87" s="524">
        <f t="shared" si="117"/>
        <v>3227.9970000000003</v>
      </c>
      <c r="CN87" s="523">
        <f>CN86+CN84+CN78+CN77</f>
        <v>3127.4740000000002</v>
      </c>
      <c r="CO87" s="523">
        <f>CO86+CO84+CO78+CO77</f>
        <v>3248.0609999999997</v>
      </c>
      <c r="CP87" s="523">
        <f>CP86+CP84+CP78+CP77</f>
        <v>3462.4029999999998</v>
      </c>
      <c r="CQ87" s="523">
        <f>CQ86+CQ84+CQ78+CQ77</f>
        <v>3558.8360000000002</v>
      </c>
      <c r="CR87" s="524">
        <f t="shared" si="118"/>
        <v>3558.8360000000002</v>
      </c>
      <c r="CS87" s="523">
        <f>CS86+CS84+CS78+CS77</f>
        <v>4216.8530000000001</v>
      </c>
      <c r="CT87" s="523">
        <f>CT86+CT84+CT78+CT77</f>
        <v>3905.5320000000002</v>
      </c>
      <c r="CU87" s="523">
        <f>CU86+CU84+CU78+CU77</f>
        <v>3911.8610000000003</v>
      </c>
      <c r="CV87" s="523">
        <f>CV86+CV84+CV78+CV77</f>
        <v>3966</v>
      </c>
      <c r="CW87" s="524">
        <f t="shared" ref="CW87:CW92" si="119">CV87</f>
        <v>3966</v>
      </c>
      <c r="CX87" s="523">
        <f>CX86+CX84+CX78+CX77</f>
        <v>3186</v>
      </c>
      <c r="CY87" s="523">
        <f>CY86+CY84+CY78+CY77</f>
        <v>3598</v>
      </c>
      <c r="CZ87" s="523">
        <f>CZ86+CZ84+CZ78+CZ77</f>
        <v>3543</v>
      </c>
      <c r="DA87" s="523">
        <f>DA86+DA84+DA78+DA77</f>
        <v>3816</v>
      </c>
      <c r="DB87" s="524">
        <f t="shared" ref="DB87:DB92" si="120">DA87</f>
        <v>3816</v>
      </c>
      <c r="DC87" s="523">
        <f>DC86+DC84+DC78+DC77</f>
        <v>3513</v>
      </c>
      <c r="DD87" s="523">
        <f>DD86+DD84+DD78+DD77</f>
        <v>3431</v>
      </c>
      <c r="DE87" s="523">
        <f>DE86+DE84+DE78+DE77</f>
        <v>3348</v>
      </c>
      <c r="DF87" s="523">
        <f>DF86+DF84+DF78+DF77</f>
        <v>2379</v>
      </c>
      <c r="DG87" s="524">
        <f t="shared" ref="DG87:DG92" si="121">DF87</f>
        <v>2379</v>
      </c>
      <c r="DH87" s="523">
        <f>DH86+DH84+DH78+DH77</f>
        <v>3971</v>
      </c>
      <c r="DI87" s="523">
        <f>DI86+DI84+DI78+DI77</f>
        <v>3713</v>
      </c>
      <c r="DJ87" s="523">
        <f>DJ86+DJ84+DJ78+DJ77</f>
        <v>3918</v>
      </c>
      <c r="DK87" s="523">
        <f>DK86+DK84+DK78+DK77</f>
        <v>4275</v>
      </c>
      <c r="DL87" s="524">
        <f t="shared" ref="DL87:DL92" si="122">DK87</f>
        <v>4275</v>
      </c>
      <c r="DM87" s="523">
        <f>DM86+DM84+DM78+DM77</f>
        <v>3331</v>
      </c>
      <c r="DN87" s="523">
        <f>DN86+DN84+DN78+DN77</f>
        <v>3313</v>
      </c>
      <c r="DO87" s="523">
        <f>DO86+DO84+DO78+DO77</f>
        <v>3212</v>
      </c>
      <c r="DP87" s="523">
        <f>DP86+DP84+DP78+DP77</f>
        <v>3594</v>
      </c>
      <c r="DQ87" s="524">
        <f t="shared" ref="DQ87:DQ92" si="123">DP87</f>
        <v>3594</v>
      </c>
      <c r="DR87" s="523">
        <f>DR86+DR84+DR78+DR77</f>
        <v>3411</v>
      </c>
      <c r="DS87" s="523">
        <f>DS86+DS84+DS78+DS77</f>
        <v>3438</v>
      </c>
      <c r="DT87" s="523">
        <f>DT86+DT84+DT78+DT77</f>
        <v>3412</v>
      </c>
      <c r="DU87" s="523">
        <f>DU86+DU84+DU78+DU77</f>
        <v>3229</v>
      </c>
      <c r="DV87" s="524">
        <f t="shared" ref="DV87:DV92" si="124">DU87</f>
        <v>3229</v>
      </c>
      <c r="DW87" s="523">
        <f>DW86+DW84+DW78+DW77</f>
        <v>3195</v>
      </c>
      <c r="DX87" s="523">
        <f>DX86+DX84+DX78+DX77</f>
        <v>3233</v>
      </c>
      <c r="DY87" s="523">
        <f>DY86+DY84+DY78+DY77</f>
        <v>2815</v>
      </c>
      <c r="DZ87" s="523">
        <f>DZ86+DZ84+DZ78+DZ77</f>
        <v>2265</v>
      </c>
      <c r="EA87" s="524">
        <f t="shared" ref="EA87:EA92" si="125">DZ87</f>
        <v>2265</v>
      </c>
      <c r="EB87" s="523">
        <f>EB86+EB84+EB78+EB77</f>
        <v>2338</v>
      </c>
      <c r="EC87" s="523">
        <f>EC86+EC84+EC78+EC77</f>
        <v>2458</v>
      </c>
      <c r="ED87" s="523">
        <f>ED86+ED84+ED78+ED77</f>
        <v>3060</v>
      </c>
      <c r="EE87" s="523">
        <f>EE86+EE84+EE78+EE77</f>
        <v>2974</v>
      </c>
      <c r="EF87" s="524">
        <f t="shared" ref="EF87:EF92" si="126">EE87</f>
        <v>2974</v>
      </c>
      <c r="EG87" s="523">
        <f>EG86+EG84+EG78+EG77</f>
        <v>2690</v>
      </c>
      <c r="EH87" s="523">
        <f>EH86+EH84+EH78+EH77</f>
        <v>2932</v>
      </c>
      <c r="EI87" s="523">
        <f>EI86+EI84+EI78+EI77</f>
        <v>3020</v>
      </c>
      <c r="EJ87" s="523">
        <f>EJ86+EJ84+EJ78+EJ77</f>
        <v>2736</v>
      </c>
      <c r="EK87" s="524">
        <f t="shared" ref="EK87:EK92" si="127">EJ87</f>
        <v>2736</v>
      </c>
      <c r="EL87" s="523">
        <f>EL86+EL84+EL78+EL77</f>
        <v>2497</v>
      </c>
      <c r="EM87" s="523">
        <f>EM86+EM84+EM78+EM77</f>
        <v>2451</v>
      </c>
      <c r="EN87" s="523">
        <f>EN86+EN84+EN78+EN77</f>
        <v>2429</v>
      </c>
      <c r="EO87" s="523">
        <f>EO86+EO84+EO78+EO77</f>
        <v>2320</v>
      </c>
      <c r="EP87" s="524">
        <f t="shared" ref="EP87:EP92" si="128">EO87</f>
        <v>2320</v>
      </c>
      <c r="EQ87" s="523">
        <f>EQ86+EQ84+EQ78+EQ77</f>
        <v>2226</v>
      </c>
      <c r="ER87" s="523">
        <f>ER86+ER84+ER78+ER77</f>
        <v>2506</v>
      </c>
      <c r="ES87" s="523">
        <f>ES86+ES84+ES78+ES77</f>
        <v>2824</v>
      </c>
      <c r="ET87" s="523">
        <f>ET86+ET84+ET78+ET77</f>
        <v>2530</v>
      </c>
      <c r="EU87" s="524">
        <f t="shared" ref="EU87:EU92" si="129">ET87</f>
        <v>2530</v>
      </c>
      <c r="EV87" s="523">
        <f>EV86+EV84+EV78+EV77</f>
        <v>2498</v>
      </c>
      <c r="EW87" s="523">
        <f>EW86+EW84+EW78+EW77</f>
        <v>2511</v>
      </c>
      <c r="EX87" s="523">
        <f>EX86+EX84+EX78+EX77</f>
        <v>2699</v>
      </c>
      <c r="EY87" s="523">
        <f>EY86+EY84+EY78+EY77</f>
        <v>2622</v>
      </c>
      <c r="EZ87" s="524">
        <f t="shared" ref="EZ87:EZ92" si="130">EY87</f>
        <v>2622</v>
      </c>
      <c r="FA87" s="523">
        <f>FA86+FA84+FA78+FA77</f>
        <v>2751</v>
      </c>
      <c r="FB87" s="523">
        <f>FB86+FB84+FB78+FB77</f>
        <v>3099</v>
      </c>
      <c r="FC87" s="523">
        <f>FC86+FC84+FC78+FC77</f>
        <v>3314</v>
      </c>
      <c r="FD87" s="523">
        <f>FD86+FD84+FD78+FD77</f>
        <v>3540</v>
      </c>
      <c r="FE87" s="524">
        <f t="shared" ref="FE87:FE92" si="131">FD87</f>
        <v>3540</v>
      </c>
      <c r="FF87" s="523">
        <f>FF86+FF84+FF78+FF77</f>
        <v>3677</v>
      </c>
      <c r="FG87" s="523">
        <f>FG86+FG84+FG78+FG77</f>
        <v>3754</v>
      </c>
      <c r="FH87" s="523">
        <f>FH86+FH84+FH78+FH77</f>
        <v>3912</v>
      </c>
      <c r="FI87" s="523">
        <f>FI86+FI84+FI78+FI77</f>
        <v>4597</v>
      </c>
      <c r="FJ87" s="524">
        <f t="shared" ref="FJ87:FJ92" si="132">FI87</f>
        <v>4597</v>
      </c>
      <c r="FK87" s="523">
        <f>FK86+FK84+FK78+FK77</f>
        <v>4390</v>
      </c>
      <c r="FL87" s="523">
        <f>FL86+FL84+FL78+FL77</f>
        <v>5109</v>
      </c>
      <c r="FM87" s="523">
        <f>FM86+FM84+FM78+FM77</f>
        <v>5500</v>
      </c>
      <c r="FN87" s="523">
        <f>FN86+FN84+FN78+FN77</f>
        <v>6143</v>
      </c>
      <c r="FO87" s="524">
        <f t="shared" ref="FO87:FO92" si="133">FN87</f>
        <v>6143</v>
      </c>
      <c r="FP87" s="523">
        <f>FP86+FP84+FP78+FP77</f>
        <v>7197</v>
      </c>
      <c r="FQ87" s="523">
        <f>FQ86+FQ84+FQ78+FQ77</f>
        <v>7818</v>
      </c>
      <c r="FR87" s="523">
        <f>FR86+FR84+FR78+FR77</f>
        <v>7988</v>
      </c>
      <c r="FS87" s="523">
        <f>FS86+FS84+FS78+FS77</f>
        <v>8583</v>
      </c>
      <c r="FT87" s="524">
        <f t="shared" ref="FT87:FT92" si="134">FS87</f>
        <v>8583</v>
      </c>
      <c r="FU87" s="523">
        <f>FU86+FU84+FU78+FU77</f>
        <v>13369</v>
      </c>
      <c r="FV87" s="523">
        <f>FV86+FV84+FV78+FV77</f>
        <v>13462</v>
      </c>
      <c r="FW87" s="523">
        <f>FW86+FW84+FW78+FW77</f>
        <v>14420</v>
      </c>
      <c r="FX87" s="523">
        <f>FX86+FX84+FX78+FX77</f>
        <v>15019</v>
      </c>
      <c r="FY87" s="524">
        <f t="shared" ref="FY87:FY92" si="135">FX87</f>
        <v>15019</v>
      </c>
      <c r="FZ87" s="523">
        <f>FZ86+FZ84+FZ78+FZ77</f>
        <v>15658</v>
      </c>
      <c r="GA87" s="523">
        <f>GA86+GA84+GA78+GA77</f>
        <v>16505</v>
      </c>
      <c r="GB87" s="523">
        <f>GB86+GB84+GB78+GB77</f>
        <v>16688</v>
      </c>
      <c r="GC87" s="523">
        <f>GC86+GC84+GC78+GC77</f>
        <v>16768</v>
      </c>
      <c r="GD87" s="524">
        <f t="shared" ref="GD87:GD92" si="136">GC87</f>
        <v>16768</v>
      </c>
      <c r="GE87" s="523">
        <f>GE86+GE84+GE78+GE77</f>
        <v>17084</v>
      </c>
      <c r="GF87" s="523">
        <f>GF86+GF84+GF78+GF77</f>
        <v>17465</v>
      </c>
      <c r="GG87" s="523">
        <f>GG86+GG84+GG78+GG77</f>
        <v>18735</v>
      </c>
      <c r="GH87" s="523">
        <f>GH86+GH84+GH78+GH77</f>
        <v>19049</v>
      </c>
      <c r="GI87" s="524">
        <f t="shared" ref="GI87:GI92" si="137">GH87</f>
        <v>19049</v>
      </c>
      <c r="GJ87" s="523">
        <f>GJ86+GJ84+GJ78+GJ77</f>
        <v>21595</v>
      </c>
      <c r="GK87" s="523">
        <f>GK86+GK84+GK78+GK77</f>
        <v>24519</v>
      </c>
      <c r="GL87" s="523">
        <f>GL86+GL84+GL78+GL77</f>
        <v>27000</v>
      </c>
      <c r="GM87" s="523">
        <f>GM86+GM84+GM78+GM77</f>
        <v>26947</v>
      </c>
      <c r="GN87" s="524">
        <f t="shared" ref="GN87:GN92" si="138">GM87</f>
        <v>26947</v>
      </c>
      <c r="GO87" s="523">
        <f>GO86+GO84+GO78+GO77</f>
        <v>28628</v>
      </c>
      <c r="GP87" s="523">
        <f>GP86+GP84+GP78+GP77</f>
        <v>31070.14849739171</v>
      </c>
      <c r="GQ87" s="523">
        <f>GQ86+GQ84+GQ78+GQ77</f>
        <v>33620.157391385612</v>
      </c>
      <c r="GR87" s="523">
        <f>GR86+GR84+GR78+GR77</f>
        <v>41257.202316403353</v>
      </c>
      <c r="GS87" s="524">
        <f t="shared" ref="GS87:GS92" si="139">GR87</f>
        <v>41257.202316403353</v>
      </c>
      <c r="GT87" s="523">
        <f>GT86+GT84+GT78+GT77</f>
        <v>48834.546765236555</v>
      </c>
      <c r="GU87" s="523">
        <f>GU86+GU84+GU78+GU77</f>
        <v>57396.265256297535</v>
      </c>
      <c r="GV87" s="523">
        <f>GV86+GV84+GV78+GV77</f>
        <v>68159.456706527315</v>
      </c>
      <c r="GW87" s="523">
        <f>GW86+GW84+GW78+GW77</f>
        <v>79875.317011683088</v>
      </c>
      <c r="GX87" s="524">
        <f t="shared" ref="GX87:GX92" si="140">GW87</f>
        <v>79875.317011683088</v>
      </c>
      <c r="GY87" s="523">
        <f>GY86+GY84+GY78+GY77</f>
        <v>90178.098763106565</v>
      </c>
      <c r="GZ87" s="523">
        <f>GZ86+GZ84+GZ78+GZ77</f>
        <v>101826.75830905145</v>
      </c>
      <c r="HA87" s="523">
        <f>HA86+HA84+HA78+HA77</f>
        <v>114657.21119339317</v>
      </c>
      <c r="HB87" s="523">
        <f>HB86+HB84+HB78+HB77</f>
        <v>128929.32833549472</v>
      </c>
      <c r="HC87" s="524">
        <f t="shared" ref="HC87:HC92" si="141">HB87</f>
        <v>128929.32833549472</v>
      </c>
      <c r="HD87" s="523">
        <f>HD86+HD84+HD78+HD77</f>
        <v>142923.08196426957</v>
      </c>
      <c r="HE87" s="523">
        <f>HE86+HE84+HE78+HE77</f>
        <v>157950.86656910408</v>
      </c>
      <c r="HF87" s="523">
        <f>HF86+HF84+HF78+HF77</f>
        <v>174840.57663646125</v>
      </c>
      <c r="HG87" s="523">
        <f>HG86+HG84+HG78+HG77</f>
        <v>192071.16914465072</v>
      </c>
      <c r="HH87" s="524">
        <f t="shared" ref="HH87:HH92" si="142">HG87</f>
        <v>192071.16914465072</v>
      </c>
      <c r="HI87" s="523">
        <f>HI86+HI84+HI78+HI77</f>
        <v>209442.75559315371</v>
      </c>
      <c r="HJ87" s="523">
        <f>HJ86+HJ84+HJ78+HJ77</f>
        <v>228298.52032025624</v>
      </c>
      <c r="HK87" s="523">
        <f>HK86+HK84+HK78+HK77</f>
        <v>249300.97440583378</v>
      </c>
      <c r="HL87" s="523">
        <f>HL86+HL84+HL78+HL77</f>
        <v>271309.1720792547</v>
      </c>
      <c r="HM87" s="524">
        <f t="shared" ref="HM87:HM92" si="143">HL87</f>
        <v>271309.1720792547</v>
      </c>
      <c r="HN87" s="524"/>
      <c r="HO87" s="524"/>
      <c r="HP87" s="563"/>
      <c r="HR87" s="563"/>
      <c r="HS87" s="563"/>
      <c r="HT87" s="563"/>
      <c r="HU87" s="563"/>
      <c r="HV87" s="563"/>
      <c r="HW87" s="563"/>
      <c r="HX87" s="563"/>
    </row>
    <row r="88" spans="1:232" s="509" customFormat="1">
      <c r="A88" s="522" t="s">
        <v>416</v>
      </c>
      <c r="L88" s="523"/>
      <c r="M88" s="523"/>
      <c r="N88" s="523"/>
      <c r="O88" s="523"/>
      <c r="P88" s="524"/>
      <c r="Q88" s="523"/>
      <c r="R88" s="523"/>
      <c r="S88" s="523"/>
      <c r="T88" s="523"/>
      <c r="U88" s="524"/>
      <c r="V88" s="546"/>
      <c r="W88" s="546"/>
      <c r="X88" s="546"/>
      <c r="Y88" s="546"/>
      <c r="Z88" s="524"/>
      <c r="AA88" s="546"/>
      <c r="AB88" s="546"/>
      <c r="AC88" s="546"/>
      <c r="AD88" s="546"/>
      <c r="AE88" s="524"/>
      <c r="AF88" s="602">
        <v>1770.0250000000001</v>
      </c>
      <c r="AG88" s="602">
        <v>1823.481</v>
      </c>
      <c r="AH88" s="602">
        <v>1898.163</v>
      </c>
      <c r="AI88" s="602">
        <v>1998.3630000000001</v>
      </c>
      <c r="AJ88" s="524">
        <f t="shared" si="106"/>
        <v>1998.3630000000001</v>
      </c>
      <c r="AK88" s="602">
        <v>2043.8920000000001</v>
      </c>
      <c r="AL88" s="602">
        <v>2096.6590000000001</v>
      </c>
      <c r="AM88" s="602">
        <v>2224.2820000000002</v>
      </c>
      <c r="AN88" s="602">
        <v>2464.9290000000001</v>
      </c>
      <c r="AO88" s="524">
        <f t="shared" si="107"/>
        <v>2464.9290000000001</v>
      </c>
      <c r="AP88" s="602">
        <v>2646.5</v>
      </c>
      <c r="AQ88" s="602">
        <v>2691.6849999999999</v>
      </c>
      <c r="AR88" s="602">
        <v>2844.558</v>
      </c>
      <c r="AS88" s="602">
        <v>2930.973</v>
      </c>
      <c r="AT88" s="524">
        <f t="shared" si="108"/>
        <v>2930.973</v>
      </c>
      <c r="AU88" s="602">
        <v>3028.0889999999999</v>
      </c>
      <c r="AV88" s="602">
        <v>3117.8290000000002</v>
      </c>
      <c r="AW88" s="602">
        <v>3231.0709999999999</v>
      </c>
      <c r="AX88" s="602">
        <v>3326.768</v>
      </c>
      <c r="AY88" s="524">
        <f t="shared" si="109"/>
        <v>3326.768</v>
      </c>
      <c r="AZ88" s="602">
        <v>3456.0770000000002</v>
      </c>
      <c r="BA88" s="602">
        <v>3567.654</v>
      </c>
      <c r="BB88" s="602">
        <v>3679.8359999999998</v>
      </c>
      <c r="BC88" s="602">
        <v>3799.0509999999999</v>
      </c>
      <c r="BD88" s="524">
        <f t="shared" si="110"/>
        <v>3799.0509999999999</v>
      </c>
      <c r="BE88" s="602">
        <v>3951.83</v>
      </c>
      <c r="BF88" s="602">
        <v>4146.7439999999997</v>
      </c>
      <c r="BG88" s="602">
        <v>4449.0929999999998</v>
      </c>
      <c r="BH88" s="602">
        <v>4380.3620000000001</v>
      </c>
      <c r="BI88" s="524">
        <f t="shared" si="111"/>
        <v>4380.3620000000001</v>
      </c>
      <c r="BJ88" s="602">
        <v>4771.0519999999997</v>
      </c>
      <c r="BK88" s="602">
        <v>4733.9920000000002</v>
      </c>
      <c r="BL88" s="602">
        <v>4882.8249999999998</v>
      </c>
      <c r="BM88" s="602">
        <v>4938.3019999999997</v>
      </c>
      <c r="BN88" s="524">
        <f t="shared" si="112"/>
        <v>4938.3019999999997</v>
      </c>
      <c r="BO88" s="602">
        <v>5003.634</v>
      </c>
      <c r="BP88" s="602">
        <v>5063.4030000000002</v>
      </c>
      <c r="BQ88" s="602">
        <v>5205.9030000000002</v>
      </c>
      <c r="BR88" s="602">
        <v>5461.8010000000004</v>
      </c>
      <c r="BS88" s="524">
        <f t="shared" si="113"/>
        <v>5461.8010000000004</v>
      </c>
      <c r="BT88" s="602">
        <v>5621.1540000000005</v>
      </c>
      <c r="BU88" s="602">
        <v>5763.5540000000001</v>
      </c>
      <c r="BV88" s="602">
        <v>5949.7089999999998</v>
      </c>
      <c r="BW88" s="602">
        <v>6126.2780000000002</v>
      </c>
      <c r="BX88" s="524">
        <f t="shared" si="114"/>
        <v>6126.2780000000002</v>
      </c>
      <c r="BY88" s="602">
        <v>6406.82</v>
      </c>
      <c r="BZ88" s="602">
        <v>6784.0079999999998</v>
      </c>
      <c r="CA88" s="602">
        <v>6937.4930000000004</v>
      </c>
      <c r="CB88" s="602">
        <v>7039.6629999999996</v>
      </c>
      <c r="CC88" s="524">
        <f t="shared" si="115"/>
        <v>7039.6629999999996</v>
      </c>
      <c r="CD88" s="602">
        <v>7184.4489999999996</v>
      </c>
      <c r="CE88" s="602">
        <v>7290.2359999999999</v>
      </c>
      <c r="CF88" s="602">
        <v>9992.9779999999992</v>
      </c>
      <c r="CG88" s="602">
        <v>10072.394</v>
      </c>
      <c r="CH88" s="524">
        <f t="shared" si="116"/>
        <v>10072.394</v>
      </c>
      <c r="CI88" s="602">
        <v>10145.129999999999</v>
      </c>
      <c r="CJ88" s="602">
        <v>10372.701999999999</v>
      </c>
      <c r="CK88" s="602">
        <v>10136.718999999999</v>
      </c>
      <c r="CL88" s="602">
        <v>11037.583000000001</v>
      </c>
      <c r="CM88" s="524">
        <f t="shared" si="117"/>
        <v>11037.583000000001</v>
      </c>
      <c r="CN88" s="602">
        <v>11282.208000000001</v>
      </c>
      <c r="CO88" s="619">
        <v>11192.550999999999</v>
      </c>
      <c r="CP88" s="619">
        <v>11483.755999999999</v>
      </c>
      <c r="CQ88" s="619">
        <v>5487.6049999999996</v>
      </c>
      <c r="CR88" s="524">
        <f t="shared" si="118"/>
        <v>5487.6049999999996</v>
      </c>
      <c r="CS88" s="619">
        <v>5778.5039999999999</v>
      </c>
      <c r="CT88" s="619">
        <f>CT90+CT89</f>
        <v>6259.7029999999995</v>
      </c>
      <c r="CU88" s="619">
        <f>CU90+CU89</f>
        <v>6700.1540000000005</v>
      </c>
      <c r="CV88" s="619">
        <f>CV90+CV89</f>
        <v>7335</v>
      </c>
      <c r="CW88" s="524">
        <f t="shared" si="119"/>
        <v>7335</v>
      </c>
      <c r="CX88" s="619">
        <f>CX90+CX89</f>
        <v>7938</v>
      </c>
      <c r="CY88" s="619">
        <f>CX88-CY113</f>
        <v>8352</v>
      </c>
      <c r="CZ88" s="619">
        <f>CY88-CZ113</f>
        <v>8771</v>
      </c>
      <c r="DA88" s="619">
        <f>CZ88-DA113</f>
        <v>9037</v>
      </c>
      <c r="DB88" s="524">
        <f t="shared" si="120"/>
        <v>9037</v>
      </c>
      <c r="DC88" s="619">
        <f>DC90+DC89</f>
        <v>8250</v>
      </c>
      <c r="DD88" s="619">
        <f>DD90+DD89</f>
        <v>8344</v>
      </c>
      <c r="DE88" s="619">
        <f>DE90+DE89</f>
        <v>8428</v>
      </c>
      <c r="DF88" s="619">
        <f>DF90+DF89</f>
        <v>7158</v>
      </c>
      <c r="DG88" s="524">
        <f t="shared" si="121"/>
        <v>7158</v>
      </c>
      <c r="DH88" s="619">
        <f>DH90+DH89</f>
        <v>7207</v>
      </c>
      <c r="DI88" s="523">
        <f>DI90+DI89</f>
        <v>7310</v>
      </c>
      <c r="DJ88" s="619">
        <f>DJ90+DJ89</f>
        <v>7379</v>
      </c>
      <c r="DK88" s="619">
        <f>DK90+DK89</f>
        <v>7495</v>
      </c>
      <c r="DL88" s="524">
        <f t="shared" si="122"/>
        <v>7495</v>
      </c>
      <c r="DM88" s="619">
        <f>DM90+DM89</f>
        <v>2068</v>
      </c>
      <c r="DN88" s="619">
        <f>DN90+DN89</f>
        <v>2088</v>
      </c>
      <c r="DO88" s="619">
        <f>DO90+DO89</f>
        <v>2080</v>
      </c>
      <c r="DP88" s="619">
        <f>DP90+DP89</f>
        <v>2079</v>
      </c>
      <c r="DQ88" s="524">
        <f t="shared" si="123"/>
        <v>2079</v>
      </c>
      <c r="DR88" s="619">
        <f>DR90+DR89</f>
        <v>2079</v>
      </c>
      <c r="DS88" s="619">
        <f>DS90+DS89</f>
        <v>2092</v>
      </c>
      <c r="DT88" s="619">
        <f>DT90+DT89</f>
        <v>2122</v>
      </c>
      <c r="DU88" s="619">
        <f>DU90+DU89</f>
        <v>2207.44</v>
      </c>
      <c r="DV88" s="524">
        <f t="shared" si="124"/>
        <v>2207.44</v>
      </c>
      <c r="DW88" s="619">
        <f>DW90+DW89</f>
        <v>2245.88</v>
      </c>
      <c r="DX88" s="619">
        <f>DX90+DX89</f>
        <v>2289.3200000000002</v>
      </c>
      <c r="DY88" s="619">
        <f>DY90+DY89</f>
        <v>2319.7600000000002</v>
      </c>
      <c r="DZ88" s="619">
        <f>DZ90+DZ89</f>
        <v>2354.7600000000002</v>
      </c>
      <c r="EA88" s="524">
        <f t="shared" si="125"/>
        <v>2354.7600000000002</v>
      </c>
      <c r="EB88" s="619">
        <f>EB90+EB89</f>
        <v>2168.7600000000002</v>
      </c>
      <c r="EC88" s="619">
        <f>EC90+EC89</f>
        <v>2214.7600000000002</v>
      </c>
      <c r="ED88" s="619">
        <f>ED90+ED89</f>
        <v>2222.7600000000002</v>
      </c>
      <c r="EE88" s="619">
        <f>EE90+EE89</f>
        <v>2260.7600000000002</v>
      </c>
      <c r="EF88" s="524">
        <f t="shared" si="126"/>
        <v>2260.7600000000002</v>
      </c>
      <c r="EG88" s="619">
        <f>EG90+EG89</f>
        <v>2300.7600000000002</v>
      </c>
      <c r="EH88" s="619">
        <f>EH90+EH89</f>
        <v>2341.7600000000002</v>
      </c>
      <c r="EI88" s="619">
        <f>EI90+EI89</f>
        <v>2385.7600000000002</v>
      </c>
      <c r="EJ88" s="619">
        <f>EJ90+EJ89</f>
        <v>2403.7600000000002</v>
      </c>
      <c r="EK88" s="524">
        <f t="shared" si="127"/>
        <v>2403.7600000000002</v>
      </c>
      <c r="EL88" s="619">
        <f>EL90+EL89</f>
        <v>2440.7600000000002</v>
      </c>
      <c r="EM88" s="619">
        <f>EM90+EM89</f>
        <v>2473.7600000000002</v>
      </c>
      <c r="EN88" s="619">
        <f>EN90+EN89</f>
        <v>2416.7600000000002</v>
      </c>
      <c r="EO88" s="619">
        <f>EO90+EO89</f>
        <v>2429.7600000000002</v>
      </c>
      <c r="EP88" s="524">
        <f t="shared" si="128"/>
        <v>2429.7600000000002</v>
      </c>
      <c r="EQ88" s="619">
        <f>EQ90+EQ89</f>
        <v>2435.7600000000002</v>
      </c>
      <c r="ER88" s="619">
        <f>ER90+ER89</f>
        <v>2446.7600000000002</v>
      </c>
      <c r="ES88" s="619">
        <f>ES90+ES89</f>
        <v>2456.7600000000002</v>
      </c>
      <c r="ET88" s="619">
        <f>ET90+ET89</f>
        <v>2478.7600000000002</v>
      </c>
      <c r="EU88" s="524">
        <f>ET88</f>
        <v>2478.7600000000002</v>
      </c>
      <c r="EV88" s="619">
        <f>EV90+EV89</f>
        <v>2513.7600000000002</v>
      </c>
      <c r="EW88" s="619">
        <f>EW90+EW89</f>
        <v>2553.7600000000002</v>
      </c>
      <c r="EX88" s="619">
        <f>EX90+EX89</f>
        <v>2610.7600000000002</v>
      </c>
      <c r="EY88" s="619">
        <f>EY90+EY89</f>
        <v>2659.76</v>
      </c>
      <c r="EZ88" s="524">
        <f t="shared" si="130"/>
        <v>2659.76</v>
      </c>
      <c r="FA88" s="619">
        <f>FA90+FA89</f>
        <v>2717.76</v>
      </c>
      <c r="FB88" s="619">
        <f>FB90+FB89</f>
        <v>2749.76</v>
      </c>
      <c r="FC88" s="619">
        <f>FC90+FC89</f>
        <v>2798.76</v>
      </c>
      <c r="FD88" s="619">
        <f>FD90+FD89</f>
        <v>2856.76</v>
      </c>
      <c r="FE88" s="524">
        <f t="shared" si="131"/>
        <v>2856.76</v>
      </c>
      <c r="FF88" s="619">
        <f>FF90+FF89</f>
        <v>2916.76</v>
      </c>
      <c r="FG88" s="619">
        <f>FG90+FG89</f>
        <v>3034.76</v>
      </c>
      <c r="FH88" s="619">
        <f>FH90+FH89</f>
        <v>3074.76</v>
      </c>
      <c r="FI88" s="619">
        <f>FI90+FI89</f>
        <v>3170.76</v>
      </c>
      <c r="FJ88" s="524">
        <f t="shared" si="132"/>
        <v>3170.76</v>
      </c>
      <c r="FK88" s="619">
        <f>FK90+FK89</f>
        <v>3263.76</v>
      </c>
      <c r="FL88" s="619">
        <f>FL90+FL89</f>
        <v>3365.76</v>
      </c>
      <c r="FM88" s="619">
        <f>FM90+FM89</f>
        <v>3442.76</v>
      </c>
      <c r="FN88" s="619">
        <f>FN90+FN89</f>
        <v>3553.76</v>
      </c>
      <c r="FO88" s="524">
        <f t="shared" si="133"/>
        <v>3553.76</v>
      </c>
      <c r="FP88" s="619">
        <f>FP90+FP89</f>
        <v>3673.76</v>
      </c>
      <c r="FQ88" s="619">
        <f>FQ90+FQ89</f>
        <v>3745.76</v>
      </c>
      <c r="FR88" s="619">
        <f>FR90+FR89</f>
        <v>3873.76</v>
      </c>
      <c r="FS88" s="523">
        <f>FS90+FS89</f>
        <v>3961.76</v>
      </c>
      <c r="FT88" s="524">
        <f t="shared" si="134"/>
        <v>3961.76</v>
      </c>
      <c r="FU88" s="619">
        <f>FU90+FU89</f>
        <v>4780.76</v>
      </c>
      <c r="FV88" s="619">
        <f>FV90+FV89</f>
        <v>4957.76</v>
      </c>
      <c r="FW88" s="619">
        <f>FW90+FW89</f>
        <v>5150.76</v>
      </c>
      <c r="FX88" s="619">
        <f>FX90+FX89</f>
        <v>5338.76</v>
      </c>
      <c r="FY88" s="524">
        <f t="shared" si="135"/>
        <v>5338.76</v>
      </c>
      <c r="FZ88" s="619">
        <f>FZ90+FZ89</f>
        <v>5469.76</v>
      </c>
      <c r="GA88" s="619">
        <f>GA90+GA89</f>
        <v>5651.76</v>
      </c>
      <c r="GB88" s="619">
        <f>GB90+GB89</f>
        <v>5824.76</v>
      </c>
      <c r="GC88" s="619">
        <f>GC90+GC89</f>
        <v>5996.76</v>
      </c>
      <c r="GD88" s="524">
        <f t="shared" si="136"/>
        <v>5996.76</v>
      </c>
      <c r="GE88" s="619">
        <f>GE90+GE89</f>
        <v>6178.76</v>
      </c>
      <c r="GF88" s="619">
        <f>GF90+GF89</f>
        <v>6371.76</v>
      </c>
      <c r="GG88" s="619">
        <f>GG90+GG89</f>
        <v>6530.76</v>
      </c>
      <c r="GH88" s="619">
        <f>GH90+GH89</f>
        <v>6820.76</v>
      </c>
      <c r="GI88" s="524">
        <f t="shared" si="137"/>
        <v>6820.76</v>
      </c>
      <c r="GJ88" s="619">
        <f>GJ90+GJ89</f>
        <v>7099.76</v>
      </c>
      <c r="GK88" s="619">
        <f>GK90+GK89</f>
        <v>7480.76</v>
      </c>
      <c r="GL88" s="619">
        <f>GL90+GL89</f>
        <v>7734.76</v>
      </c>
      <c r="GM88" s="619">
        <f>GM90+GM89</f>
        <v>8020.76</v>
      </c>
      <c r="GN88" s="524">
        <f t="shared" si="138"/>
        <v>8020.76</v>
      </c>
      <c r="GO88" s="619">
        <f>GO90+GO89</f>
        <v>8622.76</v>
      </c>
      <c r="GP88" s="619">
        <f>GP90+GP89</f>
        <v>9011.76</v>
      </c>
      <c r="GQ88" s="619">
        <f>GQ90+GQ89</f>
        <v>9400.76</v>
      </c>
      <c r="GR88" s="619">
        <f>GR90+GR89</f>
        <v>9789.76</v>
      </c>
      <c r="GS88" s="524">
        <f t="shared" si="139"/>
        <v>9789.76</v>
      </c>
      <c r="GT88" s="619">
        <f>GT90+GT89</f>
        <v>10189.76</v>
      </c>
      <c r="GU88" s="619">
        <f>GU90+GU89</f>
        <v>10589.76</v>
      </c>
      <c r="GV88" s="619">
        <f>GV90+GV89</f>
        <v>10989.76</v>
      </c>
      <c r="GW88" s="619">
        <f>GW90+GW89</f>
        <v>11389.76</v>
      </c>
      <c r="GX88" s="524">
        <f t="shared" si="140"/>
        <v>11389.76</v>
      </c>
      <c r="GY88" s="619">
        <f>GY90+GY89</f>
        <v>11789.76</v>
      </c>
      <c r="GZ88" s="619">
        <f>GZ90+GZ89</f>
        <v>12189.76</v>
      </c>
      <c r="HA88" s="619">
        <f>HA90+HA89</f>
        <v>12589.76</v>
      </c>
      <c r="HB88" s="619">
        <f>HB90+HB89</f>
        <v>12989.76</v>
      </c>
      <c r="HC88" s="524">
        <f t="shared" si="141"/>
        <v>12989.76</v>
      </c>
      <c r="HD88" s="619">
        <f>HD90+HD89</f>
        <v>13389.76</v>
      </c>
      <c r="HE88" s="619">
        <f>HE90+HE89</f>
        <v>13789.76</v>
      </c>
      <c r="HF88" s="619">
        <f>HF90+HF89</f>
        <v>14189.76</v>
      </c>
      <c r="HG88" s="619">
        <f>HG90+HG89</f>
        <v>14589.76</v>
      </c>
      <c r="HH88" s="524">
        <f t="shared" si="142"/>
        <v>14589.76</v>
      </c>
      <c r="HI88" s="619">
        <f>HI90+HI89</f>
        <v>14989.76</v>
      </c>
      <c r="HJ88" s="619">
        <f>HJ90+HJ89</f>
        <v>15389.76</v>
      </c>
      <c r="HK88" s="619">
        <f>HK90+HK89</f>
        <v>15789.76</v>
      </c>
      <c r="HL88" s="619">
        <f>HL90+HL89</f>
        <v>16189.76</v>
      </c>
      <c r="HM88" s="524">
        <f t="shared" si="143"/>
        <v>16189.76</v>
      </c>
      <c r="HN88" s="524"/>
      <c r="HO88" s="524"/>
      <c r="HP88" s="563"/>
      <c r="HR88" s="563"/>
      <c r="HS88" s="563"/>
      <c r="HT88" s="563"/>
      <c r="HU88" s="563"/>
      <c r="HV88" s="563"/>
      <c r="HW88" s="563"/>
      <c r="HX88" s="563"/>
    </row>
    <row r="89" spans="1:232" s="509" customFormat="1">
      <c r="A89" s="522" t="s">
        <v>417</v>
      </c>
      <c r="L89" s="523"/>
      <c r="M89" s="523"/>
      <c r="N89" s="523"/>
      <c r="O89" s="523"/>
      <c r="P89" s="524"/>
      <c r="Q89" s="523"/>
      <c r="R89" s="523"/>
      <c r="S89" s="523"/>
      <c r="T89" s="523"/>
      <c r="U89" s="524"/>
      <c r="V89" s="546"/>
      <c r="W89" s="546"/>
      <c r="X89" s="546"/>
      <c r="Y89" s="546"/>
      <c r="Z89" s="524"/>
      <c r="AA89" s="546"/>
      <c r="AB89" s="546"/>
      <c r="AC89" s="546"/>
      <c r="AD89" s="546"/>
      <c r="AE89" s="524"/>
      <c r="AF89" s="602">
        <v>1023.414</v>
      </c>
      <c r="AG89" s="602">
        <v>1047.623</v>
      </c>
      <c r="AH89" s="602">
        <v>1072.529</v>
      </c>
      <c r="AI89" s="602">
        <v>1094.037</v>
      </c>
      <c r="AJ89" s="524">
        <f t="shared" si="106"/>
        <v>1094.037</v>
      </c>
      <c r="AK89" s="602">
        <v>1127.402</v>
      </c>
      <c r="AL89" s="602">
        <v>1134.0139999999999</v>
      </c>
      <c r="AM89" s="602">
        <v>1161.713</v>
      </c>
      <c r="AN89" s="602">
        <v>1200.7180000000001</v>
      </c>
      <c r="AO89" s="524">
        <f t="shared" si="107"/>
        <v>1200.7180000000001</v>
      </c>
      <c r="AP89" s="602">
        <v>1240.4939999999999</v>
      </c>
      <c r="AQ89" s="602">
        <v>1206.6030000000001</v>
      </c>
      <c r="AR89" s="602">
        <v>1258.973</v>
      </c>
      <c r="AS89" s="602">
        <v>1294.8810000000001</v>
      </c>
      <c r="AT89" s="524">
        <f t="shared" si="108"/>
        <v>1294.8810000000001</v>
      </c>
      <c r="AU89" s="602">
        <v>1367.7829999999999</v>
      </c>
      <c r="AV89" s="602">
        <v>1436.7090000000001</v>
      </c>
      <c r="AW89" s="602">
        <v>1497.8040000000001</v>
      </c>
      <c r="AX89" s="602">
        <v>1539.366</v>
      </c>
      <c r="AY89" s="524">
        <f t="shared" si="109"/>
        <v>1539.366</v>
      </c>
      <c r="AZ89" s="602">
        <v>1606.143</v>
      </c>
      <c r="BA89" s="602">
        <v>1658.9780000000001</v>
      </c>
      <c r="BB89" s="602">
        <v>1734.4349999999999</v>
      </c>
      <c r="BC89" s="602">
        <v>1808.3620000000001</v>
      </c>
      <c r="BD89" s="524">
        <f t="shared" si="110"/>
        <v>1808.3620000000001</v>
      </c>
      <c r="BE89" s="602">
        <v>1897.5350000000001</v>
      </c>
      <c r="BF89" s="602">
        <v>1983.7349999999999</v>
      </c>
      <c r="BG89" s="602">
        <v>2073.9879999999998</v>
      </c>
      <c r="BH89" s="602">
        <v>2111.8939999999998</v>
      </c>
      <c r="BI89" s="524">
        <f t="shared" si="111"/>
        <v>2111.8939999999998</v>
      </c>
      <c r="BJ89" s="602">
        <v>2197.5610000000001</v>
      </c>
      <c r="BK89" s="602">
        <v>2195.873</v>
      </c>
      <c r="BL89" s="602">
        <v>2313.71</v>
      </c>
      <c r="BM89" s="602">
        <v>2415.0659999999998</v>
      </c>
      <c r="BN89" s="524">
        <f t="shared" si="112"/>
        <v>2415.0659999999998</v>
      </c>
      <c r="BO89" s="602">
        <v>2527.7449999999999</v>
      </c>
      <c r="BP89" s="602">
        <v>2587.7359999999999</v>
      </c>
      <c r="BQ89" s="602">
        <v>2700.1019999999999</v>
      </c>
      <c r="BR89" s="602">
        <v>2825.3339999999998</v>
      </c>
      <c r="BS89" s="524">
        <f t="shared" si="113"/>
        <v>2825.3339999999998</v>
      </c>
      <c r="BT89" s="602">
        <v>2957.25</v>
      </c>
      <c r="BU89" s="602">
        <v>3095.2829999999999</v>
      </c>
      <c r="BV89" s="602">
        <v>3234.4169999999999</v>
      </c>
      <c r="BW89" s="602">
        <v>3387.14</v>
      </c>
      <c r="BX89" s="524">
        <f t="shared" si="114"/>
        <v>3387.14</v>
      </c>
      <c r="BY89" s="602">
        <v>3637.5859999999998</v>
      </c>
      <c r="BZ89" s="602">
        <v>3849.1309999999999</v>
      </c>
      <c r="CA89" s="602">
        <v>4007.701</v>
      </c>
      <c r="CB89" s="602">
        <v>4158.8540000000003</v>
      </c>
      <c r="CC89" s="524">
        <f t="shared" si="115"/>
        <v>4158.8540000000003</v>
      </c>
      <c r="CD89" s="602">
        <v>4274.2049999999999</v>
      </c>
      <c r="CE89" s="602">
        <v>4396.1090000000004</v>
      </c>
      <c r="CF89" s="602">
        <v>6184.4110000000001</v>
      </c>
      <c r="CG89" s="602">
        <v>6223.902</v>
      </c>
      <c r="CH89" s="524">
        <f t="shared" si="116"/>
        <v>6223.902</v>
      </c>
      <c r="CI89" s="602">
        <v>6414.2929999999997</v>
      </c>
      <c r="CJ89" s="602">
        <v>6580.2079999999996</v>
      </c>
      <c r="CK89" s="602">
        <v>6258.8220000000001</v>
      </c>
      <c r="CL89" s="602">
        <v>6803.7759999999998</v>
      </c>
      <c r="CM89" s="524">
        <f t="shared" si="117"/>
        <v>6803.7759999999998</v>
      </c>
      <c r="CN89" s="602">
        <v>6965.66</v>
      </c>
      <c r="CO89" s="619">
        <v>7047.0680000000002</v>
      </c>
      <c r="CP89" s="619">
        <v>7162.3720000000003</v>
      </c>
      <c r="CQ89" s="619">
        <v>2786.605</v>
      </c>
      <c r="CR89" s="524">
        <f t="shared" si="118"/>
        <v>2786.605</v>
      </c>
      <c r="CS89" s="619">
        <v>2903.6170000000002</v>
      </c>
      <c r="CT89" s="619">
        <f>CS89+CT107</f>
        <v>3096.5219999999999</v>
      </c>
      <c r="CU89" s="619">
        <f>CT89+CU107</f>
        <v>3296.2759999999998</v>
      </c>
      <c r="CV89" s="619">
        <v>3350</v>
      </c>
      <c r="CW89" s="524">
        <f t="shared" si="119"/>
        <v>3350</v>
      </c>
      <c r="CX89" s="619">
        <v>3533</v>
      </c>
      <c r="CY89" s="619">
        <v>3599</v>
      </c>
      <c r="CZ89" s="619">
        <v>3428</v>
      </c>
      <c r="DA89" s="619">
        <v>3168</v>
      </c>
      <c r="DB89" s="524">
        <f t="shared" si="120"/>
        <v>3168</v>
      </c>
      <c r="DC89" s="619">
        <f>DA89+DC107</f>
        <v>3485</v>
      </c>
      <c r="DD89" s="619">
        <v>3745</v>
      </c>
      <c r="DE89" s="619">
        <v>3988</v>
      </c>
      <c r="DF89" s="619">
        <v>2862</v>
      </c>
      <c r="DG89" s="524">
        <f t="shared" si="121"/>
        <v>2862</v>
      </c>
      <c r="DH89" s="523">
        <v>3070</v>
      </c>
      <c r="DI89" s="523">
        <v>3268</v>
      </c>
      <c r="DJ89" s="619">
        <v>3484</v>
      </c>
      <c r="DK89" s="619">
        <v>3686</v>
      </c>
      <c r="DL89" s="524">
        <f t="shared" si="122"/>
        <v>3686</v>
      </c>
      <c r="DM89" s="619">
        <v>1279</v>
      </c>
      <c r="DN89" s="619">
        <v>1333</v>
      </c>
      <c r="DO89" s="619">
        <v>1357</v>
      </c>
      <c r="DP89" s="619">
        <v>1379</v>
      </c>
      <c r="DQ89" s="524">
        <f t="shared" si="123"/>
        <v>1379</v>
      </c>
      <c r="DR89" s="619">
        <v>1403</v>
      </c>
      <c r="DS89" s="619">
        <v>1406</v>
      </c>
      <c r="DT89" s="619">
        <v>1425</v>
      </c>
      <c r="DU89" s="619">
        <v>1481.44</v>
      </c>
      <c r="DV89" s="524">
        <f t="shared" si="124"/>
        <v>1481.44</v>
      </c>
      <c r="DW89" s="619">
        <v>1530.88</v>
      </c>
      <c r="DX89" s="619">
        <v>1582.3200000000002</v>
      </c>
      <c r="DY89" s="619">
        <v>1634.7600000000002</v>
      </c>
      <c r="DZ89" s="619">
        <v>1696.7600000000002</v>
      </c>
      <c r="EA89" s="524">
        <f t="shared" si="125"/>
        <v>1696.7600000000002</v>
      </c>
      <c r="EB89" s="619">
        <v>1757.7600000000002</v>
      </c>
      <c r="EC89" s="619">
        <v>1812.7600000000002</v>
      </c>
      <c r="ED89" s="619">
        <v>1864.7600000000002</v>
      </c>
      <c r="EE89" s="619">
        <v>1914.7600000000002</v>
      </c>
      <c r="EF89" s="524">
        <f t="shared" si="126"/>
        <v>1914.7600000000002</v>
      </c>
      <c r="EG89" s="619">
        <v>1963.7600000000002</v>
      </c>
      <c r="EH89" s="619">
        <v>2012.7600000000002</v>
      </c>
      <c r="EI89" s="619">
        <v>2057.7600000000002</v>
      </c>
      <c r="EJ89" s="619">
        <v>2101.7600000000002</v>
      </c>
      <c r="EK89" s="524">
        <f t="shared" si="127"/>
        <v>2101.7600000000002</v>
      </c>
      <c r="EL89" s="619">
        <v>2143.7600000000002</v>
      </c>
      <c r="EM89" s="619">
        <v>2184.7600000000002</v>
      </c>
      <c r="EN89" s="619">
        <v>2222.7600000000002</v>
      </c>
      <c r="EO89" s="619">
        <v>2241.7600000000002</v>
      </c>
      <c r="EP89" s="524">
        <f t="shared" si="128"/>
        <v>2241.7600000000002</v>
      </c>
      <c r="EQ89" s="619">
        <v>2259.7600000000002</v>
      </c>
      <c r="ER89" s="619">
        <v>2277.7600000000002</v>
      </c>
      <c r="ES89" s="619">
        <v>2295.7600000000002</v>
      </c>
      <c r="ET89" s="619">
        <v>2314.7600000000002</v>
      </c>
      <c r="EU89" s="524">
        <f t="shared" si="129"/>
        <v>2314.7600000000002</v>
      </c>
      <c r="EV89" s="619">
        <v>2333.7600000000002</v>
      </c>
      <c r="EW89" s="619">
        <v>2353.7600000000002</v>
      </c>
      <c r="EX89" s="619">
        <v>2374.7600000000002</v>
      </c>
      <c r="EY89" s="619">
        <v>2398.7600000000002</v>
      </c>
      <c r="EZ89" s="524">
        <f t="shared" si="130"/>
        <v>2398.7600000000002</v>
      </c>
      <c r="FA89" s="619">
        <v>2427.7600000000002</v>
      </c>
      <c r="FB89" s="619">
        <v>2454.7600000000002</v>
      </c>
      <c r="FC89" s="619">
        <v>2480.7600000000002</v>
      </c>
      <c r="FD89" s="619">
        <v>2508.7600000000002</v>
      </c>
      <c r="FE89" s="524">
        <f t="shared" si="131"/>
        <v>2508.7600000000002</v>
      </c>
      <c r="FF89" s="619">
        <v>2539.7600000000002</v>
      </c>
      <c r="FG89" s="619">
        <v>2576.7600000000002</v>
      </c>
      <c r="FH89" s="619">
        <v>2621.76</v>
      </c>
      <c r="FI89" s="619">
        <v>2670.76</v>
      </c>
      <c r="FJ89" s="524">
        <f t="shared" si="132"/>
        <v>2670.76</v>
      </c>
      <c r="FK89" s="619">
        <v>2723.76</v>
      </c>
      <c r="FL89" s="619">
        <v>2780.76</v>
      </c>
      <c r="FM89" s="619">
        <v>2847.76</v>
      </c>
      <c r="FN89" s="619">
        <v>2912.76</v>
      </c>
      <c r="FO89" s="524">
        <f t="shared" si="133"/>
        <v>2912.76</v>
      </c>
      <c r="FP89" s="619">
        <v>2992.76</v>
      </c>
      <c r="FQ89" s="619">
        <v>3074.76</v>
      </c>
      <c r="FR89" s="619">
        <v>3156.76</v>
      </c>
      <c r="FS89" s="523">
        <v>3259.76</v>
      </c>
      <c r="FT89" s="524">
        <f t="shared" si="134"/>
        <v>3259.76</v>
      </c>
      <c r="FU89" s="619">
        <v>3374.76</v>
      </c>
      <c r="FV89" s="619">
        <v>3516.76</v>
      </c>
      <c r="FW89" s="619">
        <v>3664.76</v>
      </c>
      <c r="FX89" s="619">
        <v>3825.76</v>
      </c>
      <c r="FY89" s="524">
        <f t="shared" si="135"/>
        <v>3825.76</v>
      </c>
      <c r="FZ89" s="619">
        <v>3969.76</v>
      </c>
      <c r="GA89" s="619">
        <v>4110.76</v>
      </c>
      <c r="GB89" s="619">
        <v>4258.76</v>
      </c>
      <c r="GC89" s="619">
        <v>4407.76</v>
      </c>
      <c r="GD89" s="524">
        <f t="shared" si="136"/>
        <v>4407.76</v>
      </c>
      <c r="GE89" s="619">
        <v>4554.76</v>
      </c>
      <c r="GF89" s="619">
        <v>4705.76</v>
      </c>
      <c r="GG89" s="619">
        <v>4861.76</v>
      </c>
      <c r="GH89" s="619">
        <v>5018.76</v>
      </c>
      <c r="GI89" s="524">
        <f t="shared" si="137"/>
        <v>5018.76</v>
      </c>
      <c r="GJ89" s="619">
        <v>5178.76</v>
      </c>
      <c r="GK89" s="619">
        <v>5352.76</v>
      </c>
      <c r="GL89" s="619">
        <v>5529.76</v>
      </c>
      <c r="GM89" s="619">
        <v>5708.76</v>
      </c>
      <c r="GN89" s="524">
        <f t="shared" si="138"/>
        <v>5708.76</v>
      </c>
      <c r="GO89" s="619">
        <v>5899.76</v>
      </c>
      <c r="GP89" s="619">
        <v>6090.76</v>
      </c>
      <c r="GQ89" s="619">
        <v>6281.76</v>
      </c>
      <c r="GR89" s="619">
        <v>6472.76</v>
      </c>
      <c r="GS89" s="524">
        <f t="shared" si="139"/>
        <v>6472.76</v>
      </c>
      <c r="GT89" s="619">
        <v>6668.76</v>
      </c>
      <c r="GU89" s="619">
        <v>6864.76</v>
      </c>
      <c r="GV89" s="619">
        <v>7060.76</v>
      </c>
      <c r="GW89" s="619">
        <v>7256.76</v>
      </c>
      <c r="GX89" s="524">
        <f t="shared" si="140"/>
        <v>7256.76</v>
      </c>
      <c r="GY89" s="619">
        <v>7457.76</v>
      </c>
      <c r="GZ89" s="619">
        <v>7658.76</v>
      </c>
      <c r="HA89" s="619">
        <v>7859.76</v>
      </c>
      <c r="HB89" s="619">
        <v>8060.76</v>
      </c>
      <c r="HC89" s="524">
        <f t="shared" si="141"/>
        <v>8060.76</v>
      </c>
      <c r="HD89" s="619">
        <v>8266.76</v>
      </c>
      <c r="HE89" s="619">
        <v>8472.76</v>
      </c>
      <c r="HF89" s="619">
        <v>8678.76</v>
      </c>
      <c r="HG89" s="619">
        <v>8884.76</v>
      </c>
      <c r="HH89" s="524">
        <f t="shared" si="142"/>
        <v>8884.76</v>
      </c>
      <c r="HI89" s="619">
        <v>9095.76</v>
      </c>
      <c r="HJ89" s="619">
        <v>9306.76</v>
      </c>
      <c r="HK89" s="619">
        <v>9517.76</v>
      </c>
      <c r="HL89" s="619">
        <v>9728.76</v>
      </c>
      <c r="HM89" s="524">
        <f t="shared" si="143"/>
        <v>9728.76</v>
      </c>
      <c r="HN89" s="524"/>
      <c r="HO89" s="453"/>
      <c r="HP89" s="563"/>
      <c r="HR89" s="563"/>
      <c r="HS89" s="563"/>
      <c r="HT89" s="563"/>
      <c r="HU89" s="563"/>
      <c r="HV89" s="563"/>
      <c r="HW89" s="563"/>
      <c r="HX89" s="563"/>
    </row>
    <row r="90" spans="1:232" s="509" customFormat="1">
      <c r="A90" s="522" t="s">
        <v>418</v>
      </c>
      <c r="L90" s="523"/>
      <c r="M90" s="523"/>
      <c r="N90" s="523"/>
      <c r="O90" s="523"/>
      <c r="P90" s="524"/>
      <c r="Q90" s="523"/>
      <c r="R90" s="523"/>
      <c r="S90" s="523"/>
      <c r="T90" s="523"/>
      <c r="U90" s="524"/>
      <c r="V90" s="546"/>
      <c r="W90" s="546"/>
      <c r="X90" s="546"/>
      <c r="Y90" s="546"/>
      <c r="Z90" s="524"/>
      <c r="AA90" s="546"/>
      <c r="AB90" s="546"/>
      <c r="AC90" s="546"/>
      <c r="AD90" s="546"/>
      <c r="AE90" s="524"/>
      <c r="AF90" s="546">
        <f>AF88-AF89</f>
        <v>746.6110000000001</v>
      </c>
      <c r="AG90" s="546">
        <f>AG88-AG89</f>
        <v>775.85799999999995</v>
      </c>
      <c r="AH90" s="546">
        <f>AH88-AH89</f>
        <v>825.63400000000001</v>
      </c>
      <c r="AI90" s="546">
        <f>AI88-AI89</f>
        <v>904.32600000000002</v>
      </c>
      <c r="AJ90" s="524">
        <f t="shared" si="106"/>
        <v>904.32600000000002</v>
      </c>
      <c r="AK90" s="546">
        <f>AK88-AK89</f>
        <v>916.49</v>
      </c>
      <c r="AL90" s="546">
        <f>AL88-AL89</f>
        <v>962.64500000000021</v>
      </c>
      <c r="AM90" s="546">
        <f>AM88-AM89</f>
        <v>1062.5690000000002</v>
      </c>
      <c r="AN90" s="546">
        <f>AN88-AN89</f>
        <v>1264.211</v>
      </c>
      <c r="AO90" s="524">
        <f t="shared" si="107"/>
        <v>1264.211</v>
      </c>
      <c r="AP90" s="546">
        <f>AP88-AP89</f>
        <v>1406.0060000000001</v>
      </c>
      <c r="AQ90" s="546">
        <f>AQ88-AQ89</f>
        <v>1485.0819999999999</v>
      </c>
      <c r="AR90" s="546">
        <f>AR88-AR89</f>
        <v>1585.585</v>
      </c>
      <c r="AS90" s="546">
        <f>AS88-AS89</f>
        <v>1636.0919999999999</v>
      </c>
      <c r="AT90" s="524">
        <f t="shared" si="108"/>
        <v>1636.0919999999999</v>
      </c>
      <c r="AU90" s="546">
        <f>AU88-AU89</f>
        <v>1660.306</v>
      </c>
      <c r="AV90" s="546">
        <f>AV88-AV89</f>
        <v>1681.1200000000001</v>
      </c>
      <c r="AW90" s="546">
        <f>AW88-AW89</f>
        <v>1733.2669999999998</v>
      </c>
      <c r="AX90" s="546">
        <f>AX88-AX89</f>
        <v>1787.402</v>
      </c>
      <c r="AY90" s="524">
        <f t="shared" si="109"/>
        <v>1787.402</v>
      </c>
      <c r="AZ90" s="546">
        <f>AZ88-AZ89</f>
        <v>1849.9340000000002</v>
      </c>
      <c r="BA90" s="546">
        <f>BA88-BA89</f>
        <v>1908.6759999999999</v>
      </c>
      <c r="BB90" s="546">
        <f>BB88-BB89</f>
        <v>1945.4009999999998</v>
      </c>
      <c r="BC90" s="546">
        <f>BC88-BC89</f>
        <v>1990.6889999999999</v>
      </c>
      <c r="BD90" s="524">
        <f t="shared" si="110"/>
        <v>1990.6889999999999</v>
      </c>
      <c r="BE90" s="546">
        <f>BE88-BE89</f>
        <v>2054.2950000000001</v>
      </c>
      <c r="BF90" s="546">
        <f>BF88-BF89</f>
        <v>2163.009</v>
      </c>
      <c r="BG90" s="546">
        <f>BG88-BG89</f>
        <v>2375.105</v>
      </c>
      <c r="BH90" s="546">
        <f>BH88-BH89</f>
        <v>2268.4680000000003</v>
      </c>
      <c r="BI90" s="524">
        <f t="shared" si="111"/>
        <v>2268.4680000000003</v>
      </c>
      <c r="BJ90" s="546">
        <f>BJ88-BJ89</f>
        <v>2573.4909999999995</v>
      </c>
      <c r="BK90" s="546">
        <f>BK88-BK89</f>
        <v>2538.1190000000001</v>
      </c>
      <c r="BL90" s="546">
        <f>BL88-BL89</f>
        <v>2569.1149999999998</v>
      </c>
      <c r="BM90" s="546">
        <f>BM88-BM89</f>
        <v>2523.2359999999999</v>
      </c>
      <c r="BN90" s="524">
        <f t="shared" si="112"/>
        <v>2523.2359999999999</v>
      </c>
      <c r="BO90" s="546">
        <f>BO88-BO89</f>
        <v>2475.8890000000001</v>
      </c>
      <c r="BP90" s="546">
        <f>BP88-BP89</f>
        <v>2475.6670000000004</v>
      </c>
      <c r="BQ90" s="546">
        <f>BQ88-BQ89</f>
        <v>2505.8010000000004</v>
      </c>
      <c r="BR90" s="546">
        <f>BR88-BR89</f>
        <v>2636.4670000000006</v>
      </c>
      <c r="BS90" s="524">
        <f t="shared" si="113"/>
        <v>2636.4670000000006</v>
      </c>
      <c r="BT90" s="546">
        <f>BT88-BT89</f>
        <v>2663.9040000000005</v>
      </c>
      <c r="BU90" s="546">
        <f>BU88-BU89</f>
        <v>2668.2710000000002</v>
      </c>
      <c r="BV90" s="546">
        <f>BV88-BV89</f>
        <v>2715.2919999999999</v>
      </c>
      <c r="BW90" s="546">
        <f>BW88-BW89</f>
        <v>2739.1380000000004</v>
      </c>
      <c r="BX90" s="524">
        <f t="shared" si="114"/>
        <v>2739.1380000000004</v>
      </c>
      <c r="BY90" s="546">
        <f>BY88-BY89</f>
        <v>2769.2339999999999</v>
      </c>
      <c r="BZ90" s="546">
        <f>BZ88-BZ89</f>
        <v>2934.877</v>
      </c>
      <c r="CA90" s="546">
        <f>CA88-CA89</f>
        <v>2929.7920000000004</v>
      </c>
      <c r="CB90" s="546">
        <f>CB88-CB89</f>
        <v>2880.8089999999993</v>
      </c>
      <c r="CC90" s="524">
        <f t="shared" si="115"/>
        <v>2880.8089999999993</v>
      </c>
      <c r="CD90" s="546">
        <f>CD88-CD89</f>
        <v>2910.2439999999997</v>
      </c>
      <c r="CE90" s="546">
        <f>CE88-CE89</f>
        <v>2894.1269999999995</v>
      </c>
      <c r="CF90" s="546">
        <f>CF88-CF89</f>
        <v>3808.5669999999991</v>
      </c>
      <c r="CG90" s="546">
        <f>CG88-CG89</f>
        <v>3848.4920000000002</v>
      </c>
      <c r="CH90" s="524">
        <f t="shared" si="116"/>
        <v>3848.4920000000002</v>
      </c>
      <c r="CI90" s="546">
        <f>CI88-CI89</f>
        <v>3730.8369999999995</v>
      </c>
      <c r="CJ90" s="546">
        <f>CJ88-CJ89</f>
        <v>3792.4939999999997</v>
      </c>
      <c r="CK90" s="546">
        <f>CK88-CK89</f>
        <v>3877.896999999999</v>
      </c>
      <c r="CL90" s="546">
        <f>CL88-CL89</f>
        <v>4233.8070000000007</v>
      </c>
      <c r="CM90" s="524">
        <f t="shared" si="117"/>
        <v>4233.8070000000007</v>
      </c>
      <c r="CN90" s="546">
        <f>CN88-CN89</f>
        <v>4316.5480000000007</v>
      </c>
      <c r="CO90" s="546">
        <f>CO88-CO89</f>
        <v>4145.4829999999993</v>
      </c>
      <c r="CP90" s="546">
        <f>CP88-CP89</f>
        <v>4321.3839999999991</v>
      </c>
      <c r="CQ90" s="546">
        <f>CQ88-CQ89</f>
        <v>2700.9999999999995</v>
      </c>
      <c r="CR90" s="524">
        <f t="shared" si="118"/>
        <v>2700.9999999999995</v>
      </c>
      <c r="CS90" s="546">
        <f>CS88-CS89</f>
        <v>2874.8869999999997</v>
      </c>
      <c r="CT90" s="546">
        <v>3163.181</v>
      </c>
      <c r="CU90" s="546">
        <v>3403.8780000000002</v>
      </c>
      <c r="CV90" s="546">
        <v>3985</v>
      </c>
      <c r="CW90" s="524">
        <f t="shared" si="119"/>
        <v>3985</v>
      </c>
      <c r="CX90" s="546">
        <v>4405</v>
      </c>
      <c r="CY90" s="546">
        <v>4575</v>
      </c>
      <c r="CZ90" s="546">
        <v>4725</v>
      </c>
      <c r="DA90" s="546">
        <v>4720</v>
      </c>
      <c r="DB90" s="524">
        <f t="shared" si="120"/>
        <v>4720</v>
      </c>
      <c r="DC90" s="546">
        <v>4765</v>
      </c>
      <c r="DD90" s="546">
        <v>4599</v>
      </c>
      <c r="DE90" s="546">
        <v>4440</v>
      </c>
      <c r="DF90" s="546">
        <f>4296</f>
        <v>4296</v>
      </c>
      <c r="DG90" s="524">
        <f t="shared" si="121"/>
        <v>4296</v>
      </c>
      <c r="DH90" s="546">
        <f>4137</f>
        <v>4137</v>
      </c>
      <c r="DI90" s="546">
        <v>4042</v>
      </c>
      <c r="DJ90" s="546">
        <v>3895</v>
      </c>
      <c r="DK90" s="546">
        <v>3809</v>
      </c>
      <c r="DL90" s="524">
        <f t="shared" si="122"/>
        <v>3809</v>
      </c>
      <c r="DM90" s="546">
        <v>789</v>
      </c>
      <c r="DN90" s="546">
        <v>755</v>
      </c>
      <c r="DO90" s="546">
        <v>723</v>
      </c>
      <c r="DP90" s="546">
        <v>700</v>
      </c>
      <c r="DQ90" s="524">
        <f t="shared" si="123"/>
        <v>700</v>
      </c>
      <c r="DR90" s="546">
        <v>676</v>
      </c>
      <c r="DS90" s="546">
        <v>686</v>
      </c>
      <c r="DT90" s="546">
        <v>697</v>
      </c>
      <c r="DU90" s="546">
        <v>726</v>
      </c>
      <c r="DV90" s="524">
        <f t="shared" si="124"/>
        <v>726</v>
      </c>
      <c r="DW90" s="546">
        <v>715</v>
      </c>
      <c r="DX90" s="546">
        <v>707</v>
      </c>
      <c r="DY90" s="546">
        <v>685</v>
      </c>
      <c r="DZ90" s="546">
        <v>658</v>
      </c>
      <c r="EA90" s="524">
        <f t="shared" si="125"/>
        <v>658</v>
      </c>
      <c r="EB90" s="546">
        <v>411</v>
      </c>
      <c r="EC90" s="546">
        <v>402</v>
      </c>
      <c r="ED90" s="546">
        <v>358</v>
      </c>
      <c r="EE90" s="546">
        <v>346</v>
      </c>
      <c r="EF90" s="524">
        <f t="shared" si="126"/>
        <v>346</v>
      </c>
      <c r="EG90" s="546">
        <v>337</v>
      </c>
      <c r="EH90" s="546">
        <v>329</v>
      </c>
      <c r="EI90" s="546">
        <v>328</v>
      </c>
      <c r="EJ90" s="546">
        <v>302</v>
      </c>
      <c r="EK90" s="524">
        <f t="shared" si="127"/>
        <v>302</v>
      </c>
      <c r="EL90" s="546">
        <v>297</v>
      </c>
      <c r="EM90" s="546">
        <v>289</v>
      </c>
      <c r="EN90" s="546">
        <v>194</v>
      </c>
      <c r="EO90" s="546">
        <v>188</v>
      </c>
      <c r="EP90" s="524">
        <f t="shared" si="128"/>
        <v>188</v>
      </c>
      <c r="EQ90" s="546">
        <v>176</v>
      </c>
      <c r="ER90" s="546">
        <f>169</f>
        <v>169</v>
      </c>
      <c r="ES90" s="546">
        <v>161</v>
      </c>
      <c r="ET90" s="546">
        <v>164</v>
      </c>
      <c r="EU90" s="524">
        <f t="shared" si="129"/>
        <v>164</v>
      </c>
      <c r="EV90" s="546">
        <v>180</v>
      </c>
      <c r="EW90" s="546">
        <v>200</v>
      </c>
      <c r="EX90" s="546">
        <v>236</v>
      </c>
      <c r="EY90" s="546">
        <v>261</v>
      </c>
      <c r="EZ90" s="524">
        <f t="shared" si="130"/>
        <v>261</v>
      </c>
      <c r="FA90" s="546">
        <v>290</v>
      </c>
      <c r="FB90" s="546">
        <v>295</v>
      </c>
      <c r="FC90" s="546">
        <v>318</v>
      </c>
      <c r="FD90" s="546">
        <v>348</v>
      </c>
      <c r="FE90" s="524">
        <f t="shared" si="131"/>
        <v>348</v>
      </c>
      <c r="FF90" s="546">
        <v>377</v>
      </c>
      <c r="FG90" s="546">
        <v>458</v>
      </c>
      <c r="FH90" s="546">
        <v>453</v>
      </c>
      <c r="FI90" s="546">
        <v>500</v>
      </c>
      <c r="FJ90" s="524">
        <f t="shared" si="132"/>
        <v>500</v>
      </c>
      <c r="FK90" s="546">
        <v>540</v>
      </c>
      <c r="FL90" s="546">
        <v>585</v>
      </c>
      <c r="FM90" s="546">
        <v>595</v>
      </c>
      <c r="FN90" s="546">
        <v>641</v>
      </c>
      <c r="FO90" s="524">
        <f t="shared" si="133"/>
        <v>641</v>
      </c>
      <c r="FP90" s="546">
        <v>681</v>
      </c>
      <c r="FQ90" s="546">
        <v>671</v>
      </c>
      <c r="FR90" s="546">
        <v>717</v>
      </c>
      <c r="FS90" s="605">
        <v>702</v>
      </c>
      <c r="FT90" s="524">
        <f t="shared" si="134"/>
        <v>702</v>
      </c>
      <c r="FU90" s="546">
        <v>1406</v>
      </c>
      <c r="FV90" s="546">
        <v>1441</v>
      </c>
      <c r="FW90" s="546">
        <v>1486</v>
      </c>
      <c r="FX90" s="546">
        <v>1513</v>
      </c>
      <c r="FY90" s="524">
        <f t="shared" si="135"/>
        <v>1513</v>
      </c>
      <c r="FZ90" s="546">
        <v>1500</v>
      </c>
      <c r="GA90" s="546">
        <v>1541</v>
      </c>
      <c r="GB90" s="546">
        <v>1566</v>
      </c>
      <c r="GC90" s="546">
        <v>1589</v>
      </c>
      <c r="GD90" s="524">
        <f t="shared" si="136"/>
        <v>1589</v>
      </c>
      <c r="GE90" s="546">
        <v>1624</v>
      </c>
      <c r="GF90" s="546">
        <v>1666</v>
      </c>
      <c r="GG90" s="546">
        <v>1669</v>
      </c>
      <c r="GH90" s="546">
        <v>1802</v>
      </c>
      <c r="GI90" s="524">
        <f t="shared" si="137"/>
        <v>1802</v>
      </c>
      <c r="GJ90" s="546">
        <v>1921</v>
      </c>
      <c r="GK90" s="546">
        <v>2128</v>
      </c>
      <c r="GL90" s="546">
        <v>2205</v>
      </c>
      <c r="GM90" s="546">
        <v>2312</v>
      </c>
      <c r="GN90" s="524">
        <f t="shared" si="138"/>
        <v>2312</v>
      </c>
      <c r="GO90" s="546">
        <v>2723</v>
      </c>
      <c r="GP90" s="546">
        <v>2921</v>
      </c>
      <c r="GQ90" s="546">
        <v>3119</v>
      </c>
      <c r="GR90" s="546">
        <v>3317</v>
      </c>
      <c r="GS90" s="524">
        <f t="shared" si="139"/>
        <v>3317</v>
      </c>
      <c r="GT90" s="546">
        <v>3521</v>
      </c>
      <c r="GU90" s="546">
        <v>3725</v>
      </c>
      <c r="GV90" s="546">
        <v>3929</v>
      </c>
      <c r="GW90" s="546">
        <v>4133</v>
      </c>
      <c r="GX90" s="524">
        <f t="shared" si="140"/>
        <v>4133</v>
      </c>
      <c r="GY90" s="546">
        <v>4332</v>
      </c>
      <c r="GZ90" s="546">
        <v>4531</v>
      </c>
      <c r="HA90" s="546">
        <v>4730</v>
      </c>
      <c r="HB90" s="546">
        <v>4929</v>
      </c>
      <c r="HC90" s="524">
        <f t="shared" si="141"/>
        <v>4929</v>
      </c>
      <c r="HD90" s="546">
        <v>5123</v>
      </c>
      <c r="HE90" s="546">
        <v>5317</v>
      </c>
      <c r="HF90" s="546">
        <v>5511</v>
      </c>
      <c r="HG90" s="546">
        <v>5705</v>
      </c>
      <c r="HH90" s="524">
        <f t="shared" si="142"/>
        <v>5705</v>
      </c>
      <c r="HI90" s="546">
        <v>5894</v>
      </c>
      <c r="HJ90" s="546">
        <v>6083</v>
      </c>
      <c r="HK90" s="546">
        <v>6272</v>
      </c>
      <c r="HL90" s="546">
        <v>6461</v>
      </c>
      <c r="HM90" s="524">
        <f t="shared" si="143"/>
        <v>6461</v>
      </c>
      <c r="HN90" s="524"/>
      <c r="HO90" s="453"/>
      <c r="HP90" s="563"/>
      <c r="HR90" s="563"/>
      <c r="HS90" s="563"/>
      <c r="HT90" s="563"/>
      <c r="HU90" s="563"/>
      <c r="HV90" s="563"/>
      <c r="HW90" s="563"/>
      <c r="HX90" s="563"/>
    </row>
    <row r="91" spans="1:232" s="509" customFormat="1">
      <c r="A91" s="522" t="s">
        <v>419</v>
      </c>
      <c r="L91" s="523"/>
      <c r="M91" s="523"/>
      <c r="N91" s="523"/>
      <c r="O91" s="523"/>
      <c r="P91" s="524"/>
      <c r="Q91" s="523"/>
      <c r="R91" s="523"/>
      <c r="S91" s="523"/>
      <c r="T91" s="523"/>
      <c r="U91" s="524"/>
      <c r="V91" s="546"/>
      <c r="W91" s="546"/>
      <c r="X91" s="546"/>
      <c r="Y91" s="546"/>
      <c r="Z91" s="524"/>
      <c r="AA91" s="546"/>
      <c r="AB91" s="546"/>
      <c r="AC91" s="546"/>
      <c r="AD91" s="546"/>
      <c r="AE91" s="524"/>
      <c r="AF91" s="602">
        <v>21.094000000000001</v>
      </c>
      <c r="AG91" s="602">
        <v>35.831000000000003</v>
      </c>
      <c r="AH91" s="602">
        <v>40.892000000000003</v>
      </c>
      <c r="AI91" s="602">
        <v>60.719000000000001</v>
      </c>
      <c r="AJ91" s="524">
        <f t="shared" si="106"/>
        <v>60.719000000000001</v>
      </c>
      <c r="AK91" s="602">
        <v>69.256</v>
      </c>
      <c r="AL91" s="602">
        <f>60.394+36.252</f>
        <v>96.646000000000001</v>
      </c>
      <c r="AM91" s="602">
        <f>61.825+65.302</f>
        <v>127.12700000000001</v>
      </c>
      <c r="AN91" s="602">
        <f>70.284+124.588</f>
        <v>194.87200000000001</v>
      </c>
      <c r="AO91" s="524">
        <f t="shared" si="107"/>
        <v>194.87200000000001</v>
      </c>
      <c r="AP91" s="602">
        <f>140.327+74.314</f>
        <v>214.64099999999999</v>
      </c>
      <c r="AQ91" s="602">
        <f>144.114+78.283</f>
        <v>222.39699999999999</v>
      </c>
      <c r="AR91" s="602">
        <f>162.949+87.211</f>
        <v>250.16000000000003</v>
      </c>
      <c r="AS91" s="602">
        <f>176.821+121.587</f>
        <v>298.40800000000002</v>
      </c>
      <c r="AT91" s="524">
        <f t="shared" si="108"/>
        <v>298.40800000000002</v>
      </c>
      <c r="AU91" s="546">
        <f>175.382+106.171</f>
        <v>281.553</v>
      </c>
      <c r="AV91" s="546">
        <f>187.881+103.513</f>
        <v>291.39400000000001</v>
      </c>
      <c r="AW91" s="546">
        <f>192.128+124.946</f>
        <v>317.07399999999996</v>
      </c>
      <c r="AX91" s="546">
        <f>197.205+131.599</f>
        <v>328.80399999999997</v>
      </c>
      <c r="AY91" s="524">
        <f t="shared" si="109"/>
        <v>328.80399999999997</v>
      </c>
      <c r="AZ91" s="546">
        <f>187.566+135.87</f>
        <v>323.43600000000004</v>
      </c>
      <c r="BA91" s="546">
        <f>207.41+146.543</f>
        <v>353.95299999999997</v>
      </c>
      <c r="BB91" s="546">
        <f>199.998+146.833</f>
        <v>346.83100000000002</v>
      </c>
      <c r="BC91" s="546">
        <f>204.031+145.284</f>
        <v>349.315</v>
      </c>
      <c r="BD91" s="524">
        <f t="shared" si="110"/>
        <v>349.315</v>
      </c>
      <c r="BE91" s="523">
        <f>208.616+153.589</f>
        <v>362.20500000000004</v>
      </c>
      <c r="BF91" s="546">
        <f>201.56+166.361</f>
        <v>367.92099999999999</v>
      </c>
      <c r="BG91" s="546">
        <f>206.792+168.618</f>
        <v>375.40999999999997</v>
      </c>
      <c r="BH91" s="546">
        <f>236.82+185.653</f>
        <v>422.47299999999996</v>
      </c>
      <c r="BI91" s="524">
        <f t="shared" si="111"/>
        <v>422.47299999999996</v>
      </c>
      <c r="BJ91" s="523">
        <f>232.313+171.068</f>
        <v>403.38099999999997</v>
      </c>
      <c r="BK91" s="523">
        <f>228.881+181.134</f>
        <v>410.01499999999999</v>
      </c>
      <c r="BL91" s="523">
        <f>271.896+177.015</f>
        <v>448.911</v>
      </c>
      <c r="BM91" s="523">
        <f>273.608+170.976</f>
        <v>444.584</v>
      </c>
      <c r="BN91" s="524">
        <f t="shared" si="112"/>
        <v>444.584</v>
      </c>
      <c r="BO91" s="523">
        <f>265.871+163.594</f>
        <v>429.46499999999997</v>
      </c>
      <c r="BP91" s="523">
        <f>267.448+160.988</f>
        <v>428.43599999999998</v>
      </c>
      <c r="BQ91" s="523">
        <f>266.232+147.11</f>
        <v>413.34200000000004</v>
      </c>
      <c r="BR91" s="523">
        <f>261.728+211.851</f>
        <v>473.57900000000001</v>
      </c>
      <c r="BS91" s="524">
        <f t="shared" si="113"/>
        <v>473.57900000000001</v>
      </c>
      <c r="BT91" s="509">
        <f>249.866+234.536</f>
        <v>484.40200000000004</v>
      </c>
      <c r="BU91" s="509">
        <f>377.639+234.207</f>
        <v>611.846</v>
      </c>
      <c r="BV91" s="509">
        <f>396.351+227.819</f>
        <v>624.16999999999996</v>
      </c>
      <c r="BW91" s="509">
        <f>363.611+191.384</f>
        <v>554.995</v>
      </c>
      <c r="BX91" s="524">
        <f t="shared" si="114"/>
        <v>554.995</v>
      </c>
      <c r="BY91" s="509">
        <f>353.352+182.476</f>
        <v>535.82799999999997</v>
      </c>
      <c r="BZ91" s="509">
        <f>378.164+171.936</f>
        <v>550.1</v>
      </c>
      <c r="CA91" s="509">
        <f>374.408+281.636</f>
        <v>656.0440000000001</v>
      </c>
      <c r="CB91" s="509">
        <f>382.942+335.752</f>
        <v>718.69399999999996</v>
      </c>
      <c r="CC91" s="524">
        <f t="shared" si="115"/>
        <v>718.69399999999996</v>
      </c>
      <c r="CD91" s="509">
        <f>385.503+308.065</f>
        <v>693.56799999999998</v>
      </c>
      <c r="CE91" s="509">
        <f>390.069+294.67</f>
        <v>684.73900000000003</v>
      </c>
      <c r="CF91" s="509">
        <f>337.818</f>
        <v>337.81799999999998</v>
      </c>
      <c r="CG91" s="509">
        <v>345.57499999999999</v>
      </c>
      <c r="CH91" s="524">
        <f t="shared" si="116"/>
        <v>345.57499999999999</v>
      </c>
      <c r="CI91" s="602">
        <v>328.44200000000001</v>
      </c>
      <c r="CJ91" s="602">
        <v>339.52100000000002</v>
      </c>
      <c r="CK91" s="602">
        <v>353.30200000000002</v>
      </c>
      <c r="CL91" s="602">
        <v>382.40600000000001</v>
      </c>
      <c r="CM91" s="524">
        <f t="shared" si="117"/>
        <v>382.40600000000001</v>
      </c>
      <c r="CN91" s="602">
        <v>377.75200000000001</v>
      </c>
      <c r="CO91" s="599">
        <v>379.01799999999997</v>
      </c>
      <c r="CP91" s="599">
        <v>376.16899999999998</v>
      </c>
      <c r="CQ91" s="599">
        <f>721.342+306.602</f>
        <v>1027.944</v>
      </c>
      <c r="CR91" s="524">
        <f t="shared" si="118"/>
        <v>1027.944</v>
      </c>
      <c r="CS91" s="599">
        <f>700.329+259.976</f>
        <v>960.30499999999995</v>
      </c>
      <c r="CT91" s="599">
        <f>686.984+306.198</f>
        <v>993.18200000000002</v>
      </c>
      <c r="CU91" s="599">
        <f>671.249+392.255</f>
        <v>1063.5039999999999</v>
      </c>
      <c r="CV91" s="599">
        <f>3217+371+1207+401</f>
        <v>5196</v>
      </c>
      <c r="CW91" s="524">
        <f t="shared" si="119"/>
        <v>5196</v>
      </c>
      <c r="CX91" s="599">
        <f>3187+345+1136+453</f>
        <v>5121</v>
      </c>
      <c r="CY91" s="599">
        <f>3180+326+1065+480</f>
        <v>5051</v>
      </c>
      <c r="CZ91" s="599">
        <f>3165+994+507</f>
        <v>4666</v>
      </c>
      <c r="DA91" s="599">
        <f>1907+587+520</f>
        <v>3014</v>
      </c>
      <c r="DB91" s="524">
        <f t="shared" si="120"/>
        <v>3014</v>
      </c>
      <c r="DC91" s="599">
        <f>1907+536+487</f>
        <v>2930</v>
      </c>
      <c r="DD91" s="599">
        <f>945+253+556</f>
        <v>1754</v>
      </c>
      <c r="DE91" s="599">
        <f>945+224+535</f>
        <v>1704</v>
      </c>
      <c r="DF91" s="599">
        <f>323+168+509</f>
        <v>1000</v>
      </c>
      <c r="DG91" s="524">
        <f t="shared" si="121"/>
        <v>1000</v>
      </c>
      <c r="DH91" s="599">
        <f>323+150+471</f>
        <v>944</v>
      </c>
      <c r="DI91" s="599">
        <f>323+133+472</f>
        <v>928</v>
      </c>
      <c r="DJ91" s="599">
        <f>116+323+495</f>
        <v>934</v>
      </c>
      <c r="DK91" s="599">
        <f>323+573+98</f>
        <v>994</v>
      </c>
      <c r="DL91" s="524">
        <f t="shared" si="122"/>
        <v>994</v>
      </c>
      <c r="DM91" s="599">
        <f>270+81+323+438</f>
        <v>1112</v>
      </c>
      <c r="DN91" s="599">
        <f>148+64+323+352</f>
        <v>887</v>
      </c>
      <c r="DO91" s="599">
        <f>48+323+289</f>
        <v>660</v>
      </c>
      <c r="DP91" s="599">
        <f>37+323+310</f>
        <v>670</v>
      </c>
      <c r="DQ91" s="524">
        <f t="shared" si="123"/>
        <v>670</v>
      </c>
      <c r="DR91" s="599">
        <f>486+28+323+285</f>
        <v>1122</v>
      </c>
      <c r="DS91" s="599">
        <f>323+272+486+19</f>
        <v>1100</v>
      </c>
      <c r="DT91" s="599">
        <f>257+323+11+486+50</f>
        <v>1127</v>
      </c>
      <c r="DU91" s="599">
        <f>249+278+323+149</f>
        <v>999</v>
      </c>
      <c r="DV91" s="524">
        <f t="shared" si="124"/>
        <v>999</v>
      </c>
      <c r="DW91" s="599">
        <f>169+109+553+247</f>
        <v>1078</v>
      </c>
      <c r="DX91" s="599">
        <f>263+553+105+180</f>
        <v>1101</v>
      </c>
      <c r="DY91" s="599">
        <f>100+553+279+180</f>
        <v>1112</v>
      </c>
      <c r="DZ91" s="599">
        <f>181+96+553+247</f>
        <v>1077</v>
      </c>
      <c r="EA91" s="524">
        <f t="shared" si="125"/>
        <v>1077</v>
      </c>
      <c r="EB91" s="599">
        <f>92+553+223+180</f>
        <v>1048</v>
      </c>
      <c r="EC91" s="599">
        <f>149+87+553+248</f>
        <v>1037</v>
      </c>
      <c r="ED91" s="599">
        <f>82+553+264</f>
        <v>899</v>
      </c>
      <c r="EE91" s="599">
        <f>78+553+386</f>
        <v>1017</v>
      </c>
      <c r="EF91" s="524">
        <f t="shared" si="126"/>
        <v>1017</v>
      </c>
      <c r="EG91" s="599">
        <f>75+553+373+80</f>
        <v>1081</v>
      </c>
      <c r="EH91" s="599">
        <f>72+553+360</f>
        <v>985</v>
      </c>
      <c r="EI91" s="599">
        <f>69+553+355</f>
        <v>977</v>
      </c>
      <c r="EJ91" s="599">
        <f>344+320+65</f>
        <v>729</v>
      </c>
      <c r="EK91" s="524">
        <f t="shared" si="127"/>
        <v>729</v>
      </c>
      <c r="EL91" s="599">
        <f>320+314</f>
        <v>634</v>
      </c>
      <c r="EM91" s="599">
        <f>320+321</f>
        <v>641</v>
      </c>
      <c r="EN91" s="599">
        <f>320+286</f>
        <v>606</v>
      </c>
      <c r="EO91" s="599">
        <f>278+323</f>
        <v>601</v>
      </c>
      <c r="EP91" s="524">
        <f t="shared" si="128"/>
        <v>601</v>
      </c>
      <c r="EQ91" s="599">
        <f>278+301</f>
        <v>579</v>
      </c>
      <c r="ER91" s="599">
        <f>289+62+290</f>
        <v>641</v>
      </c>
      <c r="ES91" s="599">
        <f>289+60+282</f>
        <v>631</v>
      </c>
      <c r="ET91" s="599">
        <f>289+59+279</f>
        <v>627</v>
      </c>
      <c r="EU91" s="524">
        <f t="shared" si="129"/>
        <v>627</v>
      </c>
      <c r="EV91" s="599">
        <f>289+58+274</f>
        <v>621</v>
      </c>
      <c r="EW91" s="599">
        <f>289+58+312</f>
        <v>659</v>
      </c>
      <c r="EX91" s="599">
        <f>289+57+305</f>
        <v>651</v>
      </c>
      <c r="EY91" s="599">
        <f>289+58+310</f>
        <v>657</v>
      </c>
      <c r="EZ91" s="524">
        <f t="shared" si="130"/>
        <v>657</v>
      </c>
      <c r="FA91" s="546">
        <f>289+57+376</f>
        <v>722</v>
      </c>
      <c r="FB91" s="546">
        <f>289+57+363</f>
        <v>709</v>
      </c>
      <c r="FC91" s="546">
        <f>289+58+368</f>
        <v>715</v>
      </c>
      <c r="FD91" s="546">
        <f>289+58+321</f>
        <v>668</v>
      </c>
      <c r="FE91" s="524">
        <f t="shared" si="131"/>
        <v>668</v>
      </c>
      <c r="FF91" s="546">
        <f>214+289+57+317</f>
        <v>877</v>
      </c>
      <c r="FG91" s="546">
        <f>212+289+58+331</f>
        <v>890</v>
      </c>
      <c r="FH91" s="546">
        <f>205+289+59+335</f>
        <v>888</v>
      </c>
      <c r="FI91" s="546">
        <f>205+289+58+379</f>
        <v>931</v>
      </c>
      <c r="FJ91" s="524">
        <f t="shared" si="132"/>
        <v>931</v>
      </c>
      <c r="FK91" s="546">
        <f>221+289+58+366</f>
        <v>934</v>
      </c>
      <c r="FL91" s="546">
        <f>215+289+59+326</f>
        <v>889</v>
      </c>
      <c r="FM91" s="546">
        <f>215+289+60+364</f>
        <v>928</v>
      </c>
      <c r="FN91" s="546">
        <f>208+289+63+1245+373</f>
        <v>2178</v>
      </c>
      <c r="FO91" s="524">
        <f t="shared" si="133"/>
        <v>2178</v>
      </c>
      <c r="FP91" s="546">
        <f>241+289+65+1162+412</f>
        <v>2169</v>
      </c>
      <c r="FQ91" s="546">
        <f>247+289+67+1090+509</f>
        <v>2202</v>
      </c>
      <c r="FR91" s="546">
        <f>284+289+69+1036+770</f>
        <v>2448</v>
      </c>
      <c r="FS91" s="605">
        <f>367+289+69+931+1478</f>
        <v>3134</v>
      </c>
      <c r="FT91" s="524">
        <f t="shared" si="134"/>
        <v>3134</v>
      </c>
      <c r="FU91" s="546">
        <f>416+23083+26832+72+32+1705</f>
        <v>52140</v>
      </c>
      <c r="FV91" s="546">
        <f>482+24193+26159+76+32+1657</f>
        <v>52599</v>
      </c>
      <c r="FW91" s="546">
        <f>490+24187+25162+80+32+1954</f>
        <v>51905</v>
      </c>
      <c r="FX91" s="546">
        <f>460+24177+83+2152+58+24118</f>
        <v>51048</v>
      </c>
      <c r="FY91" s="524">
        <f t="shared" si="135"/>
        <v>51048</v>
      </c>
      <c r="FZ91" s="546">
        <f>447+24177+23291+84+67+2410</f>
        <v>50476</v>
      </c>
      <c r="GA91" s="546">
        <f>461+24177+22598+90+68+2527</f>
        <v>49921</v>
      </c>
      <c r="GB91" s="546">
        <f>507+24186+21950+93+76+2560</f>
        <v>49372</v>
      </c>
      <c r="GC91" s="546">
        <f>633+24262+21363+99+366+2805</f>
        <v>49528</v>
      </c>
      <c r="GD91" s="524">
        <f t="shared" si="136"/>
        <v>49528</v>
      </c>
      <c r="GE91" s="546">
        <f>632+24262+20741+106+433+3013</f>
        <v>49187</v>
      </c>
      <c r="GF91" s="546">
        <f>635+24262+20138+113+617+2990</f>
        <v>48755</v>
      </c>
      <c r="GG91" s="546">
        <f>647+24839+19572+137+1183+2854</f>
        <v>49232</v>
      </c>
      <c r="GH91" s="546">
        <f>623+24839+18930+149+688+3146</f>
        <v>48375</v>
      </c>
      <c r="GI91" s="524">
        <f t="shared" si="137"/>
        <v>48375</v>
      </c>
      <c r="GJ91" s="546">
        <f>24839+18363+845+3987</f>
        <v>48034</v>
      </c>
      <c r="GK91" s="546">
        <f>25083+17812+860+4418</f>
        <v>48173</v>
      </c>
      <c r="GL91" s="546">
        <f>25083+17250+633+4720</f>
        <v>47686</v>
      </c>
      <c r="GM91" s="546">
        <f>25126+16705+384+5452</f>
        <v>47667</v>
      </c>
      <c r="GN91" s="524">
        <f t="shared" si="138"/>
        <v>47667</v>
      </c>
      <c r="GO91" s="546">
        <f>25344+16154+476+6317</f>
        <v>48291</v>
      </c>
      <c r="GP91" s="546">
        <v>48276</v>
      </c>
      <c r="GQ91" s="546">
        <v>48261</v>
      </c>
      <c r="GR91" s="546">
        <v>48246</v>
      </c>
      <c r="GS91" s="524">
        <f t="shared" si="139"/>
        <v>48246</v>
      </c>
      <c r="GT91" s="546">
        <v>48231</v>
      </c>
      <c r="GU91" s="546">
        <v>48216</v>
      </c>
      <c r="GV91" s="546">
        <v>48201</v>
      </c>
      <c r="GW91" s="546">
        <v>48186</v>
      </c>
      <c r="GX91" s="524">
        <f t="shared" si="140"/>
        <v>48186</v>
      </c>
      <c r="GY91" s="546">
        <v>48171</v>
      </c>
      <c r="GZ91" s="546">
        <v>48156</v>
      </c>
      <c r="HA91" s="546">
        <v>48141</v>
      </c>
      <c r="HB91" s="546">
        <v>48126</v>
      </c>
      <c r="HC91" s="524">
        <f t="shared" si="141"/>
        <v>48126</v>
      </c>
      <c r="HD91" s="546">
        <v>48111</v>
      </c>
      <c r="HE91" s="546">
        <v>48096</v>
      </c>
      <c r="HF91" s="546">
        <v>48081</v>
      </c>
      <c r="HG91" s="546">
        <v>48066</v>
      </c>
      <c r="HH91" s="524">
        <f t="shared" si="142"/>
        <v>48066</v>
      </c>
      <c r="HI91" s="546">
        <v>48051</v>
      </c>
      <c r="HJ91" s="546">
        <v>48036</v>
      </c>
      <c r="HK91" s="546">
        <v>48021</v>
      </c>
      <c r="HL91" s="546">
        <v>48006</v>
      </c>
      <c r="HM91" s="524">
        <f t="shared" si="143"/>
        <v>48006</v>
      </c>
      <c r="HN91" s="524"/>
      <c r="HO91" s="453"/>
      <c r="HP91" s="563"/>
      <c r="HQ91" s="620"/>
      <c r="HR91" s="563"/>
      <c r="HS91" s="563"/>
      <c r="HT91" s="563"/>
      <c r="HU91" s="563"/>
      <c r="HV91" s="563"/>
      <c r="HW91" s="563"/>
      <c r="HX91" s="563"/>
    </row>
    <row r="92" spans="1:232" s="538" customFormat="1">
      <c r="A92" s="621" t="s">
        <v>420</v>
      </c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  <c r="AA92" s="524"/>
      <c r="AB92" s="524"/>
      <c r="AC92" s="524"/>
      <c r="AD92" s="524"/>
      <c r="AE92" s="524"/>
      <c r="AF92" s="524">
        <f>AF87+AF90+AF91</f>
        <v>1572.4820000000002</v>
      </c>
      <c r="AG92" s="524">
        <f>AG87+AG90+AG91</f>
        <v>1649.778</v>
      </c>
      <c r="AH92" s="524">
        <f>AH87+AH90+AH91</f>
        <v>1771.7370000000001</v>
      </c>
      <c r="AI92" s="524">
        <f>AI87+AI90+AI91</f>
        <v>1929.231</v>
      </c>
      <c r="AJ92" s="524">
        <f t="shared" si="106"/>
        <v>1929.231</v>
      </c>
      <c r="AK92" s="524">
        <f>AK87+AK90+AK91</f>
        <v>2058.2429999999999</v>
      </c>
      <c r="AL92" s="524">
        <f>AL87+AL90+AL91</f>
        <v>2174.3990000000003</v>
      </c>
      <c r="AM92" s="524">
        <f>AM87+AM90+AM91</f>
        <v>2321.9190000000003</v>
      </c>
      <c r="AN92" s="524">
        <f>AN87+AN90+AN91</f>
        <v>2445.7019999999998</v>
      </c>
      <c r="AO92" s="524">
        <f t="shared" si="107"/>
        <v>2445.7019999999998</v>
      </c>
      <c r="AP92" s="524">
        <f>AP87+AP90+AP91</f>
        <v>2702.011</v>
      </c>
      <c r="AQ92" s="524">
        <f>AQ87+AQ90+AQ91</f>
        <v>2901.1189999999997</v>
      </c>
      <c r="AR92" s="524">
        <f>AR87+AR90+AR91</f>
        <v>2965.4070000000002</v>
      </c>
      <c r="AS92" s="524">
        <f>AS87+AS90+AS91</f>
        <v>3031.2679999999996</v>
      </c>
      <c r="AT92" s="524">
        <f t="shared" si="108"/>
        <v>3031.2679999999996</v>
      </c>
      <c r="AU92" s="524">
        <f>AU87+AU90+AU91</f>
        <v>2954.8089999999997</v>
      </c>
      <c r="AV92" s="524">
        <f>AV87+AV90+AV91</f>
        <v>2845.0250000000005</v>
      </c>
      <c r="AW92" s="524">
        <f>AW87+AW90+AW91</f>
        <v>3053.9919999999997</v>
      </c>
      <c r="AX92" s="524">
        <f>AX87+AX90+AX91</f>
        <v>3145.2830000000004</v>
      </c>
      <c r="AY92" s="524">
        <f t="shared" si="109"/>
        <v>3145.2830000000004</v>
      </c>
      <c r="AZ92" s="524">
        <f>AZ87+AZ90+AZ91</f>
        <v>3426.1260000000002</v>
      </c>
      <c r="BA92" s="524">
        <f>BA87+BA90+BA91</f>
        <v>3471.7309999999998</v>
      </c>
      <c r="BB92" s="524">
        <f>BB87+BB90+BB91</f>
        <v>3425.9459999999999</v>
      </c>
      <c r="BC92" s="524">
        <f>BC87+BC90+BC91</f>
        <v>3515.2710000000002</v>
      </c>
      <c r="BD92" s="524">
        <f t="shared" si="110"/>
        <v>3515.2710000000002</v>
      </c>
      <c r="BE92" s="524">
        <f>BE87+BE90+BE91</f>
        <v>3331.9830000000002</v>
      </c>
      <c r="BF92" s="524">
        <f>BF87+BF90+BF91</f>
        <v>3858.5839999999998</v>
      </c>
      <c r="BG92" s="524">
        <f>BG87+BG90+BG91</f>
        <v>4116.1180000000004</v>
      </c>
      <c r="BH92" s="524">
        <f>BH87+BH90+BH91</f>
        <v>4252.9680000000008</v>
      </c>
      <c r="BI92" s="524">
        <f t="shared" si="111"/>
        <v>4252.9680000000008</v>
      </c>
      <c r="BJ92" s="524">
        <f>BJ87+BJ90+BJ91</f>
        <v>4305.4929999999995</v>
      </c>
      <c r="BK92" s="524">
        <f>BK87+BK90+BK91</f>
        <v>4246.009</v>
      </c>
      <c r="BL92" s="524">
        <f>BL87+BL90+BL91</f>
        <v>4178.8069999999998</v>
      </c>
      <c r="BM92" s="524">
        <f>BM87+BM90+BM91</f>
        <v>4377.6979999999994</v>
      </c>
      <c r="BN92" s="524">
        <f t="shared" si="112"/>
        <v>4377.6979999999994</v>
      </c>
      <c r="BO92" s="524">
        <f>BO87+BO90+BO91</f>
        <v>4638.2270000000008</v>
      </c>
      <c r="BP92" s="524">
        <f>BP87+BP90+BP91</f>
        <v>4963.4940000000006</v>
      </c>
      <c r="BQ92" s="524">
        <f>BQ87+BQ90+BQ91</f>
        <v>5371.9919999999993</v>
      </c>
      <c r="BR92" s="524">
        <f>BR87+BR90+BR91</f>
        <v>5767.7350000000006</v>
      </c>
      <c r="BS92" s="524">
        <f t="shared" si="113"/>
        <v>5767.7350000000006</v>
      </c>
      <c r="BT92" s="524">
        <f>BT87+BT90+BT91</f>
        <v>6029.4050000000007</v>
      </c>
      <c r="BU92" s="524">
        <f>BU87+BU90+BU91</f>
        <v>5830.9529999999995</v>
      </c>
      <c r="BV92" s="524">
        <f>BV87+BV90+BV91</f>
        <v>5739.2049999999999</v>
      </c>
      <c r="BW92" s="524">
        <f>BW87+BW90+BW91</f>
        <v>5647.2420000000011</v>
      </c>
      <c r="BX92" s="524">
        <f t="shared" si="114"/>
        <v>5647.2420000000011</v>
      </c>
      <c r="BY92" s="524">
        <f>BY87+BY90+BY91</f>
        <v>5964.9419999999991</v>
      </c>
      <c r="BZ92" s="524">
        <f>BZ87+BZ90+BZ91</f>
        <v>6000.7420000000002</v>
      </c>
      <c r="CA92" s="524">
        <f>CA87+CA90+CA91</f>
        <v>5731.482</v>
      </c>
      <c r="CB92" s="524">
        <f>CB87+CB90+CB91</f>
        <v>5619.1809999999987</v>
      </c>
      <c r="CC92" s="524">
        <f t="shared" si="115"/>
        <v>5619.1809999999987</v>
      </c>
      <c r="CD92" s="524">
        <f>CD87+CD90+CD91</f>
        <v>5398.8020000000006</v>
      </c>
      <c r="CE92" s="524">
        <f>CE87+CE90+CE91</f>
        <v>5293.9069999999992</v>
      </c>
      <c r="CF92" s="524">
        <f>CF87+CF90+CF91</f>
        <v>6664.3649999999989</v>
      </c>
      <c r="CG92" s="524">
        <f>CG87+CG90+CG91</f>
        <v>7094.3450000000003</v>
      </c>
      <c r="CH92" s="524">
        <f t="shared" si="116"/>
        <v>7094.3450000000003</v>
      </c>
      <c r="CI92" s="524">
        <f>CI87+CI90+CI91</f>
        <v>7002.954999999999</v>
      </c>
      <c r="CJ92" s="524">
        <f>CJ87+CJ90+CJ91</f>
        <v>7009.4619999999995</v>
      </c>
      <c r="CK92" s="524">
        <f>CK87+CK90+CK91</f>
        <v>7282.4389999999985</v>
      </c>
      <c r="CL92" s="524">
        <f>CL87+CL90+CL91</f>
        <v>7844.2100000000009</v>
      </c>
      <c r="CM92" s="524">
        <f t="shared" si="117"/>
        <v>7844.2100000000009</v>
      </c>
      <c r="CN92" s="524">
        <f>CN87+CN90+CN91</f>
        <v>7821.7740000000013</v>
      </c>
      <c r="CO92" s="524">
        <f>CO87+CO90+CO91</f>
        <v>7772.561999999999</v>
      </c>
      <c r="CP92" s="524">
        <f>CP87+CP90+CP91</f>
        <v>8159.9559999999983</v>
      </c>
      <c r="CQ92" s="524">
        <f>CQ87+CQ90+CQ91</f>
        <v>7287.7799999999988</v>
      </c>
      <c r="CR92" s="524">
        <f t="shared" si="118"/>
        <v>7287.7799999999988</v>
      </c>
      <c r="CS92" s="524">
        <f>CS87+CS90+CS91</f>
        <v>8052.0450000000001</v>
      </c>
      <c r="CT92" s="524">
        <f>CT87+CT90+CT91</f>
        <v>8061.8949999999995</v>
      </c>
      <c r="CU92" s="524">
        <f>CU87+CU90+CU91</f>
        <v>8379.2430000000004</v>
      </c>
      <c r="CV92" s="524">
        <f>CV87+CV90+CV91</f>
        <v>13147</v>
      </c>
      <c r="CW92" s="524">
        <f t="shared" si="119"/>
        <v>13147</v>
      </c>
      <c r="CX92" s="524">
        <f>CX87+CX90+CX91</f>
        <v>12712</v>
      </c>
      <c r="CY92" s="524">
        <f>CY87+CY90+CY91</f>
        <v>13224</v>
      </c>
      <c r="CZ92" s="524">
        <f>CZ87+CZ90+CZ91</f>
        <v>12934</v>
      </c>
      <c r="DA92" s="524">
        <f>DA87+DA90+DA91</f>
        <v>11550</v>
      </c>
      <c r="DB92" s="524">
        <f t="shared" si="120"/>
        <v>11550</v>
      </c>
      <c r="DC92" s="524">
        <f>DC87+DC90+DC91</f>
        <v>11208</v>
      </c>
      <c r="DD92" s="524">
        <f>DD87+DD90+DD91</f>
        <v>9784</v>
      </c>
      <c r="DE92" s="524">
        <f>DE87+DE90+DE91</f>
        <v>9492</v>
      </c>
      <c r="DF92" s="524">
        <f>DF87+DF90+DF91</f>
        <v>7675</v>
      </c>
      <c r="DG92" s="524">
        <f t="shared" si="121"/>
        <v>7675</v>
      </c>
      <c r="DH92" s="524">
        <f>DH87+DH90+DH91</f>
        <v>9052</v>
      </c>
      <c r="DI92" s="524">
        <f>DI87+DI90+DI91</f>
        <v>8683</v>
      </c>
      <c r="DJ92" s="524">
        <f>DJ87+DJ90+DJ91</f>
        <v>8747</v>
      </c>
      <c r="DK92" s="524">
        <f>DK87+DK90+DK91</f>
        <v>9078</v>
      </c>
      <c r="DL92" s="524">
        <f t="shared" si="122"/>
        <v>9078</v>
      </c>
      <c r="DM92" s="524">
        <f>DM87+DM90+DM91</f>
        <v>5232</v>
      </c>
      <c r="DN92" s="524">
        <f>DN87+DN90+DN91</f>
        <v>4955</v>
      </c>
      <c r="DO92" s="524">
        <f>DO87+DO90+DO91</f>
        <v>4595</v>
      </c>
      <c r="DP92" s="524">
        <f>DP87+DP90+DP91</f>
        <v>4964</v>
      </c>
      <c r="DQ92" s="524">
        <f t="shared" si="123"/>
        <v>4964</v>
      </c>
      <c r="DR92" s="524">
        <f>DR87+DR90+DR91</f>
        <v>5209</v>
      </c>
      <c r="DS92" s="524">
        <f>DS87+DS90+DS91</f>
        <v>5224</v>
      </c>
      <c r="DT92" s="524">
        <f>DT87+DT90+DT91</f>
        <v>5236</v>
      </c>
      <c r="DU92" s="524">
        <f>DU87+DU90+DU91</f>
        <v>4954</v>
      </c>
      <c r="DV92" s="524">
        <f t="shared" si="124"/>
        <v>4954</v>
      </c>
      <c r="DW92" s="524">
        <f>DW87+DW90+DW91</f>
        <v>4988</v>
      </c>
      <c r="DX92" s="524">
        <f>DX87+DX90+DX91</f>
        <v>5041</v>
      </c>
      <c r="DY92" s="524">
        <f>DY87+DY90+DY91</f>
        <v>4612</v>
      </c>
      <c r="DZ92" s="524">
        <f>DZ87+DZ90+DZ91</f>
        <v>4000</v>
      </c>
      <c r="EA92" s="524">
        <f t="shared" si="125"/>
        <v>4000</v>
      </c>
      <c r="EB92" s="524">
        <f>EB87+EB90+EB91</f>
        <v>3797</v>
      </c>
      <c r="EC92" s="524">
        <f>EC87+EC90+EC91</f>
        <v>3897</v>
      </c>
      <c r="ED92" s="524">
        <f>ED87+ED90+ED91</f>
        <v>4317</v>
      </c>
      <c r="EE92" s="524">
        <f>EE87+EE90+EE91</f>
        <v>4337</v>
      </c>
      <c r="EF92" s="524">
        <f t="shared" si="126"/>
        <v>4337</v>
      </c>
      <c r="EG92" s="524">
        <f>EG87+EG90+EG91</f>
        <v>4108</v>
      </c>
      <c r="EH92" s="524">
        <f>EH87+EH90+EH91</f>
        <v>4246</v>
      </c>
      <c r="EI92" s="524">
        <f>EI87+EI90+EI91</f>
        <v>4325</v>
      </c>
      <c r="EJ92" s="524">
        <f>EJ87+EJ90+EJ91</f>
        <v>3767</v>
      </c>
      <c r="EK92" s="524">
        <f t="shared" si="127"/>
        <v>3767</v>
      </c>
      <c r="EL92" s="524">
        <f>EL87+EL90+EL91</f>
        <v>3428</v>
      </c>
      <c r="EM92" s="524">
        <f>EM87+EM90+EM91</f>
        <v>3381</v>
      </c>
      <c r="EN92" s="524">
        <f>EN87+EN90+EN91</f>
        <v>3229</v>
      </c>
      <c r="EO92" s="524">
        <f>EO87+EO90+EO91</f>
        <v>3109</v>
      </c>
      <c r="EP92" s="524">
        <f t="shared" si="128"/>
        <v>3109</v>
      </c>
      <c r="EQ92" s="524">
        <f>EQ87+EQ90+EQ91</f>
        <v>2981</v>
      </c>
      <c r="ER92" s="524">
        <f>ER87+ER90+ER91</f>
        <v>3316</v>
      </c>
      <c r="ES92" s="524">
        <f>ES87+ES90+ES91</f>
        <v>3616</v>
      </c>
      <c r="ET92" s="524">
        <f>ET87+ET90+ET91</f>
        <v>3321</v>
      </c>
      <c r="EU92" s="524">
        <f t="shared" si="129"/>
        <v>3321</v>
      </c>
      <c r="EV92" s="524">
        <f>EV87+EV90+EV91</f>
        <v>3299</v>
      </c>
      <c r="EW92" s="524">
        <f>EW87+EW90+EW91</f>
        <v>3370</v>
      </c>
      <c r="EX92" s="524">
        <f>EX87+EX90+EX91</f>
        <v>3586</v>
      </c>
      <c r="EY92" s="524">
        <f>EY87+EY90+EY91</f>
        <v>3540</v>
      </c>
      <c r="EZ92" s="524">
        <f t="shared" si="130"/>
        <v>3540</v>
      </c>
      <c r="FA92" s="524">
        <f>FA87+FA90+FA91</f>
        <v>3763</v>
      </c>
      <c r="FB92" s="524">
        <f>FB87+FB90+FB91</f>
        <v>4103</v>
      </c>
      <c r="FC92" s="524">
        <f>FC87+FC90+FC91</f>
        <v>4347</v>
      </c>
      <c r="FD92" s="524">
        <f>FD87+FD90+FD91</f>
        <v>4556</v>
      </c>
      <c r="FE92" s="524">
        <f t="shared" si="131"/>
        <v>4556</v>
      </c>
      <c r="FF92" s="524">
        <f>FF87+FF90+FF91</f>
        <v>4931</v>
      </c>
      <c r="FG92" s="524">
        <f>FG87+FG90+FG91</f>
        <v>5102</v>
      </c>
      <c r="FH92" s="524">
        <f>FH87+FH90+FH91</f>
        <v>5253</v>
      </c>
      <c r="FI92" s="524">
        <f>FI87+FI90+FI91</f>
        <v>6028</v>
      </c>
      <c r="FJ92" s="524">
        <f t="shared" si="132"/>
        <v>6028</v>
      </c>
      <c r="FK92" s="524">
        <f>FK87+FK90+FK91</f>
        <v>5864</v>
      </c>
      <c r="FL92" s="524">
        <f>FL87+FL90+FL91</f>
        <v>6583</v>
      </c>
      <c r="FM92" s="524">
        <f>FM87+FM90+FM91</f>
        <v>7023</v>
      </c>
      <c r="FN92" s="524">
        <f>FN87+FN90+FN91</f>
        <v>8962</v>
      </c>
      <c r="FO92" s="524">
        <f t="shared" si="133"/>
        <v>8962</v>
      </c>
      <c r="FP92" s="524">
        <f>FP87+FP90+FP91</f>
        <v>10047</v>
      </c>
      <c r="FQ92" s="524">
        <f>FQ87+FQ90+FQ91</f>
        <v>10691</v>
      </c>
      <c r="FR92" s="524">
        <f>FR87+FR90+FR91</f>
        <v>11153</v>
      </c>
      <c r="FS92" s="524">
        <f>FS87+FS90+FS91</f>
        <v>12419</v>
      </c>
      <c r="FT92" s="524">
        <f t="shared" si="134"/>
        <v>12419</v>
      </c>
      <c r="FU92" s="524">
        <f>FU87+FU90+FU91</f>
        <v>66915</v>
      </c>
      <c r="FV92" s="524">
        <f>FV87+FV90+FV91</f>
        <v>67502</v>
      </c>
      <c r="FW92" s="524">
        <f>FW87+FW90+FW91</f>
        <v>67811</v>
      </c>
      <c r="FX92" s="524">
        <f>FX87+FX90+FX91</f>
        <v>67580</v>
      </c>
      <c r="FY92" s="524">
        <f t="shared" si="135"/>
        <v>67580</v>
      </c>
      <c r="FZ92" s="524">
        <f>FZ87+FZ90+FZ91</f>
        <v>67634</v>
      </c>
      <c r="GA92" s="524">
        <f>GA87+GA90+GA91</f>
        <v>67967</v>
      </c>
      <c r="GB92" s="524">
        <f>GB87+GB90+GB91</f>
        <v>67626</v>
      </c>
      <c r="GC92" s="524">
        <f>GC87+GC90+GC91</f>
        <v>67885</v>
      </c>
      <c r="GD92" s="524">
        <f t="shared" si="136"/>
        <v>67885</v>
      </c>
      <c r="GE92" s="524">
        <f>GE87+GE90+GE91</f>
        <v>67895</v>
      </c>
      <c r="GF92" s="524">
        <f>GF87+GF90+GF91</f>
        <v>67886</v>
      </c>
      <c r="GG92" s="524">
        <f>GG87+GG90+GG91</f>
        <v>69636</v>
      </c>
      <c r="GH92" s="524">
        <f>GH87+GH90+GH91</f>
        <v>69226</v>
      </c>
      <c r="GI92" s="524">
        <f t="shared" si="137"/>
        <v>69226</v>
      </c>
      <c r="GJ92" s="524">
        <f>GJ87+GJ90+GJ91</f>
        <v>71550</v>
      </c>
      <c r="GK92" s="524">
        <f>GK87+GK90+GK91</f>
        <v>74820</v>
      </c>
      <c r="GL92" s="524">
        <f>GL87+GL90+GL91</f>
        <v>76891</v>
      </c>
      <c r="GM92" s="524">
        <f>GM87+GM90+GM91</f>
        <v>76926</v>
      </c>
      <c r="GN92" s="524">
        <f t="shared" si="138"/>
        <v>76926</v>
      </c>
      <c r="GO92" s="524">
        <f>GO87+GO90+GO91</f>
        <v>79642</v>
      </c>
      <c r="GP92" s="524">
        <f>GP87+GP90+GP91</f>
        <v>82267.14849739171</v>
      </c>
      <c r="GQ92" s="524">
        <f>GQ87+GQ90+GQ91</f>
        <v>85000.157391385612</v>
      </c>
      <c r="GR92" s="524">
        <f>GR87+GR90+GR91</f>
        <v>92820.20231640336</v>
      </c>
      <c r="GS92" s="524">
        <f t="shared" si="139"/>
        <v>92820.20231640336</v>
      </c>
      <c r="GT92" s="524">
        <f>GT87+GT90+GT91</f>
        <v>100586.54676523656</v>
      </c>
      <c r="GU92" s="524">
        <f>GU87+GU90+GU91</f>
        <v>109337.26525629754</v>
      </c>
      <c r="GV92" s="524">
        <f>GV87+GV90+GV91</f>
        <v>120289.45670652731</v>
      </c>
      <c r="GW92" s="524">
        <f>GW87+GW90+GW91</f>
        <v>132194.31701168307</v>
      </c>
      <c r="GX92" s="524">
        <f t="shared" si="140"/>
        <v>132194.31701168307</v>
      </c>
      <c r="GY92" s="524">
        <f>GY87+GY90+GY91</f>
        <v>142681.09876310657</v>
      </c>
      <c r="GZ92" s="524">
        <f>GZ87+GZ90+GZ91</f>
        <v>154513.75830905145</v>
      </c>
      <c r="HA92" s="524">
        <f>HA87+HA90+HA91</f>
        <v>167528.21119339316</v>
      </c>
      <c r="HB92" s="524">
        <f>HB87+HB90+HB91</f>
        <v>181984.32833549473</v>
      </c>
      <c r="HC92" s="524">
        <f t="shared" si="141"/>
        <v>181984.32833549473</v>
      </c>
      <c r="HD92" s="524">
        <f>HD87+HD90+HD91</f>
        <v>196157.08196426957</v>
      </c>
      <c r="HE92" s="524">
        <f>HE87+HE90+HE91</f>
        <v>211363.86656910408</v>
      </c>
      <c r="HF92" s="524">
        <f>HF87+HF90+HF91</f>
        <v>228432.57663646125</v>
      </c>
      <c r="HG92" s="524">
        <f>HG87+HG90+HG91</f>
        <v>245842.16914465072</v>
      </c>
      <c r="HH92" s="524">
        <f t="shared" si="142"/>
        <v>245842.16914465072</v>
      </c>
      <c r="HI92" s="524">
        <f>HI87+HI90+HI91</f>
        <v>263387.75559315371</v>
      </c>
      <c r="HJ92" s="524">
        <f>HJ87+HJ90+HJ91</f>
        <v>282417.52032025624</v>
      </c>
      <c r="HK92" s="524">
        <f>HK87+HK90+HK91</f>
        <v>303593.97440583375</v>
      </c>
      <c r="HL92" s="524">
        <f>HL87+HL90+HL91</f>
        <v>325776.1720792547</v>
      </c>
      <c r="HM92" s="524">
        <f t="shared" si="143"/>
        <v>325776.1720792547</v>
      </c>
      <c r="HN92" s="524"/>
      <c r="HO92" s="524"/>
      <c r="HP92" s="622"/>
      <c r="HR92" s="622"/>
      <c r="HS92" s="622"/>
      <c r="HT92" s="622"/>
      <c r="HU92" s="622"/>
      <c r="HV92" s="622"/>
      <c r="HW92" s="622"/>
      <c r="HX92" s="622"/>
    </row>
    <row r="93" spans="1:232" s="509" customFormat="1">
      <c r="A93" s="522" t="s">
        <v>421</v>
      </c>
      <c r="L93" s="523"/>
      <c r="M93" s="523"/>
      <c r="N93" s="523"/>
      <c r="O93" s="523"/>
      <c r="P93" s="524"/>
      <c r="Q93" s="523"/>
      <c r="R93" s="523"/>
      <c r="S93" s="523"/>
      <c r="T93" s="523"/>
      <c r="U93" s="524"/>
      <c r="V93" s="523"/>
      <c r="W93" s="523"/>
      <c r="X93" s="523"/>
      <c r="Y93" s="523"/>
      <c r="Z93" s="524"/>
      <c r="AA93" s="523"/>
      <c r="AB93" s="523"/>
      <c r="AC93" s="523"/>
      <c r="AD93" s="523"/>
      <c r="AE93" s="524"/>
      <c r="AF93" s="523"/>
      <c r="AG93" s="523"/>
      <c r="AH93" s="523"/>
      <c r="AI93" s="523"/>
      <c r="AJ93" s="524"/>
      <c r="AK93" s="523"/>
      <c r="AL93" s="523"/>
      <c r="AM93" s="523"/>
      <c r="AN93" s="523"/>
      <c r="AO93" s="524"/>
      <c r="AP93" s="523"/>
      <c r="AQ93" s="523"/>
      <c r="AR93" s="523"/>
      <c r="AS93" s="523"/>
      <c r="AT93" s="524"/>
      <c r="AU93" s="523"/>
      <c r="AV93" s="523"/>
      <c r="AW93" s="523"/>
      <c r="AX93" s="523"/>
      <c r="AY93" s="524"/>
      <c r="AZ93" s="523"/>
      <c r="BA93" s="523"/>
      <c r="BB93" s="523"/>
      <c r="BC93" s="523"/>
      <c r="BD93" s="524"/>
      <c r="BE93" s="523"/>
      <c r="BF93" s="523"/>
      <c r="BG93" s="523"/>
      <c r="BH93" s="523"/>
      <c r="BI93" s="524"/>
      <c r="BJ93" s="523"/>
      <c r="BK93" s="523"/>
      <c r="BL93" s="523"/>
      <c r="BM93" s="523"/>
      <c r="BN93" s="524"/>
      <c r="BO93" s="523"/>
      <c r="BP93" s="523"/>
      <c r="BQ93" s="523"/>
      <c r="BR93" s="523"/>
      <c r="BS93" s="524"/>
      <c r="BX93" s="524"/>
      <c r="CC93" s="524"/>
      <c r="CF93" s="599"/>
      <c r="CH93" s="524"/>
      <c r="CM93" s="524"/>
      <c r="CQ93" s="623"/>
      <c r="CR93" s="524"/>
      <c r="CV93" s="539"/>
      <c r="CW93" s="524"/>
      <c r="CX93" s="539"/>
      <c r="CY93" s="539"/>
      <c r="CZ93" s="539"/>
      <c r="DA93" s="539"/>
      <c r="DB93" s="524"/>
      <c r="DC93" s="577"/>
      <c r="DD93" s="539"/>
      <c r="DE93" s="539"/>
      <c r="DF93" s="539"/>
      <c r="DG93" s="524"/>
      <c r="DH93" s="539"/>
      <c r="DI93" s="539"/>
      <c r="DJ93" s="539"/>
      <c r="DK93" s="577"/>
      <c r="DL93" s="539"/>
      <c r="DM93" s="577"/>
      <c r="DN93" s="539"/>
      <c r="DO93" s="539"/>
      <c r="DP93" s="539"/>
      <c r="DQ93" s="539"/>
      <c r="DR93" s="539"/>
      <c r="DS93" s="539"/>
      <c r="DT93" s="539"/>
      <c r="DU93" s="539"/>
      <c r="DV93" s="539"/>
      <c r="DW93" s="539"/>
      <c r="DX93" s="539"/>
      <c r="DY93" s="539"/>
      <c r="DZ93" s="577"/>
      <c r="EA93" s="539"/>
      <c r="EB93" s="577"/>
      <c r="EC93" s="577"/>
      <c r="ED93" s="577"/>
      <c r="EE93" s="539"/>
      <c r="EF93" s="539"/>
      <c r="EG93" s="539"/>
      <c r="EH93" s="539"/>
      <c r="EI93" s="539"/>
      <c r="EJ93" s="539"/>
      <c r="EK93" s="539"/>
      <c r="EL93" s="539"/>
      <c r="EM93" s="539"/>
      <c r="EN93" s="539"/>
      <c r="EO93" s="539"/>
      <c r="EP93" s="539"/>
      <c r="EQ93" s="539"/>
      <c r="ER93" s="539"/>
      <c r="ES93" s="539"/>
      <c r="ET93" s="539"/>
      <c r="EU93" s="539"/>
      <c r="EV93" s="542"/>
      <c r="EW93" s="542"/>
      <c r="EX93" s="539"/>
      <c r="EY93" s="539"/>
      <c r="EZ93" s="539"/>
      <c r="FA93" s="539"/>
      <c r="FB93" s="539"/>
      <c r="FC93" s="539"/>
      <c r="FD93" s="539"/>
      <c r="FE93" s="539"/>
      <c r="FF93" s="539"/>
      <c r="FG93" s="539"/>
      <c r="FH93" s="539"/>
      <c r="FI93" s="539"/>
      <c r="FJ93" s="539"/>
      <c r="FK93" s="539"/>
      <c r="FL93" s="539"/>
      <c r="FM93" s="539"/>
      <c r="FN93" s="539"/>
      <c r="FO93" s="539"/>
      <c r="FP93" s="539"/>
      <c r="FQ93" s="539"/>
      <c r="FR93" s="539"/>
      <c r="FS93" s="599"/>
      <c r="FT93" s="539"/>
      <c r="FU93" s="539"/>
      <c r="FV93" s="539"/>
      <c r="FW93" s="539"/>
      <c r="FX93" s="539"/>
      <c r="FY93" s="539"/>
      <c r="FZ93" s="539"/>
      <c r="GA93" s="539"/>
      <c r="GB93" s="539"/>
      <c r="GC93" s="539"/>
      <c r="GD93" s="539"/>
      <c r="GE93" s="539"/>
      <c r="GF93" s="539"/>
      <c r="GG93" s="539"/>
      <c r="GH93" s="539"/>
      <c r="GI93" s="539"/>
      <c r="GJ93" s="539"/>
      <c r="GK93" s="539"/>
      <c r="GL93" s="539"/>
      <c r="GM93" s="539"/>
      <c r="GN93" s="539"/>
      <c r="GO93" s="539"/>
      <c r="GP93" s="539"/>
      <c r="GQ93" s="539"/>
      <c r="GR93" s="539"/>
      <c r="GS93" s="539"/>
      <c r="GT93" s="539"/>
      <c r="GU93" s="539"/>
      <c r="GV93" s="539"/>
      <c r="GW93" s="539"/>
      <c r="GX93" s="539"/>
      <c r="GY93" s="539"/>
      <c r="GZ93" s="539"/>
      <c r="HA93" s="539"/>
      <c r="HB93" s="539"/>
      <c r="HC93" s="539"/>
      <c r="HD93" s="539"/>
      <c r="HE93" s="539"/>
      <c r="HF93" s="539"/>
      <c r="HG93" s="539"/>
      <c r="HH93" s="539"/>
      <c r="HI93" s="539"/>
      <c r="HJ93" s="539"/>
      <c r="HK93" s="539"/>
      <c r="HL93" s="539"/>
      <c r="HM93" s="539"/>
      <c r="HN93" s="539"/>
      <c r="HO93" s="539"/>
      <c r="HP93" s="563"/>
      <c r="HR93" s="563"/>
      <c r="HS93" s="563"/>
      <c r="HT93" s="563"/>
      <c r="HU93" s="563"/>
      <c r="HV93" s="563"/>
      <c r="HW93" s="563"/>
      <c r="HX93" s="563"/>
    </row>
    <row r="94" spans="1:232" s="509" customFormat="1">
      <c r="A94" s="522" t="s">
        <v>422</v>
      </c>
      <c r="L94" s="523"/>
      <c r="M94" s="523"/>
      <c r="N94" s="523"/>
      <c r="O94" s="523"/>
      <c r="P94" s="524"/>
      <c r="Q94" s="523"/>
      <c r="R94" s="523"/>
      <c r="S94" s="523"/>
      <c r="T94" s="523"/>
      <c r="U94" s="524"/>
      <c r="V94" s="546"/>
      <c r="W94" s="546"/>
      <c r="X94" s="546"/>
      <c r="Y94" s="546"/>
      <c r="Z94" s="524"/>
      <c r="AA94" s="546"/>
      <c r="AB94" s="546"/>
      <c r="AC94" s="546"/>
      <c r="AD94" s="546"/>
      <c r="AE94" s="524"/>
      <c r="AF94" s="602">
        <v>393.67800000000005</v>
      </c>
      <c r="AG94" s="602">
        <v>361.34199999999998</v>
      </c>
      <c r="AH94" s="602">
        <v>387.36400000000003</v>
      </c>
      <c r="AI94" s="602">
        <v>454.61899999999997</v>
      </c>
      <c r="AJ94" s="524">
        <f>AI94</f>
        <v>454.61899999999997</v>
      </c>
      <c r="AK94" s="602">
        <v>491.62800000000004</v>
      </c>
      <c r="AL94" s="602">
        <v>487.375</v>
      </c>
      <c r="AM94" s="602">
        <v>534.447</v>
      </c>
      <c r="AN94" s="602">
        <v>592.16700000000003</v>
      </c>
      <c r="AO94" s="524">
        <f>AN94</f>
        <v>592.16700000000003</v>
      </c>
      <c r="AP94" s="602">
        <v>597.16999999999996</v>
      </c>
      <c r="AQ94" s="602">
        <v>686.60500000000002</v>
      </c>
      <c r="AR94" s="602">
        <v>688.05600000000004</v>
      </c>
      <c r="AS94" s="602">
        <v>621.73599999999999</v>
      </c>
      <c r="AT94" s="524">
        <f>AS94</f>
        <v>621.73599999999999</v>
      </c>
      <c r="AU94" s="602">
        <v>532.7360000000001</v>
      </c>
      <c r="AV94" s="602">
        <v>467.94099999999997</v>
      </c>
      <c r="AW94" s="602">
        <v>474.43799999999999</v>
      </c>
      <c r="AX94" s="602">
        <v>583.47300000000007</v>
      </c>
      <c r="AY94" s="524">
        <f>AX94</f>
        <v>583.47300000000007</v>
      </c>
      <c r="AZ94" s="602">
        <v>601.17899999999997</v>
      </c>
      <c r="BA94" s="602">
        <v>599.44799999999998</v>
      </c>
      <c r="BB94" s="602">
        <v>622.053</v>
      </c>
      <c r="BC94" s="602">
        <v>726.77</v>
      </c>
      <c r="BD94" s="524">
        <f>BC94</f>
        <v>726.77</v>
      </c>
      <c r="BE94" s="602">
        <v>658.75600000000009</v>
      </c>
      <c r="BF94" s="602">
        <v>792.10400000000004</v>
      </c>
      <c r="BG94" s="602">
        <v>819.85300000000007</v>
      </c>
      <c r="BH94" s="602">
        <v>840.71900000000005</v>
      </c>
      <c r="BI94" s="524">
        <f>BH94</f>
        <v>840.71900000000005</v>
      </c>
      <c r="BJ94" s="602">
        <v>863.61599999999999</v>
      </c>
      <c r="BK94" s="602">
        <v>783.17200000000003</v>
      </c>
      <c r="BL94" s="602">
        <v>753.45299999999997</v>
      </c>
      <c r="BM94" s="602">
        <v>910.65200000000004</v>
      </c>
      <c r="BN94" s="524">
        <f>BM94</f>
        <v>910.65200000000004</v>
      </c>
      <c r="BO94" s="602">
        <v>910.08</v>
      </c>
      <c r="BP94" s="602">
        <v>936.73700000000008</v>
      </c>
      <c r="BQ94" s="602">
        <v>1064.326</v>
      </c>
      <c r="BR94" s="602">
        <v>1224.1089999999999</v>
      </c>
      <c r="BS94" s="524">
        <f>BR94</f>
        <v>1224.1089999999999</v>
      </c>
      <c r="BT94" s="602">
        <v>1161.7330000000002</v>
      </c>
      <c r="BU94" s="602">
        <v>1077.7279999999998</v>
      </c>
      <c r="BV94" s="602">
        <v>1172.546</v>
      </c>
      <c r="BW94" s="602">
        <v>1313.9370000000001</v>
      </c>
      <c r="BX94" s="524">
        <f>BW94</f>
        <v>1313.9370000000001</v>
      </c>
      <c r="BY94" s="602">
        <v>1227.0070000000001</v>
      </c>
      <c r="BZ94" s="602">
        <v>1271.8360000000002</v>
      </c>
      <c r="CA94" s="602">
        <v>1293.8590000000002</v>
      </c>
      <c r="CB94" s="602">
        <v>1372.079</v>
      </c>
      <c r="CC94" s="524">
        <f>CB94</f>
        <v>1372.079</v>
      </c>
      <c r="CD94" s="602">
        <v>1269.8820000000001</v>
      </c>
      <c r="CE94" s="602">
        <v>1063.9929999999999</v>
      </c>
      <c r="CF94" s="602">
        <v>1269.039</v>
      </c>
      <c r="CG94" s="602">
        <v>1452.27</v>
      </c>
      <c r="CH94" s="524">
        <f>CG94</f>
        <v>1452.27</v>
      </c>
      <c r="CI94" s="602">
        <v>1479.0360000000001</v>
      </c>
      <c r="CJ94" s="602">
        <v>1511.31</v>
      </c>
      <c r="CK94" s="602">
        <v>1583.9260000000002</v>
      </c>
      <c r="CL94" s="602">
        <v>1846.376</v>
      </c>
      <c r="CM94" s="524">
        <f>CL94</f>
        <v>1846.376</v>
      </c>
      <c r="CN94" s="602">
        <v>1903.4739999999999</v>
      </c>
      <c r="CO94" s="590">
        <v>1997.684</v>
      </c>
      <c r="CP94" s="590">
        <v>2212.355</v>
      </c>
      <c r="CQ94" s="590">
        <f>1821.963</f>
        <v>1821.963</v>
      </c>
      <c r="CR94" s="524">
        <f>CQ94</f>
        <v>1821.963</v>
      </c>
      <c r="CS94" s="590">
        <v>1948.5239999999999</v>
      </c>
      <c r="CT94" s="590">
        <v>1754.489</v>
      </c>
      <c r="CU94" s="590">
        <v>1892.211</v>
      </c>
      <c r="CV94" s="590">
        <v>2851</v>
      </c>
      <c r="CW94" s="524">
        <f>CV94</f>
        <v>2851</v>
      </c>
      <c r="CX94" s="590">
        <v>2911</v>
      </c>
      <c r="CY94" s="590">
        <v>2476</v>
      </c>
      <c r="CZ94" s="590">
        <v>2702</v>
      </c>
      <c r="DA94" s="590">
        <v>2625</v>
      </c>
      <c r="DB94" s="524">
        <f>DA94</f>
        <v>2625</v>
      </c>
      <c r="DC94" s="590">
        <v>2738</v>
      </c>
      <c r="DD94" s="590">
        <v>2468</v>
      </c>
      <c r="DE94" s="590">
        <v>2392</v>
      </c>
      <c r="DF94" s="590">
        <v>2226</v>
      </c>
      <c r="DG94" s="524">
        <f>DF94</f>
        <v>2226</v>
      </c>
      <c r="DH94" s="590">
        <v>2079</v>
      </c>
      <c r="DI94" s="590">
        <v>2022</v>
      </c>
      <c r="DJ94" s="590">
        <v>2076</v>
      </c>
      <c r="DK94" s="590">
        <v>2210</v>
      </c>
      <c r="DL94" s="524">
        <f>DK94</f>
        <v>2210</v>
      </c>
      <c r="DM94" s="590">
        <v>1645</v>
      </c>
      <c r="DN94" s="590">
        <v>1630</v>
      </c>
      <c r="DO94" s="590">
        <v>1665</v>
      </c>
      <c r="DP94" s="590">
        <v>1674</v>
      </c>
      <c r="DQ94" s="524">
        <f>DP94</f>
        <v>1674</v>
      </c>
      <c r="DR94" s="590">
        <v>1375</v>
      </c>
      <c r="DS94" s="590">
        <v>1312</v>
      </c>
      <c r="DT94" s="590">
        <v>1855</v>
      </c>
      <c r="DU94" s="590">
        <v>1774</v>
      </c>
      <c r="DV94" s="524">
        <f>DU94</f>
        <v>1774</v>
      </c>
      <c r="DW94" s="590">
        <v>2347</v>
      </c>
      <c r="DX94" s="590">
        <v>2352</v>
      </c>
      <c r="DY94" s="590">
        <v>1555</v>
      </c>
      <c r="DZ94" s="590">
        <v>1397</v>
      </c>
      <c r="EA94" s="524">
        <f>DZ94</f>
        <v>1397</v>
      </c>
      <c r="EB94" s="590">
        <v>1321</v>
      </c>
      <c r="EC94" s="590">
        <v>1451</v>
      </c>
      <c r="ED94" s="590">
        <f>574+495+528+139+5+21</f>
        <v>1762</v>
      </c>
      <c r="EE94" s="590">
        <f>60+519+364+530+145</f>
        <v>1618</v>
      </c>
      <c r="EF94" s="524">
        <f>EE94</f>
        <v>1618</v>
      </c>
      <c r="EG94" s="590">
        <v>1384</v>
      </c>
      <c r="EH94" s="590">
        <v>1505</v>
      </c>
      <c r="EI94" s="590">
        <v>1566</v>
      </c>
      <c r="EJ94" s="590">
        <v>1440</v>
      </c>
      <c r="EK94" s="524">
        <f>EJ94</f>
        <v>1440</v>
      </c>
      <c r="EL94" s="590">
        <v>1292</v>
      </c>
      <c r="EM94" s="590">
        <v>1399</v>
      </c>
      <c r="EN94" s="590">
        <v>1449</v>
      </c>
      <c r="EO94" s="590">
        <v>1403</v>
      </c>
      <c r="EP94" s="524">
        <f>EO94</f>
        <v>1403</v>
      </c>
      <c r="EQ94" s="590">
        <v>1328</v>
      </c>
      <c r="ER94" s="590">
        <f>1581</f>
        <v>1581</v>
      </c>
      <c r="ES94" s="590">
        <v>1473</v>
      </c>
      <c r="ET94" s="590">
        <v>1346</v>
      </c>
      <c r="EU94" s="524">
        <f>ET94</f>
        <v>1346</v>
      </c>
      <c r="EV94" s="590">
        <f>529+329+385+67+62</f>
        <v>1372</v>
      </c>
      <c r="EW94" s="590">
        <f>42+483+374+430+48+72</f>
        <v>1449</v>
      </c>
      <c r="EX94" s="590">
        <f>70+472+444+460+73+72</f>
        <v>1591</v>
      </c>
      <c r="EY94" s="590">
        <f>70+384+412+541+57+22</f>
        <v>1486</v>
      </c>
      <c r="EZ94" s="524">
        <f>EY94</f>
        <v>1486</v>
      </c>
      <c r="FA94" s="590">
        <f>223+456+374+485+159</f>
        <v>1697</v>
      </c>
      <c r="FB94" s="590">
        <f>223+520+475+577+73</f>
        <v>1868</v>
      </c>
      <c r="FC94" s="590">
        <f>136+508+533+688+13</f>
        <v>1878</v>
      </c>
      <c r="FD94" s="590">
        <f>136+528+533+763+24</f>
        <v>1984</v>
      </c>
      <c r="FE94" s="524">
        <f>FD94</f>
        <v>1984</v>
      </c>
      <c r="FF94" s="590">
        <f>70+484+446+719+45</f>
        <v>1764</v>
      </c>
      <c r="FG94" s="590">
        <f>828+201+727+48</f>
        <v>1804</v>
      </c>
      <c r="FH94" s="590">
        <f>763+215+837+49</f>
        <v>1864</v>
      </c>
      <c r="FI94" s="590">
        <f>988+213+1084+74</f>
        <v>2359</v>
      </c>
      <c r="FJ94" s="524">
        <f>FI94</f>
        <v>2359</v>
      </c>
      <c r="FK94" s="590">
        <f>653+187+1070+75</f>
        <v>1985</v>
      </c>
      <c r="FL94" s="590">
        <f>200+802+192+1172+68</f>
        <v>2434</v>
      </c>
      <c r="FM94" s="590">
        <f>752+115+1478+72</f>
        <v>2417</v>
      </c>
      <c r="FN94" s="590">
        <f>468+78+1796+75</f>
        <v>2417</v>
      </c>
      <c r="FO94" s="524">
        <f>FN94</f>
        <v>2417</v>
      </c>
      <c r="FP94" s="590">
        <f>949+40+1779+96</f>
        <v>2864</v>
      </c>
      <c r="FQ94" s="590">
        <f>836+36+1911+109</f>
        <v>2892</v>
      </c>
      <c r="FR94" s="590">
        <f>1048+36+2048+312+120</f>
        <v>3564</v>
      </c>
      <c r="FS94" s="539">
        <f>1321+85+2424+312+98</f>
        <v>4240</v>
      </c>
      <c r="FT94" s="524">
        <f>FS94</f>
        <v>4240</v>
      </c>
      <c r="FU94" s="590">
        <f>1476+205+3070+312+518</f>
        <v>5581</v>
      </c>
      <c r="FV94" s="590">
        <f>1518+361+3074+312+258</f>
        <v>5523</v>
      </c>
      <c r="FW94" s="590">
        <f>2337+397+3598+359</f>
        <v>6691</v>
      </c>
      <c r="FX94" s="590">
        <f>2493+463+3077+0+336</f>
        <v>6369</v>
      </c>
      <c r="FY94" s="524">
        <f>FX94</f>
        <v>6369</v>
      </c>
      <c r="FZ94" s="590">
        <f>2518+353+3167+539</f>
        <v>6577</v>
      </c>
      <c r="GA94" s="590">
        <f>2779+313+2971+753+756</f>
        <v>7572</v>
      </c>
      <c r="GB94" s="590">
        <f>2245+325+3376+752+929</f>
        <v>7627</v>
      </c>
      <c r="GC94" s="590">
        <f>2055+363+3082+751+438</f>
        <v>6689</v>
      </c>
      <c r="GD94" s="524">
        <f>GC94</f>
        <v>6689</v>
      </c>
      <c r="GE94" s="590">
        <f>1418+438+3444+750+424</f>
        <v>6474</v>
      </c>
      <c r="GF94" s="590">
        <f>1699+420+3629+447</f>
        <v>6195</v>
      </c>
      <c r="GG94" s="590">
        <f>2530+461+4120+389</f>
        <v>7500</v>
      </c>
      <c r="GH94" s="590">
        <f>1990+476+4260+555</f>
        <v>7281</v>
      </c>
      <c r="GI94" s="524">
        <f>GH94</f>
        <v>7281</v>
      </c>
      <c r="GJ94" s="590">
        <f>2206+3876+947+674</f>
        <v>7703</v>
      </c>
      <c r="GK94" s="590">
        <f>3080+4479+1968+316</f>
        <v>9843</v>
      </c>
      <c r="GL94" s="590">
        <f>3483+5112+873+1908+324</f>
        <v>11700</v>
      </c>
      <c r="GM94" s="590">
        <f>2929+5250+874+402</f>
        <v>9455</v>
      </c>
      <c r="GN94" s="524">
        <f>GM94</f>
        <v>9455</v>
      </c>
      <c r="GO94" s="590">
        <f>2997+5785+874+850</f>
        <v>10506</v>
      </c>
      <c r="GP94" s="590">
        <f>GO94-GO137+GP137</f>
        <v>10845.330008278386</v>
      </c>
      <c r="GQ94" s="590">
        <f>GP94-GP137+GQ137</f>
        <v>11115.217011901317</v>
      </c>
      <c r="GR94" s="590">
        <f>GQ94-GQ137+GR137</f>
        <v>12584.50147937228</v>
      </c>
      <c r="GS94" s="524">
        <f>GR94</f>
        <v>12584.50147937228</v>
      </c>
      <c r="GT94" s="590">
        <f>GR94-GR137+GT137</f>
        <v>13019.642305263409</v>
      </c>
      <c r="GU94" s="590">
        <f>GT94-GT137+GU137</f>
        <v>13641.481801630302</v>
      </c>
      <c r="GV94" s="590">
        <f>GU94-GU137+GV137</f>
        <v>14664.990914221908</v>
      </c>
      <c r="GW94" s="590">
        <f>GV94-GV137+GW137</f>
        <v>15498.927749769584</v>
      </c>
      <c r="GX94" s="524">
        <f>GW94</f>
        <v>15498.927749769584</v>
      </c>
      <c r="GY94" s="590">
        <f>GW94-GW137+GY137</f>
        <v>15296.963841917435</v>
      </c>
      <c r="GZ94" s="590">
        <f>GY94-GY137+GZ137</f>
        <v>15679.03066865304</v>
      </c>
      <c r="HA94" s="590">
        <f>GZ94-GZ137+HA137</f>
        <v>16322.625257194659</v>
      </c>
      <c r="HB94" s="590">
        <f>HA94-HA137+HB137</f>
        <v>16980.679770853283</v>
      </c>
      <c r="HC94" s="524">
        <f>HB94</f>
        <v>16980.679770853283</v>
      </c>
      <c r="HD94" s="590">
        <f>HB94-HB137+HD137</f>
        <v>16779.247659111701</v>
      </c>
      <c r="HE94" s="590">
        <f>HD94-HD137+HE137</f>
        <v>17199.848303445237</v>
      </c>
      <c r="HF94" s="590">
        <f>HE94-HE137+HF137</f>
        <v>18018.094998477107</v>
      </c>
      <c r="HG94" s="590">
        <f>HF94-HF137+HG137</f>
        <v>18507.429389168443</v>
      </c>
      <c r="HH94" s="524">
        <f>HG94</f>
        <v>18507.429389168443</v>
      </c>
      <c r="HI94" s="590">
        <f>HG94-HG137+HI137</f>
        <v>18017.210489002598</v>
      </c>
      <c r="HJ94" s="590">
        <f>HI94-HI137+HJ137</f>
        <v>18486.678374783467</v>
      </c>
      <c r="HK94" s="590">
        <f>HJ94-HJ137+HK137</f>
        <v>19629.996017608137</v>
      </c>
      <c r="HL94" s="590">
        <f>HK94-HK137+HL137</f>
        <v>20216.473038572927</v>
      </c>
      <c r="HM94" s="524">
        <f>HL94</f>
        <v>20216.473038572927</v>
      </c>
      <c r="HN94" s="524"/>
      <c r="HO94" s="524"/>
      <c r="HP94" s="563"/>
      <c r="HR94" s="563"/>
      <c r="HS94" s="563"/>
      <c r="HT94" s="563"/>
      <c r="HU94" s="563"/>
      <c r="HV94" s="563"/>
      <c r="HW94" s="563"/>
      <c r="HX94" s="563"/>
    </row>
    <row r="95" spans="1:232" s="539" customFormat="1">
      <c r="A95" s="522" t="s">
        <v>423</v>
      </c>
      <c r="B95" s="509"/>
      <c r="C95" s="509"/>
      <c r="D95" s="509"/>
      <c r="E95" s="509"/>
      <c r="F95" s="509"/>
      <c r="G95" s="509"/>
      <c r="H95" s="509"/>
      <c r="I95" s="509"/>
      <c r="J95" s="509"/>
      <c r="K95" s="509"/>
      <c r="L95" s="523"/>
      <c r="M95" s="523"/>
      <c r="N95" s="523"/>
      <c r="O95" s="523"/>
      <c r="P95" s="524"/>
      <c r="Q95" s="523"/>
      <c r="R95" s="523"/>
      <c r="S95" s="523"/>
      <c r="T95" s="523"/>
      <c r="U95" s="524"/>
      <c r="V95" s="546"/>
      <c r="W95" s="546"/>
      <c r="X95" s="546"/>
      <c r="Y95" s="546"/>
      <c r="Z95" s="524"/>
      <c r="AA95" s="546"/>
      <c r="AB95" s="546"/>
      <c r="AC95" s="546"/>
      <c r="AD95" s="546"/>
      <c r="AE95" s="524"/>
      <c r="AF95" s="602">
        <v>20.343</v>
      </c>
      <c r="AG95" s="602">
        <v>28.271999999999998</v>
      </c>
      <c r="AH95" s="602">
        <v>44.396999999999998</v>
      </c>
      <c r="AI95" s="602">
        <v>79.504000000000005</v>
      </c>
      <c r="AJ95" s="524">
        <f>AI95</f>
        <v>79.504000000000005</v>
      </c>
      <c r="AK95" s="602">
        <v>81.108000000000004</v>
      </c>
      <c r="AL95" s="602">
        <v>85.314999999999998</v>
      </c>
      <c r="AM95" s="602">
        <v>80.744</v>
      </c>
      <c r="AN95" s="602">
        <v>75.751999999999995</v>
      </c>
      <c r="AO95" s="524">
        <f>AN95</f>
        <v>75.751999999999995</v>
      </c>
      <c r="AP95" s="602">
        <v>219.90600000000001</v>
      </c>
      <c r="AQ95" s="602">
        <v>223.22300000000001</v>
      </c>
      <c r="AR95" s="602">
        <v>216.37799999999999</v>
      </c>
      <c r="AS95" s="602">
        <v>214.965</v>
      </c>
      <c r="AT95" s="524">
        <f>AS95</f>
        <v>214.965</v>
      </c>
      <c r="AU95" s="602">
        <v>205.91800000000001</v>
      </c>
      <c r="AV95" s="602">
        <v>201.922</v>
      </c>
      <c r="AW95" s="602">
        <v>445.48899999999998</v>
      </c>
      <c r="AX95" s="602">
        <v>444.83</v>
      </c>
      <c r="AY95" s="524">
        <f>AX95</f>
        <v>444.83</v>
      </c>
      <c r="AZ95" s="602">
        <v>682.41300000000001</v>
      </c>
      <c r="BA95" s="602">
        <v>679.28399999999999</v>
      </c>
      <c r="BB95" s="602">
        <v>677.41899999999998</v>
      </c>
      <c r="BC95" s="602">
        <v>662.68899999999996</v>
      </c>
      <c r="BD95" s="524">
        <f>BC95</f>
        <v>662.68899999999996</v>
      </c>
      <c r="BE95" s="602">
        <v>666.27099999999996</v>
      </c>
      <c r="BF95" s="602">
        <v>1142.568</v>
      </c>
      <c r="BG95" s="602">
        <v>1364.23</v>
      </c>
      <c r="BH95" s="602">
        <v>1372.4159999999999</v>
      </c>
      <c r="BI95" s="524">
        <f>BH95</f>
        <v>1372.4159999999999</v>
      </c>
      <c r="BJ95" s="602">
        <v>1539.9570000000001</v>
      </c>
      <c r="BK95" s="602">
        <v>1440.5630000000001</v>
      </c>
      <c r="BL95" s="602">
        <v>1448.5519999999999</v>
      </c>
      <c r="BM95" s="602">
        <v>1427.2819999999999</v>
      </c>
      <c r="BN95" s="524">
        <f>BM95</f>
        <v>1427.2819999999999</v>
      </c>
      <c r="BO95" s="602">
        <v>1469.799</v>
      </c>
      <c r="BP95" s="602">
        <v>1481.7249999999999</v>
      </c>
      <c r="BQ95" s="602">
        <v>1223.4749999999999</v>
      </c>
      <c r="BR95" s="602">
        <v>1167.973</v>
      </c>
      <c r="BS95" s="524">
        <f>BR95</f>
        <v>1167.973</v>
      </c>
      <c r="BT95" s="602">
        <v>1392.97</v>
      </c>
      <c r="BU95" s="602">
        <v>754.71699999999998</v>
      </c>
      <c r="BV95" s="602">
        <v>796.02099999999996</v>
      </c>
      <c r="BW95" s="602">
        <v>672.94500000000005</v>
      </c>
      <c r="BX95" s="524">
        <f>BW95</f>
        <v>672.94500000000005</v>
      </c>
      <c r="BY95" s="602">
        <v>1123.671</v>
      </c>
      <c r="BZ95" s="602">
        <v>1141.06</v>
      </c>
      <c r="CA95" s="602">
        <v>1196.5309999999999</v>
      </c>
      <c r="CB95" s="602">
        <v>1779.837</v>
      </c>
      <c r="CC95" s="524">
        <f>CB95</f>
        <v>1779.837</v>
      </c>
      <c r="CD95" s="602">
        <v>1767.0360000000001</v>
      </c>
      <c r="CE95" s="602">
        <v>1587.009</v>
      </c>
      <c r="CF95" s="602">
        <v>1880.8589999999999</v>
      </c>
      <c r="CG95" s="602">
        <v>1899.674</v>
      </c>
      <c r="CH95" s="524">
        <f>CG95</f>
        <v>1899.674</v>
      </c>
      <c r="CI95" s="602">
        <v>1801.002</v>
      </c>
      <c r="CJ95" s="602">
        <v>1748.049</v>
      </c>
      <c r="CK95" s="602">
        <v>1827.0170000000001</v>
      </c>
      <c r="CL95" s="602">
        <v>1628.268</v>
      </c>
      <c r="CM95" s="524">
        <f>CL95</f>
        <v>1628.268</v>
      </c>
      <c r="CN95" s="602">
        <v>1622.046</v>
      </c>
      <c r="CO95" s="539">
        <v>1591.5840000000001</v>
      </c>
      <c r="CP95" s="539">
        <v>1708.8720000000001</v>
      </c>
      <c r="CQ95" s="539">
        <f>1327.064</f>
        <v>1327.0640000000001</v>
      </c>
      <c r="CR95" s="524">
        <f>CQ95</f>
        <v>1327.0640000000001</v>
      </c>
      <c r="CS95" s="539">
        <v>615.87400000000002</v>
      </c>
      <c r="CT95" s="539">
        <v>647.10900000000004</v>
      </c>
      <c r="CU95" s="539">
        <v>644.35699999999997</v>
      </c>
      <c r="CV95" s="539">
        <v>3672</v>
      </c>
      <c r="CW95" s="524">
        <f>CV95</f>
        <v>3672</v>
      </c>
      <c r="CX95" s="539">
        <v>3659</v>
      </c>
      <c r="CY95" s="539">
        <v>5318</v>
      </c>
      <c r="CZ95" s="539">
        <v>5117</v>
      </c>
      <c r="DA95" s="539">
        <v>5031</v>
      </c>
      <c r="DB95" s="524">
        <f>DA95</f>
        <v>5031</v>
      </c>
      <c r="DC95" s="539">
        <f>5025</f>
        <v>5025</v>
      </c>
      <c r="DD95" s="539">
        <v>4955</v>
      </c>
      <c r="DE95" s="539">
        <v>4874</v>
      </c>
      <c r="DF95" s="539">
        <v>4702</v>
      </c>
      <c r="DG95" s="524">
        <f>DF95</f>
        <v>4702</v>
      </c>
      <c r="DH95" s="539">
        <v>5282</v>
      </c>
      <c r="DI95" s="539">
        <v>5243</v>
      </c>
      <c r="DJ95" s="539">
        <v>5275</v>
      </c>
      <c r="DK95" s="539">
        <v>4252</v>
      </c>
      <c r="DL95" s="524">
        <f>DK95</f>
        <v>4252</v>
      </c>
      <c r="DM95" s="539">
        <v>2601</v>
      </c>
      <c r="DN95" s="539">
        <v>2418</v>
      </c>
      <c r="DO95" s="539">
        <v>2185</v>
      </c>
      <c r="DP95" s="539">
        <v>2188</v>
      </c>
      <c r="DQ95" s="524">
        <f>DP95</f>
        <v>2188</v>
      </c>
      <c r="DR95" s="539">
        <v>2192</v>
      </c>
      <c r="DS95" s="539">
        <v>2195</v>
      </c>
      <c r="DT95" s="539">
        <v>1571</v>
      </c>
      <c r="DU95" s="539">
        <v>1527</v>
      </c>
      <c r="DV95" s="524">
        <f>DU95</f>
        <v>1527</v>
      </c>
      <c r="DW95" s="539">
        <v>1529</v>
      </c>
      <c r="DX95" s="539">
        <v>1532</v>
      </c>
      <c r="DY95" s="539">
        <v>2035</v>
      </c>
      <c r="DZ95" s="539">
        <v>2037</v>
      </c>
      <c r="EA95" s="524">
        <f>DZ95</f>
        <v>2037</v>
      </c>
      <c r="EB95" s="539">
        <v>2039</v>
      </c>
      <c r="EC95" s="539">
        <v>2042</v>
      </c>
      <c r="ED95" s="539">
        <v>2044</v>
      </c>
      <c r="EE95" s="539">
        <v>1998</v>
      </c>
      <c r="EF95" s="524">
        <f>EE95</f>
        <v>1998</v>
      </c>
      <c r="EG95" s="539">
        <v>2078</v>
      </c>
      <c r="EH95" s="539">
        <v>2109</v>
      </c>
      <c r="EI95" s="539">
        <v>2106</v>
      </c>
      <c r="EJ95" s="539">
        <v>2035</v>
      </c>
      <c r="EK95" s="524">
        <f>EJ95</f>
        <v>2035</v>
      </c>
      <c r="EL95" s="539">
        <v>2033</v>
      </c>
      <c r="EM95" s="539">
        <v>2034</v>
      </c>
      <c r="EN95" s="539">
        <v>2030</v>
      </c>
      <c r="EO95" s="539">
        <v>2032</v>
      </c>
      <c r="EP95" s="524">
        <f>EO95</f>
        <v>2032</v>
      </c>
      <c r="EQ95" s="539">
        <f>2006</f>
        <v>2006</v>
      </c>
      <c r="ER95" s="539">
        <f>2012</f>
        <v>2012</v>
      </c>
      <c r="ES95" s="539">
        <v>1632</v>
      </c>
      <c r="ET95" s="539">
        <v>1435</v>
      </c>
      <c r="EU95" s="524">
        <f>ET95</f>
        <v>1435</v>
      </c>
      <c r="EV95" s="539">
        <v>1408</v>
      </c>
      <c r="EW95" s="539">
        <v>1375</v>
      </c>
      <c r="EX95" s="539">
        <v>1356</v>
      </c>
      <c r="EY95" s="539">
        <v>1325</v>
      </c>
      <c r="EZ95" s="524">
        <f>EY95</f>
        <v>1325</v>
      </c>
      <c r="FA95" s="539">
        <v>1165</v>
      </c>
      <c r="FB95" s="539">
        <v>1170</v>
      </c>
      <c r="FC95" s="539">
        <v>1167</v>
      </c>
      <c r="FD95" s="539">
        <v>1114</v>
      </c>
      <c r="FE95" s="524">
        <f>FD95</f>
        <v>1114</v>
      </c>
      <c r="FF95" s="539">
        <v>1024</v>
      </c>
      <c r="FG95" s="539">
        <v>1031</v>
      </c>
      <c r="FH95" s="539">
        <v>872</v>
      </c>
      <c r="FI95" s="539">
        <v>486</v>
      </c>
      <c r="FJ95" s="524">
        <f>FI95</f>
        <v>486</v>
      </c>
      <c r="FK95" s="539">
        <v>488</v>
      </c>
      <c r="FL95" s="539">
        <v>490</v>
      </c>
      <c r="FM95" s="539">
        <v>373</v>
      </c>
      <c r="FN95" s="539">
        <v>330</v>
      </c>
      <c r="FO95" s="524">
        <f>FN95</f>
        <v>330</v>
      </c>
      <c r="FP95" s="539">
        <v>313</v>
      </c>
      <c r="FQ95" s="539">
        <v>313</v>
      </c>
      <c r="FR95" s="539">
        <v>1</v>
      </c>
      <c r="FS95" s="539">
        <v>1</v>
      </c>
      <c r="FT95" s="524">
        <f>FS95</f>
        <v>1</v>
      </c>
      <c r="FU95" s="539">
        <v>1475</v>
      </c>
      <c r="FV95" s="539">
        <v>2465</v>
      </c>
      <c r="FW95" s="539">
        <v>2466</v>
      </c>
      <c r="FX95" s="539">
        <v>2467</v>
      </c>
      <c r="FY95" s="524">
        <f>FX95</f>
        <v>2467</v>
      </c>
      <c r="FZ95" s="539">
        <v>2467</v>
      </c>
      <c r="GA95" s="539">
        <v>1714</v>
      </c>
      <c r="GB95" s="539">
        <v>1715</v>
      </c>
      <c r="GC95" s="539">
        <v>1717</v>
      </c>
      <c r="GD95" s="524">
        <f>GC95</f>
        <v>1717</v>
      </c>
      <c r="GE95" s="539">
        <v>1718</v>
      </c>
      <c r="GF95" s="539">
        <v>1719</v>
      </c>
      <c r="GG95" s="539">
        <v>1720</v>
      </c>
      <c r="GH95" s="539">
        <v>1721</v>
      </c>
      <c r="GI95" s="524">
        <f>GH95</f>
        <v>1721</v>
      </c>
      <c r="GJ95" s="539">
        <v>3217</v>
      </c>
      <c r="GK95" s="539">
        <v>3218</v>
      </c>
      <c r="GL95" s="539">
        <v>2347</v>
      </c>
      <c r="GM95" s="539">
        <v>2348</v>
      </c>
      <c r="GN95" s="524">
        <f>GM95</f>
        <v>2348</v>
      </c>
      <c r="GO95" s="539">
        <v>2350</v>
      </c>
      <c r="GP95" s="539">
        <f>GO95+GP118+GP119</f>
        <v>2350</v>
      </c>
      <c r="GQ95" s="539">
        <f>GP95+GQ118+GQ119</f>
        <v>2350</v>
      </c>
      <c r="GR95" s="539">
        <f>GQ95+GR118</f>
        <v>2350</v>
      </c>
      <c r="GS95" s="524">
        <f>GR95</f>
        <v>2350</v>
      </c>
      <c r="GT95" s="539">
        <f>GS95+GT118+GT119</f>
        <v>2350</v>
      </c>
      <c r="GU95" s="539">
        <f>GT95+GU118+GU119</f>
        <v>2350</v>
      </c>
      <c r="GV95" s="539">
        <f>GU95+GV118+GV119</f>
        <v>2350</v>
      </c>
      <c r="GW95" s="539">
        <f>GV95+GW118</f>
        <v>2350</v>
      </c>
      <c r="GX95" s="524">
        <f>GW95</f>
        <v>2350</v>
      </c>
      <c r="GY95" s="539">
        <f>GX95+GY118+GY119</f>
        <v>2350</v>
      </c>
      <c r="GZ95" s="539">
        <f>GY95+GZ118+GZ119</f>
        <v>2350</v>
      </c>
      <c r="HA95" s="539">
        <f>GZ95+HA118+HA119</f>
        <v>2350</v>
      </c>
      <c r="HB95" s="539">
        <f>HA95+HB118</f>
        <v>2350</v>
      </c>
      <c r="HC95" s="524">
        <f>HB95</f>
        <v>2350</v>
      </c>
      <c r="HD95" s="539">
        <f>HC95+HD118+HD119</f>
        <v>2350</v>
      </c>
      <c r="HE95" s="539">
        <f>HD95+HE118+HE119</f>
        <v>2350</v>
      </c>
      <c r="HF95" s="539">
        <f>HE95+HF118+HF119</f>
        <v>2350</v>
      </c>
      <c r="HG95" s="539">
        <f>HF95+HG118</f>
        <v>2350</v>
      </c>
      <c r="HH95" s="524">
        <f>HG95</f>
        <v>2350</v>
      </c>
      <c r="HI95" s="539">
        <f>HH95+HI118+HI119</f>
        <v>2350</v>
      </c>
      <c r="HJ95" s="539">
        <f>HI95+HJ118+HJ119</f>
        <v>2350</v>
      </c>
      <c r="HK95" s="539">
        <f>HJ95+HK118+HK119</f>
        <v>2350</v>
      </c>
      <c r="HL95" s="539">
        <f>HK95+HL118</f>
        <v>2350</v>
      </c>
      <c r="HM95" s="524">
        <f>HL95</f>
        <v>2350</v>
      </c>
      <c r="HN95" s="524"/>
      <c r="HO95" s="524"/>
      <c r="HP95" s="606"/>
      <c r="HR95" s="606"/>
      <c r="HS95" s="606"/>
      <c r="HT95" s="606"/>
      <c r="HU95" s="606"/>
      <c r="HV95" s="606"/>
      <c r="HW95" s="606"/>
      <c r="HX95" s="606"/>
    </row>
    <row r="96" spans="1:232" s="509" customFormat="1">
      <c r="A96" s="522" t="s">
        <v>424</v>
      </c>
      <c r="L96" s="523"/>
      <c r="M96" s="523"/>
      <c r="N96" s="523"/>
      <c r="O96" s="523"/>
      <c r="P96" s="524"/>
      <c r="Q96" s="523"/>
      <c r="R96" s="523"/>
      <c r="S96" s="523"/>
      <c r="T96" s="523"/>
      <c r="U96" s="524"/>
      <c r="V96" s="546"/>
      <c r="W96" s="546"/>
      <c r="X96" s="546"/>
      <c r="Y96" s="546"/>
      <c r="Z96" s="524"/>
      <c r="AA96" s="546"/>
      <c r="AB96" s="546"/>
      <c r="AC96" s="546"/>
      <c r="AD96" s="546"/>
      <c r="AE96" s="524"/>
      <c r="AF96" s="602">
        <v>36.985999999999997</v>
      </c>
      <c r="AG96" s="602">
        <v>36.985999999999997</v>
      </c>
      <c r="AH96" s="602">
        <v>36.985999999999997</v>
      </c>
      <c r="AI96" s="602">
        <v>42.837000000000003</v>
      </c>
      <c r="AJ96" s="524">
        <f>AI96</f>
        <v>42.837000000000003</v>
      </c>
      <c r="AK96" s="602">
        <v>42.837000000000003</v>
      </c>
      <c r="AL96" s="602">
        <v>42.837000000000003</v>
      </c>
      <c r="AM96" s="602">
        <v>42.837000000000003</v>
      </c>
      <c r="AN96" s="602">
        <v>42.518000000000001</v>
      </c>
      <c r="AO96" s="524">
        <f>AN96</f>
        <v>42.518000000000001</v>
      </c>
      <c r="AP96" s="602">
        <v>42.518000000000001</v>
      </c>
      <c r="AQ96" s="602">
        <v>42.518000000000001</v>
      </c>
      <c r="AR96" s="602">
        <v>42.518000000000001</v>
      </c>
      <c r="AS96" s="602">
        <v>94.438999999999993</v>
      </c>
      <c r="AT96" s="524">
        <f>AS96</f>
        <v>94.438999999999993</v>
      </c>
      <c r="AU96" s="602">
        <v>94.206999999999994</v>
      </c>
      <c r="AV96" s="602">
        <v>103.807</v>
      </c>
      <c r="AW96" s="602">
        <v>97.406999999999996</v>
      </c>
      <c r="AX96" s="602">
        <v>95.102000000000004</v>
      </c>
      <c r="AY96" s="524">
        <f>AX96</f>
        <v>95.102000000000004</v>
      </c>
      <c r="AZ96" s="602">
        <v>98.777000000000001</v>
      </c>
      <c r="BA96" s="602">
        <v>102.452</v>
      </c>
      <c r="BB96" s="602">
        <v>82.856999999999999</v>
      </c>
      <c r="BC96" s="602">
        <v>96.269000000000005</v>
      </c>
      <c r="BD96" s="524">
        <f>BC96</f>
        <v>96.269000000000005</v>
      </c>
      <c r="BE96" s="602">
        <v>41.567999999999998</v>
      </c>
      <c r="BF96" s="602">
        <v>5.4610000000000003</v>
      </c>
      <c r="BG96" s="602">
        <v>2.339</v>
      </c>
      <c r="BH96" s="602">
        <v>34.783999999999999</v>
      </c>
      <c r="BI96" s="524">
        <f>BH96</f>
        <v>34.783999999999999</v>
      </c>
      <c r="BJ96" s="602">
        <v>28.225999999999999</v>
      </c>
      <c r="BK96" s="602">
        <v>60.113</v>
      </c>
      <c r="BL96" s="602">
        <v>58.036999999999999</v>
      </c>
      <c r="BM96" s="602">
        <v>60.491</v>
      </c>
      <c r="BN96" s="524">
        <f>BM96</f>
        <v>60.491</v>
      </c>
      <c r="BO96" s="602">
        <v>59.975999999999999</v>
      </c>
      <c r="BP96" s="602">
        <v>101.861</v>
      </c>
      <c r="BQ96" s="602">
        <v>182.977</v>
      </c>
      <c r="BR96" s="602">
        <v>203.98599999999999</v>
      </c>
      <c r="BS96" s="524">
        <f>BR96</f>
        <v>203.98599999999999</v>
      </c>
      <c r="BT96" s="602">
        <v>198.066</v>
      </c>
      <c r="BU96" s="602">
        <v>198.203</v>
      </c>
      <c r="BV96" s="602">
        <v>139.85</v>
      </c>
      <c r="BW96" s="602">
        <v>105.30500000000001</v>
      </c>
      <c r="BX96" s="524">
        <f>BW96</f>
        <v>105.30500000000001</v>
      </c>
      <c r="BY96" s="602">
        <v>104.661</v>
      </c>
      <c r="BZ96" s="602">
        <v>75.438000000000002</v>
      </c>
      <c r="CA96" s="602">
        <v>0</v>
      </c>
      <c r="CB96" s="602">
        <v>0</v>
      </c>
      <c r="CC96" s="524">
        <f>CB96</f>
        <v>0</v>
      </c>
      <c r="CD96" s="546">
        <v>0</v>
      </c>
      <c r="CE96" s="546">
        <f>359.625</f>
        <v>359.625</v>
      </c>
      <c r="CF96" s="546">
        <f>95.345+425.282+711.056</f>
        <v>1231.683</v>
      </c>
      <c r="CG96" s="546">
        <f>157.69+428.761+717.64</f>
        <v>1304.0909999999999</v>
      </c>
      <c r="CH96" s="524">
        <f>CG96</f>
        <v>1304.0909999999999</v>
      </c>
      <c r="CI96" s="546">
        <f>172.866+383.048+716.481</f>
        <v>1272.395</v>
      </c>
      <c r="CJ96" s="546">
        <f>162.752+349.289+718.216</f>
        <v>1230.2570000000001</v>
      </c>
      <c r="CK96" s="546">
        <f>147.514+353.137+799.403</f>
        <v>1300.0540000000001</v>
      </c>
      <c r="CL96" s="546">
        <f>104.246+414.626+840.641</f>
        <v>1359.5129999999999</v>
      </c>
      <c r="CM96" s="524">
        <f>CL96</f>
        <v>1359.5129999999999</v>
      </c>
      <c r="CN96" s="546">
        <f>85.209+488.036+788.313</f>
        <v>1361.558</v>
      </c>
      <c r="CO96" s="599">
        <f>462.314+806.24+68.131</f>
        <v>1336.6850000000002</v>
      </c>
      <c r="CP96" s="599">
        <f>436.802+777.052+50.63</f>
        <v>1264.4840000000002</v>
      </c>
      <c r="CQ96" s="599">
        <f>459.323+234.988+92.605</f>
        <v>786.91599999999994</v>
      </c>
      <c r="CR96" s="524">
        <f>CQ96</f>
        <v>786.91599999999994</v>
      </c>
      <c r="CS96" s="599">
        <f>104.98+428.074+244.672</f>
        <v>777.726</v>
      </c>
      <c r="CT96" s="599">
        <f>450.289+267.095+90.323</f>
        <v>807.70699999999999</v>
      </c>
      <c r="CU96" s="599">
        <f>482.204+272.116+75.861</f>
        <v>830.18099999999993</v>
      </c>
      <c r="CV96" s="599">
        <f>517+290+31</f>
        <v>838</v>
      </c>
      <c r="CW96" s="524">
        <f>CV96</f>
        <v>838</v>
      </c>
      <c r="CX96" s="599">
        <f>591+303+43</f>
        <v>937</v>
      </c>
      <c r="CY96" s="599">
        <f>56+610+292</f>
        <v>958</v>
      </c>
      <c r="CZ96" s="599">
        <f>650+308+32</f>
        <v>990</v>
      </c>
      <c r="DA96" s="599">
        <f>6+633+265</f>
        <v>904</v>
      </c>
      <c r="DB96" s="524">
        <f>DA96</f>
        <v>904</v>
      </c>
      <c r="DC96" s="599">
        <f>615+4+189</f>
        <v>808</v>
      </c>
      <c r="DD96" s="599">
        <f>3+695+189</f>
        <v>887</v>
      </c>
      <c r="DE96" s="599">
        <f>657+175+4</f>
        <v>836</v>
      </c>
      <c r="DF96" s="599">
        <f>569+169+91</f>
        <v>829</v>
      </c>
      <c r="DG96" s="524">
        <f>DF96</f>
        <v>829</v>
      </c>
      <c r="DH96" s="599">
        <f>219+546+1089</f>
        <v>1854</v>
      </c>
      <c r="DI96" s="599">
        <f>577+1085+221</f>
        <v>1883</v>
      </c>
      <c r="DJ96" s="599">
        <f>645+1077+243</f>
        <v>1965</v>
      </c>
      <c r="DK96" s="599">
        <f>1076+695+197</f>
        <v>1968</v>
      </c>
      <c r="DL96" s="524">
        <f>DK96</f>
        <v>1968</v>
      </c>
      <c r="DM96" s="599">
        <f>189+1</f>
        <v>190</v>
      </c>
      <c r="DN96" s="599">
        <f>154+1</f>
        <v>155</v>
      </c>
      <c r="DO96" s="599">
        <f>102+29</f>
        <v>131</v>
      </c>
      <c r="DP96" s="599">
        <f>82+7</f>
        <v>89</v>
      </c>
      <c r="DQ96" s="524">
        <f>DP96</f>
        <v>89</v>
      </c>
      <c r="DR96" s="599">
        <v>84</v>
      </c>
      <c r="DS96" s="599">
        <v>76</v>
      </c>
      <c r="DT96" s="599">
        <f>66</f>
        <v>66</v>
      </c>
      <c r="DU96" s="599">
        <v>63</v>
      </c>
      <c r="DV96" s="524">
        <f>DU96</f>
        <v>63</v>
      </c>
      <c r="DW96" s="599">
        <v>60</v>
      </c>
      <c r="DX96" s="599">
        <v>40</v>
      </c>
      <c r="DY96" s="599">
        <v>33</v>
      </c>
      <c r="DZ96" s="599">
        <v>28</v>
      </c>
      <c r="EA96" s="524">
        <f>DZ96</f>
        <v>28</v>
      </c>
      <c r="EB96" s="599">
        <v>22</v>
      </c>
      <c r="EC96" s="599">
        <v>45</v>
      </c>
      <c r="ED96" s="599">
        <v>77</v>
      </c>
      <c r="EE96" s="599">
        <v>177</v>
      </c>
      <c r="EF96" s="524">
        <f>EE96</f>
        <v>177</v>
      </c>
      <c r="EG96" s="599">
        <v>135</v>
      </c>
      <c r="EH96" s="599">
        <v>131</v>
      </c>
      <c r="EI96" s="599">
        <v>118</v>
      </c>
      <c r="EJ96" s="599">
        <v>105</v>
      </c>
      <c r="EK96" s="524">
        <f>EJ96</f>
        <v>105</v>
      </c>
      <c r="EL96" s="599">
        <v>86</v>
      </c>
      <c r="EM96" s="599">
        <v>89</v>
      </c>
      <c r="EN96" s="599">
        <v>86</v>
      </c>
      <c r="EO96" s="599">
        <v>86</v>
      </c>
      <c r="EP96" s="524">
        <f>EO96</f>
        <v>86</v>
      </c>
      <c r="EQ96" s="599">
        <v>150</v>
      </c>
      <c r="ER96" s="599">
        <f>136</f>
        <v>136</v>
      </c>
      <c r="ES96" s="599">
        <v>126</v>
      </c>
      <c r="ET96" s="599">
        <v>124</v>
      </c>
      <c r="EU96" s="524">
        <f>ET96</f>
        <v>124</v>
      </c>
      <c r="EV96" s="599">
        <v>110</v>
      </c>
      <c r="EW96" s="599">
        <v>129</v>
      </c>
      <c r="EX96" s="599">
        <v>119</v>
      </c>
      <c r="EY96" s="599">
        <v>118</v>
      </c>
      <c r="EZ96" s="524">
        <f>EY96</f>
        <v>118</v>
      </c>
      <c r="FA96" s="599">
        <v>186</v>
      </c>
      <c r="FB96" s="599">
        <v>186</v>
      </c>
      <c r="FC96" s="599">
        <v>177</v>
      </c>
      <c r="FD96" s="599">
        <v>192</v>
      </c>
      <c r="FE96" s="524">
        <f>FD96</f>
        <v>192</v>
      </c>
      <c r="FF96" s="599">
        <f>213+142</f>
        <v>355</v>
      </c>
      <c r="FG96" s="599">
        <f>211+155</f>
        <v>366</v>
      </c>
      <c r="FH96" s="599">
        <f>201+140</f>
        <v>341</v>
      </c>
      <c r="FI96" s="599">
        <f>199+157</f>
        <v>356</v>
      </c>
      <c r="FJ96" s="524">
        <f>FI96</f>
        <v>356</v>
      </c>
      <c r="FK96" s="599">
        <f>211+143</f>
        <v>354</v>
      </c>
      <c r="FL96" s="599">
        <f>204+150</f>
        <v>354</v>
      </c>
      <c r="FM96" s="599">
        <f>205+161</f>
        <v>366</v>
      </c>
      <c r="FN96" s="599">
        <f>201+177</f>
        <v>378</v>
      </c>
      <c r="FO96" s="524">
        <f>FN96</f>
        <v>378</v>
      </c>
      <c r="FP96" s="599">
        <f>238+155</f>
        <v>393</v>
      </c>
      <c r="FQ96" s="599">
        <f>240+181</f>
        <v>421</v>
      </c>
      <c r="FR96" s="599">
        <f>269+183</f>
        <v>452</v>
      </c>
      <c r="FS96" s="539">
        <f>348+333</f>
        <v>681</v>
      </c>
      <c r="FT96" s="524">
        <f>FS96</f>
        <v>681</v>
      </c>
      <c r="FU96" s="599">
        <f>370+3109+1047</f>
        <v>4526</v>
      </c>
      <c r="FV96" s="599">
        <f>422+2805+1118</f>
        <v>4345</v>
      </c>
      <c r="FW96" s="599">
        <f>424+2078+1610</f>
        <v>4112</v>
      </c>
      <c r="FX96" s="599">
        <f>396+1664+1934</f>
        <v>3994</v>
      </c>
      <c r="FY96" s="524">
        <f>FX96</f>
        <v>3994</v>
      </c>
      <c r="FZ96" s="599">
        <f>381+1641+1874</f>
        <v>3896</v>
      </c>
      <c r="GA96" s="599">
        <f>393+1365+1787</f>
        <v>3545</v>
      </c>
      <c r="GB96" s="599">
        <f>395+1152+1767</f>
        <v>3314</v>
      </c>
      <c r="GC96" s="599">
        <f>535+1202+1850</f>
        <v>3587</v>
      </c>
      <c r="GD96" s="524">
        <f>GC96</f>
        <v>3587</v>
      </c>
      <c r="GE96" s="599">
        <f>530+1199+1776</f>
        <v>3505</v>
      </c>
      <c r="GF96" s="599">
        <f>526+1192+1716</f>
        <v>3434</v>
      </c>
      <c r="GG96" s="599">
        <f>518+1162+1751</f>
        <v>3431</v>
      </c>
      <c r="GH96" s="599">
        <f>491+349+1816</f>
        <v>2656</v>
      </c>
      <c r="GI96" s="524">
        <f>GH96</f>
        <v>2656</v>
      </c>
      <c r="GJ96" s="599">
        <f>567+343+1839</f>
        <v>2749</v>
      </c>
      <c r="GK96" s="599">
        <f>668+341+1085</f>
        <v>2094</v>
      </c>
      <c r="GL96" s="599">
        <f>650+326+1078</f>
        <v>2054</v>
      </c>
      <c r="GM96" s="599">
        <f>625+313+1186</f>
        <v>2124</v>
      </c>
      <c r="GN96" s="524">
        <f>GM96</f>
        <v>2124</v>
      </c>
      <c r="GO96" s="599">
        <f>647+307+1370</f>
        <v>2324</v>
      </c>
      <c r="GP96" s="599">
        <f>GO96</f>
        <v>2324</v>
      </c>
      <c r="GQ96" s="599">
        <f>GP96</f>
        <v>2324</v>
      </c>
      <c r="GR96" s="599">
        <f>GQ96</f>
        <v>2324</v>
      </c>
      <c r="GS96" s="524">
        <f>GR96</f>
        <v>2324</v>
      </c>
      <c r="GT96" s="599">
        <f>GR96</f>
        <v>2324</v>
      </c>
      <c r="GU96" s="599">
        <f>GT96</f>
        <v>2324</v>
      </c>
      <c r="GV96" s="599">
        <f>GU96</f>
        <v>2324</v>
      </c>
      <c r="GW96" s="599">
        <f>GV96</f>
        <v>2324</v>
      </c>
      <c r="GX96" s="524">
        <f>GW96</f>
        <v>2324</v>
      </c>
      <c r="GY96" s="599">
        <f>GW96</f>
        <v>2324</v>
      </c>
      <c r="GZ96" s="599">
        <f>GY96</f>
        <v>2324</v>
      </c>
      <c r="HA96" s="599">
        <f>GZ96</f>
        <v>2324</v>
      </c>
      <c r="HB96" s="599">
        <f>HA96</f>
        <v>2324</v>
      </c>
      <c r="HC96" s="524">
        <f>HB96</f>
        <v>2324</v>
      </c>
      <c r="HD96" s="599">
        <f>HB96</f>
        <v>2324</v>
      </c>
      <c r="HE96" s="599">
        <f>HD96</f>
        <v>2324</v>
      </c>
      <c r="HF96" s="599">
        <f>HE96</f>
        <v>2324</v>
      </c>
      <c r="HG96" s="599">
        <f>HF96</f>
        <v>2324</v>
      </c>
      <c r="HH96" s="524">
        <f>HG96</f>
        <v>2324</v>
      </c>
      <c r="HI96" s="599">
        <f>HG96</f>
        <v>2324</v>
      </c>
      <c r="HJ96" s="599">
        <f>HI96</f>
        <v>2324</v>
      </c>
      <c r="HK96" s="599">
        <f>HJ96</f>
        <v>2324</v>
      </c>
      <c r="HL96" s="599">
        <f>HK96</f>
        <v>2324</v>
      </c>
      <c r="HM96" s="524">
        <f>HL96</f>
        <v>2324</v>
      </c>
      <c r="HN96" s="524"/>
      <c r="HO96" s="524"/>
      <c r="HP96" s="563"/>
      <c r="HR96" s="563"/>
      <c r="HS96" s="563"/>
      <c r="HT96" s="563"/>
      <c r="HU96" s="563"/>
      <c r="HV96" s="563"/>
      <c r="HW96" s="563"/>
      <c r="HX96" s="563"/>
    </row>
    <row r="97" spans="1:232" s="509" customFormat="1">
      <c r="A97" s="522" t="s">
        <v>425</v>
      </c>
      <c r="L97" s="523"/>
      <c r="M97" s="523"/>
      <c r="N97" s="523"/>
      <c r="O97" s="523"/>
      <c r="P97" s="524"/>
      <c r="Q97" s="523"/>
      <c r="R97" s="523"/>
      <c r="S97" s="523"/>
      <c r="T97" s="523"/>
      <c r="U97" s="524"/>
      <c r="V97" s="546"/>
      <c r="W97" s="546"/>
      <c r="X97" s="546"/>
      <c r="Y97" s="546"/>
      <c r="Z97" s="524"/>
      <c r="AA97" s="546"/>
      <c r="AB97" s="546"/>
      <c r="AC97" s="546"/>
      <c r="AD97" s="546"/>
      <c r="AE97" s="524"/>
      <c r="AF97" s="602">
        <v>1121.44</v>
      </c>
      <c r="AG97" s="602">
        <v>1223.143</v>
      </c>
      <c r="AH97" s="602">
        <v>1302.9549999999999</v>
      </c>
      <c r="AI97" s="602">
        <v>1352.2359999999999</v>
      </c>
      <c r="AJ97" s="524">
        <f>AI97</f>
        <v>1352.2359999999999</v>
      </c>
      <c r="AK97" s="602">
        <v>1442.635</v>
      </c>
      <c r="AL97" s="602">
        <v>1558.838</v>
      </c>
      <c r="AM97" s="602">
        <v>1663.857</v>
      </c>
      <c r="AN97" s="602">
        <v>1735.2650000000001</v>
      </c>
      <c r="AO97" s="524">
        <f>AN97</f>
        <v>1735.2650000000001</v>
      </c>
      <c r="AP97" s="602">
        <v>1842.4169999999999</v>
      </c>
      <c r="AQ97" s="602">
        <v>1948.7729999999999</v>
      </c>
      <c r="AR97" s="602">
        <v>2020.4549999999999</v>
      </c>
      <c r="AS97" s="602">
        <v>2100.1280000000002</v>
      </c>
      <c r="AT97" s="524">
        <f>AS97</f>
        <v>2100.1280000000002</v>
      </c>
      <c r="AU97" s="602">
        <v>2121.9479999999999</v>
      </c>
      <c r="AV97" s="602">
        <v>2071.355</v>
      </c>
      <c r="AW97" s="602">
        <v>2036.6579999999999</v>
      </c>
      <c r="AX97" s="602">
        <v>2021.8779999999999</v>
      </c>
      <c r="AY97" s="524">
        <f>AX97</f>
        <v>2021.8779999999999</v>
      </c>
      <c r="AZ97" s="602">
        <v>2043.7570000000001</v>
      </c>
      <c r="BA97" s="602">
        <v>2090.547</v>
      </c>
      <c r="BB97" s="602">
        <v>2043.6169999999997</v>
      </c>
      <c r="BC97" s="602">
        <v>2029.5430000000001</v>
      </c>
      <c r="BD97" s="524">
        <f>BC97</f>
        <v>2029.5430000000001</v>
      </c>
      <c r="BE97" s="602">
        <v>1965.711</v>
      </c>
      <c r="BF97" s="602">
        <v>1918.451</v>
      </c>
      <c r="BG97" s="602">
        <v>1929.6959999999999</v>
      </c>
      <c r="BH97" s="602">
        <v>2005.0489999999998</v>
      </c>
      <c r="BI97" s="524">
        <f>BH97</f>
        <v>2005.0489999999998</v>
      </c>
      <c r="BJ97" s="602">
        <v>1873.694</v>
      </c>
      <c r="BK97" s="602">
        <v>1962.1610000000001</v>
      </c>
      <c r="BL97" s="602">
        <v>1918.7650000000001</v>
      </c>
      <c r="BM97" s="602">
        <v>1979.2729999999999</v>
      </c>
      <c r="BN97" s="524">
        <f>BM97</f>
        <v>1979.2729999999999</v>
      </c>
      <c r="BO97" s="602">
        <v>2198.3719999999998</v>
      </c>
      <c r="BP97" s="602">
        <v>2443.1710000000003</v>
      </c>
      <c r="BQ97" s="602">
        <v>2901.2139999999995</v>
      </c>
      <c r="BR97" s="602">
        <v>3171.6669999999999</v>
      </c>
      <c r="BS97" s="524">
        <f>BR97</f>
        <v>3171.6669999999999</v>
      </c>
      <c r="BT97" s="602">
        <v>3276.636</v>
      </c>
      <c r="BU97" s="602">
        <v>3800.3050000000003</v>
      </c>
      <c r="BV97" s="602">
        <v>3630.788</v>
      </c>
      <c r="BW97" s="602">
        <v>3555.0550000000003</v>
      </c>
      <c r="BX97" s="524">
        <f>BW97</f>
        <v>3555.0550000000003</v>
      </c>
      <c r="BY97" s="602">
        <v>3509.6030000000001</v>
      </c>
      <c r="BZ97" s="602">
        <v>3512.4079999999999</v>
      </c>
      <c r="CA97" s="602">
        <v>3241.0920000000001</v>
      </c>
      <c r="CB97" s="602">
        <v>2467.2649999999999</v>
      </c>
      <c r="CC97" s="524">
        <f>CB97</f>
        <v>2467.2649999999999</v>
      </c>
      <c r="CD97" s="602">
        <v>2361.884</v>
      </c>
      <c r="CE97" s="602">
        <v>2283.2800000000002</v>
      </c>
      <c r="CF97" s="602">
        <v>2282.7840000000001</v>
      </c>
      <c r="CG97" s="602">
        <v>2438.31</v>
      </c>
      <c r="CH97" s="524">
        <f>CG97</f>
        <v>2438.31</v>
      </c>
      <c r="CI97" s="602">
        <v>2450.5220000000004</v>
      </c>
      <c r="CJ97" s="602">
        <v>2519.846</v>
      </c>
      <c r="CK97" s="602">
        <v>2571.442</v>
      </c>
      <c r="CL97" s="602">
        <v>3010.0529999999999</v>
      </c>
      <c r="CM97" s="524">
        <f>CL97</f>
        <v>3010.0529999999999</v>
      </c>
      <c r="CN97" s="602">
        <v>2934.6959999999999</v>
      </c>
      <c r="CO97" s="546">
        <v>2846.6089999999999</v>
      </c>
      <c r="CP97" s="546">
        <v>2974.2449999999999</v>
      </c>
      <c r="CQ97" s="546">
        <f>3351.837</f>
        <v>3351.837</v>
      </c>
      <c r="CR97" s="524">
        <f>CQ97</f>
        <v>3351.837</v>
      </c>
      <c r="CS97" s="546">
        <v>4709.9210000000003</v>
      </c>
      <c r="CT97" s="546">
        <v>4852.59</v>
      </c>
      <c r="CU97" s="546">
        <v>5012.4939999999997</v>
      </c>
      <c r="CV97" s="546">
        <v>5786</v>
      </c>
      <c r="CW97" s="524">
        <f>CV97</f>
        <v>5786</v>
      </c>
      <c r="CX97" s="546">
        <v>5205</v>
      </c>
      <c r="CY97" s="546">
        <v>4472</v>
      </c>
      <c r="CZ97" s="546">
        <v>4125</v>
      </c>
      <c r="DA97" s="546">
        <v>2990</v>
      </c>
      <c r="DB97" s="524">
        <f>DA97</f>
        <v>2990</v>
      </c>
      <c r="DC97" s="546">
        <v>2637</v>
      </c>
      <c r="DD97" s="546">
        <v>1474</v>
      </c>
      <c r="DE97" s="546">
        <v>1390</v>
      </c>
      <c r="DF97" s="546">
        <v>-82</v>
      </c>
      <c r="DG97" s="524">
        <f>DF97</f>
        <v>-82</v>
      </c>
      <c r="DH97" s="546">
        <v>-163</v>
      </c>
      <c r="DI97" s="546">
        <v>-465</v>
      </c>
      <c r="DJ97" s="546">
        <v>-569</v>
      </c>
      <c r="DK97" s="546">
        <v>648</v>
      </c>
      <c r="DL97" s="524">
        <f>DK97</f>
        <v>648</v>
      </c>
      <c r="DM97" s="546">
        <v>796</v>
      </c>
      <c r="DN97" s="546">
        <v>752</v>
      </c>
      <c r="DO97" s="546">
        <v>614</v>
      </c>
      <c r="DP97" s="546">
        <v>1013</v>
      </c>
      <c r="DQ97" s="524">
        <f>DP97</f>
        <v>1013</v>
      </c>
      <c r="DR97" s="546">
        <v>1558</v>
      </c>
      <c r="DS97" s="546">
        <v>1641</v>
      </c>
      <c r="DT97" s="546">
        <v>1744</v>
      </c>
      <c r="DU97" s="546">
        <v>1590</v>
      </c>
      <c r="DV97" s="524">
        <f>DU97</f>
        <v>1590</v>
      </c>
      <c r="DW97" s="546">
        <v>1052</v>
      </c>
      <c r="DX97" s="546">
        <v>1117</v>
      </c>
      <c r="DY97" s="546">
        <v>989</v>
      </c>
      <c r="DZ97" s="546">
        <v>538</v>
      </c>
      <c r="EA97" s="524">
        <f>DZ97</f>
        <v>538</v>
      </c>
      <c r="EB97" s="546">
        <v>415</v>
      </c>
      <c r="EC97" s="546">
        <v>359</v>
      </c>
      <c r="ED97" s="546">
        <v>434</v>
      </c>
      <c r="EE97" s="546">
        <f>544</f>
        <v>544</v>
      </c>
      <c r="EF97" s="524">
        <f>EE97</f>
        <v>544</v>
      </c>
      <c r="EG97" s="546">
        <v>511</v>
      </c>
      <c r="EH97" s="546">
        <v>501</v>
      </c>
      <c r="EI97" s="546">
        <v>535</v>
      </c>
      <c r="EJ97" s="546">
        <v>187</v>
      </c>
      <c r="EK97" s="524">
        <f>EJ97</f>
        <v>187</v>
      </c>
      <c r="EL97" s="546">
        <v>17</v>
      </c>
      <c r="EM97" s="546">
        <v>-141</v>
      </c>
      <c r="EN97" s="546">
        <v>-336</v>
      </c>
      <c r="EO97" s="546">
        <v>-412</v>
      </c>
      <c r="EP97" s="524">
        <f>EO97</f>
        <v>-412</v>
      </c>
      <c r="EQ97" s="546">
        <v>-503</v>
      </c>
      <c r="ER97" s="546">
        <f>-413</f>
        <v>-413</v>
      </c>
      <c r="ES97" s="546">
        <v>385</v>
      </c>
      <c r="ET97" s="546">
        <v>416</v>
      </c>
      <c r="EU97" s="524">
        <f>ET97</f>
        <v>416</v>
      </c>
      <c r="EV97" s="546">
        <v>409</v>
      </c>
      <c r="EW97" s="546">
        <v>417</v>
      </c>
      <c r="EX97" s="546">
        <v>520</v>
      </c>
      <c r="EY97" s="546">
        <v>611</v>
      </c>
      <c r="EZ97" s="524">
        <f>EY97</f>
        <v>611</v>
      </c>
      <c r="FA97" s="546">
        <v>715</v>
      </c>
      <c r="FB97" s="546">
        <v>879</v>
      </c>
      <c r="FC97" s="546">
        <v>1125</v>
      </c>
      <c r="FD97" s="546">
        <v>1266</v>
      </c>
      <c r="FE97" s="524">
        <f>FD97</f>
        <v>1266</v>
      </c>
      <c r="FF97" s="546">
        <v>1788</v>
      </c>
      <c r="FG97" s="546">
        <v>1901</v>
      </c>
      <c r="FH97" s="546">
        <v>2176</v>
      </c>
      <c r="FI97" s="546">
        <v>2827</v>
      </c>
      <c r="FJ97" s="524">
        <f>FI97</f>
        <v>2827</v>
      </c>
      <c r="FK97" s="546">
        <v>3037</v>
      </c>
      <c r="FL97" s="546">
        <v>3305</v>
      </c>
      <c r="FM97" s="546">
        <v>3867</v>
      </c>
      <c r="FN97" s="546">
        <v>5837</v>
      </c>
      <c r="FO97" s="524">
        <f>FN97</f>
        <v>5837</v>
      </c>
      <c r="FP97" s="546">
        <v>6477</v>
      </c>
      <c r="FQ97" s="546">
        <v>7065</v>
      </c>
      <c r="FR97" s="546">
        <v>7136</v>
      </c>
      <c r="FS97" s="605">
        <v>7497</v>
      </c>
      <c r="FT97" s="524">
        <f>FS97</f>
        <v>7497</v>
      </c>
      <c r="FU97" s="546">
        <v>55333</v>
      </c>
      <c r="FV97" s="546">
        <v>55169</v>
      </c>
      <c r="FW97" s="546">
        <v>54542</v>
      </c>
      <c r="FX97" s="546">
        <v>54750</v>
      </c>
      <c r="FY97" s="524">
        <f>FX97</f>
        <v>54750</v>
      </c>
      <c r="FZ97" s="546">
        <v>54694</v>
      </c>
      <c r="GA97" s="546">
        <v>55136</v>
      </c>
      <c r="GB97" s="546">
        <v>54970</v>
      </c>
      <c r="GC97" s="546">
        <v>55892</v>
      </c>
      <c r="GD97" s="524">
        <f>GC97</f>
        <v>55892</v>
      </c>
      <c r="GE97" s="546">
        <v>56198</v>
      </c>
      <c r="GF97" s="546">
        <v>56538</v>
      </c>
      <c r="GG97" s="546">
        <v>56985</v>
      </c>
      <c r="GH97" s="546">
        <v>57568</v>
      </c>
      <c r="GI97" s="524">
        <f>GH97</f>
        <v>57568</v>
      </c>
      <c r="GJ97" s="546">
        <v>57881</v>
      </c>
      <c r="GK97" s="546">
        <v>59665</v>
      </c>
      <c r="GL97" s="546">
        <v>60790</v>
      </c>
      <c r="GM97" s="546">
        <v>62999</v>
      </c>
      <c r="GN97" s="524">
        <f>GM97</f>
        <v>62999</v>
      </c>
      <c r="GO97" s="546">
        <v>64462</v>
      </c>
      <c r="GP97" s="546">
        <f>GO97+GP106+GP120+GP121+GP124+GP36+GP109</f>
        <v>66747.818489113313</v>
      </c>
      <c r="GQ97" s="546">
        <f>GP97+GQ106+GQ120+GQ121+GQ124+GQ36+GQ109</f>
        <v>69210.94037948428</v>
      </c>
      <c r="GR97" s="546">
        <f>GQ97+GR106+GR120+GR121+GR124+GR36+GR109</f>
        <v>75561.70083703105</v>
      </c>
      <c r="GS97" s="524">
        <f>GR97</f>
        <v>75561.70083703105</v>
      </c>
      <c r="GT97" s="546">
        <f>GS97+GT106+GT120+GT121+GT124+GT36+GT109</f>
        <v>82892.904459973128</v>
      </c>
      <c r="GU97" s="546">
        <f>GT97+GU106+GU120+GU121+GU124+GU36+GU109</f>
        <v>91021.783454667209</v>
      </c>
      <c r="GV97" s="546">
        <f>GU97+GV106+GV120+GV121+GV124+GV36+GV109</f>
        <v>100950.46579230539</v>
      </c>
      <c r="GW97" s="546">
        <f>GV97+GW106+GW120+GW121+GW124+GW36+GW109</f>
        <v>112021.38926191349</v>
      </c>
      <c r="GX97" s="524">
        <f>GW97</f>
        <v>112021.38926191349</v>
      </c>
      <c r="GY97" s="546">
        <f>GX97+GY106+GY120+GY121+GY124+GY36+GY109</f>
        <v>122710.13492118912</v>
      </c>
      <c r="GZ97" s="546">
        <f>GY97+GZ106+GZ120+GZ121+GZ124+GZ36+GZ109</f>
        <v>134160.7276403984</v>
      </c>
      <c r="HA97" s="546">
        <f>GZ97+HA106+HA120+HA121+HA124+HA36+HA109</f>
        <v>146531.58593619851</v>
      </c>
      <c r="HB97" s="546">
        <f>HA97+HB106+HB120+HB121+HB124+HB36+HB109</f>
        <v>160329.64856464142</v>
      </c>
      <c r="HC97" s="524">
        <f>HB97</f>
        <v>160329.64856464142</v>
      </c>
      <c r="HD97" s="546">
        <f>HC97+HD106+HD120+HD121+HD124+HD36+HD109</f>
        <v>174703.83430515788</v>
      </c>
      <c r="HE97" s="546">
        <f>HD97+HE106+HE120+HE121+HE124+HE36+HE109</f>
        <v>189490.01826565887</v>
      </c>
      <c r="HF97" s="546">
        <f>HE97+HF106+HF120+HF121+HF124+HF36+HF109</f>
        <v>205740.48163798414</v>
      </c>
      <c r="HG97" s="546">
        <f>HF97+HG106+HG120+HG121+HG124+HG36+HG109</f>
        <v>222660.73975548227</v>
      </c>
      <c r="HH97" s="524">
        <f>HG97</f>
        <v>222660.73975548227</v>
      </c>
      <c r="HI97" s="546">
        <f>HH97+HI106+HI120+HI121+HI124+HI36+HI109</f>
        <v>240696.5451041511</v>
      </c>
      <c r="HJ97" s="546">
        <f>HI97+HJ106+HJ120+HJ121+HJ124+HJ36+HJ109</f>
        <v>259256.84194547276</v>
      </c>
      <c r="HK97" s="546">
        <f>HJ97+HK106+HK120+HK121+HK124+HK36+HK109</f>
        <v>279289.97838822566</v>
      </c>
      <c r="HL97" s="546">
        <f>HK97+HL106+HL120+HL121+HL124+HL36+HL109</f>
        <v>300885.69904068182</v>
      </c>
      <c r="HM97" s="524">
        <f>HL97</f>
        <v>300885.69904068182</v>
      </c>
      <c r="HN97" s="524"/>
      <c r="HO97" s="524"/>
      <c r="HP97" s="563"/>
      <c r="HR97" s="563"/>
      <c r="HS97" s="563"/>
      <c r="HT97" s="563"/>
      <c r="HU97" s="563"/>
      <c r="HV97" s="563"/>
      <c r="HW97" s="563"/>
      <c r="HX97" s="563"/>
    </row>
    <row r="98" spans="1:232" s="291" customFormat="1">
      <c r="A98" s="621" t="s">
        <v>426</v>
      </c>
      <c r="M98" s="624"/>
      <c r="N98" s="624"/>
      <c r="O98" s="624"/>
      <c r="P98" s="625"/>
      <c r="Q98" s="624"/>
      <c r="R98" s="624"/>
      <c r="S98" s="624"/>
      <c r="T98" s="624"/>
      <c r="U98" s="339"/>
      <c r="Z98" s="339"/>
      <c r="AE98" s="339"/>
      <c r="AF98" s="330">
        <f t="shared" ref="AF98:CQ98" si="144">SUM(AF94:AF97)</f>
        <v>1572.4470000000001</v>
      </c>
      <c r="AG98" s="330">
        <f t="shared" si="144"/>
        <v>1649.7429999999999</v>
      </c>
      <c r="AH98" s="330">
        <f t="shared" si="144"/>
        <v>1771.702</v>
      </c>
      <c r="AI98" s="330">
        <f t="shared" si="144"/>
        <v>1929.1959999999999</v>
      </c>
      <c r="AJ98" s="330">
        <f t="shared" si="144"/>
        <v>1929.1959999999999</v>
      </c>
      <c r="AK98" s="330">
        <f t="shared" si="144"/>
        <v>2058.2080000000001</v>
      </c>
      <c r="AL98" s="330">
        <f t="shared" si="144"/>
        <v>2174.3649999999998</v>
      </c>
      <c r="AM98" s="330">
        <f t="shared" si="144"/>
        <v>2321.8850000000002</v>
      </c>
      <c r="AN98" s="330">
        <f t="shared" si="144"/>
        <v>2445.7020000000002</v>
      </c>
      <c r="AO98" s="330">
        <f t="shared" si="144"/>
        <v>2445.7020000000002</v>
      </c>
      <c r="AP98" s="330">
        <f t="shared" si="144"/>
        <v>2702.011</v>
      </c>
      <c r="AQ98" s="330">
        <f t="shared" si="144"/>
        <v>2901.1189999999997</v>
      </c>
      <c r="AR98" s="330">
        <f t="shared" si="144"/>
        <v>2967.4070000000002</v>
      </c>
      <c r="AS98" s="330">
        <f t="shared" si="144"/>
        <v>3031.268</v>
      </c>
      <c r="AT98" s="330">
        <f t="shared" si="144"/>
        <v>3031.268</v>
      </c>
      <c r="AU98" s="330">
        <f t="shared" si="144"/>
        <v>2954.8090000000002</v>
      </c>
      <c r="AV98" s="330">
        <f t="shared" si="144"/>
        <v>2845.0250000000001</v>
      </c>
      <c r="AW98" s="330">
        <f t="shared" si="144"/>
        <v>3053.9919999999997</v>
      </c>
      <c r="AX98" s="330">
        <f t="shared" si="144"/>
        <v>3145.2830000000004</v>
      </c>
      <c r="AY98" s="330">
        <f t="shared" si="144"/>
        <v>3145.2830000000004</v>
      </c>
      <c r="AZ98" s="330">
        <f t="shared" si="144"/>
        <v>3426.1260000000002</v>
      </c>
      <c r="BA98" s="330">
        <f t="shared" si="144"/>
        <v>3471.7309999999998</v>
      </c>
      <c r="BB98" s="330">
        <f t="shared" si="144"/>
        <v>3425.9459999999999</v>
      </c>
      <c r="BC98" s="330">
        <f t="shared" si="144"/>
        <v>3515.2709999999997</v>
      </c>
      <c r="BD98" s="330">
        <f t="shared" si="144"/>
        <v>3515.2709999999997</v>
      </c>
      <c r="BE98" s="330">
        <f t="shared" si="144"/>
        <v>3332.306</v>
      </c>
      <c r="BF98" s="330">
        <f t="shared" si="144"/>
        <v>3858.5839999999998</v>
      </c>
      <c r="BG98" s="330">
        <f t="shared" si="144"/>
        <v>4116.1180000000004</v>
      </c>
      <c r="BH98" s="330">
        <f t="shared" si="144"/>
        <v>4252.9679999999998</v>
      </c>
      <c r="BI98" s="330">
        <f t="shared" si="144"/>
        <v>4252.9679999999998</v>
      </c>
      <c r="BJ98" s="330">
        <f t="shared" si="144"/>
        <v>4305.4930000000004</v>
      </c>
      <c r="BK98" s="330">
        <f t="shared" si="144"/>
        <v>4246.009</v>
      </c>
      <c r="BL98" s="330">
        <f t="shared" si="144"/>
        <v>4178.8069999999998</v>
      </c>
      <c r="BM98" s="330">
        <f t="shared" si="144"/>
        <v>4377.6980000000003</v>
      </c>
      <c r="BN98" s="330">
        <f t="shared" si="144"/>
        <v>4377.6980000000003</v>
      </c>
      <c r="BO98" s="330">
        <f t="shared" si="144"/>
        <v>4638.2269999999999</v>
      </c>
      <c r="BP98" s="330">
        <f t="shared" si="144"/>
        <v>4963.4940000000006</v>
      </c>
      <c r="BQ98" s="330">
        <f t="shared" si="144"/>
        <v>5371.9919999999993</v>
      </c>
      <c r="BR98" s="330">
        <f t="shared" si="144"/>
        <v>5767.7349999999997</v>
      </c>
      <c r="BS98" s="330">
        <f t="shared" si="144"/>
        <v>5767.7349999999997</v>
      </c>
      <c r="BT98" s="330">
        <f t="shared" si="144"/>
        <v>6029.4050000000007</v>
      </c>
      <c r="BU98" s="330">
        <f t="shared" si="144"/>
        <v>5830.9529999999995</v>
      </c>
      <c r="BV98" s="330">
        <f t="shared" si="144"/>
        <v>5739.2049999999999</v>
      </c>
      <c r="BW98" s="330">
        <f t="shared" si="144"/>
        <v>5647.2420000000002</v>
      </c>
      <c r="BX98" s="330">
        <f t="shared" si="144"/>
        <v>5647.2420000000002</v>
      </c>
      <c r="BY98" s="330">
        <f t="shared" si="144"/>
        <v>5964.942</v>
      </c>
      <c r="BZ98" s="330">
        <f t="shared" si="144"/>
        <v>6000.7420000000002</v>
      </c>
      <c r="CA98" s="330">
        <f t="shared" si="144"/>
        <v>5731.482</v>
      </c>
      <c r="CB98" s="330">
        <f t="shared" si="144"/>
        <v>5619.1810000000005</v>
      </c>
      <c r="CC98" s="330">
        <f t="shared" si="144"/>
        <v>5619.1810000000005</v>
      </c>
      <c r="CD98" s="330">
        <f t="shared" si="144"/>
        <v>5398.8019999999997</v>
      </c>
      <c r="CE98" s="330">
        <f t="shared" si="144"/>
        <v>5293.9070000000002</v>
      </c>
      <c r="CF98" s="330">
        <f t="shared" si="144"/>
        <v>6664.3649999999998</v>
      </c>
      <c r="CG98" s="330">
        <f t="shared" si="144"/>
        <v>7094.3449999999993</v>
      </c>
      <c r="CH98" s="330">
        <f t="shared" si="144"/>
        <v>7094.3449999999993</v>
      </c>
      <c r="CI98" s="330">
        <f t="shared" si="144"/>
        <v>7002.9549999999999</v>
      </c>
      <c r="CJ98" s="330">
        <f t="shared" si="144"/>
        <v>7009.4619999999995</v>
      </c>
      <c r="CK98" s="330">
        <f t="shared" si="144"/>
        <v>7282.4390000000003</v>
      </c>
      <c r="CL98" s="330">
        <f t="shared" si="144"/>
        <v>7844.21</v>
      </c>
      <c r="CM98" s="330">
        <f t="shared" si="144"/>
        <v>7844.21</v>
      </c>
      <c r="CN98" s="330">
        <f t="shared" si="144"/>
        <v>7821.7739999999994</v>
      </c>
      <c r="CO98" s="330">
        <f t="shared" si="144"/>
        <v>7772.5619999999999</v>
      </c>
      <c r="CP98" s="330">
        <f t="shared" si="144"/>
        <v>8159.9560000000001</v>
      </c>
      <c r="CQ98" s="330">
        <f t="shared" si="144"/>
        <v>7287.7800000000007</v>
      </c>
      <c r="CR98" s="330">
        <f t="shared" ref="CR98:FC98" si="145">SUM(CR94:CR97)</f>
        <v>7287.7800000000007</v>
      </c>
      <c r="CS98" s="330">
        <f t="shared" si="145"/>
        <v>8052.0450000000001</v>
      </c>
      <c r="CT98" s="330">
        <f t="shared" si="145"/>
        <v>8061.8950000000004</v>
      </c>
      <c r="CU98" s="330">
        <f t="shared" si="145"/>
        <v>8379.2430000000004</v>
      </c>
      <c r="CV98" s="330">
        <f t="shared" si="145"/>
        <v>13147</v>
      </c>
      <c r="CW98" s="330">
        <f t="shared" si="145"/>
        <v>13147</v>
      </c>
      <c r="CX98" s="330">
        <f t="shared" si="145"/>
        <v>12712</v>
      </c>
      <c r="CY98" s="330">
        <f t="shared" si="145"/>
        <v>13224</v>
      </c>
      <c r="CZ98" s="330">
        <f t="shared" si="145"/>
        <v>12934</v>
      </c>
      <c r="DA98" s="330">
        <f t="shared" si="145"/>
        <v>11550</v>
      </c>
      <c r="DB98" s="330">
        <f t="shared" si="145"/>
        <v>11550</v>
      </c>
      <c r="DC98" s="330">
        <f t="shared" si="145"/>
        <v>11208</v>
      </c>
      <c r="DD98" s="330">
        <f t="shared" si="145"/>
        <v>9784</v>
      </c>
      <c r="DE98" s="330">
        <f t="shared" si="145"/>
        <v>9492</v>
      </c>
      <c r="DF98" s="330">
        <f t="shared" si="145"/>
        <v>7675</v>
      </c>
      <c r="DG98" s="330">
        <f t="shared" si="145"/>
        <v>7675</v>
      </c>
      <c r="DH98" s="330">
        <f t="shared" si="145"/>
        <v>9052</v>
      </c>
      <c r="DI98" s="330">
        <f t="shared" si="145"/>
        <v>8683</v>
      </c>
      <c r="DJ98" s="330">
        <f t="shared" si="145"/>
        <v>8747</v>
      </c>
      <c r="DK98" s="330">
        <f t="shared" si="145"/>
        <v>9078</v>
      </c>
      <c r="DL98" s="330">
        <f t="shared" si="145"/>
        <v>9078</v>
      </c>
      <c r="DM98" s="330">
        <f t="shared" si="145"/>
        <v>5232</v>
      </c>
      <c r="DN98" s="330">
        <f t="shared" si="145"/>
        <v>4955</v>
      </c>
      <c r="DO98" s="330">
        <f t="shared" si="145"/>
        <v>4595</v>
      </c>
      <c r="DP98" s="330">
        <f t="shared" si="145"/>
        <v>4964</v>
      </c>
      <c r="DQ98" s="330">
        <f t="shared" si="145"/>
        <v>4964</v>
      </c>
      <c r="DR98" s="330">
        <f t="shared" si="145"/>
        <v>5209</v>
      </c>
      <c r="DS98" s="330">
        <f t="shared" si="145"/>
        <v>5224</v>
      </c>
      <c r="DT98" s="330">
        <f t="shared" si="145"/>
        <v>5236</v>
      </c>
      <c r="DU98" s="330">
        <f t="shared" si="145"/>
        <v>4954</v>
      </c>
      <c r="DV98" s="330">
        <f t="shared" si="145"/>
        <v>4954</v>
      </c>
      <c r="DW98" s="330">
        <f t="shared" si="145"/>
        <v>4988</v>
      </c>
      <c r="DX98" s="330">
        <f t="shared" si="145"/>
        <v>5041</v>
      </c>
      <c r="DY98" s="330">
        <f t="shared" si="145"/>
        <v>4612</v>
      </c>
      <c r="DZ98" s="330">
        <f t="shared" si="145"/>
        <v>4000</v>
      </c>
      <c r="EA98" s="330">
        <f t="shared" si="145"/>
        <v>4000</v>
      </c>
      <c r="EB98" s="330">
        <f t="shared" si="145"/>
        <v>3797</v>
      </c>
      <c r="EC98" s="330">
        <f t="shared" si="145"/>
        <v>3897</v>
      </c>
      <c r="ED98" s="330">
        <f t="shared" si="145"/>
        <v>4317</v>
      </c>
      <c r="EE98" s="330">
        <f t="shared" si="145"/>
        <v>4337</v>
      </c>
      <c r="EF98" s="330">
        <f t="shared" si="145"/>
        <v>4337</v>
      </c>
      <c r="EG98" s="330">
        <f t="shared" si="145"/>
        <v>4108</v>
      </c>
      <c r="EH98" s="330">
        <f t="shared" si="145"/>
        <v>4246</v>
      </c>
      <c r="EI98" s="330">
        <f t="shared" si="145"/>
        <v>4325</v>
      </c>
      <c r="EJ98" s="330">
        <f t="shared" si="145"/>
        <v>3767</v>
      </c>
      <c r="EK98" s="330">
        <f t="shared" si="145"/>
        <v>3767</v>
      </c>
      <c r="EL98" s="330">
        <f t="shared" si="145"/>
        <v>3428</v>
      </c>
      <c r="EM98" s="330">
        <f t="shared" si="145"/>
        <v>3381</v>
      </c>
      <c r="EN98" s="330">
        <f t="shared" si="145"/>
        <v>3229</v>
      </c>
      <c r="EO98" s="330">
        <f t="shared" si="145"/>
        <v>3109</v>
      </c>
      <c r="EP98" s="330">
        <f t="shared" si="145"/>
        <v>3109</v>
      </c>
      <c r="EQ98" s="330">
        <f t="shared" si="145"/>
        <v>2981</v>
      </c>
      <c r="ER98" s="330">
        <f t="shared" si="145"/>
        <v>3316</v>
      </c>
      <c r="ES98" s="330">
        <f t="shared" si="145"/>
        <v>3616</v>
      </c>
      <c r="ET98" s="330">
        <f t="shared" si="145"/>
        <v>3321</v>
      </c>
      <c r="EU98" s="330">
        <f t="shared" si="145"/>
        <v>3321</v>
      </c>
      <c r="EV98" s="330">
        <f t="shared" si="145"/>
        <v>3299</v>
      </c>
      <c r="EW98" s="330">
        <f t="shared" si="145"/>
        <v>3370</v>
      </c>
      <c r="EX98" s="330">
        <f t="shared" si="145"/>
        <v>3586</v>
      </c>
      <c r="EY98" s="330">
        <f t="shared" si="145"/>
        <v>3540</v>
      </c>
      <c r="EZ98" s="330">
        <f t="shared" si="145"/>
        <v>3540</v>
      </c>
      <c r="FA98" s="330">
        <f t="shared" si="145"/>
        <v>3763</v>
      </c>
      <c r="FB98" s="330">
        <f t="shared" si="145"/>
        <v>4103</v>
      </c>
      <c r="FC98" s="330">
        <f t="shared" si="145"/>
        <v>4347</v>
      </c>
      <c r="FD98" s="330">
        <f t="shared" ref="FD98:HM98" si="146">SUM(FD94:FD97)</f>
        <v>4556</v>
      </c>
      <c r="FE98" s="330">
        <f t="shared" si="146"/>
        <v>4556</v>
      </c>
      <c r="FF98" s="330">
        <f t="shared" si="146"/>
        <v>4931</v>
      </c>
      <c r="FG98" s="330">
        <f t="shared" si="146"/>
        <v>5102</v>
      </c>
      <c r="FH98" s="330">
        <f t="shared" si="146"/>
        <v>5253</v>
      </c>
      <c r="FI98" s="330">
        <f t="shared" si="146"/>
        <v>6028</v>
      </c>
      <c r="FJ98" s="330">
        <f t="shared" si="146"/>
        <v>6028</v>
      </c>
      <c r="FK98" s="330">
        <f t="shared" si="146"/>
        <v>5864</v>
      </c>
      <c r="FL98" s="330">
        <f t="shared" si="146"/>
        <v>6583</v>
      </c>
      <c r="FM98" s="330">
        <f t="shared" si="146"/>
        <v>7023</v>
      </c>
      <c r="FN98" s="330">
        <f t="shared" si="146"/>
        <v>8962</v>
      </c>
      <c r="FO98" s="330">
        <f t="shared" si="146"/>
        <v>8962</v>
      </c>
      <c r="FP98" s="330">
        <f t="shared" si="146"/>
        <v>10047</v>
      </c>
      <c r="FQ98" s="330">
        <f>SUM(FQ94:FQ97)</f>
        <v>10691</v>
      </c>
      <c r="FR98" s="330">
        <f>SUM(FR94:FR97)</f>
        <v>11153</v>
      </c>
      <c r="FS98" s="626">
        <f>SUM(FS94:FS97)</f>
        <v>12419</v>
      </c>
      <c r="FT98" s="330">
        <f t="shared" si="146"/>
        <v>12419</v>
      </c>
      <c r="FU98" s="330">
        <f t="shared" si="146"/>
        <v>66915</v>
      </c>
      <c r="FV98" s="330">
        <f t="shared" si="146"/>
        <v>67502</v>
      </c>
      <c r="FW98" s="330">
        <f t="shared" si="146"/>
        <v>67811</v>
      </c>
      <c r="FX98" s="330">
        <f t="shared" si="146"/>
        <v>67580</v>
      </c>
      <c r="FY98" s="330">
        <f t="shared" si="146"/>
        <v>67580</v>
      </c>
      <c r="FZ98" s="330">
        <f t="shared" si="146"/>
        <v>67634</v>
      </c>
      <c r="GA98" s="330">
        <f t="shared" si="146"/>
        <v>67967</v>
      </c>
      <c r="GB98" s="330">
        <f t="shared" si="146"/>
        <v>67626</v>
      </c>
      <c r="GC98" s="330">
        <f t="shared" si="146"/>
        <v>67885</v>
      </c>
      <c r="GD98" s="330">
        <f t="shared" si="146"/>
        <v>67885</v>
      </c>
      <c r="GE98" s="330">
        <f t="shared" si="146"/>
        <v>67895</v>
      </c>
      <c r="GF98" s="330">
        <f t="shared" si="146"/>
        <v>67886</v>
      </c>
      <c r="GG98" s="330">
        <f t="shared" si="146"/>
        <v>69636</v>
      </c>
      <c r="GH98" s="330">
        <f t="shared" si="146"/>
        <v>69226</v>
      </c>
      <c r="GI98" s="330">
        <f t="shared" si="146"/>
        <v>69226</v>
      </c>
      <c r="GJ98" s="330">
        <f t="shared" si="146"/>
        <v>71550</v>
      </c>
      <c r="GK98" s="330">
        <f t="shared" si="146"/>
        <v>74820</v>
      </c>
      <c r="GL98" s="330">
        <f t="shared" si="146"/>
        <v>76891</v>
      </c>
      <c r="GM98" s="330">
        <f t="shared" si="146"/>
        <v>76926</v>
      </c>
      <c r="GN98" s="330">
        <f t="shared" si="146"/>
        <v>76926</v>
      </c>
      <c r="GO98" s="330">
        <f t="shared" si="146"/>
        <v>79642</v>
      </c>
      <c r="GP98" s="330">
        <f t="shared" si="146"/>
        <v>82267.148497391696</v>
      </c>
      <c r="GQ98" s="330">
        <f t="shared" si="146"/>
        <v>85000.157391385597</v>
      </c>
      <c r="GR98" s="330">
        <f t="shared" si="146"/>
        <v>92820.202316403331</v>
      </c>
      <c r="GS98" s="330">
        <f t="shared" si="146"/>
        <v>92820.202316403331</v>
      </c>
      <c r="GT98" s="330">
        <f t="shared" si="146"/>
        <v>100586.54676523653</v>
      </c>
      <c r="GU98" s="330">
        <f t="shared" si="146"/>
        <v>109337.26525629751</v>
      </c>
      <c r="GV98" s="330">
        <f t="shared" si="146"/>
        <v>120289.4567065273</v>
      </c>
      <c r="GW98" s="330">
        <f t="shared" si="146"/>
        <v>132194.31701168307</v>
      </c>
      <c r="GX98" s="330">
        <f t="shared" si="146"/>
        <v>132194.31701168307</v>
      </c>
      <c r="GY98" s="330">
        <f t="shared" si="146"/>
        <v>142681.09876310657</v>
      </c>
      <c r="GZ98" s="330">
        <f t="shared" si="146"/>
        <v>154513.75830905145</v>
      </c>
      <c r="HA98" s="330">
        <f t="shared" si="146"/>
        <v>167528.21119339316</v>
      </c>
      <c r="HB98" s="330">
        <f t="shared" si="146"/>
        <v>181984.32833549471</v>
      </c>
      <c r="HC98" s="330">
        <f t="shared" si="146"/>
        <v>181984.32833549471</v>
      </c>
      <c r="HD98" s="330">
        <f t="shared" si="146"/>
        <v>196157.08196426957</v>
      </c>
      <c r="HE98" s="330">
        <f t="shared" si="146"/>
        <v>211363.86656910411</v>
      </c>
      <c r="HF98" s="330">
        <f t="shared" si="146"/>
        <v>228432.57663646125</v>
      </c>
      <c r="HG98" s="330">
        <f t="shared" si="146"/>
        <v>245842.16914465072</v>
      </c>
      <c r="HH98" s="330">
        <f t="shared" si="146"/>
        <v>245842.16914465072</v>
      </c>
      <c r="HI98" s="330">
        <f t="shared" si="146"/>
        <v>263387.75559315371</v>
      </c>
      <c r="HJ98" s="330">
        <f t="shared" si="146"/>
        <v>282417.52032025624</v>
      </c>
      <c r="HK98" s="330">
        <f t="shared" si="146"/>
        <v>303593.97440583381</v>
      </c>
      <c r="HL98" s="330">
        <f t="shared" si="146"/>
        <v>325776.17207925476</v>
      </c>
      <c r="HM98" s="330">
        <f t="shared" si="146"/>
        <v>325776.17207925476</v>
      </c>
      <c r="HN98" s="330"/>
      <c r="HO98" s="331"/>
      <c r="HP98" s="290"/>
      <c r="HR98" s="290"/>
      <c r="HS98" s="290"/>
      <c r="HT98" s="290"/>
      <c r="HU98" s="290"/>
      <c r="HV98" s="290"/>
      <c r="HW98" s="290"/>
      <c r="HX98" s="290"/>
    </row>
    <row r="99" spans="1:232" s="291" customFormat="1">
      <c r="A99" s="621"/>
      <c r="M99" s="624"/>
      <c r="N99" s="624"/>
      <c r="O99" s="624"/>
      <c r="P99" s="625"/>
      <c r="Q99" s="624"/>
      <c r="R99" s="624"/>
      <c r="S99" s="624"/>
      <c r="T99" s="624"/>
      <c r="U99" s="339"/>
      <c r="Z99" s="339"/>
      <c r="AE99" s="339"/>
      <c r="AF99" s="330"/>
      <c r="AG99" s="330"/>
      <c r="AH99" s="330"/>
      <c r="AI99" s="330"/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0"/>
      <c r="CG99" s="330"/>
      <c r="CH99" s="330"/>
      <c r="CI99" s="330"/>
      <c r="CJ99" s="330"/>
      <c r="CK99" s="330"/>
      <c r="CL99" s="330"/>
      <c r="CM99" s="330"/>
      <c r="CN99" s="330"/>
      <c r="CO99" s="330"/>
      <c r="CP99" s="330"/>
      <c r="CQ99" s="330"/>
      <c r="CR99" s="330"/>
      <c r="CS99" s="330"/>
      <c r="CT99" s="330"/>
      <c r="CU99" s="330"/>
      <c r="CV99" s="330"/>
      <c r="CW99" s="330"/>
      <c r="CX99" s="330"/>
      <c r="CY99" s="330"/>
      <c r="CZ99" s="330"/>
      <c r="DA99" s="330"/>
      <c r="DB99" s="330"/>
      <c r="DC99" s="330"/>
      <c r="DD99" s="330"/>
      <c r="DE99" s="330"/>
      <c r="DF99" s="330"/>
      <c r="DG99" s="330"/>
      <c r="DH99" s="330"/>
      <c r="DI99" s="330"/>
      <c r="DJ99" s="330"/>
      <c r="DK99" s="330"/>
      <c r="DL99" s="330"/>
      <c r="DM99" s="330"/>
      <c r="DN99" s="330"/>
      <c r="DO99" s="330"/>
      <c r="DP99" s="330"/>
      <c r="DQ99" s="330"/>
      <c r="DR99" s="330"/>
      <c r="DS99" s="330"/>
      <c r="DT99" s="330"/>
      <c r="DU99" s="330"/>
      <c r="DV99" s="330"/>
      <c r="DW99" s="330"/>
      <c r="DX99" s="330"/>
      <c r="DY99" s="330"/>
      <c r="DZ99" s="330"/>
      <c r="EA99" s="330"/>
      <c r="EB99" s="330"/>
      <c r="EC99" s="330"/>
      <c r="ED99" s="330"/>
      <c r="EE99" s="330"/>
      <c r="EF99" s="330"/>
      <c r="EG99" s="330"/>
      <c r="EH99" s="330"/>
      <c r="EI99" s="330"/>
      <c r="EJ99" s="330"/>
      <c r="EK99" s="330"/>
      <c r="EL99" s="330"/>
      <c r="EM99" s="330"/>
      <c r="EN99" s="330"/>
      <c r="EO99" s="330"/>
      <c r="EP99" s="330"/>
      <c r="EQ99" s="330"/>
      <c r="ER99" s="330"/>
      <c r="ES99" s="330"/>
      <c r="ET99" s="330"/>
      <c r="EU99" s="330"/>
      <c r="EV99" s="330"/>
      <c r="EW99" s="330"/>
      <c r="EX99" s="330"/>
      <c r="EY99" s="330"/>
      <c r="EZ99" s="330"/>
      <c r="FA99" s="330"/>
      <c r="FB99" s="330"/>
      <c r="FC99" s="330"/>
      <c r="FD99" s="330"/>
      <c r="FE99" s="330"/>
      <c r="FF99" s="330"/>
      <c r="FG99" s="330"/>
      <c r="FH99" s="330"/>
      <c r="FI99" s="330"/>
      <c r="FJ99" s="330"/>
      <c r="FK99" s="330"/>
      <c r="FL99" s="330"/>
      <c r="FM99" s="330"/>
      <c r="FN99" s="330"/>
      <c r="FO99" s="330"/>
      <c r="FP99" s="330"/>
      <c r="FQ99" s="330"/>
      <c r="FR99" s="330"/>
      <c r="FS99" s="626"/>
      <c r="FT99" s="330"/>
      <c r="FU99" s="330"/>
      <c r="FV99" s="330"/>
      <c r="FW99" s="330"/>
      <c r="FX99" s="330"/>
      <c r="FY99" s="330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1"/>
      <c r="HP99" s="290"/>
      <c r="HR99" s="290"/>
      <c r="HS99" s="290"/>
      <c r="HT99" s="290"/>
      <c r="HU99" s="290"/>
      <c r="HV99" s="290"/>
      <c r="HW99" s="290"/>
      <c r="HX99" s="290"/>
    </row>
    <row r="100" spans="1:232" s="291" customFormat="1">
      <c r="A100" s="621" t="s">
        <v>255</v>
      </c>
      <c r="B100" s="627"/>
      <c r="C100" s="627"/>
      <c r="D100" s="627"/>
      <c r="E100" s="627"/>
      <c r="F100" s="627"/>
      <c r="G100" s="627"/>
      <c r="H100" s="627"/>
      <c r="I100" s="627"/>
      <c r="J100" s="627"/>
      <c r="K100" s="627"/>
      <c r="L100" s="627"/>
      <c r="M100" s="628"/>
      <c r="N100" s="628"/>
      <c r="O100" s="628"/>
      <c r="P100" s="629"/>
      <c r="Q100" s="628"/>
      <c r="R100" s="628"/>
      <c r="S100" s="628"/>
      <c r="T100" s="628"/>
      <c r="U100" s="630"/>
      <c r="V100" s="627"/>
      <c r="W100" s="627"/>
      <c r="X100" s="627"/>
      <c r="Y100" s="627"/>
      <c r="Z100" s="630"/>
      <c r="AA100" s="627"/>
      <c r="AB100" s="627"/>
      <c r="AC100" s="627"/>
      <c r="AD100" s="627"/>
      <c r="AE100" s="630"/>
      <c r="AF100" s="631">
        <f>AF95-AF77</f>
        <v>-376.47499999999997</v>
      </c>
      <c r="AG100" s="631">
        <f>AG95-AG77</f>
        <v>-382.36900000000003</v>
      </c>
      <c r="AH100" s="631">
        <f>AH95-AH77</f>
        <v>-388.95699999999999</v>
      </c>
      <c r="AI100" s="631">
        <f>AI95-AI77</f>
        <v>-408.69399999999996</v>
      </c>
      <c r="AJ100" s="333">
        <f>AJ95-AJ77</f>
        <v>-408.69399999999996</v>
      </c>
      <c r="AK100" s="631">
        <f>AK95-AK77</f>
        <v>-461.57900000000001</v>
      </c>
      <c r="AL100" s="631">
        <f>AL95-AL77</f>
        <v>-486.01399999999995</v>
      </c>
      <c r="AM100" s="631">
        <f>AM95-AM77</f>
        <v>-472.24099999999999</v>
      </c>
      <c r="AN100" s="631">
        <f>AN95-AN77</f>
        <v>-302.10200000000003</v>
      </c>
      <c r="AO100" s="333">
        <f>AO95-AO77</f>
        <v>-302.10200000000003</v>
      </c>
      <c r="AP100" s="631">
        <f>AP95-AP77</f>
        <v>-267.62200000000001</v>
      </c>
      <c r="AQ100" s="631">
        <f>AQ95-AQ77</f>
        <v>-325.73700000000002</v>
      </c>
      <c r="AR100" s="631">
        <f>AR95-AR77</f>
        <v>-276.54500000000002</v>
      </c>
      <c r="AS100" s="631">
        <f>AS95-AS77</f>
        <v>-275.68200000000002</v>
      </c>
      <c r="AT100" s="333">
        <f>AT95-AT77</f>
        <v>-275.68200000000002</v>
      </c>
      <c r="AU100" s="631">
        <f>AU95-AU77</f>
        <v>-203.38099999999997</v>
      </c>
      <c r="AV100" s="631">
        <f>AV95-AV77</f>
        <v>-79.736000000000018</v>
      </c>
      <c r="AW100" s="631">
        <f>AW95-AW77</f>
        <v>84.144999999999982</v>
      </c>
      <c r="AX100" s="631">
        <f>AX95-AX77</f>
        <v>58.632000000000005</v>
      </c>
      <c r="AY100" s="333">
        <f>AY95-AY77</f>
        <v>58.632000000000005</v>
      </c>
      <c r="AZ100" s="631">
        <f>AZ95-AZ77</f>
        <v>53.526000000000067</v>
      </c>
      <c r="BA100" s="631">
        <f>BA95-BA77</f>
        <v>136.26900000000001</v>
      </c>
      <c r="BB100" s="631">
        <f>BB95-BB77</f>
        <v>236.40899999999999</v>
      </c>
      <c r="BC100" s="631">
        <f>BC95-BC77</f>
        <v>195.65699999999998</v>
      </c>
      <c r="BD100" s="333">
        <f>BD95-BD77</f>
        <v>195.65699999999998</v>
      </c>
      <c r="BE100" s="631">
        <f>BE95-BE77</f>
        <v>359.78999999999996</v>
      </c>
      <c r="BF100" s="631">
        <f>BF95-BF77</f>
        <v>450.125</v>
      </c>
      <c r="BG100" s="631">
        <f>BG95-BG77</f>
        <v>783.72</v>
      </c>
      <c r="BH100" s="631">
        <f>BH95-BH77</f>
        <v>675.39099999999985</v>
      </c>
      <c r="BI100" s="333">
        <f>BI95-BI77</f>
        <v>675.39099999999985</v>
      </c>
      <c r="BJ100" s="631">
        <f>BJ95-BJ77</f>
        <v>1050.8120000000001</v>
      </c>
      <c r="BK100" s="631">
        <f>BK95-BK77</f>
        <v>789.73300000000006</v>
      </c>
      <c r="BL100" s="631">
        <f>BL95-BL77</f>
        <v>1071.5169999999998</v>
      </c>
      <c r="BM100" s="631">
        <f>BM95-BM77</f>
        <v>830.77099999999996</v>
      </c>
      <c r="BN100" s="333">
        <f>BN95-BN77</f>
        <v>830.77099999999996</v>
      </c>
      <c r="BO100" s="631">
        <f>BO95-BO77</f>
        <v>550.61599999999999</v>
      </c>
      <c r="BP100" s="631">
        <f>BP95-BP77</f>
        <v>401.83199999999988</v>
      </c>
      <c r="BQ100" s="631">
        <f>BQ95-BQ77</f>
        <v>-10.021999999999935</v>
      </c>
      <c r="BR100" s="631">
        <f>BR95-BR77</f>
        <v>-125.19200000000001</v>
      </c>
      <c r="BS100" s="333">
        <f>BS95-BS77</f>
        <v>-125.19200000000001</v>
      </c>
      <c r="BT100" s="631">
        <f>BT95-BT77</f>
        <v>-202.58600000000001</v>
      </c>
      <c r="BU100" s="631">
        <f>BU95-BU77</f>
        <v>-302.44600000000003</v>
      </c>
      <c r="BV100" s="631">
        <f>BV95-BV77</f>
        <v>-107.51300000000003</v>
      </c>
      <c r="BW100" s="631">
        <f>BW95-BW77</f>
        <v>-197.05200000000002</v>
      </c>
      <c r="BX100" s="333">
        <f>BX95-BX77</f>
        <v>-197.05200000000002</v>
      </c>
      <c r="BY100" s="631">
        <f>BY95-BY77</f>
        <v>-153.05199999999991</v>
      </c>
      <c r="BZ100" s="631">
        <f>BZ95-BZ77</f>
        <v>41.116999999999962</v>
      </c>
      <c r="CA100" s="631">
        <f>CA95-CA77</f>
        <v>330.70699999999988</v>
      </c>
      <c r="CB100" s="631">
        <f>CB95-CB77</f>
        <v>742.13200000000006</v>
      </c>
      <c r="CC100" s="333">
        <f>CC95-CC77</f>
        <v>742.13200000000006</v>
      </c>
      <c r="CD100" s="631">
        <f>CD95-CD77</f>
        <v>967.02700000000004</v>
      </c>
      <c r="CE100" s="631">
        <f>CE95-CE77</f>
        <v>848.20799999999997</v>
      </c>
      <c r="CF100" s="631">
        <f>CF95-CF77</f>
        <v>804.92000000000007</v>
      </c>
      <c r="CG100" s="631">
        <f>CG95-CG77</f>
        <v>586.30700000000002</v>
      </c>
      <c r="CH100" s="333">
        <f>CH95-CH77</f>
        <v>586.30700000000002</v>
      </c>
      <c r="CI100" s="631">
        <f>CI95-CI77</f>
        <v>492.64599999999996</v>
      </c>
      <c r="CJ100" s="631">
        <f>CJ95-CJ77</f>
        <v>605.77500000000009</v>
      </c>
      <c r="CK100" s="631">
        <f>CK95-CK77</f>
        <v>641.84000000000015</v>
      </c>
      <c r="CL100" s="631">
        <f>CL95-CL77</f>
        <v>432.70900000000006</v>
      </c>
      <c r="CM100" s="333">
        <f>CM95-CM77</f>
        <v>432.70900000000006</v>
      </c>
      <c r="CN100" s="631">
        <f>CN95-CN77</f>
        <v>537.23700000000008</v>
      </c>
      <c r="CO100" s="631">
        <f>CO95-CO77</f>
        <v>371.52</v>
      </c>
      <c r="CP100" s="631">
        <f>CP95-CP77</f>
        <v>366.70500000000015</v>
      </c>
      <c r="CQ100" s="631">
        <f>CQ95-CQ77</f>
        <v>-467.702</v>
      </c>
      <c r="CR100" s="333">
        <f>CR95-CR77</f>
        <v>-467.702</v>
      </c>
      <c r="CS100" s="631">
        <f>CS95-CS77</f>
        <v>-2016.789</v>
      </c>
      <c r="CT100" s="631">
        <f>CT95-CT77</f>
        <v>-1882.953</v>
      </c>
      <c r="CU100" s="631">
        <f>CU95-CU77</f>
        <v>-1712.5460000000003</v>
      </c>
      <c r="CV100" s="631">
        <f>CV95-CV77</f>
        <v>2131</v>
      </c>
      <c r="CW100" s="333">
        <f>CW95-CW77</f>
        <v>2131</v>
      </c>
      <c r="CX100" s="631">
        <f>CX95-CX77</f>
        <v>2492</v>
      </c>
      <c r="CY100" s="631">
        <f>CY95-CY77</f>
        <v>3724</v>
      </c>
      <c r="CZ100" s="631">
        <f>CZ95-CZ77</f>
        <v>3589</v>
      </c>
      <c r="DA100" s="631">
        <f>DA95-DA77</f>
        <v>3142</v>
      </c>
      <c r="DB100" s="333">
        <f>DB95-DB77</f>
        <v>3142</v>
      </c>
      <c r="DC100" s="631">
        <f>DC95-DC77</f>
        <v>3272</v>
      </c>
      <c r="DD100" s="631">
        <f>DD95-DD77</f>
        <v>3388</v>
      </c>
      <c r="DE100" s="631">
        <f>DE95-DE77</f>
        <v>3533</v>
      </c>
      <c r="DF100" s="631">
        <f>DF95-DF77</f>
        <v>3606</v>
      </c>
      <c r="DG100" s="333">
        <f>DG95-DG77</f>
        <v>3606</v>
      </c>
      <c r="DH100" s="631">
        <f>DH95-DH77</f>
        <v>2563</v>
      </c>
      <c r="DI100" s="631">
        <f>DI95-DI77</f>
        <v>2729</v>
      </c>
      <c r="DJ100" s="631">
        <f>DJ95-DJ77</f>
        <v>2764</v>
      </c>
      <c r="DK100" s="631">
        <f>DK95-DK77</f>
        <v>1576</v>
      </c>
      <c r="DL100" s="333">
        <f>DL95-DL77</f>
        <v>1576</v>
      </c>
      <c r="DM100" s="631">
        <f>DM95-DM77</f>
        <v>669</v>
      </c>
      <c r="DN100" s="631">
        <f>DN95-DN77</f>
        <v>522</v>
      </c>
      <c r="DO100" s="631">
        <f>DO95-DO77</f>
        <v>459</v>
      </c>
      <c r="DP100" s="631">
        <f>DP95-DP77</f>
        <v>399</v>
      </c>
      <c r="DQ100" s="333">
        <f>DQ95-DQ77</f>
        <v>399</v>
      </c>
      <c r="DR100" s="631">
        <f>DR95-DR77</f>
        <v>447</v>
      </c>
      <c r="DS100" s="631">
        <f>DS95-DS77</f>
        <v>334</v>
      </c>
      <c r="DT100" s="631">
        <f>DT95-DT77</f>
        <v>-236</v>
      </c>
      <c r="DU100" s="631">
        <f>DU95-DU77</f>
        <v>-238</v>
      </c>
      <c r="DV100" s="333">
        <f>DV95-DV77</f>
        <v>-238</v>
      </c>
      <c r="DW100" s="631">
        <f>DW95-DW77</f>
        <v>-15</v>
      </c>
      <c r="DX100" s="631">
        <f>DX95-DX77</f>
        <v>-47</v>
      </c>
      <c r="DY100" s="631">
        <f>DY95-DY77</f>
        <v>735</v>
      </c>
      <c r="DZ100" s="631">
        <f>DZ95-DZ77</f>
        <v>1035</v>
      </c>
      <c r="EA100" s="333">
        <f>EA95-EA77</f>
        <v>1035</v>
      </c>
      <c r="EB100" s="631">
        <f>EB95-EB77</f>
        <v>1036</v>
      </c>
      <c r="EC100" s="631">
        <f>EC95-EC77</f>
        <v>1074</v>
      </c>
      <c r="ED100" s="631">
        <f>ED95-ED77</f>
        <v>863</v>
      </c>
      <c r="EE100" s="631">
        <f>EE95-EE77</f>
        <v>811</v>
      </c>
      <c r="EF100" s="333">
        <f>EF95-EF77</f>
        <v>811</v>
      </c>
      <c r="EG100" s="631">
        <f>EG95-EG77</f>
        <v>1176</v>
      </c>
      <c r="EH100" s="631">
        <f>EH95-EH77</f>
        <v>1161</v>
      </c>
      <c r="EI100" s="631">
        <f>EI95-EI77</f>
        <v>1168</v>
      </c>
      <c r="EJ100" s="631">
        <f>EJ95-EJ77</f>
        <v>995</v>
      </c>
      <c r="EK100" s="333">
        <f>EK95-EK77</f>
        <v>995</v>
      </c>
      <c r="EL100" s="631">
        <f>EL95-EL77</f>
        <v>1127</v>
      </c>
      <c r="EM100" s="631">
        <f>EM95-EM77</f>
        <v>1205</v>
      </c>
      <c r="EN100" s="631">
        <f>EN95-EN77</f>
        <v>1275</v>
      </c>
      <c r="EO100" s="631">
        <f>EO95-EO77</f>
        <v>1247</v>
      </c>
      <c r="EP100" s="333">
        <f>EP95-EP77</f>
        <v>1247</v>
      </c>
      <c r="EQ100" s="631">
        <f>EQ95-EQ77</f>
        <v>1290</v>
      </c>
      <c r="ER100" s="631">
        <f>ER95-ER77</f>
        <v>1055</v>
      </c>
      <c r="ES100" s="631">
        <f>ES95-ES77</f>
        <v>374</v>
      </c>
      <c r="ET100" s="631">
        <f>ET95-ET77</f>
        <v>171</v>
      </c>
      <c r="EU100" s="333">
        <f>EU95-EU77</f>
        <v>171</v>
      </c>
      <c r="EV100" s="631">
        <f>EV95-EV77</f>
        <v>465</v>
      </c>
      <c r="EW100" s="631">
        <f>EW95-EW77</f>
        <v>531</v>
      </c>
      <c r="EX100" s="631">
        <f>EX95-EX77</f>
        <v>477</v>
      </c>
      <c r="EY100" s="631">
        <f>EY95-EY77</f>
        <v>140</v>
      </c>
      <c r="EZ100" s="333">
        <f>EZ95-EZ77</f>
        <v>140</v>
      </c>
      <c r="FA100" s="631">
        <f>FA95-FA77</f>
        <v>120</v>
      </c>
      <c r="FB100" s="631">
        <f>FB95-FB77</f>
        <v>187</v>
      </c>
      <c r="FC100" s="631">
        <f>FC95-FC77</f>
        <v>111</v>
      </c>
      <c r="FD100" s="631">
        <f>FD95-FD77</f>
        <v>-42</v>
      </c>
      <c r="FE100" s="333">
        <f>FE95-FE77</f>
        <v>-42</v>
      </c>
      <c r="FF100" s="631">
        <f>FF95-FF77</f>
        <v>-170</v>
      </c>
      <c r="FG100" s="631">
        <f>FG95-FG77</f>
        <v>-97</v>
      </c>
      <c r="FH100" s="631">
        <f>FH95-FH77</f>
        <v>-337</v>
      </c>
      <c r="FI100" s="631">
        <f>FI95-FI77</f>
        <v>-1017</v>
      </c>
      <c r="FJ100" s="333">
        <f>FJ95-FJ77</f>
        <v>-1017</v>
      </c>
      <c r="FK100" s="631">
        <f>FK95-FK77</f>
        <v>-897</v>
      </c>
      <c r="FL100" s="631">
        <f>FL95-FL77</f>
        <v>-1285</v>
      </c>
      <c r="FM100" s="631">
        <f>FM95-FM77</f>
        <v>-1398</v>
      </c>
      <c r="FN100" s="631">
        <f>FN95-FN77</f>
        <v>-1960</v>
      </c>
      <c r="FO100" s="333">
        <f>FO95-FO77</f>
        <v>-1960</v>
      </c>
      <c r="FP100" s="631">
        <f>FP95-FP77</f>
        <v>-2803</v>
      </c>
      <c r="FQ100" s="631">
        <f>FQ95-FQ77</f>
        <v>-3480</v>
      </c>
      <c r="FR100" s="631">
        <f>FR95-FR77</f>
        <v>-3607</v>
      </c>
      <c r="FS100" s="632">
        <f>FS95-FS77</f>
        <v>-3607</v>
      </c>
      <c r="FT100" s="333">
        <f>FT95-FT77</f>
        <v>-3607</v>
      </c>
      <c r="FU100" s="631">
        <f>FU95-FU77</f>
        <v>-5057</v>
      </c>
      <c r="FV100" s="631">
        <f>FV95-FV77</f>
        <v>-3527</v>
      </c>
      <c r="FW100" s="631">
        <f>FW95-FW77</f>
        <v>-3125</v>
      </c>
      <c r="FX100" s="631">
        <f>FX95-FX77</f>
        <v>-3388</v>
      </c>
      <c r="FY100" s="333">
        <f>FY95-FY77</f>
        <v>-3388</v>
      </c>
      <c r="FZ100" s="631">
        <f>FZ95-FZ77</f>
        <v>-3472</v>
      </c>
      <c r="GA100" s="631">
        <f>GA95-GA77</f>
        <v>-4571</v>
      </c>
      <c r="GB100" s="633">
        <f>GB95-GB77</f>
        <v>-4070</v>
      </c>
      <c r="GC100" s="633">
        <f>GC95-GC77</f>
        <v>-4056</v>
      </c>
      <c r="GD100" s="332">
        <f>GD95-GD77</f>
        <v>-4056</v>
      </c>
      <c r="GE100" s="631">
        <f>GE95-GE77</f>
        <v>-4317</v>
      </c>
      <c r="GF100" s="631">
        <f>GF95-GF77</f>
        <v>-3621</v>
      </c>
      <c r="GG100" s="631">
        <f>GG95-GG77</f>
        <v>-2824</v>
      </c>
      <c r="GH100" s="633">
        <f>GH95-GH77</f>
        <v>-3411</v>
      </c>
      <c r="GI100" s="332">
        <f>GI95-GI77</f>
        <v>-3411</v>
      </c>
      <c r="GJ100" s="631">
        <f>GJ95-GJ77</f>
        <v>-4093</v>
      </c>
      <c r="GK100" s="631">
        <f>GK95-GK77</f>
        <v>-2660</v>
      </c>
      <c r="GL100" s="631">
        <f>GL95-GL77</f>
        <v>-4913</v>
      </c>
      <c r="GM100" s="631">
        <f>GM95-GM77</f>
        <v>-8204</v>
      </c>
      <c r="GN100" s="332">
        <f>GN95-GN77</f>
        <v>-8204</v>
      </c>
      <c r="GO100" s="631">
        <f>GO95-GO77</f>
        <v>-9997</v>
      </c>
      <c r="GP100" s="633">
        <f>GP95-GP77</f>
        <v>-9634.8892609335144</v>
      </c>
      <c r="GQ100" s="633">
        <f>GQ95-GQ77</f>
        <v>-11342.879982818675</v>
      </c>
      <c r="GR100" s="633">
        <f>GR95-GR77</f>
        <v>-12600.697063263751</v>
      </c>
      <c r="GS100" s="332">
        <f>GS95-GS77</f>
        <v>-12600.697063263751</v>
      </c>
      <c r="GT100" s="633">
        <f>GT95-GT77</f>
        <v>-17397.519279413544</v>
      </c>
      <c r="GU100" s="633">
        <f>GU95-GU77</f>
        <v>-21062.888348059852</v>
      </c>
      <c r="GV100" s="633">
        <f>GV95-GV77</f>
        <v>-25067.819083308623</v>
      </c>
      <c r="GW100" s="633">
        <f>GW95-GW77</f>
        <v>-31247.667624305599</v>
      </c>
      <c r="GX100" s="332">
        <f>GX95-GX77</f>
        <v>-31247.667624305599</v>
      </c>
      <c r="GY100" s="633">
        <f>GY95-GY77</f>
        <v>-42986.518830917303</v>
      </c>
      <c r="GZ100" s="633">
        <f>GZ95-GZ77</f>
        <v>-52776.698602075398</v>
      </c>
      <c r="HA100" s="633">
        <f>HA95-HA77</f>
        <v>-61099.695746644815</v>
      </c>
      <c r="HB100" s="633">
        <f>HB95-HB77</f>
        <v>-70443.417351382435</v>
      </c>
      <c r="HC100" s="332">
        <f>HC95-HC77</f>
        <v>-70443.417351382435</v>
      </c>
      <c r="HD100" s="633">
        <f>HD95-HD77</f>
        <v>-85419.01908416854</v>
      </c>
      <c r="HE100" s="633">
        <f>HE95-HE77</f>
        <v>-98134.207008307916</v>
      </c>
      <c r="HF100" s="633">
        <f>HF95-HF77</f>
        <v>-110726.23273633183</v>
      </c>
      <c r="HG100" s="633">
        <f>HG95-HG77</f>
        <v>-125352.17840917486</v>
      </c>
      <c r="HH100" s="332">
        <f>HH95-HH77</f>
        <v>-125352.17840917486</v>
      </c>
      <c r="HI100" s="633">
        <f>HI95-HI77</f>
        <v>-145459.10285494645</v>
      </c>
      <c r="HJ100" s="633">
        <f>HJ95-HJ77</f>
        <v>-161742.11048775868</v>
      </c>
      <c r="HK100" s="633">
        <f>HK95-HK77</f>
        <v>-176675.89806018263</v>
      </c>
      <c r="HL100" s="633">
        <f>HL95-HL77</f>
        <v>-195594.42804510251</v>
      </c>
      <c r="HM100" s="332">
        <f>HM95-HM77</f>
        <v>-195594.42804510251</v>
      </c>
      <c r="HN100" s="332"/>
      <c r="HO100" s="331"/>
      <c r="HP100" s="290"/>
      <c r="HR100" s="290"/>
      <c r="HS100" s="290"/>
      <c r="HT100" s="290"/>
      <c r="HU100" s="290"/>
      <c r="HV100" s="290"/>
      <c r="HW100" s="290"/>
      <c r="HX100" s="290"/>
    </row>
    <row r="101" spans="1:232" s="291" customFormat="1">
      <c r="A101" s="621" t="s">
        <v>256</v>
      </c>
      <c r="B101" s="627"/>
      <c r="C101" s="627"/>
      <c r="D101" s="627"/>
      <c r="E101" s="627"/>
      <c r="F101" s="627"/>
      <c r="G101" s="627"/>
      <c r="H101" s="627"/>
      <c r="I101" s="627"/>
      <c r="J101" s="627"/>
      <c r="K101" s="627"/>
      <c r="L101" s="627"/>
      <c r="M101" s="628"/>
      <c r="N101" s="628"/>
      <c r="O101" s="628"/>
      <c r="P101" s="629"/>
      <c r="Q101" s="628"/>
      <c r="R101" s="628"/>
      <c r="S101" s="628"/>
      <c r="T101" s="628"/>
      <c r="U101" s="630"/>
      <c r="V101" s="627"/>
      <c r="W101" s="627"/>
      <c r="X101" s="627"/>
      <c r="Y101" s="627"/>
      <c r="Z101" s="630"/>
      <c r="AA101" s="627"/>
      <c r="AB101" s="627"/>
      <c r="AC101" s="627"/>
      <c r="AD101" s="627"/>
      <c r="AE101" s="630"/>
      <c r="AF101" s="333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631">
        <f>AP100/(AP69+AN69+AM69+AL69)</f>
        <v>-4.5498096315812067</v>
      </c>
      <c r="AQ101" s="631">
        <f>AQ100/(AQ69+AP69+AN69+AM69)</f>
        <v>-3.0436965658069939</v>
      </c>
      <c r="AR101" s="631">
        <f>AR100/(AR69+AQ69+AP69+AN69)</f>
        <v>-3.2669570943840007</v>
      </c>
      <c r="AS101" s="631">
        <f>AS100/(AS69+AR69+AQ69+AP69)</f>
        <v>-3.3689997882383227</v>
      </c>
      <c r="AT101" s="333">
        <f>AS101</f>
        <v>-3.3689997882383227</v>
      </c>
      <c r="AU101" s="631">
        <f>AU100/(AU69+AS69+AR69+AQ69)</f>
        <v>10.496789893576095</v>
      </c>
      <c r="AV101" s="631">
        <f>AV100/(AV69+AU69+AS69+AR69)</f>
        <v>0.66638230591972736</v>
      </c>
      <c r="AW101" s="631">
        <f>AW100/(AW69+AV69+AU69+AS69)</f>
        <v>-0.43511211220340407</v>
      </c>
      <c r="AX101" s="631">
        <f>AX100/(AX69+AW69+AV69+AU69)</f>
        <v>-0.5417399824411625</v>
      </c>
      <c r="AY101" s="333">
        <f>AX101</f>
        <v>-0.5417399824411625</v>
      </c>
      <c r="AZ101" s="631">
        <f>AZ100/(AZ69+AX69+AW69+AV69)</f>
        <v>-4.1903260987081339</v>
      </c>
      <c r="BA101" s="631">
        <f>BA100/(BA69+AZ69+AX69+AW69)</f>
        <v>-6.8686857031033082</v>
      </c>
      <c r="BB101" s="631">
        <f>BB100/(BB69+BA69+AZ69+AX69)</f>
        <v>88.20351882710635</v>
      </c>
      <c r="BC101" s="631">
        <f>BC100/(BC69+BB69+BA69+AZ69)</f>
        <v>14.116031447117253</v>
      </c>
      <c r="BD101" s="333">
        <f>BC101</f>
        <v>14.116031447117253</v>
      </c>
      <c r="BE101" s="631"/>
      <c r="BF101" s="631">
        <f>BF100/(BF69+BE69+BC69+BB69)</f>
        <v>10.588172891442564</v>
      </c>
      <c r="BG101" s="631"/>
      <c r="BH101" s="631"/>
      <c r="BI101" s="333">
        <f>BH101</f>
        <v>0</v>
      </c>
      <c r="BJ101" s="631"/>
      <c r="BK101" s="631"/>
      <c r="BL101" s="631">
        <f>BL100/(BL69+BK69+BJ69+BH69)</f>
        <v>33.845675812013646</v>
      </c>
      <c r="BM101" s="631">
        <f>BM100/(BM69+BL69+BK69+BJ69)</f>
        <v>6.8125044756669704</v>
      </c>
      <c r="BN101" s="333">
        <f>BM101</f>
        <v>6.8125044756669704</v>
      </c>
      <c r="BO101" s="631">
        <f>BO100/(BO69+BM69+BL69+BK69)</f>
        <v>3.1007975728333941</v>
      </c>
      <c r="BP101" s="631">
        <f>BP100/(BP69+BO69+BM69+BL69)</f>
        <v>6.9006962767307041</v>
      </c>
      <c r="BQ101" s="631"/>
      <c r="BR101" s="631">
        <f>BR100/(BR69+BQ69+BP69+BO69)</f>
        <v>1.0312441660909484</v>
      </c>
      <c r="BS101" s="333">
        <f>BR101</f>
        <v>1.0312441660909484</v>
      </c>
      <c r="BT101" s="631">
        <f>BT100/(BT69+BR69+BQ69+BP69)</f>
        <v>0.59653783938097593</v>
      </c>
      <c r="BU101" s="631">
        <f>BU100/(BU69+BT69+BR69+BQ69)</f>
        <v>0.52996203240190898</v>
      </c>
      <c r="BV101" s="631">
        <f>BV100/(BV69+BU69+BT69+BR69)</f>
        <v>0.22046544423214523</v>
      </c>
      <c r="BW101" s="631">
        <f>BW100/(BW69+BV69+BU69+BT69)</f>
        <v>0.46023637519980121</v>
      </c>
      <c r="BX101" s="333">
        <f>BW101</f>
        <v>0.46023637519980121</v>
      </c>
      <c r="BY101" s="631">
        <f>BY100/(BY69+BW69+BV69+BU69)</f>
        <v>0.63955962304012892</v>
      </c>
      <c r="BZ101" s="631">
        <f>BZ100/(BZ69+BY69+BW69+BV69)</f>
        <v>0.45775883158087888</v>
      </c>
      <c r="CA101" s="631">
        <f>CA100/(CA69+BZ69+BY69+BW69)</f>
        <v>2.5733003106452204</v>
      </c>
      <c r="CB101" s="631">
        <f>CB100/(CB69+CA69+BZ69+BY69)</f>
        <v>4.5987979644924009</v>
      </c>
      <c r="CC101" s="333">
        <f>CB101</f>
        <v>4.5987979644924009</v>
      </c>
      <c r="CD101" s="631"/>
      <c r="CE101" s="631"/>
      <c r="CF101" s="631"/>
      <c r="CG101" s="631"/>
      <c r="CH101" s="333">
        <f>CG101</f>
        <v>0</v>
      </c>
      <c r="CI101" s="631"/>
      <c r="CJ101" s="631"/>
      <c r="CK101" s="631"/>
      <c r="CL101" s="631"/>
      <c r="CM101" s="333">
        <f>CL101</f>
        <v>0</v>
      </c>
      <c r="CN101" s="631"/>
      <c r="CO101" s="631">
        <f>CO100/(CO69+CN69+CL69+CK69)</f>
        <v>5.6999772983396193</v>
      </c>
      <c r="CP101" s="631">
        <f>CP100/(CP69+CO69+CN69+CL69)</f>
        <v>1.7234179268457384</v>
      </c>
      <c r="CQ101" s="631"/>
      <c r="CR101" s="333">
        <f>CQ101</f>
        <v>0</v>
      </c>
      <c r="CS101" s="631">
        <f>CS100/(CS69+CQ69+CP69+CO69)</f>
        <v>-4.9440667616369591</v>
      </c>
      <c r="CT101" s="631">
        <f>CT100/(CT69+CS69+CQ69+CP69)</f>
        <v>-5.8174245473066621</v>
      </c>
      <c r="CU101" s="631">
        <f>CU100/(CU69+CT69+CS69+CQ69)</f>
        <v>-14.386338844285637</v>
      </c>
      <c r="CV101" s="631">
        <f>CV100/(CV69+CU69+CT69+CS69)</f>
        <v>12.362124970739231</v>
      </c>
      <c r="CW101" s="333">
        <f>CV101</f>
        <v>12.362124970739231</v>
      </c>
      <c r="CX101" s="631">
        <f>CX100/(CX69+CV69+CU69+CT69)</f>
        <v>8.9687992416363933</v>
      </c>
      <c r="CY101" s="631">
        <f>CY100/(CY69+CX69+CV69+CU69)</f>
        <v>-60.659528400746098</v>
      </c>
      <c r="CZ101" s="631">
        <f>CZ100/(CZ69+CY69+CX69+CV69)</f>
        <v>13.213569999684601</v>
      </c>
      <c r="DA101" s="631">
        <f>DA100/(DA69+CZ69+CY69+CX69)</f>
        <v>119.24510430847408</v>
      </c>
      <c r="DB101" s="333">
        <f>DA101</f>
        <v>119.24510430847408</v>
      </c>
      <c r="DC101" s="631">
        <f>DC100/(DC69+DA69+CZ69+CY69)</f>
        <v>-18.753296674650027</v>
      </c>
      <c r="DD101" s="631">
        <f>DD100/(DD69+DC69+DA69+CZ69)</f>
        <v>22.960550096987745</v>
      </c>
      <c r="DE101" s="631">
        <f>DE100/(DE69+DD69+DC69+DA69)</f>
        <v>-6.0980102861622365</v>
      </c>
      <c r="DF101" s="631">
        <f>DF100/(DF69+DE69+DD69+DC69)</f>
        <v>-10.556577687335508</v>
      </c>
      <c r="DG101" s="333">
        <f>DF101</f>
        <v>-10.556577687335508</v>
      </c>
      <c r="DH101" s="631">
        <f>DH100/(DH69+DF69+DE69+DD69)</f>
        <v>-3.6636844729420925</v>
      </c>
      <c r="DI101" s="631">
        <f>DI100/(DI69+DH69+DF69+DE69)</f>
        <v>-3.6851610005010391</v>
      </c>
      <c r="DJ101" s="631">
        <f>DJ100/(DJ69+DI69+DH69+DF69)</f>
        <v>-5.0670372234269498</v>
      </c>
      <c r="DK101" s="631">
        <f>DK100/(DK69+DJ69+DI69+DH69)</f>
        <v>-2.1495990087762022</v>
      </c>
      <c r="DL101" s="333">
        <f>DK101</f>
        <v>-2.1495990087762022</v>
      </c>
      <c r="DM101" s="631">
        <f>DM100/(DM69+DK69+DJ69+DI69)</f>
        <v>-1.2841819654029791</v>
      </c>
      <c r="DN101" s="631">
        <f>DN100/(DN69+DM69+DK69+DJ69)</f>
        <v>-0.77829414268419983</v>
      </c>
      <c r="DO101" s="631">
        <f>DO100/(DO69+DN69+DM69+DK69)</f>
        <v>-0.63516906064492806</v>
      </c>
      <c r="DP101" s="631">
        <f>DP100/(DP69+DO69+DN69+DM69)</f>
        <v>-0.30235073876285484</v>
      </c>
      <c r="DQ101" s="333">
        <f>DP101</f>
        <v>-0.30235073876285484</v>
      </c>
      <c r="DR101" s="631">
        <f>DR100/(DR69+DP69+DO69+DN69)</f>
        <v>-0.27855934798499049</v>
      </c>
      <c r="DS101" s="631">
        <f>DS100/(DS69+DR69+DP69+DO69)</f>
        <v>-0.25347272212472061</v>
      </c>
      <c r="DT101" s="631">
        <f>DT100/(DT69+DS69+DR69+DP69)</f>
        <v>0.24039964046390661</v>
      </c>
      <c r="DU101" s="631">
        <f>DU100/(DU69+DT69+DS69+DR69)</f>
        <v>0.90949934659073806</v>
      </c>
      <c r="DV101" s="333">
        <f>DU101</f>
        <v>0.90949934659073806</v>
      </c>
      <c r="DW101" s="631">
        <f>DW100/(DW69+DU69+DT69+DS69)</f>
        <v>-3.469430626160367E-2</v>
      </c>
      <c r="DX101" s="631">
        <f>DX100/(DX69+DW69+DU69+DT69)</f>
        <v>-0.12589194606126616</v>
      </c>
      <c r="DY101" s="631">
        <f>DY100/(DY69+DX69+DW69+DU69)</f>
        <v>3.6358792143422591</v>
      </c>
      <c r="DZ101" s="631">
        <f>DZ100/(DZ69+DY69+DX69+DW69)</f>
        <v>4.7044899442669061</v>
      </c>
      <c r="EA101" s="333">
        <f>DZ101</f>
        <v>4.7044899442669061</v>
      </c>
      <c r="EB101" s="631">
        <f>EB100/(EB69+DZ69+DY69+DX69)</f>
        <v>-7.8434656025701042</v>
      </c>
      <c r="EC101" s="631">
        <f>EC100/(EC69+EB69+DZ69+DY69)</f>
        <v>-9.9294986814029702</v>
      </c>
      <c r="ED101" s="631">
        <f>ED100/(ED69+EC69+EB69+DZ69)</f>
        <v>-286.57220099448767</v>
      </c>
      <c r="EE101" s="631">
        <f>EE100/(EE69+ED69+EC69+EB69)</f>
        <v>-3.7047768874731095</v>
      </c>
      <c r="EF101" s="333">
        <f>EE101</f>
        <v>-3.7047768874731095</v>
      </c>
      <c r="EG101" s="631">
        <f>EG100/(EG69+EE69+ED69+EC69)</f>
        <v>-9.8901179540240189</v>
      </c>
      <c r="EH101" s="631">
        <f>EH100/(EH69+EG69+EE69+ED69)</f>
        <v>48.152981024675746</v>
      </c>
      <c r="EI101" s="631">
        <f>EI100/(EI69+EH69+EG69+EE69)</f>
        <v>5.534042997286579</v>
      </c>
      <c r="EJ101" s="631">
        <f>EJ100/(EJ69+EI69+EH69+EG69)</f>
        <v>2.3466981132075473</v>
      </c>
      <c r="EK101" s="333">
        <f>EJ101</f>
        <v>2.3466981132075473</v>
      </c>
      <c r="EL101" s="631">
        <f>EL100/(EL69+EJ69+EI69+EH69)</f>
        <v>3.7072368421052633</v>
      </c>
      <c r="EM101" s="631">
        <f>EM100/(EM69+EL69+EJ69+EI69)</f>
        <v>9.3410852713178301</v>
      </c>
      <c r="EN101" s="631">
        <f>EN100/(EN69+EM69+EL69+EJ69)</f>
        <v>-25</v>
      </c>
      <c r="EO101" s="631">
        <f>EO100/(EO69+EN69+EM69+EL69)</f>
        <v>-8.2039473684210531</v>
      </c>
      <c r="EP101" s="333">
        <f>EO101</f>
        <v>-8.2039473684210531</v>
      </c>
      <c r="EQ101" s="631">
        <f>EQ100/(EQ69+EO69+EN69+EM69)</f>
        <v>-6.6839378238341967</v>
      </c>
      <c r="ER101" s="631">
        <f>ER100/(ER69+EQ69+EO69+EN69)</f>
        <v>-7.429577464788732</v>
      </c>
      <c r="ES101" s="631">
        <f>ES100/(ES69+ER69+EQ69+EO69)</f>
        <v>-20.777777777777779</v>
      </c>
      <c r="ET101" s="631">
        <f>ET100/(ET69+ES69+ER69+EQ69)</f>
        <v>57</v>
      </c>
      <c r="EU101" s="333">
        <f>ET101</f>
        <v>57</v>
      </c>
      <c r="EV101" s="631">
        <f>EV100/(EV69+ET69+ES69+ER69)</f>
        <v>8.7735849056603765</v>
      </c>
      <c r="EW101" s="631">
        <f>EW100/(EW69+EV69+ET69+ES69)</f>
        <v>4.3884297520661155</v>
      </c>
      <c r="EX101" s="631">
        <f>EX100/(EX69+EW69+EV69+ET69)</f>
        <v>2.1013215859030838</v>
      </c>
      <c r="EY101" s="631">
        <f>EY100/(EY69+EX69+EW69+EV69)</f>
        <v>0.40229885057471265</v>
      </c>
      <c r="EZ101" s="333">
        <f>EY101</f>
        <v>0.40229885057471265</v>
      </c>
      <c r="FA101" s="631">
        <f>FA100/(FA69+EY69+EX69+EW69)</f>
        <v>0.23668639053254437</v>
      </c>
      <c r="FB101" s="631">
        <f>FB100/(FB69+FA69+EY69+EX69)</f>
        <v>0.29127725856697817</v>
      </c>
      <c r="FC101" s="631">
        <f>FC100/(FC69+FB69+FA69+EY69)</f>
        <v>0.16542473919523099</v>
      </c>
      <c r="FD101" s="631">
        <f>FD100/(FD69+FC69+FB69+FA69)</f>
        <v>-6.7632850241545889E-2</v>
      </c>
      <c r="FE101" s="333">
        <f>FD101</f>
        <v>-6.7632850241545889E-2</v>
      </c>
      <c r="FF101" s="631">
        <f>FF100/(FF69+FD69+FC69+FB69)</f>
        <v>-0.35343035343035345</v>
      </c>
      <c r="FG101" s="631">
        <f>FG100/(FG69+FF69+FD69+FC69)</f>
        <v>-0.24433249370277077</v>
      </c>
      <c r="FH101" s="631">
        <f>FH100/(FH69+FG69+FF69+FD69)</f>
        <v>-0.74557522123893805</v>
      </c>
      <c r="FI101" s="631">
        <f>FI100/(FI69+FH69+FG69+FF69)</f>
        <v>-1.2824716267339218</v>
      </c>
      <c r="FJ101" s="333">
        <f>FI101</f>
        <v>-1.2824716267339218</v>
      </c>
      <c r="FK101" s="631">
        <f>FK100/(FK69+FI69+FH69+FG69)</f>
        <v>-0.88461538461538458</v>
      </c>
      <c r="FL101" s="631">
        <f>FL100/(FL69+FK69+FI69+FH69)</f>
        <v>-1.1193379790940767</v>
      </c>
      <c r="FM101" s="631">
        <f>FM100/(FM69+FL69+FK69+FI69)</f>
        <v>-0.97557571528262388</v>
      </c>
      <c r="FN101" s="631">
        <f>FN100/(FN69+FM69+FL69+FK69)</f>
        <v>-1.1632047477744807</v>
      </c>
      <c r="FO101" s="333">
        <f>FN101</f>
        <v>-1.1632047477744807</v>
      </c>
      <c r="FP101" s="631">
        <f>FP100/(FP69+FN69+FM69+FL69)</f>
        <v>-1.2671790235081375</v>
      </c>
      <c r="FQ101" s="631">
        <f>FQ100/(FQ69+FP69+FN69+FM69)</f>
        <v>-1.2020725388601037</v>
      </c>
      <c r="FR101" s="631">
        <f>FR100/(FR69+FQ69+FP69+FN69)</f>
        <v>-1.0580815488413025</v>
      </c>
      <c r="FS101" s="631">
        <f>FS100/(FS69+FR69+FQ69+FP69)</f>
        <v>-0.88624078624078628</v>
      </c>
      <c r="FT101" s="333">
        <f>FS101</f>
        <v>-0.88624078624078628</v>
      </c>
      <c r="FU101" s="631">
        <f>FU100/(FU69+FS69+FR69+FQ69)</f>
        <v>-0.99332154782950299</v>
      </c>
      <c r="FV101" s="631">
        <f>FV100/(FV69+FU69+FS69+FR69)</f>
        <v>-0.72781675608749485</v>
      </c>
      <c r="FW101" s="631">
        <f>FW100/(FW69+FV69+FU69+FS69)</f>
        <v>-0.80128205128205132</v>
      </c>
      <c r="FX101" s="631">
        <f>FX100/(FX69+FW69+FV69+FU69)</f>
        <v>-1.3020753266717908</v>
      </c>
      <c r="FY101" s="333">
        <f>FX101</f>
        <v>-1.3020753266717908</v>
      </c>
      <c r="FZ101" s="631">
        <f>FZ100/(FZ69+FY69+FX69+FW69)</f>
        <v>-1.2662290299051786</v>
      </c>
      <c r="GA101" s="631">
        <f>GA100/(GA69+FZ69+FY69+FX69)</f>
        <v>-1.6448362720403022</v>
      </c>
      <c r="GB101" s="631">
        <f>GB100/(GB69+GA69+FZ69+FX69)</f>
        <v>-7.2163120567375882</v>
      </c>
      <c r="GC101" s="631">
        <f>GC100/(GC69+GB69+GA69+FZ69)</f>
        <v>-3.8887823585810164</v>
      </c>
      <c r="GD101" s="333">
        <f>GC101</f>
        <v>-3.8887823585810164</v>
      </c>
      <c r="GE101" s="631">
        <f>GE100/(GE69+GC69+GB69+GA69)</f>
        <v>-3.5183374083129584</v>
      </c>
      <c r="GF101" s="631">
        <f>GF100/(GF69+GE69+GC69+GB69)</f>
        <v>-2.3728702490170379</v>
      </c>
      <c r="GG101" s="631">
        <f>GG100/(GG69+GF69+GD69+GC69)</f>
        <v>-0.98089614449461615</v>
      </c>
      <c r="GH101" s="631">
        <f>GH100/(GH69+GG69+GF69+GE69)</f>
        <v>-1.3267211201866977</v>
      </c>
      <c r="GI101" s="333">
        <f>GH101</f>
        <v>-1.3267211201866977</v>
      </c>
      <c r="GJ101" s="631">
        <f>GJ100/(GJ69+GI69+GH69+GG69)</f>
        <v>-0.74553734061930788</v>
      </c>
      <c r="GK101" s="631">
        <f>GK100/(GK69+GJ69+GH69+GG69)</f>
        <v>-0.89441829186281108</v>
      </c>
      <c r="GL101" s="631">
        <f>GL100/(GL69+GK69+GI69+GH69)</f>
        <v>-0.95751315533034498</v>
      </c>
      <c r="GM101" s="631">
        <f>GM100/(GM69+GL69+GJ69+GI69)</f>
        <v>-1.178735632183908</v>
      </c>
      <c r="GN101" s="333">
        <f>GM101</f>
        <v>-1.178735632183908</v>
      </c>
      <c r="GO101" s="631">
        <f>GO100/(GO69+GN69+GL69+GK69)</f>
        <v>-1.3079942430982598</v>
      </c>
      <c r="GP101" s="631">
        <f>GP100/(GP69+GO69+GM69+GL69)</f>
        <v>-1.2382236812304073</v>
      </c>
      <c r="GQ101" s="631">
        <f>GQ100/(GQ69+GP69+GO69+GM69)</f>
        <v>-1.2323285354882048</v>
      </c>
      <c r="GR101" s="631">
        <f>GR100/(GR69+GQ69+GP69+GO69)</f>
        <v>-1.057090656067859</v>
      </c>
      <c r="GS101" s="333">
        <f>GR101</f>
        <v>-1.057090656067859</v>
      </c>
      <c r="GT101" s="631">
        <f>GT100/(GT69+GR69+GQ69+GP69)</f>
        <v>-1.1387520285316157</v>
      </c>
      <c r="GU101" s="631">
        <f>GU100/(GU69+GT69+GR69+GQ69)</f>
        <v>-1.155669532716437</v>
      </c>
      <c r="GV101" s="631">
        <f>GV100/(GV69+GU69+GT69+GR69)</f>
        <v>-1.1412817512287494</v>
      </c>
      <c r="GW101" s="631">
        <f>GW100/(GW69+GV69+GU69+GT69)</f>
        <v>-1.269426823004647</v>
      </c>
      <c r="GX101" s="333">
        <f>GW101</f>
        <v>-1.269426823004647</v>
      </c>
      <c r="GY101" s="631">
        <f>GY100/(GY69+GW69+GV69+GU69)</f>
        <v>-1.6058841530998009</v>
      </c>
      <c r="GZ101" s="631">
        <f>GZ100/(GZ69+GY69+GW69+GV69)</f>
        <v>-1.825627235155878</v>
      </c>
      <c r="HA101" s="631">
        <f>HA100/(HA69+GZ69+GY69+GW69)</f>
        <v>-1.9639859216256459</v>
      </c>
      <c r="HB101" s="631">
        <f>HB100/(HB69+HA69+GZ69+GY69)</f>
        <v>-2.0989763426716297</v>
      </c>
      <c r="HC101" s="333">
        <f>HB101</f>
        <v>-2.0989763426716297</v>
      </c>
      <c r="HD101" s="631">
        <f>HD100/(HD69+HB69+HA69+GZ69)</f>
        <v>-2.4006483818046918</v>
      </c>
      <c r="HE101" s="631">
        <f>HE100/(HE69+HD69+HB69+HA69)</f>
        <v>-2.6186937045160095</v>
      </c>
      <c r="HF101" s="631">
        <f>HF100/(HF69+HE69+HD69+HB69)</f>
        <v>-2.8079268586010158</v>
      </c>
      <c r="HG101" s="631">
        <f>HG100/(HG69+HF69+HE69+HD69)</f>
        <v>-3.06252726336279</v>
      </c>
      <c r="HH101" s="333">
        <f>HG101</f>
        <v>-3.06252726336279</v>
      </c>
      <c r="HI101" s="631">
        <f>HI100/(HI69+HG69+HF69+HE69)</f>
        <v>-3.4468770180102304</v>
      </c>
      <c r="HJ101" s="631">
        <f>HJ100/(HJ69+HI69+HG69+HF69)</f>
        <v>-3.7100275731868475</v>
      </c>
      <c r="HK101" s="631">
        <f>HK100/(HK69+HJ69+HI69+HG69)</f>
        <v>-3.8782214868261202</v>
      </c>
      <c r="HL101" s="631">
        <f>HL100/(HL69+HK69+HJ69+HI69)</f>
        <v>-4.0835615069188824</v>
      </c>
      <c r="HM101" s="333">
        <f>HL101</f>
        <v>-4.0835615069188824</v>
      </c>
      <c r="HN101" s="333"/>
      <c r="HO101" s="331"/>
      <c r="HP101" s="290"/>
      <c r="HR101" s="290"/>
      <c r="HS101" s="290"/>
      <c r="HT101" s="290"/>
      <c r="HU101" s="290"/>
      <c r="HV101" s="290"/>
      <c r="HW101" s="290"/>
      <c r="HX101" s="290"/>
    </row>
    <row r="102" spans="1:232" s="291" customFormat="1">
      <c r="A102" s="621"/>
      <c r="B102" s="627"/>
      <c r="C102" s="627"/>
      <c r="D102" s="627"/>
      <c r="E102" s="627"/>
      <c r="F102" s="627"/>
      <c r="G102" s="627"/>
      <c r="H102" s="627"/>
      <c r="I102" s="627"/>
      <c r="J102" s="627"/>
      <c r="K102" s="627"/>
      <c r="L102" s="627"/>
      <c r="M102" s="628"/>
      <c r="N102" s="628"/>
      <c r="O102" s="628"/>
      <c r="P102" s="629"/>
      <c r="Q102" s="628"/>
      <c r="R102" s="628"/>
      <c r="S102" s="628"/>
      <c r="T102" s="628"/>
      <c r="U102" s="630"/>
      <c r="V102" s="627"/>
      <c r="W102" s="627"/>
      <c r="X102" s="627"/>
      <c r="Y102" s="627"/>
      <c r="Z102" s="630"/>
      <c r="AA102" s="627"/>
      <c r="AB102" s="627"/>
      <c r="AC102" s="627"/>
      <c r="AD102" s="627"/>
      <c r="AE102" s="630"/>
      <c r="AF102" s="333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3"/>
      <c r="AV102" s="333"/>
      <c r="AW102" s="333"/>
      <c r="AX102" s="333"/>
      <c r="AY102" s="333"/>
      <c r="AZ102" s="333"/>
      <c r="BA102" s="333"/>
      <c r="BB102" s="333"/>
      <c r="BC102" s="333"/>
      <c r="BD102" s="333"/>
      <c r="BE102" s="333"/>
      <c r="BF102" s="333"/>
      <c r="BG102" s="333"/>
      <c r="BH102" s="333"/>
      <c r="BI102" s="333"/>
      <c r="BJ102" s="333"/>
      <c r="BK102" s="333"/>
      <c r="BL102" s="333"/>
      <c r="BM102" s="333"/>
      <c r="BN102" s="333"/>
      <c r="BO102" s="333"/>
      <c r="BP102" s="333"/>
      <c r="BQ102" s="333"/>
      <c r="BR102" s="333"/>
      <c r="BS102" s="333"/>
      <c r="BT102" s="333"/>
      <c r="BU102" s="333"/>
      <c r="BV102" s="333"/>
      <c r="BW102" s="333"/>
      <c r="BX102" s="333"/>
      <c r="BY102" s="333"/>
      <c r="BZ102" s="333"/>
      <c r="CA102" s="333"/>
      <c r="CB102" s="333"/>
      <c r="CC102" s="333"/>
      <c r="CD102" s="333"/>
      <c r="CE102" s="333"/>
      <c r="CF102" s="333"/>
      <c r="CG102" s="333"/>
      <c r="CH102" s="333"/>
      <c r="CI102" s="333"/>
      <c r="CJ102" s="333"/>
      <c r="CK102" s="333"/>
      <c r="CL102" s="333"/>
      <c r="CM102" s="333"/>
      <c r="CN102" s="333"/>
      <c r="CO102" s="333"/>
      <c r="CP102" s="333"/>
      <c r="CQ102" s="333"/>
      <c r="CR102" s="333"/>
      <c r="CS102" s="333"/>
      <c r="CT102" s="333"/>
      <c r="CU102" s="333"/>
      <c r="CV102" s="333"/>
      <c r="CW102" s="333"/>
      <c r="CX102" s="333"/>
      <c r="CY102" s="333"/>
      <c r="CZ102" s="333"/>
      <c r="DA102" s="333"/>
      <c r="DB102" s="333"/>
      <c r="DC102" s="333"/>
      <c r="DD102" s="333"/>
      <c r="DE102" s="333"/>
      <c r="DF102" s="333"/>
      <c r="DG102" s="333"/>
      <c r="DH102" s="333"/>
      <c r="DI102" s="333"/>
      <c r="DJ102" s="333"/>
      <c r="DK102" s="333"/>
      <c r="DL102" s="333"/>
      <c r="DM102" s="333"/>
      <c r="DN102" s="333"/>
      <c r="DO102" s="333"/>
      <c r="DP102" s="333"/>
      <c r="DQ102" s="333"/>
      <c r="DR102" s="631">
        <f>DR100/(DR70+DP70+DO70+DN70)</f>
        <v>0.50394588500563697</v>
      </c>
      <c r="DS102" s="631">
        <f>DS100/(DS70+DR70+DP70+DO70)</f>
        <v>0.39620403321470937</v>
      </c>
      <c r="DT102" s="631">
        <f>DT100/(DT70+DS70+DR70+DP70)</f>
        <v>-0.28468033775633295</v>
      </c>
      <c r="DU102" s="631">
        <f>DU100/(DU70+DT70+DS70+DR70)</f>
        <v>-0.28299643281807374</v>
      </c>
      <c r="DV102" s="333">
        <f>DU102</f>
        <v>-0.28299643281807374</v>
      </c>
      <c r="DW102" s="631">
        <f>DW100/(DW70+DU70+DT70+DS70)</f>
        <v>-1.7401392111368909E-2</v>
      </c>
      <c r="DX102" s="631">
        <f>DX100/(DX70+DW70+DU70+DT70)</f>
        <v>-5.7387057387057384E-2</v>
      </c>
      <c r="DY102" s="631">
        <f>DY100/(DY70+DX70+DW70+DU70)</f>
        <v>1.3712686567164178</v>
      </c>
      <c r="DZ102" s="631">
        <f>DZ100/(DZ70+DY70+DX70+DW70)</f>
        <v>3.3934426229508197</v>
      </c>
      <c r="EA102" s="333">
        <f>DZ102</f>
        <v>3.3934426229508197</v>
      </c>
      <c r="EB102" s="631">
        <f>EB100/(EB70+DZ70+DY70+DX70)</f>
        <v>7.1944444444444446</v>
      </c>
      <c r="EC102" s="631">
        <f>EC100/(EC70+EB70+DZ70+DY70)</f>
        <v>20.653846153846153</v>
      </c>
      <c r="ED102" s="631">
        <f>ED100/(ED70+EC70+EB70+DZ70)</f>
        <v>3.2566037735849056</v>
      </c>
      <c r="EE102" s="631">
        <f>EE100/(EE70+ED70+EC70+EB70)</f>
        <v>1.9355608591885443</v>
      </c>
      <c r="EF102" s="333">
        <f>EE102</f>
        <v>1.9355608591885443</v>
      </c>
      <c r="EG102" s="631">
        <f>EG100/(EG70+EE70+ED70+EC70)</f>
        <v>2.2702702702702702</v>
      </c>
      <c r="EH102" s="631">
        <f>EH100/(EH70+EG70+EE70+ED70)</f>
        <v>1.9479865771812082</v>
      </c>
      <c r="EI102" s="631">
        <f>EI100/(EI70+EH70+EG70+EE70)</f>
        <v>2.034843205574913</v>
      </c>
      <c r="EJ102" s="631">
        <f>EJ100/(EJ70+EI70+EH70+EG70)</f>
        <v>1.9702970297029703</v>
      </c>
      <c r="EK102" s="333">
        <f>EJ102</f>
        <v>1.9702970297029703</v>
      </c>
      <c r="EL102" s="631">
        <f>EL100/(EL70+EJ70+EI70+EH70)</f>
        <v>2.9736147757255935</v>
      </c>
      <c r="EM102" s="631">
        <f>EM100/(EM70+EL70+EJ70+EI70)</f>
        <v>6.0250000000000004</v>
      </c>
      <c r="EN102" s="631">
        <f>EN100/(EN70+EM70+EL70+EJ70)</f>
        <v>106.25</v>
      </c>
      <c r="EO102" s="631">
        <f>EO100/(EO70+EN70+EM70+EL70)</f>
        <v>-14.011235955056179</v>
      </c>
      <c r="EP102" s="333">
        <f>EO102</f>
        <v>-14.011235955056179</v>
      </c>
      <c r="EQ102" s="631">
        <f>EQ100/(EQ70+EO70+EN70+EM70)</f>
        <v>-9.8473282442748094</v>
      </c>
      <c r="ER102" s="631">
        <f>ER100/(ER70+EQ70+EO70+EN70)</f>
        <v>-13.354430379746836</v>
      </c>
      <c r="ES102" s="631">
        <f>ES100/(ES70+ER70+EQ70+EO70)</f>
        <v>6.8</v>
      </c>
      <c r="ET102" s="631">
        <f>ET100/(ET70+ES70+ER70+EQ70)</f>
        <v>1.9213483146067416</v>
      </c>
      <c r="EU102" s="333">
        <f>ET102</f>
        <v>1.9213483146067416</v>
      </c>
      <c r="EV102" s="631">
        <f>EV100/(EV70+ET70+ES70+ER70)</f>
        <v>3.1849315068493151</v>
      </c>
      <c r="EW102" s="631">
        <f>EW100/(EW70+EV70+ET70+ES70)</f>
        <v>2.4136363636363636</v>
      </c>
      <c r="EX102" s="631">
        <f>EX100/(EX70+EW70+EV70+ET70)</f>
        <v>1.4367469879518073</v>
      </c>
      <c r="EY102" s="631">
        <f>EY100/(EY70+EX70+EW70+EV70)</f>
        <v>0.3146067415730337</v>
      </c>
      <c r="EZ102" s="333">
        <f>EY102</f>
        <v>0.3146067415730337</v>
      </c>
      <c r="FA102" s="631">
        <f>FA100/(FA70+EY70+EX70+EW70)</f>
        <v>0.19575856443719414</v>
      </c>
      <c r="FB102" s="631">
        <f>FB100/(FB70+FA70+EY70+EX70)</f>
        <v>0.24702774108322326</v>
      </c>
      <c r="FC102" s="631">
        <f>FC100/(FC70+FB70+FA70+EY70)</f>
        <v>0.13997477931904162</v>
      </c>
      <c r="FD102" s="631">
        <f>FD100/(FD70+FC70+FB70+FA70)</f>
        <v>-5.5408970976253295E-2</v>
      </c>
      <c r="FE102" s="333">
        <f>FD102</f>
        <v>-5.5408970976253295E-2</v>
      </c>
      <c r="FF102" s="631">
        <f>FF100/(FF70+FD70+FC70+FB70)</f>
        <v>-0.27113237639553428</v>
      </c>
      <c r="FG102" s="631">
        <f>FG100/(FG70+FF70+FD70+FC70)</f>
        <v>-0.17477477477477477</v>
      </c>
      <c r="FH102" s="631">
        <f>FH100/(FH70+FG70+FF70+FD70)</f>
        <v>-0.5366242038216561</v>
      </c>
      <c r="FI102" s="631">
        <f>FI100/(FI70+FH70+FG70+FF70)</f>
        <v>-1.0272727272727273</v>
      </c>
      <c r="FJ102" s="333">
        <f>FI102</f>
        <v>-1.0272727272727273</v>
      </c>
      <c r="FK102" s="631">
        <f>FK100/(FK70+FI70+FH70+FG70)</f>
        <v>-0.72986167615947928</v>
      </c>
      <c r="FL102" s="631">
        <f>FL100/(FL70+FK70+FI70+FH70)</f>
        <v>-0.93251088534107407</v>
      </c>
      <c r="FM102" s="631">
        <f>FM100/(FM70+FL70+FK70+FI70)</f>
        <v>-0.829673590504451</v>
      </c>
      <c r="FN102" s="631">
        <f>FN100/(FN70+FM70+FL70+FK70)</f>
        <v>-1.0005104645227156</v>
      </c>
      <c r="FO102" s="333">
        <f>FN102</f>
        <v>-1.0005104645227156</v>
      </c>
      <c r="FP102" s="631">
        <f>FP100/(FP70+FN70+FM70+FL70)</f>
        <v>-1.1158439490445859</v>
      </c>
      <c r="FQ102" s="631">
        <f>FQ100/(FQ70+FP70+FN70+FM70)</f>
        <v>-1.0814170292106899</v>
      </c>
      <c r="FR102" s="631">
        <f>FR100/(FR70+FQ70+FP70+FN70)</f>
        <v>-0.96058588548601864</v>
      </c>
      <c r="FS102" s="631">
        <f>FS100/(FS70+FR70+FQ70+FP70)</f>
        <v>-0.81074398741290177</v>
      </c>
      <c r="FT102" s="333">
        <f>FS102</f>
        <v>-0.81074398741290177</v>
      </c>
      <c r="FU102" s="631">
        <f>FU100/(FU70+FS70+FR70+FQ70)</f>
        <v>-0.90969598848713795</v>
      </c>
      <c r="FV102" s="631">
        <f>FV100/(FV70+FU70+FS70+FR70)</f>
        <v>-0.64244080145719495</v>
      </c>
      <c r="FW102" s="631">
        <f>FW100/(FW70+FV70+FU70+FS70)</f>
        <v>-0.66291896478574464</v>
      </c>
      <c r="FX102" s="631">
        <f>FX100/(FX70+FW70+FV70+FU70)</f>
        <v>-0.93746541228555613</v>
      </c>
      <c r="FY102" s="333">
        <f>FX102</f>
        <v>-0.93746541228555613</v>
      </c>
      <c r="FZ102" s="631">
        <f>FZ100/(FZ70+FY70+FX70+FW70)</f>
        <v>-0.74859853385079778</v>
      </c>
      <c r="GA102" s="631">
        <f>GA100/(GA70+FZ70+FY70+FX70)</f>
        <v>-0.96150610012620952</v>
      </c>
      <c r="GB102" s="631">
        <f>GB100/(GB70+GA70+FZ70+FX70)</f>
        <v>-2.1648936170212765</v>
      </c>
      <c r="GC102" s="631">
        <f>GC100/(GC70+GB70+GA70+FZ70)</f>
        <v>-1.6739579034255057</v>
      </c>
      <c r="GD102" s="333">
        <f>GC102</f>
        <v>-1.6739579034255057</v>
      </c>
      <c r="GE102" s="631">
        <f>GE100/(GE70+GC70+GB70+GA70)</f>
        <v>-1.6150392817059485</v>
      </c>
      <c r="GF102" s="631">
        <f>GF100/(GF70+GE70+GC70+GB70)</f>
        <v>-1.2191919191919192</v>
      </c>
      <c r="GG102" s="631">
        <f>GG100/(GG70+GF70+GD70+GC70)</f>
        <v>-0.52983114446529078</v>
      </c>
      <c r="GH102" s="631">
        <f>GH100/(GH70+GG70+GF70+GE70)</f>
        <v>-0.85746606334841624</v>
      </c>
      <c r="GI102" s="333">
        <f>GH102</f>
        <v>-0.85746606334841624</v>
      </c>
      <c r="GJ102" s="631">
        <f>GJ100/(GJ70+GI70+GH70+GG70)</f>
        <v>-0.51477801534398193</v>
      </c>
      <c r="GK102" s="631">
        <f>GK100/(GK70+GJ70+GH70+GG70)</f>
        <v>-0.60495792585853991</v>
      </c>
      <c r="GL102" s="631">
        <f>GL100/(GL70+GK70+GI70+GH70)</f>
        <v>-0.64096542726679717</v>
      </c>
      <c r="GM102" s="631">
        <f>GM100/(GM70+GL70+GJ70+GI70)</f>
        <v>-0.85139061851390618</v>
      </c>
      <c r="GN102" s="333">
        <f>GM102</f>
        <v>-0.85139061851390618</v>
      </c>
      <c r="GO102" s="631">
        <f>GO100/(GO70+GN70+GL70+GK70)</f>
        <v>-0.94704433497536944</v>
      </c>
      <c r="GP102" s="631">
        <f>GP100/(GP70+GO70+GM70+GL70)</f>
        <v>-0.99637336224977779</v>
      </c>
      <c r="GQ102" s="631">
        <f>GQ100/(GQ70+GP70+GO70+GM70)</f>
        <v>-1.0144923423813053</v>
      </c>
      <c r="GR102" s="631">
        <f>GR100/(GR70+GQ70+GP70+GO70)</f>
        <v>-0.90474217024645132</v>
      </c>
      <c r="GS102" s="333">
        <f>GR102</f>
        <v>-0.90474217024645132</v>
      </c>
      <c r="GT102" s="631">
        <f>GT100/(GT70+GR70+GQ70+GP70)</f>
        <v>-1.0047809778018546</v>
      </c>
      <c r="GU102" s="631">
        <f>GU100/(GU70+GT70+GR70+GQ70)</f>
        <v>-1.037931573150878</v>
      </c>
      <c r="GV102" s="631">
        <f>GV100/(GV70+GU70+GT70+GR70)</f>
        <v>-1.041754919971144</v>
      </c>
      <c r="GW102" s="631">
        <f>GW100/(GW70+GV70+GU70+GT70)</f>
        <v>-1.1683269479071079</v>
      </c>
      <c r="GX102" s="333">
        <f>GW102</f>
        <v>-1.1683269479071079</v>
      </c>
      <c r="GY102" s="631">
        <f>GY100/(GY70+GW70+GV70+GU70)</f>
        <v>-1.4858882747319289</v>
      </c>
      <c r="GZ102" s="631">
        <f>GZ100/(GZ70+GY70+GW70+GV70)</f>
        <v>-1.6968481255129479</v>
      </c>
      <c r="HA102" s="631">
        <f>HA100/(HA70+GZ70+GY70+GW70)</f>
        <v>-1.8327926765735221</v>
      </c>
      <c r="HB102" s="631">
        <f>HB100/(HB70+HA70+GZ70+GY70)</f>
        <v>-1.9665230254844206</v>
      </c>
      <c r="HC102" s="333">
        <f>HB102</f>
        <v>-1.9665230254844206</v>
      </c>
      <c r="HD102" s="631">
        <f>HD100/(HD70+HB70+HA70+GZ70)</f>
        <v>-2.2552475324957411</v>
      </c>
      <c r="HE102" s="631">
        <f>HE100/(HE70+HD70+HB70+HA70)</f>
        <v>-2.465512802380319</v>
      </c>
      <c r="HF102" s="631">
        <f>HF100/(HF70+HE70+HD70+HB70)</f>
        <v>-2.6491658873104051</v>
      </c>
      <c r="HG102" s="631">
        <f>HG100/(HG70+HF70+HE70+HD70)</f>
        <v>-2.8929800308796354</v>
      </c>
      <c r="HH102" s="333">
        <f>HG102</f>
        <v>-2.8929800308796354</v>
      </c>
      <c r="HI102" s="631">
        <f>HI100/(HI70+HG70+HF70+HE70)</f>
        <v>-3.2588793616270193</v>
      </c>
      <c r="HJ102" s="631">
        <f>HJ100/(HJ70+HI70+HG70+HF70)</f>
        <v>-3.5110411087823876</v>
      </c>
      <c r="HK102" s="631">
        <f>HK100/(HK70+HJ70+HI70+HG70)</f>
        <v>-3.6758660756773951</v>
      </c>
      <c r="HL102" s="631">
        <f>HL100/(HL70+HK70+HJ70+HI70)</f>
        <v>-3.8774841117535161</v>
      </c>
      <c r="HM102" s="333">
        <f>HL102</f>
        <v>-3.8774841117535161</v>
      </c>
      <c r="HN102" s="333"/>
      <c r="HO102" s="331"/>
      <c r="HP102" s="290"/>
      <c r="HR102" s="290"/>
      <c r="HS102" s="290"/>
      <c r="HT102" s="290"/>
      <c r="HU102" s="290"/>
      <c r="HV102" s="290"/>
      <c r="HW102" s="290"/>
      <c r="HX102" s="290"/>
    </row>
    <row r="103" spans="1:232">
      <c r="A103" s="209" t="s">
        <v>427</v>
      </c>
      <c r="B103" s="210"/>
      <c r="C103" s="210"/>
      <c r="D103" s="210"/>
      <c r="E103" s="210"/>
      <c r="F103" s="210"/>
      <c r="G103" s="210"/>
      <c r="H103" s="210"/>
      <c r="I103" s="210"/>
      <c r="J103" s="210"/>
      <c r="K103" s="210"/>
      <c r="L103" s="211"/>
      <c r="M103" s="211"/>
      <c r="N103" s="211"/>
      <c r="O103" s="211"/>
      <c r="P103" s="212"/>
      <c r="Q103" s="211"/>
      <c r="R103" s="211"/>
      <c r="S103" s="211"/>
      <c r="T103" s="211"/>
      <c r="U103" s="212"/>
      <c r="V103" s="211"/>
      <c r="W103" s="211"/>
      <c r="X103" s="211"/>
      <c r="Y103" s="211"/>
      <c r="Z103" s="212"/>
      <c r="AA103" s="211"/>
      <c r="AB103" s="211"/>
      <c r="AC103" s="211"/>
      <c r="AD103" s="211"/>
      <c r="AE103" s="212"/>
      <c r="AF103" s="211"/>
      <c r="AG103" s="211"/>
      <c r="AH103" s="211"/>
      <c r="AI103" s="211"/>
      <c r="AJ103" s="212"/>
      <c r="AK103" s="213"/>
      <c r="AL103" s="211"/>
      <c r="AM103" s="211"/>
      <c r="AN103" s="211"/>
      <c r="AO103" s="214"/>
      <c r="AP103" s="211"/>
      <c r="AQ103" s="211"/>
      <c r="AR103" s="211"/>
      <c r="AS103" s="211"/>
      <c r="AT103" s="215"/>
      <c r="AU103" s="211"/>
      <c r="AV103" s="211"/>
      <c r="AW103" s="211"/>
      <c r="AX103" s="211"/>
      <c r="AY103" s="215"/>
      <c r="AZ103" s="211"/>
      <c r="BA103" s="211"/>
      <c r="BB103" s="211"/>
      <c r="BC103" s="211"/>
      <c r="BD103" s="215"/>
      <c r="BE103" s="211"/>
      <c r="BF103" s="211"/>
      <c r="BG103" s="211"/>
      <c r="BH103" s="211"/>
      <c r="BI103" s="215"/>
      <c r="BJ103" s="216"/>
      <c r="BK103" s="210"/>
      <c r="BL103" s="210"/>
      <c r="BM103" s="217"/>
      <c r="BN103" s="218"/>
      <c r="BO103" s="219"/>
      <c r="BP103" s="210"/>
      <c r="BQ103" s="210"/>
      <c r="BR103" s="210"/>
      <c r="BS103" s="220"/>
      <c r="BT103" s="219"/>
      <c r="BU103" s="210"/>
      <c r="BV103" s="221"/>
      <c r="BW103" s="210"/>
      <c r="BX103" s="218"/>
      <c r="BY103" s="222"/>
      <c r="BZ103" s="210"/>
      <c r="CA103" s="222"/>
      <c r="CB103" s="222"/>
      <c r="CC103" s="218"/>
      <c r="CD103" s="222"/>
      <c r="CE103" s="222"/>
      <c r="CF103" s="210"/>
      <c r="CG103" s="222"/>
      <c r="CH103" s="218"/>
      <c r="CI103" s="222"/>
      <c r="CJ103" s="210"/>
      <c r="CK103" s="222"/>
      <c r="CL103" s="222"/>
      <c r="CM103" s="218"/>
      <c r="CN103" s="222"/>
      <c r="CO103" s="223"/>
      <c r="CP103" s="210"/>
      <c r="CQ103" s="224"/>
      <c r="CR103" s="223"/>
      <c r="CS103" s="223"/>
      <c r="CT103" s="223"/>
      <c r="CU103" s="222"/>
      <c r="CV103" s="222"/>
      <c r="CW103" s="219"/>
      <c r="CX103" s="210"/>
      <c r="CY103" s="210"/>
      <c r="CZ103" s="210"/>
      <c r="DA103" s="221"/>
      <c r="DB103" s="218"/>
      <c r="DC103" s="224"/>
      <c r="DD103" s="210"/>
      <c r="DE103" s="222"/>
      <c r="DF103" s="222"/>
      <c r="DG103" s="218"/>
      <c r="DH103" s="222"/>
      <c r="DI103" s="222"/>
      <c r="DJ103" s="222"/>
      <c r="DK103" s="222"/>
      <c r="DL103" s="218"/>
      <c r="DM103" s="222"/>
      <c r="DN103" s="210"/>
      <c r="DO103" s="210"/>
      <c r="DP103" s="219"/>
      <c r="DQ103" s="218"/>
      <c r="DR103" s="210"/>
      <c r="DS103" s="210"/>
      <c r="DT103" s="219"/>
      <c r="DU103" s="222"/>
      <c r="DV103" s="221"/>
      <c r="DW103" s="225"/>
      <c r="DX103" s="210"/>
      <c r="DY103" s="210"/>
      <c r="DZ103" s="210"/>
      <c r="EA103" s="226"/>
      <c r="EB103" s="210"/>
      <c r="EC103" s="222"/>
      <c r="ED103" s="227"/>
      <c r="EE103" s="210"/>
      <c r="EF103" s="226"/>
      <c r="EG103" s="228"/>
      <c r="EH103" s="228"/>
      <c r="EI103" s="210"/>
      <c r="EJ103" s="210"/>
      <c r="EK103" s="218"/>
      <c r="EL103" s="228"/>
      <c r="EM103" s="225"/>
      <c r="EN103" s="210"/>
      <c r="EO103" s="210"/>
      <c r="EP103" s="218"/>
      <c r="EQ103" s="228"/>
      <c r="ER103" s="225"/>
      <c r="ES103" s="210"/>
      <c r="ET103" s="210"/>
      <c r="EU103" s="229"/>
      <c r="EV103" s="228"/>
      <c r="EW103" s="225"/>
      <c r="EX103" s="210"/>
      <c r="EY103" s="210"/>
      <c r="EZ103" s="218"/>
      <c r="FA103" s="228"/>
      <c r="FB103" s="225"/>
      <c r="FC103" s="210"/>
      <c r="FD103" s="210"/>
      <c r="FE103" s="218"/>
      <c r="FF103" s="228"/>
      <c r="FG103" s="225"/>
      <c r="FH103" s="210"/>
      <c r="FI103" s="210"/>
      <c r="FJ103" s="218"/>
      <c r="FK103" s="228"/>
      <c r="FL103" s="225"/>
      <c r="FM103" s="225"/>
      <c r="FN103" s="210"/>
      <c r="FO103" s="218"/>
      <c r="FP103" s="228"/>
      <c r="FQ103" s="225"/>
      <c r="FR103" s="210"/>
      <c r="FS103" s="210"/>
      <c r="FT103" s="218"/>
      <c r="FU103" s="228"/>
      <c r="FV103" s="228"/>
      <c r="FW103" s="210"/>
      <c r="FX103" s="210"/>
      <c r="FY103" s="218"/>
      <c r="FZ103" s="228"/>
      <c r="GA103" s="225"/>
      <c r="GB103" s="210"/>
      <c r="GC103" s="210"/>
      <c r="GD103" s="218"/>
      <c r="GE103" s="228"/>
      <c r="GF103" s="228"/>
      <c r="GG103" s="228"/>
      <c r="GH103" s="210"/>
      <c r="GI103" s="218"/>
      <c r="GJ103" s="228"/>
      <c r="GK103" s="228"/>
      <c r="GL103" s="210"/>
      <c r="GM103" s="210"/>
      <c r="GN103" s="218"/>
      <c r="GO103" s="228"/>
      <c r="GP103" s="225"/>
      <c r="GQ103" s="210"/>
      <c r="GR103" s="210"/>
      <c r="GS103" s="218"/>
      <c r="GT103" s="228"/>
      <c r="GU103" s="225"/>
      <c r="GV103" s="210"/>
      <c r="GW103" s="210"/>
      <c r="GX103" s="218"/>
      <c r="GY103" s="228"/>
      <c r="GZ103" s="225"/>
      <c r="HA103" s="210"/>
      <c r="HB103" s="210"/>
      <c r="HC103" s="218"/>
      <c r="HD103" s="228"/>
      <c r="HE103" s="225"/>
      <c r="HF103" s="210"/>
      <c r="HG103" s="210"/>
      <c r="HH103" s="218"/>
      <c r="HI103" s="228"/>
      <c r="HJ103" s="225"/>
      <c r="HK103" s="210"/>
      <c r="HL103" s="210"/>
      <c r="HM103" s="218"/>
      <c r="HN103" s="230"/>
      <c r="HO103" s="166"/>
    </row>
    <row r="104" spans="1:232" s="509" customFormat="1">
      <c r="A104" s="588" t="s">
        <v>366</v>
      </c>
      <c r="L104" s="589"/>
      <c r="M104" s="589"/>
      <c r="N104" s="589"/>
      <c r="O104" s="589"/>
      <c r="P104" s="519"/>
      <c r="Q104" s="589"/>
      <c r="R104" s="589"/>
      <c r="S104" s="589"/>
      <c r="T104" s="589"/>
      <c r="U104" s="519"/>
      <c r="V104" s="589"/>
      <c r="W104" s="589"/>
      <c r="X104" s="589"/>
      <c r="Y104" s="589"/>
      <c r="Z104" s="519"/>
      <c r="AA104" s="589"/>
      <c r="AB104" s="589"/>
      <c r="AC104" s="589"/>
      <c r="AD104" s="589"/>
      <c r="AE104" s="519"/>
      <c r="AF104" s="589"/>
      <c r="AG104" s="589"/>
      <c r="AH104" s="589"/>
      <c r="AI104" s="589"/>
      <c r="AJ104" s="519"/>
      <c r="AK104" s="590"/>
      <c r="AL104" s="590"/>
      <c r="AM104" s="590"/>
      <c r="AN104" s="590"/>
      <c r="AO104" s="591"/>
      <c r="AP104" s="589"/>
      <c r="AQ104" s="589"/>
      <c r="AR104" s="589"/>
      <c r="AS104" s="589"/>
      <c r="AT104" s="519"/>
      <c r="AU104" s="589"/>
      <c r="AV104" s="589"/>
      <c r="AW104" s="589"/>
      <c r="AX104" s="589"/>
      <c r="AY104" s="519"/>
      <c r="AZ104" s="589"/>
      <c r="BA104" s="589"/>
      <c r="BB104" s="589"/>
      <c r="BC104" s="589"/>
      <c r="BD104" s="519"/>
      <c r="BE104" s="589"/>
      <c r="BF104" s="589"/>
      <c r="BG104" s="589"/>
      <c r="BH104" s="589"/>
      <c r="BI104" s="519"/>
      <c r="BJ104" s="589"/>
      <c r="BN104" s="538"/>
      <c r="BS104" s="538"/>
      <c r="BV104" s="590"/>
      <c r="BX104" s="538"/>
      <c r="CC104" s="538"/>
      <c r="CH104" s="538"/>
      <c r="CM104" s="538"/>
      <c r="CY104" s="599"/>
      <c r="CZ104" s="599"/>
      <c r="DA104" s="599"/>
      <c r="DD104" s="539"/>
      <c r="DE104" s="539"/>
      <c r="DH104" s="539"/>
      <c r="DT104" s="590"/>
      <c r="DV104" s="539"/>
      <c r="DZ104" s="539"/>
      <c r="EB104" s="634"/>
      <c r="EK104" s="539"/>
      <c r="HP104" s="563"/>
      <c r="HR104" s="563"/>
      <c r="HS104" s="563"/>
      <c r="HT104" s="563"/>
      <c r="HU104" s="563"/>
      <c r="HV104" s="563"/>
      <c r="HW104" s="563"/>
      <c r="HX104" s="563"/>
    </row>
    <row r="105" spans="1:232" s="539" customFormat="1">
      <c r="A105" s="539" t="s">
        <v>428</v>
      </c>
      <c r="L105" s="523"/>
      <c r="M105" s="523"/>
      <c r="N105" s="523"/>
      <c r="O105" s="523"/>
      <c r="P105" s="524"/>
      <c r="Q105" s="523"/>
      <c r="R105" s="523"/>
      <c r="S105" s="523"/>
      <c r="T105" s="523"/>
      <c r="U105" s="524"/>
      <c r="V105" s="523"/>
      <c r="W105" s="523"/>
      <c r="X105" s="523"/>
      <c r="Y105" s="523"/>
      <c r="Z105" s="524"/>
      <c r="AA105" s="523"/>
      <c r="AB105" s="523"/>
      <c r="AC105" s="523"/>
      <c r="AD105" s="523"/>
      <c r="AE105" s="524"/>
      <c r="AF105" s="523"/>
      <c r="AG105" s="523"/>
      <c r="AH105" s="523"/>
      <c r="AI105" s="523"/>
      <c r="AJ105" s="524"/>
      <c r="AO105" s="542"/>
      <c r="AP105" s="523"/>
      <c r="AQ105" s="523"/>
      <c r="AR105" s="523"/>
      <c r="AS105" s="523"/>
      <c r="AT105" s="524"/>
      <c r="AU105" s="523"/>
      <c r="AV105" s="523"/>
      <c r="AW105" s="523"/>
      <c r="AX105" s="523"/>
      <c r="AY105" s="524"/>
      <c r="AZ105" s="523"/>
      <c r="BA105" s="523"/>
      <c r="BB105" s="523"/>
      <c r="BC105" s="523"/>
      <c r="BD105" s="524"/>
      <c r="BE105" s="523"/>
      <c r="BF105" s="523"/>
      <c r="BG105" s="523"/>
      <c r="BH105" s="523"/>
      <c r="BI105" s="524"/>
      <c r="BJ105" s="523"/>
      <c r="BN105" s="542"/>
      <c r="BS105" s="542"/>
      <c r="BX105" s="542"/>
      <c r="CC105" s="542"/>
      <c r="CH105" s="542"/>
      <c r="CM105" s="542"/>
      <c r="CR105" s="635">
        <f>CR106-165.483</f>
        <v>0</v>
      </c>
      <c r="CW105" s="577"/>
      <c r="CY105" s="183"/>
      <c r="HP105" s="606"/>
      <c r="HR105" s="606"/>
      <c r="HS105" s="606"/>
      <c r="HT105" s="606"/>
      <c r="HU105" s="606"/>
      <c r="HV105" s="606"/>
      <c r="HW105" s="606"/>
      <c r="HX105" s="606"/>
    </row>
    <row r="106" spans="1:232" s="539" customFormat="1">
      <c r="A106" s="636" t="s">
        <v>429</v>
      </c>
      <c r="L106" s="523"/>
      <c r="M106" s="523"/>
      <c r="N106" s="523"/>
      <c r="O106" s="523"/>
      <c r="P106" s="524"/>
      <c r="Q106" s="523"/>
      <c r="R106" s="523"/>
      <c r="S106" s="523"/>
      <c r="T106" s="523"/>
      <c r="U106" s="524"/>
      <c r="V106" s="523"/>
      <c r="W106" s="523"/>
      <c r="X106" s="523"/>
      <c r="Y106" s="523"/>
      <c r="Z106" s="524"/>
      <c r="AA106" s="523"/>
      <c r="AB106" s="523"/>
      <c r="AC106" s="523"/>
      <c r="AD106" s="523"/>
      <c r="AE106" s="524"/>
      <c r="AF106" s="523">
        <f>AF42</f>
        <v>61.451000000000015</v>
      </c>
      <c r="AG106" s="523">
        <f>AG42</f>
        <v>64.352999999999966</v>
      </c>
      <c r="AH106" s="523">
        <f>AH42</f>
        <v>61.337999999999973</v>
      </c>
      <c r="AI106" s="523">
        <f>AI42</f>
        <v>41.639000000000024</v>
      </c>
      <c r="AJ106" s="524">
        <f>SUM(AF106:AI106)</f>
        <v>228.78099999999995</v>
      </c>
      <c r="AK106" s="523">
        <f>AK42</f>
        <v>84.587000000000018</v>
      </c>
      <c r="AL106" s="523">
        <f>AL42</f>
        <v>93.234000000000052</v>
      </c>
      <c r="AM106" s="523">
        <f>AM42</f>
        <v>86.686000000000021</v>
      </c>
      <c r="AN106" s="523">
        <f>AN42</f>
        <v>40.759000000000007</v>
      </c>
      <c r="AO106" s="524">
        <f>SUM(AK106:AN106)</f>
        <v>305.26600000000013</v>
      </c>
      <c r="AP106" s="523">
        <f>AP42</f>
        <v>96.801000000000002</v>
      </c>
      <c r="AQ106" s="523">
        <f>AQ42</f>
        <v>91.98500000000007</v>
      </c>
      <c r="AR106" s="523">
        <f>AR42</f>
        <v>56.16299999999999</v>
      </c>
      <c r="AS106" s="523">
        <f>AS42</f>
        <v>55.571999999999953</v>
      </c>
      <c r="AT106" s="524">
        <f>SUM(AP106:AS106)</f>
        <v>300.52100000000002</v>
      </c>
      <c r="AU106" s="523">
        <f>AU42</f>
        <v>25.326999999999977</v>
      </c>
      <c r="AV106" s="523">
        <f>AV42</f>
        <v>-34.671999999999997</v>
      </c>
      <c r="AW106" s="523">
        <f>AW42</f>
        <v>-38.361999999999988</v>
      </c>
      <c r="AX106" s="523">
        <f>AX42</f>
        <v>-21.243000000000016</v>
      </c>
      <c r="AY106" s="524">
        <f>SUM(AU106:AX106)</f>
        <v>-68.950000000000017</v>
      </c>
      <c r="AZ106" s="523">
        <f>AZ42</f>
        <v>12.950999999999993</v>
      </c>
      <c r="BA106" s="523">
        <f>BA42</f>
        <v>9.9679999999999538</v>
      </c>
      <c r="BB106" s="523">
        <f>BB42</f>
        <v>-31.675000000000008</v>
      </c>
      <c r="BC106" s="523">
        <f>BC42</f>
        <v>-12.3339999999999</v>
      </c>
      <c r="BD106" s="524">
        <f>SUM(AZ106:BC106)</f>
        <v>-21.089999999999961</v>
      </c>
      <c r="BE106" s="523">
        <f>BE42</f>
        <v>-62.727000000000011</v>
      </c>
      <c r="BF106" s="523">
        <f>BF42</f>
        <v>-64.559999999999945</v>
      </c>
      <c r="BG106" s="523">
        <f>BG42</f>
        <v>1.0060000000000158</v>
      </c>
      <c r="BH106" s="523">
        <f>BH42</f>
        <v>22.321000000000019</v>
      </c>
      <c r="BI106" s="524">
        <f>SUM(BE106:BH106)</f>
        <v>-103.95999999999992</v>
      </c>
      <c r="BJ106" s="523">
        <f>BJ42</f>
        <v>-128.36699999999996</v>
      </c>
      <c r="BK106" s="523">
        <f>BK42</f>
        <v>79.896000000000043</v>
      </c>
      <c r="BL106" s="523">
        <f>BL42</f>
        <v>-105.54499999999992</v>
      </c>
      <c r="BM106" s="523">
        <f>BM42</f>
        <v>65.07999999999997</v>
      </c>
      <c r="BN106" s="524">
        <f>SUM(BJ106:BM106)</f>
        <v>-88.935999999999879</v>
      </c>
      <c r="BO106" s="523">
        <f>BO42</f>
        <v>189.3489999999999</v>
      </c>
      <c r="BP106" s="523">
        <f>BP42</f>
        <v>207.14199999999988</v>
      </c>
      <c r="BQ106" s="523">
        <f>BQ42</f>
        <v>408.56699999999995</v>
      </c>
      <c r="BR106" s="523">
        <f>BR42</f>
        <v>177.96800000000005</v>
      </c>
      <c r="BS106" s="524">
        <f>SUM(BO106:BR106)</f>
        <v>983.02599999999984</v>
      </c>
      <c r="BT106" s="523">
        <f>BT42</f>
        <v>124.83700000000002</v>
      </c>
      <c r="BU106" s="523">
        <f>BU42</f>
        <v>17.35200000000005</v>
      </c>
      <c r="BV106" s="523">
        <f>BV42</f>
        <v>-186.92799999999968</v>
      </c>
      <c r="BW106" s="523">
        <f>BW42</f>
        <v>-15.841999999999995</v>
      </c>
      <c r="BX106" s="524">
        <f>SUM(BT106:BW106)</f>
        <v>-60.580999999999605</v>
      </c>
      <c r="BY106" s="523">
        <f>BY42</f>
        <v>-9.1630000000000607</v>
      </c>
      <c r="BZ106" s="523">
        <f>BZ42</f>
        <v>-184.93799999999999</v>
      </c>
      <c r="CA106" s="523">
        <f>CA42</f>
        <v>-254.17100000000008</v>
      </c>
      <c r="CB106" s="523">
        <f>CB42</f>
        <v>-854.74000000000012</v>
      </c>
      <c r="CC106" s="524">
        <f>SUM(BY106:CB106)</f>
        <v>-1303.0120000000002</v>
      </c>
      <c r="CD106" s="523">
        <f>CD42</f>
        <v>-146.35600000000008</v>
      </c>
      <c r="CE106" s="523">
        <f>CE42</f>
        <v>-140.09599999999998</v>
      </c>
      <c r="CF106" s="523">
        <f>CF42</f>
        <v>-31.23099999999998</v>
      </c>
      <c r="CG106" s="523">
        <f>CG42</f>
        <v>43.19300000000004</v>
      </c>
      <c r="CH106" s="524">
        <f>SUM(CD106:CG106)</f>
        <v>-274.49</v>
      </c>
      <c r="CI106" s="523">
        <f>CI42</f>
        <v>45.090999999999944</v>
      </c>
      <c r="CJ106" s="523">
        <f>CJ42</f>
        <v>32.180000000000042</v>
      </c>
      <c r="CK106" s="523">
        <f>CK42</f>
        <v>43.848000000000035</v>
      </c>
      <c r="CL106" s="523">
        <f>CL42</f>
        <v>-29.962999999999973</v>
      </c>
      <c r="CM106" s="524">
        <f>SUM(CI106:CL106)</f>
        <v>91.156000000000063</v>
      </c>
      <c r="CN106" s="523">
        <f>CN42</f>
        <v>-17.423000000000037</v>
      </c>
      <c r="CO106" s="523">
        <f>CO42</f>
        <v>11.318999999999944</v>
      </c>
      <c r="CP106" s="523">
        <f>CP42</f>
        <v>76.000000000000171</v>
      </c>
      <c r="CQ106" s="523">
        <f>CQ42</f>
        <v>95.586999999999932</v>
      </c>
      <c r="CR106" s="533">
        <f>SUM(CN106:CQ106)</f>
        <v>165.483</v>
      </c>
      <c r="CS106" s="523">
        <f>CS42</f>
        <v>184.52399999999986</v>
      </c>
      <c r="CT106" s="523">
        <f>CT42</f>
        <v>88.847000000000037</v>
      </c>
      <c r="CU106" s="523">
        <f>CU42</f>
        <v>134.45500000000007</v>
      </c>
      <c r="CV106" s="523">
        <f>CV42</f>
        <v>-573.00100000000009</v>
      </c>
      <c r="CW106" s="533">
        <f>SUM(CS106:CV106)</f>
        <v>-165.17500000000018</v>
      </c>
      <c r="CX106" s="523">
        <f>CX42</f>
        <v>-611</v>
      </c>
      <c r="CY106" s="523">
        <f>CY42</f>
        <v>-600</v>
      </c>
      <c r="CZ106" s="523">
        <f>CZ42</f>
        <v>-396</v>
      </c>
      <c r="DA106" s="523">
        <f>DA42</f>
        <v>-1772</v>
      </c>
      <c r="DB106" s="524">
        <f>SUM(CX106:DA106)</f>
        <v>-3379</v>
      </c>
      <c r="DC106" s="523">
        <f>DC42</f>
        <v>-358</v>
      </c>
      <c r="DD106" s="523">
        <f>-1547-DC106</f>
        <v>-1189</v>
      </c>
      <c r="DE106" s="523">
        <f>-1674-SUM(DC106:DD106)</f>
        <v>-127</v>
      </c>
      <c r="DF106" s="523">
        <f>-3098-SUM(DC106:DE106)</f>
        <v>-1424</v>
      </c>
      <c r="DG106" s="524">
        <f>SUM(DC106:DF106)</f>
        <v>-3098</v>
      </c>
      <c r="DH106" s="523">
        <f>DH47</f>
        <v>-416</v>
      </c>
      <c r="DI106" s="523">
        <f>DI47</f>
        <v>-330</v>
      </c>
      <c r="DJ106" s="523">
        <f>DJ47</f>
        <v>-128</v>
      </c>
      <c r="DK106" s="523">
        <f>DK47</f>
        <v>1181</v>
      </c>
      <c r="DL106" s="524">
        <f>SUM(DH106:DK106)</f>
        <v>307</v>
      </c>
      <c r="DM106" s="523">
        <f>DM47</f>
        <v>257</v>
      </c>
      <c r="DN106" s="523">
        <f>DN47</f>
        <v>-43</v>
      </c>
      <c r="DO106" s="523">
        <f>DO47</f>
        <v>-118</v>
      </c>
      <c r="DP106" s="523">
        <v>375</v>
      </c>
      <c r="DQ106" s="524">
        <f>SUM(DM106:DP106)</f>
        <v>471</v>
      </c>
      <c r="DR106" s="523">
        <f>DR47</f>
        <v>510</v>
      </c>
      <c r="DS106" s="523">
        <f>DS47</f>
        <v>61</v>
      </c>
      <c r="DT106" s="523">
        <f>DT47</f>
        <v>97</v>
      </c>
      <c r="DU106" s="523">
        <f>DU47</f>
        <v>-177</v>
      </c>
      <c r="DV106" s="524">
        <f>SUM(DR106:DU106)</f>
        <v>491</v>
      </c>
      <c r="DW106" s="523">
        <f>DW47</f>
        <v>-590</v>
      </c>
      <c r="DX106" s="523">
        <f>DX47</f>
        <v>37</v>
      </c>
      <c r="DY106" s="523">
        <f>DY47</f>
        <v>-157</v>
      </c>
      <c r="DZ106" s="523">
        <f>DZ47</f>
        <v>-473</v>
      </c>
      <c r="EA106" s="524">
        <f>SUM(DW106:DZ106)</f>
        <v>-1183</v>
      </c>
      <c r="EB106" s="523">
        <f>EB47</f>
        <v>-146</v>
      </c>
      <c r="EC106" s="523">
        <f>EC47</f>
        <v>-74</v>
      </c>
      <c r="ED106" s="523">
        <f>ED47</f>
        <v>48</v>
      </c>
      <c r="EE106" s="523">
        <f>EE47</f>
        <v>89</v>
      </c>
      <c r="EF106" s="524">
        <f>SUM(EB106:EE106)</f>
        <v>-83</v>
      </c>
      <c r="EG106" s="523">
        <f>EG47</f>
        <v>-20</v>
      </c>
      <c r="EH106" s="523">
        <f>EH47</f>
        <v>-36</v>
      </c>
      <c r="EI106" s="523">
        <f>EI47</f>
        <v>17</v>
      </c>
      <c r="EJ106" s="523">
        <f>EJ47</f>
        <v>-364</v>
      </c>
      <c r="EK106" s="524">
        <f>SUM(EG106:EJ106)</f>
        <v>-403</v>
      </c>
      <c r="EL106" s="523">
        <f>EL47</f>
        <v>-180</v>
      </c>
      <c r="EM106" s="523">
        <f>EM47</f>
        <v>-181</v>
      </c>
      <c r="EN106" s="523">
        <f>EN47</f>
        <v>-197</v>
      </c>
      <c r="EO106" s="523">
        <f>EO47</f>
        <v>-102</v>
      </c>
      <c r="EP106" s="524">
        <f>SUM(EL106:EO106)</f>
        <v>-660</v>
      </c>
      <c r="EQ106" s="523">
        <f>EQ42</f>
        <v>-109</v>
      </c>
      <c r="ER106" s="523">
        <f>ER42</f>
        <v>69</v>
      </c>
      <c r="ES106" s="523">
        <f>ES42</f>
        <v>-406</v>
      </c>
      <c r="ET106" s="523">
        <f>ET42</f>
        <v>-51</v>
      </c>
      <c r="EU106" s="524">
        <f>SUM(EQ106:ET106)</f>
        <v>-497</v>
      </c>
      <c r="EV106" s="523">
        <f>EV42</f>
        <v>-73</v>
      </c>
      <c r="EW106" s="523">
        <f>EW42</f>
        <v>-16</v>
      </c>
      <c r="EX106" s="523">
        <f>EX42</f>
        <v>71</v>
      </c>
      <c r="EY106" s="523">
        <f>EY42</f>
        <v>61</v>
      </c>
      <c r="EZ106" s="524">
        <f>SUM(EV106:EY106)</f>
        <v>43</v>
      </c>
      <c r="FA106" s="523">
        <f>FA42</f>
        <v>81</v>
      </c>
      <c r="FB106" s="523">
        <f>FB42</f>
        <v>116</v>
      </c>
      <c r="FC106" s="523">
        <f>FC42</f>
        <v>102</v>
      </c>
      <c r="FD106" s="523">
        <f>FD42</f>
        <v>38</v>
      </c>
      <c r="FE106" s="524">
        <f>SUM(FA106:FD106)</f>
        <v>337</v>
      </c>
      <c r="FF106" s="523">
        <f>FF42</f>
        <v>16</v>
      </c>
      <c r="FG106" s="523">
        <f>FG42</f>
        <v>35</v>
      </c>
      <c r="FH106" s="523">
        <f>FH42</f>
        <v>120</v>
      </c>
      <c r="FI106" s="523">
        <f>FI42</f>
        <v>170</v>
      </c>
      <c r="FJ106" s="524">
        <f>SUM(FF106:FI106)</f>
        <v>341</v>
      </c>
      <c r="FK106" s="523">
        <f>FK42</f>
        <v>162</v>
      </c>
      <c r="FL106" s="523">
        <f>FL42</f>
        <v>157</v>
      </c>
      <c r="FM106" s="523">
        <f>FM42</f>
        <v>390</v>
      </c>
      <c r="FN106" s="523">
        <f>FN42</f>
        <v>1781</v>
      </c>
      <c r="FO106" s="524">
        <f>SUM(FK106:FN106)</f>
        <v>2490</v>
      </c>
      <c r="FP106" s="523">
        <f>FP42</f>
        <v>555</v>
      </c>
      <c r="FQ106" s="523">
        <f>FQ42</f>
        <v>710</v>
      </c>
      <c r="FR106" s="523">
        <f>FR42</f>
        <v>923</v>
      </c>
      <c r="FS106" s="523">
        <f>FS42</f>
        <v>974</v>
      </c>
      <c r="FT106" s="524">
        <f>SUM(FP106:FS106)</f>
        <v>3162</v>
      </c>
      <c r="FU106" s="523">
        <f>FU42</f>
        <v>786</v>
      </c>
      <c r="FV106" s="523">
        <f>FV42</f>
        <v>447</v>
      </c>
      <c r="FW106" s="523">
        <f>FW42</f>
        <v>66</v>
      </c>
      <c r="FX106" s="523">
        <f>FX42</f>
        <v>21</v>
      </c>
      <c r="FY106" s="524">
        <f>SUM(FU106:FX106)</f>
        <v>1320</v>
      </c>
      <c r="FZ106" s="523">
        <f>FZ42</f>
        <v>-139</v>
      </c>
      <c r="GA106" s="523">
        <f>GA42</f>
        <v>27</v>
      </c>
      <c r="GB106" s="523">
        <f>GB42</f>
        <v>299</v>
      </c>
      <c r="GC106" s="523">
        <f>GC42</f>
        <v>667</v>
      </c>
      <c r="GD106" s="524">
        <f>SUM(FZ106:GC106)</f>
        <v>854</v>
      </c>
      <c r="GE106" s="523">
        <f>GE42</f>
        <v>123</v>
      </c>
      <c r="GF106" s="523">
        <f>GF42</f>
        <v>265</v>
      </c>
      <c r="GG106" s="523">
        <f>GG42</f>
        <v>771</v>
      </c>
      <c r="GH106" s="523">
        <f>GH42</f>
        <v>482</v>
      </c>
      <c r="GI106" s="524">
        <f>SUM(GE106:GH106)</f>
        <v>1641</v>
      </c>
      <c r="GJ106" s="523">
        <f>GJ42</f>
        <v>709</v>
      </c>
      <c r="GK106" s="523">
        <f>GK42</f>
        <v>872</v>
      </c>
      <c r="GL106" s="523">
        <f>GL42</f>
        <v>1243</v>
      </c>
      <c r="GM106" s="523">
        <f>GM42</f>
        <v>1511</v>
      </c>
      <c r="GN106" s="524">
        <f>SUM(GJ106:GM106)</f>
        <v>4335</v>
      </c>
      <c r="GO106" s="523">
        <f>GO42</f>
        <v>1383</v>
      </c>
      <c r="GP106" s="523">
        <f>GP42</f>
        <v>2149.7640674265749</v>
      </c>
      <c r="GQ106" s="523">
        <f>GQ42</f>
        <v>2317.244866693582</v>
      </c>
      <c r="GR106" s="523">
        <f>GR42</f>
        <v>3861.5072783371406</v>
      </c>
      <c r="GS106" s="524">
        <f>SUM(GO106:GR106)</f>
        <v>9711.5162124572962</v>
      </c>
      <c r="GT106" s="523">
        <f>GT42</f>
        <v>4203.2443701607463</v>
      </c>
      <c r="GU106" s="523">
        <f>GU42</f>
        <v>4723.6174390513443</v>
      </c>
      <c r="GV106" s="523">
        <f>GV42</f>
        <v>5579.1213372528164</v>
      </c>
      <c r="GW106" s="523">
        <f>GW42</f>
        <v>6176.7741174571756</v>
      </c>
      <c r="GX106" s="524">
        <f>SUM(GT106:GW106)</f>
        <v>20682.757263922082</v>
      </c>
      <c r="GY106" s="523">
        <f>GY42</f>
        <v>6193.6590405152901</v>
      </c>
      <c r="GZ106" s="523">
        <f>GZ42</f>
        <v>6703.6070267887917</v>
      </c>
      <c r="HA106" s="523">
        <f>HA42</f>
        <v>7611.7256026153436</v>
      </c>
      <c r="HB106" s="523">
        <f>HB42</f>
        <v>8426.4028103377859</v>
      </c>
      <c r="HC106" s="524">
        <f>SUM(GY106:HB106)</f>
        <v>28935.394480257211</v>
      </c>
      <c r="HD106" s="523">
        <f>HD42</f>
        <v>8095.2922590823946</v>
      </c>
      <c r="HE106" s="523">
        <f>HE42</f>
        <v>8493.8293743691393</v>
      </c>
      <c r="HF106" s="523">
        <f>HF42</f>
        <v>9459.3785724610898</v>
      </c>
      <c r="HG106" s="523">
        <f>HG42</f>
        <v>9872.5080193334452</v>
      </c>
      <c r="HH106" s="524">
        <f>SUM(HD106:HG106)</f>
        <v>35921.008225246071</v>
      </c>
      <c r="HI106" s="523">
        <f>HI42</f>
        <v>9190.6020119451805</v>
      </c>
      <c r="HJ106" s="523">
        <f>HJ42</f>
        <v>9698.9913585597842</v>
      </c>
      <c r="HK106" s="523">
        <f>HK42</f>
        <v>11155.388640623361</v>
      </c>
      <c r="HL106" s="523">
        <f>HL42</f>
        <v>11900.864024212613</v>
      </c>
      <c r="HM106" s="524">
        <f>SUM(HI106:HL106)</f>
        <v>41945.846035340939</v>
      </c>
      <c r="HN106" s="524"/>
      <c r="HO106" s="524"/>
      <c r="HP106" s="606"/>
      <c r="HR106" s="606"/>
      <c r="HS106" s="606"/>
      <c r="HT106" s="606"/>
      <c r="HU106" s="606"/>
      <c r="HV106" s="606"/>
      <c r="HW106" s="606"/>
      <c r="HX106" s="606"/>
    </row>
    <row r="107" spans="1:232" s="539" customFormat="1">
      <c r="A107" s="604" t="s">
        <v>430</v>
      </c>
      <c r="L107" s="523"/>
      <c r="M107" s="523"/>
      <c r="N107" s="523"/>
      <c r="O107" s="523"/>
      <c r="P107" s="524"/>
      <c r="Q107" s="523"/>
      <c r="R107" s="523"/>
      <c r="S107" s="523"/>
      <c r="T107" s="523"/>
      <c r="U107" s="524"/>
      <c r="V107" s="523"/>
      <c r="W107" s="523"/>
      <c r="X107" s="523"/>
      <c r="Y107" s="523"/>
      <c r="Z107" s="524"/>
      <c r="AA107" s="523"/>
      <c r="AB107" s="523"/>
      <c r="AC107" s="523"/>
      <c r="AD107" s="523"/>
      <c r="AE107" s="524"/>
      <c r="AF107" s="523">
        <v>40.774999999999999</v>
      </c>
      <c r="AG107" s="523">
        <f>91.443-AF107</f>
        <v>50.667999999999999</v>
      </c>
      <c r="AH107" s="523">
        <f>133.786-SUM(AF107:AG107)</f>
        <v>42.343000000000004</v>
      </c>
      <c r="AI107" s="523">
        <f>175.067-SUM(AF107:AH107)</f>
        <v>41.281000000000006</v>
      </c>
      <c r="AJ107" s="524">
        <f>SUM(AF107:AI107)</f>
        <v>175.06700000000001</v>
      </c>
      <c r="AK107" s="523">
        <v>50.972000000000001</v>
      </c>
      <c r="AL107" s="523">
        <f>104.588-AK107</f>
        <v>53.615999999999993</v>
      </c>
      <c r="AM107" s="523">
        <f>159.028-SUM(AK107:AL107)</f>
        <v>54.44</v>
      </c>
      <c r="AN107" s="523">
        <f>215.984-SUM(AK107:AM107)</f>
        <v>56.956000000000017</v>
      </c>
      <c r="AO107" s="524">
        <f>SUM(AK107:AN107)</f>
        <v>215.98400000000001</v>
      </c>
      <c r="AP107" s="523">
        <v>57.482999999999997</v>
      </c>
      <c r="AQ107" s="523">
        <f>113.213-AP107</f>
        <v>55.73</v>
      </c>
      <c r="AR107" s="523">
        <f>179.112-SUM(AP107:AQ107)</f>
        <v>65.899000000000001</v>
      </c>
      <c r="AS107" s="523">
        <f>262.501-SUM(AP107:AR107)</f>
        <v>83.388999999999982</v>
      </c>
      <c r="AT107" s="524">
        <f>SUM(AP107:AS107)</f>
        <v>262.50099999999998</v>
      </c>
      <c r="AU107" s="523">
        <v>75.807000000000002</v>
      </c>
      <c r="AV107" s="523">
        <f>163.805-AU107</f>
        <v>87.998000000000005</v>
      </c>
      <c r="AW107" s="523">
        <f>248.457-SUM(AU107:AV107)</f>
        <v>84.651999999999987</v>
      </c>
      <c r="AX107" s="523">
        <f>332.64-SUM(AU107:AW107)</f>
        <v>84.182999999999993</v>
      </c>
      <c r="AY107" s="524">
        <f>SUM(AU107:AX107)</f>
        <v>332.64</v>
      </c>
      <c r="AZ107" s="523">
        <v>88.820999999999998</v>
      </c>
      <c r="BA107" s="523">
        <f>182.825-AZ107</f>
        <v>94.003999999999991</v>
      </c>
      <c r="BB107" s="523">
        <f>286.79-SUM(AZ107:BA107)</f>
        <v>103.96500000000003</v>
      </c>
      <c r="BC107" s="523">
        <f>394.465-SUM(AZ107:BB107)</f>
        <v>107.67499999999995</v>
      </c>
      <c r="BD107" s="524">
        <f>SUM(AZ107:BC107)</f>
        <v>394.46499999999997</v>
      </c>
      <c r="BE107" s="523">
        <f>112.16</f>
        <v>112.16</v>
      </c>
      <c r="BF107" s="523">
        <f>225.334-BE107</f>
        <v>113.17400000000001</v>
      </c>
      <c r="BG107" s="523">
        <f>342.42-SUM(BE107:BF107)</f>
        <v>117.08600000000001</v>
      </c>
      <c r="BH107" s="523">
        <f>467.521-SUM(BE107:BG107)</f>
        <v>125.101</v>
      </c>
      <c r="BI107" s="524">
        <f>SUM(BE107:BH107)</f>
        <v>467.52100000000002</v>
      </c>
      <c r="BJ107" s="523">
        <f>127.487</f>
        <v>127.48699999999999</v>
      </c>
      <c r="BK107" s="523">
        <f>255.371-BJ107</f>
        <v>127.88400000000001</v>
      </c>
      <c r="BL107" s="523">
        <f>385.59-SUM(BJ107:BK107)</f>
        <v>130.21899999999997</v>
      </c>
      <c r="BM107" s="523">
        <f>515.52-SUM(BJ107:BL107)</f>
        <v>129.93</v>
      </c>
      <c r="BN107" s="524">
        <f>SUM(BJ107:BM107)</f>
        <v>515.52</v>
      </c>
      <c r="BO107" s="523">
        <f>127.892</f>
        <v>127.892</v>
      </c>
      <c r="BP107" s="523">
        <f>275.703-BO107</f>
        <v>147.81099999999998</v>
      </c>
      <c r="BQ107" s="523">
        <f>429.461-SUM(BO107:BP107)</f>
        <v>153.75800000000004</v>
      </c>
      <c r="BR107" s="523">
        <f>579.07-SUM(BO107:BQ107)</f>
        <v>149.60900000000004</v>
      </c>
      <c r="BS107" s="524">
        <f>SUM(BO107:BR107)</f>
        <v>579.07000000000005</v>
      </c>
      <c r="BT107" s="523">
        <f>152.933</f>
        <v>152.93299999999999</v>
      </c>
      <c r="BU107" s="523">
        <f>312.376-BT107</f>
        <v>159.44299999999998</v>
      </c>
      <c r="BV107" s="523">
        <f>472.389-SUM(BT107:BU107)</f>
        <v>160.01300000000003</v>
      </c>
      <c r="BW107" s="523">
        <f>601.673+21.194-SUM(BT107:BV107)</f>
        <v>150.47799999999995</v>
      </c>
      <c r="BX107" s="524">
        <f>SUM(BT107:BW107)</f>
        <v>622.86699999999996</v>
      </c>
      <c r="BY107" s="523">
        <f>165.743+8.364</f>
        <v>174.107</v>
      </c>
      <c r="BZ107" s="523">
        <f>331.138+26.077-BY107</f>
        <v>183.10799999999998</v>
      </c>
      <c r="CA107" s="523">
        <f>541.987+14.315-SUM(BY107:BZ107)</f>
        <v>199.08700000000005</v>
      </c>
      <c r="CB107" s="523">
        <f>739.608+16.561-SUM(BY107:CA107)</f>
        <v>199.86699999999996</v>
      </c>
      <c r="CC107" s="524">
        <f>SUM(BY107:CB107)</f>
        <v>756.16899999999998</v>
      </c>
      <c r="CD107" s="523">
        <f>198.287+11.467</f>
        <v>209.75400000000002</v>
      </c>
      <c r="CE107" s="523">
        <f>400.521+22.801-CD107</f>
        <v>213.56799999999998</v>
      </c>
      <c r="CF107" s="523">
        <f>677.124+31.228-SUM(CD107:CE107)</f>
        <v>285.02999999999997</v>
      </c>
      <c r="CG107" s="523">
        <f>955.56+40.103-SUM(CD107:CF107)</f>
        <v>287.31099999999992</v>
      </c>
      <c r="CH107" s="524">
        <f>SUM(CD107:CG107)</f>
        <v>995.6629999999999</v>
      </c>
      <c r="CI107" s="539">
        <f>287.023+10.957</f>
        <v>297.98</v>
      </c>
      <c r="CJ107" s="539">
        <f>568.123+22.25-CI107</f>
        <v>292.39300000000003</v>
      </c>
      <c r="CK107" s="539">
        <f>860.763+34.341-SUM(CI107:CJ107)</f>
        <v>304.73099999999999</v>
      </c>
      <c r="CL107" s="539">
        <f>1173.598+50.654-SUM(CI107:CK107)</f>
        <v>329.14799999999991</v>
      </c>
      <c r="CM107" s="524">
        <f>SUM(CI107:CL107)</f>
        <v>1224.252</v>
      </c>
      <c r="CN107" s="539">
        <f>318.796+14.085</f>
        <v>332.88099999999997</v>
      </c>
      <c r="CO107" s="539">
        <f>624.4+26.936-CN107</f>
        <v>318.45500000000004</v>
      </c>
      <c r="CP107" s="539">
        <f>900.948+41.138-SUM(CN107:CO107)</f>
        <v>290.75</v>
      </c>
      <c r="CQ107" s="539">
        <f>1163.937+55.407-SUM(CN107:CP107)</f>
        <v>277.25799999999981</v>
      </c>
      <c r="CR107" s="524">
        <f>SUM(CN107:CQ107)</f>
        <v>1219.3439999999998</v>
      </c>
      <c r="CS107" s="539">
        <f>159.997+13.56</f>
        <v>173.55700000000002</v>
      </c>
      <c r="CT107" s="539">
        <f>338.759+27.703-CS107</f>
        <v>192.90499999999997</v>
      </c>
      <c r="CU107" s="539">
        <f>519.118+47.098-SUM(CS107:CT107)</f>
        <v>199.75400000000002</v>
      </c>
      <c r="CV107" s="539">
        <f>837-SUM(CS107:CU107)</f>
        <v>270.78399999999999</v>
      </c>
      <c r="CW107" s="524">
        <f>SUM(CS107:CV107)</f>
        <v>837</v>
      </c>
      <c r="CX107" s="539">
        <v>314</v>
      </c>
      <c r="CY107" s="539">
        <f>640-CX107</f>
        <v>326</v>
      </c>
      <c r="CZ107" s="539">
        <f>974-SUM(CX107:CY107)</f>
        <v>334</v>
      </c>
      <c r="DA107" s="539">
        <f>1305-SUM(CX107:CZ107)</f>
        <v>331</v>
      </c>
      <c r="DB107" s="524">
        <f>SUM(CX107:DA107)</f>
        <v>1305</v>
      </c>
      <c r="DC107" s="539">
        <v>317</v>
      </c>
      <c r="DD107" s="539">
        <f>627-DC107</f>
        <v>310</v>
      </c>
      <c r="DE107" s="539">
        <f>920-SUM(DC107:DD107)</f>
        <v>293</v>
      </c>
      <c r="DF107" s="539">
        <f>1223-SUM(DC107:DE107)</f>
        <v>303</v>
      </c>
      <c r="DG107" s="524">
        <f>SUM(DC107:DF107)</f>
        <v>1223</v>
      </c>
      <c r="DH107" s="539">
        <v>280</v>
      </c>
      <c r="DI107" s="539">
        <f>562-DH107</f>
        <v>282</v>
      </c>
      <c r="DJ107" s="539">
        <f>844-SUM(DH107:DI107)</f>
        <v>282</v>
      </c>
      <c r="DK107" s="539">
        <f>DJ107</f>
        <v>282</v>
      </c>
      <c r="DL107" s="524">
        <f>SUM(DH107:DK107)</f>
        <v>1126</v>
      </c>
      <c r="DM107" s="539">
        <f>DM14</f>
        <v>100</v>
      </c>
      <c r="DN107" s="539">
        <v>100</v>
      </c>
      <c r="DO107" s="539">
        <v>95</v>
      </c>
      <c r="DP107" s="539">
        <v>89</v>
      </c>
      <c r="DQ107" s="524">
        <f>SUM(DM107:DP107)</f>
        <v>384</v>
      </c>
      <c r="DR107" s="539">
        <v>88</v>
      </c>
      <c r="DS107" s="539">
        <v>80</v>
      </c>
      <c r="DT107" s="539">
        <v>79</v>
      </c>
      <c r="DU107" s="539">
        <v>70</v>
      </c>
      <c r="DV107" s="524">
        <f>SUM(DR107:DU107)</f>
        <v>317</v>
      </c>
      <c r="DW107" s="539">
        <v>63</v>
      </c>
      <c r="DX107" s="539">
        <v>65</v>
      </c>
      <c r="DY107" s="539">
        <v>66</v>
      </c>
      <c r="DZ107" s="539">
        <v>66</v>
      </c>
      <c r="EA107" s="524">
        <f>SUM(DW107:DZ107)</f>
        <v>260</v>
      </c>
      <c r="EB107" s="539">
        <v>66</v>
      </c>
      <c r="EC107" s="539">
        <v>59</v>
      </c>
      <c r="ED107" s="539">
        <v>57</v>
      </c>
      <c r="EE107" s="539">
        <f>EE14+4</f>
        <v>54</v>
      </c>
      <c r="EF107" s="524">
        <f>SUM(EB107:EE107)</f>
        <v>236</v>
      </c>
      <c r="EG107" s="539">
        <v>53</v>
      </c>
      <c r="EH107" s="539">
        <v>53</v>
      </c>
      <c r="EI107" s="539">
        <v>49</v>
      </c>
      <c r="EJ107" s="539">
        <v>48</v>
      </c>
      <c r="EK107" s="524">
        <f>SUM(EG107:EJ107)</f>
        <v>203</v>
      </c>
      <c r="EL107" s="539">
        <v>46</v>
      </c>
      <c r="EM107" s="539">
        <v>45</v>
      </c>
      <c r="EN107" s="539">
        <v>42</v>
      </c>
      <c r="EO107" s="539">
        <v>34</v>
      </c>
      <c r="EP107" s="524">
        <f>SUM(EL107:EO107)</f>
        <v>167</v>
      </c>
      <c r="EQ107" s="539">
        <v>33</v>
      </c>
      <c r="ER107" s="539">
        <v>33</v>
      </c>
      <c r="ES107" s="539">
        <v>33</v>
      </c>
      <c r="ET107" s="539">
        <v>34</v>
      </c>
      <c r="EU107" s="524">
        <f>SUM(EQ107:ET107)</f>
        <v>133</v>
      </c>
      <c r="EV107" s="539">
        <v>34</v>
      </c>
      <c r="EW107" s="539">
        <v>35</v>
      </c>
      <c r="EX107" s="539">
        <v>36</v>
      </c>
      <c r="EY107" s="539">
        <v>39</v>
      </c>
      <c r="EZ107" s="524">
        <f>SUM(EV107:EY107)</f>
        <v>144</v>
      </c>
      <c r="FA107" s="539">
        <v>44</v>
      </c>
      <c r="FB107" s="539">
        <f>86-FA107</f>
        <v>42</v>
      </c>
      <c r="FC107" s="539">
        <f>127-FB107-FA107</f>
        <v>41</v>
      </c>
      <c r="FD107" s="539">
        <f>FD14</f>
        <v>43</v>
      </c>
      <c r="FE107" s="524">
        <f>SUM(FA107:FD107)</f>
        <v>170</v>
      </c>
      <c r="FF107" s="539">
        <f>FF14</f>
        <v>46</v>
      </c>
      <c r="FG107" s="539">
        <f>98-FF107</f>
        <v>52</v>
      </c>
      <c r="FH107" s="539">
        <f>158-FG107-FF107</f>
        <v>60</v>
      </c>
      <c r="FI107" s="539">
        <f>222-FH107-FG107-FF107</f>
        <v>64</v>
      </c>
      <c r="FJ107" s="524">
        <f>SUM(FF107:FI107)</f>
        <v>222</v>
      </c>
      <c r="FK107" s="539">
        <f>FK14</f>
        <v>68</v>
      </c>
      <c r="FL107" s="539">
        <f>140-FK107</f>
        <v>72</v>
      </c>
      <c r="FM107" s="539">
        <f>222-FL107-FK107</f>
        <v>82</v>
      </c>
      <c r="FN107" s="539">
        <f>FN14</f>
        <v>80</v>
      </c>
      <c r="FO107" s="524">
        <f>SUM(FK107:FN107)</f>
        <v>302</v>
      </c>
      <c r="FP107" s="539">
        <f>FP14</f>
        <v>95</v>
      </c>
      <c r="FQ107" s="539">
        <v>97</v>
      </c>
      <c r="FR107" s="539">
        <f>289-FQ107-FP107</f>
        <v>97</v>
      </c>
      <c r="FS107" s="539">
        <f>407-FR107-FQ107-FP107</f>
        <v>118</v>
      </c>
      <c r="FT107" s="524">
        <f>SUM(FP107:FS107)</f>
        <v>407</v>
      </c>
      <c r="FU107" s="539">
        <f>FU14</f>
        <v>130</v>
      </c>
      <c r="FV107" s="539">
        <f>FV14</f>
        <v>157</v>
      </c>
      <c r="FW107" s="539">
        <v>163</v>
      </c>
      <c r="FX107" s="539">
        <f>626-FW107-FV107-FU107</f>
        <v>176</v>
      </c>
      <c r="FY107" s="524">
        <f>SUM(FU107:FX107)</f>
        <v>626</v>
      </c>
      <c r="FZ107" s="539">
        <f>FZ14</f>
        <v>159</v>
      </c>
      <c r="GA107" s="539">
        <f>GA14</f>
        <v>156</v>
      </c>
      <c r="GB107" s="539">
        <f>GB14</f>
        <v>163</v>
      </c>
      <c r="GC107" s="539">
        <f>GC14</f>
        <v>164</v>
      </c>
      <c r="GD107" s="524">
        <f>SUM(FZ107:GC107)</f>
        <v>642</v>
      </c>
      <c r="GE107" s="539">
        <f>GE14</f>
        <v>162</v>
      </c>
      <c r="GF107" s="539">
        <f>GF14</f>
        <v>166</v>
      </c>
      <c r="GG107" s="539">
        <f>GG14</f>
        <v>171</v>
      </c>
      <c r="GH107" s="539">
        <f>GH14</f>
        <v>172</v>
      </c>
      <c r="GI107" s="524">
        <f>SUM(GE107:GH107)</f>
        <v>671</v>
      </c>
      <c r="GJ107" s="539">
        <f>GJ14</f>
        <v>175</v>
      </c>
      <c r="GK107" s="539">
        <f>GK14</f>
        <v>189</v>
      </c>
      <c r="GL107" s="539">
        <f>GL14</f>
        <v>192</v>
      </c>
      <c r="GM107" s="539">
        <f>GM14</f>
        <v>194</v>
      </c>
      <c r="GN107" s="524">
        <f>SUM(GJ107:GM107)</f>
        <v>750</v>
      </c>
      <c r="GO107" s="539">
        <f>GO14</f>
        <v>206</v>
      </c>
      <c r="GP107" s="539">
        <f>GP14</f>
        <v>206</v>
      </c>
      <c r="GQ107" s="539">
        <f>GQ14</f>
        <v>206</v>
      </c>
      <c r="GR107" s="539">
        <f>GR14</f>
        <v>206</v>
      </c>
      <c r="GS107" s="524">
        <f>SUM(GO107:GR107)</f>
        <v>824</v>
      </c>
      <c r="GT107" s="539">
        <f>GT14</f>
        <v>211</v>
      </c>
      <c r="GU107" s="539">
        <f>GU14</f>
        <v>211</v>
      </c>
      <c r="GV107" s="539">
        <f>GV14</f>
        <v>211</v>
      </c>
      <c r="GW107" s="539">
        <f>GW14</f>
        <v>211</v>
      </c>
      <c r="GX107" s="524">
        <f>SUM(GT107:GW107)</f>
        <v>844</v>
      </c>
      <c r="GY107" s="539">
        <f>GY14</f>
        <v>216</v>
      </c>
      <c r="GZ107" s="539">
        <f>GZ14</f>
        <v>216</v>
      </c>
      <c r="HA107" s="539">
        <f>HA14</f>
        <v>216</v>
      </c>
      <c r="HB107" s="539">
        <f>HB14</f>
        <v>216</v>
      </c>
      <c r="HC107" s="524">
        <f>SUM(GY107:HB107)</f>
        <v>864</v>
      </c>
      <c r="HD107" s="539">
        <f>HD14</f>
        <v>221</v>
      </c>
      <c r="HE107" s="539">
        <f>HE14</f>
        <v>221</v>
      </c>
      <c r="HF107" s="539">
        <f>HF14</f>
        <v>221</v>
      </c>
      <c r="HG107" s="539">
        <f>HG14</f>
        <v>221</v>
      </c>
      <c r="HH107" s="524">
        <f>SUM(HD107:HG107)</f>
        <v>884</v>
      </c>
      <c r="HI107" s="539">
        <f>HI14</f>
        <v>226</v>
      </c>
      <c r="HJ107" s="539">
        <f>HJ14</f>
        <v>226</v>
      </c>
      <c r="HK107" s="539">
        <f>HK14</f>
        <v>226</v>
      </c>
      <c r="HL107" s="539">
        <f>HL14</f>
        <v>226</v>
      </c>
      <c r="HM107" s="524">
        <f>SUM(HI107:HL107)</f>
        <v>904</v>
      </c>
      <c r="HN107" s="524"/>
      <c r="HO107" s="524"/>
      <c r="HP107" s="606"/>
      <c r="HR107" s="606"/>
      <c r="HS107" s="606"/>
      <c r="HT107" s="606"/>
      <c r="HU107" s="606"/>
      <c r="HV107" s="606"/>
      <c r="HW107" s="606"/>
      <c r="HX107" s="606"/>
    </row>
    <row r="108" spans="1:232" s="539" customFormat="1">
      <c r="A108" s="636" t="s">
        <v>431</v>
      </c>
      <c r="B108" s="604"/>
      <c r="L108" s="523"/>
      <c r="M108" s="523"/>
      <c r="N108" s="523"/>
      <c r="O108" s="523"/>
      <c r="P108" s="524"/>
      <c r="Q108" s="523"/>
      <c r="R108" s="523"/>
      <c r="S108" s="523"/>
      <c r="T108" s="523"/>
      <c r="U108" s="524"/>
      <c r="V108" s="523"/>
      <c r="W108" s="523"/>
      <c r="X108" s="523"/>
      <c r="Y108" s="523"/>
      <c r="Z108" s="524"/>
      <c r="AA108" s="523"/>
      <c r="AB108" s="523"/>
      <c r="AC108" s="523"/>
      <c r="AD108" s="523"/>
      <c r="AE108" s="524"/>
      <c r="AF108" s="523">
        <f>-4.033+12.503</f>
        <v>8.4699999999999989</v>
      </c>
      <c r="AG108" s="539">
        <f>-3.343-6.325-AF108</f>
        <v>-18.137999999999998</v>
      </c>
      <c r="AH108" s="523">
        <f>-51.606-27.012+69.795+13.392-SUM(AF108:AG108)</f>
        <v>14.237000000000005</v>
      </c>
      <c r="AI108" s="523">
        <f>-59.34+69.75-SUM(AF108:AH108)</f>
        <v>5.8409999999999904</v>
      </c>
      <c r="AJ108" s="524">
        <f>SUM(AF108:AI108)</f>
        <v>10.409999999999997</v>
      </c>
      <c r="AK108" s="523">
        <f>-62.357+3.73</f>
        <v>-58.627000000000002</v>
      </c>
      <c r="AL108" s="523">
        <f>-69.369+10.834-AK108</f>
        <v>9.2000000000005855E-2</v>
      </c>
      <c r="AM108" s="523">
        <f>-106.259-0.183+53.93+17.863-SUM(AK108:AL108)</f>
        <v>23.885999999999989</v>
      </c>
      <c r="AN108" s="523">
        <f>-114.566-21.072+61.91+52.589-SUM(AK108:AM108)</f>
        <v>13.509999999999998</v>
      </c>
      <c r="AO108" s="524">
        <f>SUM(AK108:AN108)</f>
        <v>-21.13900000000001</v>
      </c>
      <c r="AP108" s="539">
        <f>-5.367+46.794-1.045-20</f>
        <v>20.381999999999998</v>
      </c>
      <c r="AQ108" s="539">
        <f>-54.21+68.078+74.862-20-AP108</f>
        <v>48.347999999999992</v>
      </c>
      <c r="AR108" s="539">
        <f>-50.954+56.26+85.103-20-SUM(AP108:AQ108)</f>
        <v>1.679000000000002</v>
      </c>
      <c r="AS108" s="539">
        <f>-2.606-58+41.607+11.772+88.49-SUM(AP108:AR108)</f>
        <v>10.853999999999999</v>
      </c>
      <c r="AT108" s="524">
        <f>SUM(AP108:AS108)</f>
        <v>81.262999999999991</v>
      </c>
      <c r="AU108" s="539">
        <f>22.768+6-6.901-102.423</f>
        <v>-80.555999999999997</v>
      </c>
      <c r="AV108" s="539">
        <f>8.134+25.6-58.473-107.325-AU108</f>
        <v>-51.507999999999996</v>
      </c>
      <c r="AW108" s="539">
        <f>-56.42+11-59.471-98.972-SUM(AU108:AV108)</f>
        <v>-71.799000000000007</v>
      </c>
      <c r="AX108" s="539">
        <f>28.096+17.134-110.058-42.863-SUM(AU108:AW108)</f>
        <v>96.171999999999997</v>
      </c>
      <c r="AY108" s="524">
        <f>SUM(AU108:AX108)</f>
        <v>-107.691</v>
      </c>
      <c r="AZ108" s="539">
        <f>-5.286+4.44-5.777+21.475</f>
        <v>14.852000000000002</v>
      </c>
      <c r="BA108" s="539">
        <f>-67.637+9.186-16.983+31.476-AZ108</f>
        <v>-58.81</v>
      </c>
      <c r="BB108" s="539">
        <f>-80.937-35.3-5.142+28.071-SUM(AZ108:BA108)</f>
        <v>-49.349999999999994</v>
      </c>
      <c r="BC108" s="539">
        <f>-184.966-18.566+61.209+156.333-SUM(AZ108:BB108)</f>
        <v>107.31799999999998</v>
      </c>
      <c r="BD108" s="524">
        <f>SUM(AZ108:BC108)</f>
        <v>14.009999999999991</v>
      </c>
      <c r="BE108" s="539">
        <f>83.843-54.701+0.824-95.73</f>
        <v>-65.763999999999996</v>
      </c>
      <c r="BF108" s="539">
        <f>75.737-99.066+4.111+4.314-BE108</f>
        <v>50.859999999999985</v>
      </c>
      <c r="BG108" s="539">
        <f>-87.623-101.901+7.71+1.164-SUM(BE108:BF108)</f>
        <v>-165.74599999999998</v>
      </c>
      <c r="BH108" s="539">
        <f>-153.366+9.35+23.16-SUM(BE108:BG108)</f>
        <v>59.793999999999954</v>
      </c>
      <c r="BI108" s="524">
        <f>SUM(BE108:BH108)</f>
        <v>-120.85600000000002</v>
      </c>
      <c r="BJ108" s="605">
        <f>24.008-0.416+4.298</f>
        <v>27.89</v>
      </c>
      <c r="BK108" s="605">
        <f>22.491+31.391-11.402-BJ108</f>
        <v>14.589999999999996</v>
      </c>
      <c r="BL108" s="605">
        <f>-104.551+89.749-12.793-SUM(BJ108:BK108)</f>
        <v>-70.075000000000003</v>
      </c>
      <c r="BM108" s="605">
        <f>-113.965-4.992+241.403-SUM(BJ108:BL108)</f>
        <v>150.041</v>
      </c>
      <c r="BN108" s="524">
        <f>SUM(BJ108:BM108)</f>
        <v>122.446</v>
      </c>
      <c r="BO108" s="539">
        <f>9.803-2.931+100-23.691</f>
        <v>83.180999999999997</v>
      </c>
      <c r="BP108" s="539">
        <f>-150.241-15.74+1.436+142.5-BO108</f>
        <v>-105.22600000000001</v>
      </c>
      <c r="BQ108" s="539">
        <f>142.5-368.774+71.197+98.332+8.369-SUM(BO108:BP108)</f>
        <v>-26.330999999999989</v>
      </c>
      <c r="BR108" s="539">
        <f>-132.325-156.284+79.293-269.392+57.479+142.5+156.567-SUM(BO108:BQ108)</f>
        <v>-73.785999999999973</v>
      </c>
      <c r="BS108" s="524">
        <f>SUM(BO108:BR108)</f>
        <v>-122.16199999999998</v>
      </c>
      <c r="BT108" s="605">
        <f>-55.16-11.131-2.506+92.978+7.152-30-107.473-33.338+4.48</f>
        <v>-134.99800000000002</v>
      </c>
      <c r="BU108" s="605">
        <f>-180.97-64.718+2.147+47.209-37.887-39-151.094-51.29+4.48-BT108</f>
        <v>-336.125</v>
      </c>
      <c r="BV108" s="605">
        <f>-41.618-112.954+19.888-47.723-62.586-39-67.113-62.926-SUM(BT108:BU108)</f>
        <v>57.091000000000065</v>
      </c>
      <c r="BW108" s="605">
        <f>-122.174-36.975+28.56-88.775-52.288-39-117.472-SUM(BT108:BV108)</f>
        <v>-14.091999999999985</v>
      </c>
      <c r="BX108" s="524">
        <f>SUM(BT108:BW108)</f>
        <v>-428.12399999999997</v>
      </c>
      <c r="BY108" s="523">
        <f>-33.969+3.834-23.636+129.354+33.542-30-29.481+4.359</f>
        <v>54.003000000000014</v>
      </c>
      <c r="BZ108" s="523">
        <f>123.049+0.55-44.646+145.5+15.29-30-161.819-0.399-BY108</f>
        <v>-6.4780000000000086</v>
      </c>
      <c r="CA108" s="523">
        <f>227.834-39.603+2.798-1.435+33.692-18.146-30-21.992-9.374-SUM(BY108:BZ108)</f>
        <v>96.248999999999995</v>
      </c>
      <c r="CB108" s="523">
        <f>259.505-51.975-0.795-100.221+63.384-34.988-39+66.931-SUM(BY108:CA108)</f>
        <v>19.067000000000007</v>
      </c>
      <c r="CC108" s="524">
        <f>SUM(BY108:CB108)</f>
        <v>162.84100000000001</v>
      </c>
      <c r="CD108" s="523">
        <f>24.198-7.445-36.582+17.832+19.124-26.5-133.12+18.065</f>
        <v>-124.428</v>
      </c>
      <c r="CE108" s="523">
        <f>55.138-34.781-12.501+34.466+17.487-26.5-215.538-8.963-CD108</f>
        <v>-66.76400000000001</v>
      </c>
      <c r="CF108" s="523">
        <f>-84.906-72.164+14.837+26.343+25.791-26.5-330.835+11.755-SUM(CD108:CE108)</f>
        <v>-244.48699999999997</v>
      </c>
      <c r="CG108" s="523">
        <f>39.09-187.898-77.426+70.247-12.614-6.555+19.882-26.5-156.335+32.345-SUM(CD108:CF108)</f>
        <v>129.91499999999996</v>
      </c>
      <c r="CH108" s="524">
        <f>SUM(CD108:CG108)</f>
        <v>-305.76400000000001</v>
      </c>
      <c r="CI108" s="539">
        <f>-14.918-44.441+5.07+9.406-2.871-12.503-20.5-51.545+4.72+25.616</f>
        <v>-101.96600000000002</v>
      </c>
      <c r="CJ108" s="539">
        <f>-85.716-48.363-31.368+31.32+11.909-26.81-20.5-0.532+2.868+5.313-CI108</f>
        <v>-59.912999999999997</v>
      </c>
      <c r="CK108" s="539">
        <f>-235.922+12.289-112.422+43.468-15.179-17.655-20.5+105.666+11.11+30.15-SUM(CI108:CJ108)</f>
        <v>-37.1159999999999</v>
      </c>
      <c r="CL108" s="539">
        <f>-171.769+21.904-179.981+35.062-21.061-12.6+5.775-20.5+234.532-13.076-SUM(CI108:CK108)</f>
        <v>77.280999999999921</v>
      </c>
      <c r="CM108" s="524">
        <f>SUM(CI108:CL108)</f>
        <v>-121.714</v>
      </c>
      <c r="CN108" s="539">
        <f>25.448-1.807+28.638-53.022-9.803-27.366-17.5+59.455+12.341-4.658</f>
        <v>11.726000000000006</v>
      </c>
      <c r="CO108" s="539">
        <f>-4.551-7.371-35.335-9.978-8.091-29.174-17.5+125.465+12.324-0.805-CN108</f>
        <v>13.257999999999996</v>
      </c>
      <c r="CP108" s="539">
        <f>-108.673-31.512-55.935+20.883-8.564-5.044-34.9-17.5+351.164+21.049-4.062+8.564-SUM(CN108:CO108)</f>
        <v>110.48599999999999</v>
      </c>
      <c r="CQ108" s="539">
        <f>-276.23+172.871-27.78+8.382-118.579-10.444+6.5-36.401-17.5+312.308+214.33-8.18-SUM(CN108:CP108)</f>
        <v>83.807000000000016</v>
      </c>
      <c r="CR108" s="524">
        <f>SUM(CN108:CQ108)</f>
        <v>219.27700000000002</v>
      </c>
      <c r="CS108" s="539">
        <f>-13.182+80.132+52.378-31.754+3.047+30.545+65.442+13.41</f>
        <v>200.018</v>
      </c>
      <c r="CT108" s="539">
        <f>236.499+92.95-12.663-57.479-61.189+42.241+75.623-187.042-CS108</f>
        <v>-71.077999999999975</v>
      </c>
      <c r="CU108" s="539">
        <f>119.111+93.729-76.392-21.402-169.511+14.464+269.25-194.496-SUM(CS108:CT108)</f>
        <v>-94.187000000000012</v>
      </c>
      <c r="CV108" s="539">
        <f>-55+115+6-19-175-1+530-229-SUM(CS108:CU108)</f>
        <v>137.24699999999999</v>
      </c>
      <c r="CW108" s="524">
        <f>SUM(CS108:CV108)</f>
        <v>172</v>
      </c>
      <c r="CX108" s="539">
        <f>479-3-124-51-67+90+1-19</f>
        <v>306</v>
      </c>
      <c r="CY108" s="539">
        <f>-4+499-78-115-65-265+3-79-CX108</f>
        <v>-410</v>
      </c>
      <c r="CZ108" s="539">
        <f>464+15-23-180+6-72+2-77-SUM(CX108:CY108)</f>
        <v>239</v>
      </c>
      <c r="DA108" s="539">
        <f>503+4-134+51-76-321-SUM(CX108:CZ108)</f>
        <v>-108</v>
      </c>
      <c r="DB108" s="524">
        <f>SUM(CX108:DA108)</f>
        <v>27</v>
      </c>
      <c r="DC108" s="539">
        <f>104+36-44-5-30+44</f>
        <v>105</v>
      </c>
      <c r="DD108" s="539">
        <f>185+13+34-11-254+50-DC108</f>
        <v>-88</v>
      </c>
      <c r="DE108" s="539">
        <f>-76-43+56-2-456+50-SUM(DC108:DD108)</f>
        <v>-488</v>
      </c>
      <c r="DF108" s="539">
        <f>101+152+64-38+46-666-SUM(DC108:DE108)</f>
        <v>130</v>
      </c>
      <c r="DG108" s="524">
        <f>SUM(DC108:DF108)</f>
        <v>-341</v>
      </c>
      <c r="DH108" s="539">
        <f>-187+117-33-1+9-158</f>
        <v>-253</v>
      </c>
      <c r="DI108" s="539">
        <f>-295+163-60-10-181+1-DH108</f>
        <v>-129</v>
      </c>
      <c r="DJ108" s="539">
        <f>-611+141-29-15-142-19-SUM(DH108:DI108)</f>
        <v>-293</v>
      </c>
      <c r="DK108" s="539">
        <f>SUM(DJ84,DJ78,DJ86)-SUM(DK78,DK84,DK86)+DK94-DJ94</f>
        <v>-58</v>
      </c>
      <c r="DL108" s="524">
        <f>SUM(DH108:DK108)</f>
        <v>-733</v>
      </c>
      <c r="DM108" s="539">
        <f>-134-89-6+13-31+23+183</f>
        <v>-41</v>
      </c>
      <c r="DN108" s="539">
        <f>-254-4+25+1-32+4-19</f>
        <v>-279</v>
      </c>
      <c r="DO108" s="539">
        <f>-285-41-5-1+3-2-14</f>
        <v>-345</v>
      </c>
      <c r="DP108" s="539">
        <f>-465-10-111-2-11-1-55</f>
        <v>-655</v>
      </c>
      <c r="DQ108" s="524">
        <f>SUM(DM108:DP108)</f>
        <v>-1320</v>
      </c>
      <c r="DR108" s="539">
        <f>-195-16-11+10-78-36</f>
        <v>-326</v>
      </c>
      <c r="DS108" s="539">
        <f>2+6+47-9-10-28</f>
        <v>8</v>
      </c>
      <c r="DT108" s="539">
        <f>-150+102+6-4+34+3</f>
        <v>-9</v>
      </c>
      <c r="DU108" s="539">
        <f>-10+65+73+2+26-91</f>
        <v>65</v>
      </c>
      <c r="DV108" s="524">
        <f>SUM(DR108:DU108)</f>
        <v>-262</v>
      </c>
      <c r="DW108" s="539">
        <f>-40-106-41-16+384+187</f>
        <v>368</v>
      </c>
      <c r="DX108" s="539">
        <f>217-249+25-2+101-143</f>
        <v>-51</v>
      </c>
      <c r="DY108" s="539">
        <f>60+89-14+5-213-107</f>
        <v>-180</v>
      </c>
      <c r="DZ108" s="539">
        <f>53+183+10+1+6-170</f>
        <v>83</v>
      </c>
      <c r="EA108" s="524">
        <f>SUM(DW108:DZ108)</f>
        <v>220</v>
      </c>
      <c r="EB108" s="539">
        <f>-14-52-7+6-74-12</f>
        <v>-153</v>
      </c>
      <c r="EC108" s="539">
        <f>-25-97-35-39+34+115</f>
        <v>-47</v>
      </c>
      <c r="ED108" s="539">
        <f>-203-211+24-34+81+248</f>
        <v>-95</v>
      </c>
      <c r="EE108" s="523">
        <f>42+38+7-143-130+33</f>
        <v>-153</v>
      </c>
      <c r="EF108" s="524">
        <f>SUM(EB108:EE108)</f>
        <v>-448</v>
      </c>
      <c r="EG108" s="539">
        <f>-8+14-8-151-124</f>
        <v>-277</v>
      </c>
      <c r="EH108" s="539">
        <f>-32-90-75+82-2</f>
        <v>-117</v>
      </c>
      <c r="EI108" s="539">
        <f>-104+62-71+22+26</f>
        <v>-65</v>
      </c>
      <c r="EJ108" s="539">
        <f>151+213+36-106-124</f>
        <v>170</v>
      </c>
      <c r="EK108" s="524">
        <f>SUM(EG108:EJ108)</f>
        <v>-289</v>
      </c>
      <c r="EL108" s="539">
        <f>46-6+68-16-124-97</f>
        <v>-129</v>
      </c>
      <c r="EM108" s="539">
        <f>83-111+26-57+38+76</f>
        <v>55</v>
      </c>
      <c r="EN108" s="539">
        <f>35+24+3-40+12+30</f>
        <v>64</v>
      </c>
      <c r="EO108" s="539">
        <f>116+82-13-9-82+18</f>
        <v>112</v>
      </c>
      <c r="EP108" s="524">
        <f>SUM(EL108:EO108)</f>
        <v>102</v>
      </c>
      <c r="EQ108" s="539">
        <f>26+3+7+22-27-12</f>
        <v>19</v>
      </c>
      <c r="ER108" s="539">
        <f>-164-69+14-139+150-139+280</f>
        <v>-67</v>
      </c>
      <c r="ES108" s="539">
        <f>31-28-1-17-6+190-102</f>
        <v>67</v>
      </c>
      <c r="ET108" s="539">
        <f>329+21-19-32-16-29-93</f>
        <v>161</v>
      </c>
      <c r="EU108" s="524">
        <f>SUM(EQ108:ET108)</f>
        <v>180</v>
      </c>
      <c r="EV108" s="539">
        <f>-183-88+1-30-54+53</f>
        <v>-301</v>
      </c>
      <c r="EW108" s="539">
        <f>+-120+6+21-26+45-59</f>
        <v>-133</v>
      </c>
      <c r="EX108" s="539">
        <f>+-157+39-16-26+70+6</f>
        <v>-84</v>
      </c>
      <c r="EY108" s="539">
        <f>371+55-7-58-32-75</f>
        <v>254</v>
      </c>
      <c r="EZ108" s="524">
        <f>SUM(EV108:EY108)</f>
        <v>-264</v>
      </c>
      <c r="FA108" s="539">
        <f>+-284-21+15+34-38+39</f>
        <v>-255</v>
      </c>
      <c r="FB108" s="539">
        <f>-664-56+8+41+63+109-FA108</f>
        <v>-244</v>
      </c>
      <c r="FC108" s="539">
        <f>-753-44-20-26+121+121-FB108-FA108</f>
        <v>-102</v>
      </c>
      <c r="FD108" s="539">
        <f>-806-151-19-79+121+207-FC108-FB108-FA108</f>
        <v>-126</v>
      </c>
      <c r="FE108" s="524">
        <f>SUM(FA108:FD108)</f>
        <v>-727</v>
      </c>
      <c r="FF108" s="539">
        <f>+-5-110+2-11-87-127</f>
        <v>-338</v>
      </c>
      <c r="FG108" s="539">
        <f>-98-170+4-9-6-187-FF108</f>
        <v>-128</v>
      </c>
      <c r="FH108" s="539">
        <f>-158-195+17-32+8-179-FG108-FF108</f>
        <v>-73</v>
      </c>
      <c r="FI108" s="539">
        <f>-623-137+14-176+7+373-FH108-FG108-FF108</f>
        <v>-3</v>
      </c>
      <c r="FJ108" s="524">
        <f>SUM(FF108:FI108)</f>
        <v>-542</v>
      </c>
      <c r="FK108" s="539">
        <f>SUM(FI84,FI78,FI86)-SUM(FK78,FK84,FK86)+FK94-FI94+FK36</f>
        <v>-285</v>
      </c>
      <c r="FL108" s="539">
        <f>64-342+10-12-21-161-FK108</f>
        <v>-177</v>
      </c>
      <c r="FM108" s="539">
        <f>-287-310+16-172-98+121-FL108-FK108</f>
        <v>-268</v>
      </c>
      <c r="FN108" s="539">
        <f>SUM(FM84,FM78,FM86)-SUM(FN78,FN84,FN86)+FN94-FM94+FN36</f>
        <v>-124</v>
      </c>
      <c r="FO108" s="524">
        <f>SUM(FK108:FN108)</f>
        <v>-854</v>
      </c>
      <c r="FP108" s="539">
        <f>-112-254+3+33-38+466-41</f>
        <v>57</v>
      </c>
      <c r="FQ108" s="539">
        <f>SUM(FP84,FP78,FP86)-SUM(FQ78,FQ84,FQ86)+FQ94-FP94+FQ36</f>
        <v>82</v>
      </c>
      <c r="FR108" s="539">
        <f>-158-504+5-284-42+526+199-FQ108-FP108</f>
        <v>-397</v>
      </c>
      <c r="FS108" s="539">
        <f>-640-556+8-920+7+801+526-FR108-FQ108-FP108</f>
        <v>-516</v>
      </c>
      <c r="FT108" s="524">
        <f>SUM(FP108:FS108)</f>
        <v>-774</v>
      </c>
      <c r="FU108" s="539">
        <f>ROUND(SUM(FS84,FS78,FS86)-SUM(FU78,FU84,FU86)+FU94-FS94+FU36,0)</f>
        <v>-524</v>
      </c>
      <c r="FV108" s="539">
        <f>SUM(FU84,FU78,FU86)-SUM(FV78,FV84,FV86)+FV94-FU94+FV36</f>
        <v>-695</v>
      </c>
      <c r="FW108" s="539">
        <f>SUM(FV84,FV78,FV86)-SUM(FW78,FW84,FW86)+FW94-FV94+FW36</f>
        <v>-195</v>
      </c>
      <c r="FX108" s="539">
        <f>SUM(FW84,FW78,FW86)-SUM(FX78,FX84,FX86)+FX94-FW94+FX36</f>
        <v>-660</v>
      </c>
      <c r="FY108" s="524">
        <f>SUM(FU108:FX108)</f>
        <v>-2074</v>
      </c>
      <c r="FZ108" s="539">
        <f>SUM(FX84,FX78,FX86)-SUM(FZ78,FZ84,FZ86)+FZ94-FX94+FZ36</f>
        <v>-348</v>
      </c>
      <c r="GA108" s="539">
        <f>SUM(FZ84,FZ78,FZ86)-SUM(GA78,GA84,GA86)+GA94-FZ94+GA36</f>
        <v>488</v>
      </c>
      <c r="GB108" s="539">
        <f>SUM(GA84,GA78,GA86)-SUM(GB78,GB84,GB86)+GB94-GA94+GB36</f>
        <v>-631</v>
      </c>
      <c r="GC108" s="539">
        <f>SUM(GB84,GB78,GB86)-SUM(GC78,GC84,GC86)+GC94-GB94+GC36</f>
        <v>-1036</v>
      </c>
      <c r="GD108" s="524">
        <f>SUM(FZ108:GC108)</f>
        <v>-1527</v>
      </c>
      <c r="GE108" s="539">
        <f>SUM(GD84,GD78,GD86)-SUM(GE78,GE84,GE86)+GE94-GD94+GE36</f>
        <v>-276</v>
      </c>
      <c r="GF108" s="539">
        <f>SUM(GE84,GE78,GE86)-SUM(GF78,GF84,GF86)+GF94-GE94+GF36</f>
        <v>-1362</v>
      </c>
      <c r="GG108" s="539">
        <f>SUM(GF84,GF78,GF86)-SUM(GG78,GG84,GG86)+GG94-GF94+GG36</f>
        <v>-768</v>
      </c>
      <c r="GH108" s="539">
        <f>SUM(GG84,GG78,GG86)-SUM(GH78,GH84,GH86)+GH94-GG94+GH36</f>
        <v>43</v>
      </c>
      <c r="GI108" s="524">
        <f>SUM(GE108:GH108)</f>
        <v>-2363</v>
      </c>
      <c r="GJ108" s="539">
        <f>748-682-237-289-288</f>
        <v>-748</v>
      </c>
      <c r="GK108" s="539">
        <f>330-261-140+836-301</f>
        <v>464</v>
      </c>
      <c r="GL108" s="539">
        <f>-1085-636+118+451+444</f>
        <v>-708</v>
      </c>
      <c r="GM108" s="539">
        <f>-114-610+248-588+531</f>
        <v>-533</v>
      </c>
      <c r="GN108" s="524">
        <f>SUM(GJ108:GM108)</f>
        <v>-1525</v>
      </c>
      <c r="GO108" s="539">
        <f>280-125-308-104+713</f>
        <v>456</v>
      </c>
      <c r="GP108" s="539">
        <f>SUM(GO84,GO78,GO86)-SUM(GP78,GP84,GP86)+GP94-GO94+GP36</f>
        <v>-2464.929228179808</v>
      </c>
      <c r="GQ108" s="539">
        <f>SUM(GP84,GP78,GP86)-SUM(GQ78,GQ84,GQ86)+GQ94-GP94+GQ36</f>
        <v>-572.13116848581194</v>
      </c>
      <c r="GR108" s="539">
        <f>SUM(GQ84,GQ78,GQ86)-SUM(GR78,GR84,GR86)+GR94-GQ94+GR36</f>
        <v>-4909.9433771016993</v>
      </c>
      <c r="GS108" s="524">
        <f>SUM(GO108:GR108)</f>
        <v>-7491.0037737673192</v>
      </c>
      <c r="GT108" s="539">
        <f>SUM(GR84,GR78,GR86)-SUM(GT78,GT84,GT86)+GT94-GR94+GT36</f>
        <v>-2345.3814067922831</v>
      </c>
      <c r="GU108" s="539">
        <f>SUM(GT84,GT78,GT86)-SUM(GU78,GU84,GU86)+GU94-GT94+GU36</f>
        <v>-4274.5099260477782</v>
      </c>
      <c r="GV108" s="539">
        <f>SUM(GU84,GU78,GU86)-SUM(GV78,GV84,GV86)+GV94-GU94+GV36</f>
        <v>-5734.7516023894077</v>
      </c>
      <c r="GW108" s="539">
        <f>SUM(GV84,GV78,GV86)-SUM(GW78,GW84,GW86)+GW94-GV94+GW36</f>
        <v>-4702.0749286111168</v>
      </c>
      <c r="GX108" s="524">
        <f>SUM(GT108:GW108)</f>
        <v>-17056.717863840586</v>
      </c>
      <c r="GY108" s="539">
        <f>SUM(GW84,GW78,GW86)-SUM(GY78,GY84,GY86)+GY94-GW94+GY36</f>
        <v>1234.105547336072</v>
      </c>
      <c r="GZ108" s="539">
        <f>SUM(GY84,GY78,GY86)-SUM(GZ78,GZ84,GZ86)+GZ94-GY94+GZ36</f>
        <v>-1476.4129480511801</v>
      </c>
      <c r="HA108" s="539">
        <f>SUM(GZ84,GZ78,GZ86)-SUM(HA78,HA84,HA86)+HA94-GZ94+HA36</f>
        <v>-3863.8611512306852</v>
      </c>
      <c r="HB108" s="539">
        <f>SUM(HA84,HA78,HA86)-SUM(HB78,HB84,HB86)+HB94-HA94+HB36</f>
        <v>-4270.3410237053013</v>
      </c>
      <c r="HC108" s="524">
        <f>SUM(GY108:HB108)</f>
        <v>-8376.5095756510946</v>
      </c>
      <c r="HD108" s="539">
        <f>SUM(HB84,HB78,HB86)-SUM(HD78,HD84,HD86)+HD94-HB94+HD36</f>
        <v>780.41599226965627</v>
      </c>
      <c r="HE108" s="539">
        <f>SUM(HD84,HD78,HD86)-SUM(HE78,HE84,HE86)+HE94-HD94+HE36</f>
        <v>-1891.9960363615974</v>
      </c>
      <c r="HF108" s="539">
        <f>SUM(HE84,HE78,HE86)-SUM(HF78,HF84,HF86)+HF94-HE94+HF36</f>
        <v>-3479.4376443013534</v>
      </c>
      <c r="HG108" s="539">
        <f>SUM(HF84,HF78,HF86)-SUM(HG78,HG84,HG86)+HG94-HF94+HG36</f>
        <v>-2115.3124446551155</v>
      </c>
      <c r="HH108" s="524">
        <f>SUM(HD108:HG108)</f>
        <v>-6706.3301330484101</v>
      </c>
      <c r="HI108" s="539">
        <f>SUM(HG84,HG78,HG86)-SUM(HI78,HI84,HI86)+HI94-HG94+HI36</f>
        <v>2245.1190971027499</v>
      </c>
      <c r="HJ108" s="539">
        <f>SUM(HI84,HI78,HI86)-SUM(HJ78,HJ84,HJ86)+HJ94-HI94+HJ36</f>
        <v>-2103.2892085094427</v>
      </c>
      <c r="HK108" s="539">
        <f>SUM(HJ84,HJ78,HJ86)-SUM(HK78,HK84,HK86)+HK94-HJ94+HK36</f>
        <v>-4925.3488703289077</v>
      </c>
      <c r="HL108" s="539">
        <f>SUM(HK84,HK78,HK86)-SUM(HL78,HL84,HL86)+HL94-HK94+HL36</f>
        <v>-2503.1906675362625</v>
      </c>
      <c r="HM108" s="524">
        <f>SUM(HI108:HL108)</f>
        <v>-7286.7096492718629</v>
      </c>
      <c r="HN108" s="524"/>
      <c r="HO108" s="524"/>
      <c r="HP108" s="606"/>
      <c r="HR108" s="606"/>
      <c r="HS108" s="606"/>
      <c r="HT108" s="606"/>
      <c r="HU108" s="606"/>
      <c r="HV108" s="606"/>
      <c r="HW108" s="606"/>
      <c r="HX108" s="606"/>
    </row>
    <row r="109" spans="1:232" s="539" customFormat="1">
      <c r="A109" s="636" t="s">
        <v>432</v>
      </c>
      <c r="L109" s="523"/>
      <c r="M109" s="523"/>
      <c r="N109" s="523"/>
      <c r="O109" s="523"/>
      <c r="P109" s="524"/>
      <c r="Q109" s="523"/>
      <c r="R109" s="523"/>
      <c r="S109" s="523"/>
      <c r="T109" s="523"/>
      <c r="U109" s="524"/>
      <c r="V109" s="523"/>
      <c r="W109" s="523"/>
      <c r="X109" s="523"/>
      <c r="Y109" s="523"/>
      <c r="Z109" s="524"/>
      <c r="AA109" s="523"/>
      <c r="AB109" s="523"/>
      <c r="AC109" s="523"/>
      <c r="AD109" s="523"/>
      <c r="AE109" s="524"/>
      <c r="AF109" s="523">
        <f>-0.175+0.169+0.315-26.67+44.734</f>
        <v>18.373000000000001</v>
      </c>
      <c r="AG109" s="523">
        <f>-3.846+0.132+0.624-26.67+0.155+51.698-AF109</f>
        <v>3.7199999999999989</v>
      </c>
      <c r="AH109" s="523">
        <f>-3.242+0.199+0.969+0.36-SUM(AF109:AG109)</f>
        <v>-23.807000000000002</v>
      </c>
      <c r="AI109" s="523">
        <f>-2.943+0.366+1.313-27.021+70.255-SUM(AF109:AH109)</f>
        <v>43.683999999999997</v>
      </c>
      <c r="AJ109" s="524">
        <f>SUM(AF109:AI109)</f>
        <v>41.97</v>
      </c>
      <c r="AK109" s="523">
        <f>-0.224+0.338+0.384-0.002+35.065</f>
        <v>35.561</v>
      </c>
      <c r="AL109" s="523">
        <f>-0.431+1.044+0.81+29.501+5.079-AK109-0.183</f>
        <v>0.25900000000000017</v>
      </c>
      <c r="AM109" s="523">
        <f>-0.104+2.331+1.209+7.596-SUM(AK109:AL109)</f>
        <v>-24.788</v>
      </c>
      <c r="AN109" s="523">
        <f>58+0.276+2.23+1.971+10.585-SUM(AK109:AM109)</f>
        <v>62.030000000000015</v>
      </c>
      <c r="AO109" s="524">
        <f>SUM(AK109:AN109)</f>
        <v>73.062000000000012</v>
      </c>
      <c r="AP109" s="523">
        <f>0.398+0.027+1.079+1.414</f>
        <v>2.9180000000000001</v>
      </c>
      <c r="AQ109" s="523">
        <f>-0.009+0.38+1.467-1.115-AP109</f>
        <v>-2.1950000000000003</v>
      </c>
      <c r="AR109" s="523">
        <f>-0.348+0.513-2.707+1.863-13.426-SUM(AP109:AQ109)</f>
        <v>-14.827999999999999</v>
      </c>
      <c r="AS109" s="523">
        <f>2.152+0.611-2.707+2.483-34.926-SUM(AP109:AR109)</f>
        <v>-18.282</v>
      </c>
      <c r="AT109" s="524">
        <f>SUM(AP109:AS109)</f>
        <v>-32.387</v>
      </c>
      <c r="AU109" s="523">
        <f>0.416+0.084-24.743+0.687-21.563</f>
        <v>-45.119</v>
      </c>
      <c r="AV109" s="539">
        <f>0.678+0.986-41.028+1.403-34.474-AU109</f>
        <v>-27.316000000000003</v>
      </c>
      <c r="AW109" s="539">
        <f>6.252+1.068-41.028+2.478-41.8-SUM(AU109:AV109)</f>
        <v>-0.59499999999999886</v>
      </c>
      <c r="AX109" s="523">
        <f>11.953+1.081-41.022+0.024-54.798-SUM(AU109:AW109)</f>
        <v>-9.7319999999999993</v>
      </c>
      <c r="AY109" s="524">
        <f>SUM(AU109:AX109)</f>
        <v>-82.762</v>
      </c>
      <c r="AZ109" s="539">
        <f>3.11-4.978+7.733-7.691</f>
        <v>-1.8259999999999996</v>
      </c>
      <c r="BA109" s="539">
        <f>19.548-4.978+12.867-11.238-AZ109</f>
        <v>18.024999999999999</v>
      </c>
      <c r="BB109" s="523">
        <f>21.381-4.978+16.955-16.538-SUM(AZ109:BA109)</f>
        <v>0.62099999999999866</v>
      </c>
      <c r="BC109" s="523">
        <f>19.763-4.978+21.232-24.587-SUM(AZ109:BB109)</f>
        <v>-5.3899999999999935</v>
      </c>
      <c r="BD109" s="524">
        <f>SUM(AZ109:BC109)</f>
        <v>11.430000000000003</v>
      </c>
      <c r="BE109" s="523">
        <f>0.528+1.961-7.736</f>
        <v>-5.2469999999999999</v>
      </c>
      <c r="BF109" s="523">
        <f>1.282+3.632-12.169-BE109</f>
        <v>-2.0080000000000009</v>
      </c>
      <c r="BG109" s="523">
        <f>5.231+6.102-14.142-SUM(BE109:BF109)</f>
        <v>4.4460000000000015</v>
      </c>
      <c r="BH109" s="523">
        <f>-106.861+11.515+8.645-11.591-SUM(BE109:BG109)</f>
        <v>-95.483000000000004</v>
      </c>
      <c r="BI109" s="524">
        <f>SUM(BE109:BH109)</f>
        <v>-98.292000000000002</v>
      </c>
      <c r="BJ109" s="523">
        <f>15.016-12.989-7.344-4.25+3.179+2.735-1.102-0.384</f>
        <v>-5.1390000000000002</v>
      </c>
      <c r="BK109" s="523">
        <f>-432.059+166.419+25.038-25.405+5.336-4.25-1.302-0.84-0.063-BJ109</f>
        <v>-261.98699999999991</v>
      </c>
      <c r="BL109" s="523">
        <f>-432.059+164.343+25.038-37.852+8.305-4.25-6.023-1.26+0.399-SUM(BJ109:BK109)</f>
        <v>-16.233000000000061</v>
      </c>
      <c r="BM109" s="523">
        <f>-432.059+160.668+29.858-50.178+10.665-4.25+2.655-4.789-1.68-SUM(BJ109:BL109)</f>
        <v>-5.7510000000000332</v>
      </c>
      <c r="BN109" s="524">
        <f>SUM(BJ109:BM109)</f>
        <v>-289.11</v>
      </c>
      <c r="BO109" s="523">
        <f>-11.711-0.515-3.035+0.969+1.053-0.42</f>
        <v>-13.659000000000001</v>
      </c>
      <c r="BP109" s="523">
        <f>33.886-22.155+3.414+0.937-0.84+2.508-BO109</f>
        <v>31.408999999999999</v>
      </c>
      <c r="BQ109" s="523">
        <f>-336.899+22.981+104.461-27.975+7.354-3.469-1.261+3.712-SUM(BO109:BP109)</f>
        <v>-248.84599999999998</v>
      </c>
      <c r="BR109" s="523">
        <f>-336.899-19.076-35.187+10.38+0.867-11.039-1.681+158.253-SUM(BO109:BQ109)</f>
        <v>-3.2860000000000298</v>
      </c>
      <c r="BS109" s="524">
        <f>SUM(BO109:BR109)</f>
        <v>-234.38200000000001</v>
      </c>
      <c r="BT109" s="523">
        <f>23.422-10.937+4.119-13.183-0.421+0.984</f>
        <v>3.9839999999999995</v>
      </c>
      <c r="BU109" s="523">
        <f>23.798-24.749+18.862-20.483-0.841+2.86-BT109</f>
        <v>-4.5370000000000026</v>
      </c>
      <c r="BV109" s="523">
        <f>-14.453-38.199+22.812-19.296-1.261+3.552+89.305-SUM(BT109:BU109)</f>
        <v>43.013000000000012</v>
      </c>
      <c r="BW109" s="523">
        <f>9.791+27.164-36.052+81.768-57.156+22.371+1.565+4.592-18.879-1.681-SUM(BT109:BV109)</f>
        <v>-8.9770000000000181</v>
      </c>
      <c r="BX109" s="524">
        <f>SUM(BT109:BW109)</f>
        <v>33.48299999999999</v>
      </c>
      <c r="BY109" s="523">
        <f>1.644-7.566-13.808+13.826-2.959-0.42+0.869</f>
        <v>-8.4139999999999997</v>
      </c>
      <c r="BZ109" s="523">
        <f>1.86-97.761-28.831+17.015-0.702-0.26-0.84+1.654-BY109</f>
        <v>-99.451000000000008</v>
      </c>
      <c r="CA109" s="523">
        <f>3.354-200.364-47.965+12.372-4.829-6.148-1.261+2.195-SUM(BY109:BZ109)</f>
        <v>-134.78100000000001</v>
      </c>
      <c r="CB109" s="523">
        <f>1.456+4.654+35.427+311.25-59.324+11.93-5.334+2.891-6.177-1.681-SUM(BY109:CA109)</f>
        <v>537.73800000000006</v>
      </c>
      <c r="CC109" s="524">
        <f>SUM(BY109:CB109)</f>
        <v>295.09200000000004</v>
      </c>
      <c r="CD109" s="523">
        <f>-0.211-16.344-1.528-2.204-1.118+3.705-0.42+0.488</f>
        <v>-17.631999999999998</v>
      </c>
      <c r="CE109" s="523">
        <f>0.258-5.198-32.102+4.146-3.736-5.913+3.705-0.84+0.995-CD109</f>
        <v>-21.052999999999997</v>
      </c>
      <c r="CF109" s="523">
        <f>2.339+5.023+15.199-49.359+19.947-3.736-5.913-4.295-1.26+1.361-1.949-25.353-SUM(CD109:CE109)</f>
        <v>-9.3110000000000142</v>
      </c>
      <c r="CG109" s="523">
        <f>-44.761+1.831+2.339+2.971-9.994-75.302-5.681+16.088+3.862-3.736+1.92-5.913-1.681-1.766-SUM(CD109:CF109)</f>
        <v>-71.827000000000012</v>
      </c>
      <c r="CH109" s="524">
        <f>SUM(CD109:CG109)</f>
        <v>-119.82300000000002</v>
      </c>
      <c r="CI109" s="539">
        <f>-5.351-0.541-0.833-18.87-2.488-7.188+0.331-0.421+0.516</f>
        <v>-34.844999999999999</v>
      </c>
      <c r="CJ109" s="539">
        <f>1.175+0.991-5.322+2.514-40.033+1.914-7.188+0.607-0.841+1.356-CI109</f>
        <v>-9.9820000000000064</v>
      </c>
      <c r="CK109" s="539">
        <f>-1.832-0.23-14.946+2.514-66.242-6.294-7.188+0.835-1.261+1.749-SUM(CI109:CJ109)</f>
        <v>-48.068000000000005</v>
      </c>
      <c r="CL109" s="539">
        <f>-18.663-2.821-39.24+5.456+31.767+3.769+6.012-87.485-3.775-7.464+1.014-1.681+5.938-SUM(CI109:CK109)</f>
        <v>-14.277999999999992</v>
      </c>
      <c r="CM109" s="524">
        <f>SUM(CI109:CL109)</f>
        <v>-107.173</v>
      </c>
      <c r="CN109" s="539">
        <f>-46.853-2.377-7.329-29.713+5.896+0.146-0.42+4.793</f>
        <v>-75.856999999999999</v>
      </c>
      <c r="CO109" s="539">
        <f>-84.758-4.193-20.55-54.904+1.297+0.466-0.84+9.756-CN109</f>
        <v>-77.869</v>
      </c>
      <c r="CP109" s="539">
        <f>-105.985-2.042-21.121-82.66+1.395+0.743-1.26+9.054-SUM(CN109:CO109)</f>
        <v>-48.149999999999977</v>
      </c>
      <c r="CQ109" s="539">
        <f>-125.151-5.063-3.105-21.806+15.683-110.043+109.681-0.751+5.851+5.187-1.68+9.948-SUM(CN109:CP109)</f>
        <v>80.626999999999953</v>
      </c>
      <c r="CR109" s="524">
        <f>SUM(CN109:CQ109)</f>
        <v>-121.24900000000002</v>
      </c>
      <c r="CS109" s="539">
        <f>6.347-0.622+18.243-3.725+3.822-32.033+0.754+3.151-2.312+15.045-0.42</f>
        <v>8.2499999999999964</v>
      </c>
      <c r="CT109" s="539">
        <f>13.53-1.877+30.71+0.719+3.822-67.733+0.754+4.712-2.312+33.099+11.592-0.839-9.751-CS109</f>
        <v>8.1760000000000055</v>
      </c>
      <c r="CU109" s="539">
        <f>20.473-0.975+40.914+0.286+3.822-109.795+0.754+7.409-2.312+49.609+7.515-1.36-9.751-SUM(CS109:CT109)</f>
        <v>-9.8370000000000051</v>
      </c>
      <c r="CV109" s="539">
        <f>28+416+51-6-2-10-151+14+77+27-SUM(CS109:CU109)</f>
        <v>437.411</v>
      </c>
      <c r="CW109" s="524">
        <f>SUM(CS109:CV109)</f>
        <v>444</v>
      </c>
      <c r="CX109" s="539">
        <f>8-5+16+10-41+3+28+13</f>
        <v>32</v>
      </c>
      <c r="CY109" s="539">
        <f>17-7+29+35-80+8+59+21-1-CX109</f>
        <v>49</v>
      </c>
      <c r="CZ109" s="539">
        <f>26-6+86+25-127-5+86+25+17-SUM(CX109:CY109)</f>
        <v>46</v>
      </c>
      <c r="DA109" s="539">
        <f>34-3+154-24+1608-167-20+112+43-SUM(CX109:CZ109)</f>
        <v>1610</v>
      </c>
      <c r="DB109" s="524">
        <f>SUM(CX109:DA109)</f>
        <v>1737</v>
      </c>
      <c r="DC109" s="539">
        <f>10-2-50-22-7+21+2</f>
        <v>-48</v>
      </c>
      <c r="DD109" s="539">
        <f>17-3-70-46-169+41+1+35+876-5-DC109</f>
        <v>725</v>
      </c>
      <c r="DE109" s="539">
        <f>24-6+33-65-72-164+62-39+12+1003-5-SUM(DC109:DD109)</f>
        <v>106</v>
      </c>
      <c r="DF109" s="539">
        <f>1687-193-107+83+33+53+26+24+29+18-39-90-SUM(DC109:DE109)</f>
        <v>741</v>
      </c>
      <c r="DG109" s="524">
        <f>SUM(DC109:DF109)</f>
        <v>1524</v>
      </c>
      <c r="DH109" s="539">
        <f>116-108-28-26+21+3+18+2</f>
        <v>-2</v>
      </c>
      <c r="DI109" s="539">
        <f>124-114-28-53+4+46+40+12-DH109</f>
        <v>33</v>
      </c>
      <c r="DJ109" s="539">
        <f>142-180-28-78+12+82+57+3+28-10-SUM(DH109:DI109)</f>
        <v>-3</v>
      </c>
      <c r="DK109" s="539">
        <f>DK55*DK58</f>
        <v>18</v>
      </c>
      <c r="DL109" s="524">
        <f>SUM(DH109:DK109)</f>
        <v>46</v>
      </c>
      <c r="DM109" s="539">
        <f>-325+20+8+4</f>
        <v>-293</v>
      </c>
      <c r="DN109" s="539">
        <f>120+23+9-11-3-8-6</f>
        <v>124</v>
      </c>
      <c r="DO109" s="539">
        <f>186+22+8+24+9-5</f>
        <v>244</v>
      </c>
      <c r="DP109" s="539">
        <f>22+5+7-7-9-13-27</f>
        <v>-22</v>
      </c>
      <c r="DQ109" s="524">
        <f>SUM(DM109:DP109)</f>
        <v>53</v>
      </c>
      <c r="DR109" s="539">
        <f>27+5+9+11-492</f>
        <v>-440</v>
      </c>
      <c r="DS109" s="539">
        <f>20+6-1</f>
        <v>25</v>
      </c>
      <c r="DT109" s="539">
        <f>22+5-5</f>
        <v>22</v>
      </c>
      <c r="DU109" s="539">
        <f>209+21+5-1-5</f>
        <v>229</v>
      </c>
      <c r="DV109" s="524">
        <f>SUM(DR109:DU109)</f>
        <v>-164</v>
      </c>
      <c r="DW109" s="539">
        <f>278-36+21+6-3</f>
        <v>266</v>
      </c>
      <c r="DX109" s="539">
        <f>-4+26+6+2</f>
        <v>30</v>
      </c>
      <c r="DY109" s="539">
        <f>-1+27+5</f>
        <v>31</v>
      </c>
      <c r="DZ109" s="539">
        <f>1+23+6+8</f>
        <v>38</v>
      </c>
      <c r="EA109" s="524">
        <f>SUM(DW109:DZ109)</f>
        <v>365</v>
      </c>
      <c r="EB109" s="539">
        <f>48+1+24+6-1</f>
        <v>78</v>
      </c>
      <c r="EC109" s="539">
        <f>-1+20+6+2</f>
        <v>27</v>
      </c>
      <c r="ED109" s="539">
        <f>-17-1+23+6</f>
        <v>11</v>
      </c>
      <c r="EE109" s="539">
        <f>1+24+7-1</f>
        <v>31</v>
      </c>
      <c r="EF109" s="524">
        <f>SUM(EB109:EE109)</f>
        <v>147</v>
      </c>
      <c r="EG109" s="539">
        <f>23+6+15-4</f>
        <v>40</v>
      </c>
      <c r="EH109" s="539">
        <f>21+3+49-1</f>
        <v>72</v>
      </c>
      <c r="EI109" s="539">
        <f>21+2-6</f>
        <v>17</v>
      </c>
      <c r="EJ109" s="539">
        <f>16+6+233+14-4-3</f>
        <v>262</v>
      </c>
      <c r="EK109" s="524">
        <f>SUM(EG109:EJ109)</f>
        <v>391</v>
      </c>
      <c r="EL109" s="539">
        <f>17+3+71-1</f>
        <v>90</v>
      </c>
      <c r="EM109" s="539">
        <f>17+3+3</f>
        <v>23</v>
      </c>
      <c r="EN109" s="539">
        <f>13+2+11+6</f>
        <v>32</v>
      </c>
      <c r="EO109" s="539">
        <f>16+3-10</f>
        <v>9</v>
      </c>
      <c r="EP109" s="524">
        <f>SUM(EL109:EO109)</f>
        <v>154</v>
      </c>
      <c r="EQ109" s="539">
        <f>16+4-5</f>
        <v>15</v>
      </c>
      <c r="ER109" s="539">
        <f>-150-1+11+18+3-1</f>
        <v>-120</v>
      </c>
      <c r="ES109" s="539">
        <f>4+2+23+4+61+240+1</f>
        <v>335</v>
      </c>
      <c r="ET109" s="539">
        <f>1+29+10+7-3</f>
        <v>44</v>
      </c>
      <c r="EU109" s="524">
        <f>SUM(EQ109:ET109)</f>
        <v>274</v>
      </c>
      <c r="EV109" s="539">
        <f>23+9+4+5</f>
        <v>41</v>
      </c>
      <c r="EW109" s="539">
        <f>24+9+3+-4</f>
        <v>32</v>
      </c>
      <c r="EX109" s="539">
        <f>29+9+2+3</f>
        <v>43</v>
      </c>
      <c r="EY109" s="539">
        <f>21+9+3-3-1</f>
        <v>29</v>
      </c>
      <c r="EZ109" s="524">
        <f>SUM(EV109:EY109)</f>
        <v>145</v>
      </c>
      <c r="FA109" s="539">
        <f>32+10+1+1</f>
        <v>44</v>
      </c>
      <c r="FB109" s="539">
        <f>65+20+1-1-FA109-2</f>
        <v>39</v>
      </c>
      <c r="FC109" s="539">
        <f>101+29+7+2-FB109-FA109</f>
        <v>56</v>
      </c>
      <c r="FD109" s="539">
        <f>27+45+137-4+38+12-1-FC109-FB109-FA109</f>
        <v>115</v>
      </c>
      <c r="FE109" s="524">
        <f>SUM(FA109:FD109)</f>
        <v>254</v>
      </c>
      <c r="FF109" s="539">
        <f>41+9+8+6+-1</f>
        <v>63</v>
      </c>
      <c r="FG109" s="539">
        <f>86+18+18+8+8-4-FF109</f>
        <v>71</v>
      </c>
      <c r="FH109" s="539">
        <f>140+25+27+48+34-13-FG109-FF109</f>
        <v>127</v>
      </c>
      <c r="FI109" s="539">
        <f>197+30+36+176+42-4-5-FH109-FG109-FF109</f>
        <v>211</v>
      </c>
      <c r="FJ109" s="524">
        <f>SUM(FF109:FI109)</f>
        <v>472</v>
      </c>
      <c r="FK109" s="539">
        <v>-10</v>
      </c>
      <c r="FL109" s="539">
        <f>119+8+20+26+8-FK109</f>
        <v>191</v>
      </c>
      <c r="FM109" s="539">
        <f>195+12+31+38+28+12-FL109-FK109</f>
        <v>135</v>
      </c>
      <c r="FN109" s="539">
        <f>554-1737</f>
        <v>-1183</v>
      </c>
      <c r="FO109" s="524">
        <f>SUM(FK109:FN109)</f>
        <v>-867</v>
      </c>
      <c r="FP109" s="539">
        <f>85+2+12+6+8+73+8-3</f>
        <v>191</v>
      </c>
      <c r="FQ109" s="539">
        <f>FQ55*FQ58-18.9</f>
        <v>63.022077922077919</v>
      </c>
      <c r="FR109" s="539">
        <f>267+4+40+7+19+201-52-6-FP109-FQ109</f>
        <v>225.97792207792207</v>
      </c>
      <c r="FS109" s="539">
        <f>379+5+56+7+34+308-56-7-FR109-FQ109-FP109</f>
        <v>246</v>
      </c>
      <c r="FT109" s="524">
        <f>SUM(FP109:FS109)</f>
        <v>726</v>
      </c>
      <c r="FU109" s="539">
        <f>ROUND(FU55*FU58,0)+431</f>
        <v>603</v>
      </c>
      <c r="FV109" s="539">
        <f>ROUND(FV55*FV58,0)+872</f>
        <v>1129</v>
      </c>
      <c r="FW109" s="539">
        <f>965-FW108-FW107-FW106</f>
        <v>931</v>
      </c>
      <c r="FX109" s="539">
        <f>567-FX108-FX107-FX106</f>
        <v>1030</v>
      </c>
      <c r="FY109" s="524">
        <f>SUM(FU109:FX109)</f>
        <v>3693</v>
      </c>
      <c r="FZ109" s="539">
        <f>486-FZ108-FZ107-FZ106</f>
        <v>814</v>
      </c>
      <c r="GA109" s="539">
        <f>379-GA108-GA107-GA106</f>
        <v>-292</v>
      </c>
      <c r="GB109" s="539">
        <f>421-GB108-GB107-GB106</f>
        <v>590</v>
      </c>
      <c r="GC109" s="539">
        <f>381-GC108-GC107-GC106</f>
        <v>586</v>
      </c>
      <c r="GD109" s="524">
        <f>SUM(FZ109:GC109)</f>
        <v>1698</v>
      </c>
      <c r="GE109" s="539">
        <f>521-GE108-GE107-GE106</f>
        <v>512</v>
      </c>
      <c r="GF109" s="539">
        <f>593-GF108-GF107-GF106</f>
        <v>1524</v>
      </c>
      <c r="GG109" s="539">
        <f>628-GG108-GG107-GG106</f>
        <v>454</v>
      </c>
      <c r="GH109" s="539">
        <f>1299-GH108-GH107-GH106</f>
        <v>602</v>
      </c>
      <c r="GI109" s="524">
        <f>SUM(GE109:GH109)</f>
        <v>3092</v>
      </c>
      <c r="GJ109" s="539">
        <f>567+364-167+39</f>
        <v>803</v>
      </c>
      <c r="GK109" s="539">
        <f>568+369-33-853-10+549-104</f>
        <v>486</v>
      </c>
      <c r="GL109" s="539">
        <f>-71+562+419+218-67+371</f>
        <v>1432</v>
      </c>
      <c r="GM109" s="539">
        <f>557+486-280+230+30+109+296</f>
        <v>1428</v>
      </c>
      <c r="GN109" s="524">
        <f>SUM(GJ109:GM109)</f>
        <v>4149</v>
      </c>
      <c r="GO109" s="539">
        <f>-11+551+487-66-79+28</f>
        <v>910</v>
      </c>
      <c r="GP109" s="539">
        <f>GP55*GP58</f>
        <v>491.05442168674699</v>
      </c>
      <c r="GQ109" s="539">
        <f>GQ55*GQ58</f>
        <v>500.87702367739104</v>
      </c>
      <c r="GR109" s="539">
        <f>GR55*GR58</f>
        <v>510.91984587630071</v>
      </c>
      <c r="GS109" s="524">
        <f>SUM(GO109:GR109)</f>
        <v>2412.8512912404385</v>
      </c>
      <c r="GT109" s="539">
        <f>GT55*GT58</f>
        <v>511.29258611466338</v>
      </c>
      <c r="GU109" s="539">
        <f>GU55*GU58</f>
        <v>521.92822230940726</v>
      </c>
      <c r="GV109" s="539">
        <f>GV55*GV58</f>
        <v>532.89433371869575</v>
      </c>
      <c r="GW109" s="539">
        <f>GW55*GW58</f>
        <v>544.1493521509193</v>
      </c>
      <c r="GX109" s="524">
        <f>SUM(GT109:GW109)</f>
        <v>2110.2644942936854</v>
      </c>
      <c r="GY109" s="539">
        <f>GY55*GY58</f>
        <v>545.08661876034023</v>
      </c>
      <c r="GZ109" s="539">
        <f>GZ55*GZ58</f>
        <v>556.98569242048154</v>
      </c>
      <c r="HA109" s="539">
        <f>HA55*HA58</f>
        <v>569.13269318476011</v>
      </c>
      <c r="HB109" s="539">
        <f>HB55*HB58</f>
        <v>581.65981810512744</v>
      </c>
      <c r="HC109" s="524">
        <f>SUM(GY109:HB109)</f>
        <v>2252.8648224707094</v>
      </c>
      <c r="HD109" s="539">
        <f>HD55*HD58</f>
        <v>583.4389359795108</v>
      </c>
      <c r="HE109" s="539">
        <f>HE55*HE58</f>
        <v>596.90004067729592</v>
      </c>
      <c r="HF109" s="539">
        <f>HF55*HF58</f>
        <v>610.78176956114589</v>
      </c>
      <c r="HG109" s="539">
        <f>HG55*HG58</f>
        <v>625.02282543741478</v>
      </c>
      <c r="HH109" s="524">
        <f>SUM(HD109:HG109)</f>
        <v>2416.1435716553674</v>
      </c>
      <c r="HI109" s="539">
        <f>HI55*HI58</f>
        <v>628.53667005698435</v>
      </c>
      <c r="HJ109" s="539">
        <f>HJ55*HJ58</f>
        <v>644.63881609521889</v>
      </c>
      <c r="HK109" s="539">
        <f>HK55*HK58</f>
        <v>661.08113546284335</v>
      </c>
      <c r="HL109" s="539">
        <f>HL55*HL58</f>
        <v>678.18996157686945</v>
      </c>
      <c r="HM109" s="524">
        <f>SUM(HI109:HL109)</f>
        <v>2612.446583191916</v>
      </c>
      <c r="HN109" s="524"/>
      <c r="HO109" s="524"/>
      <c r="HP109" s="606"/>
      <c r="HR109" s="606"/>
      <c r="HS109" s="606"/>
      <c r="HT109" s="606"/>
      <c r="HU109" s="606"/>
      <c r="HV109" s="606"/>
      <c r="HW109" s="606"/>
      <c r="HX109" s="606"/>
    </row>
    <row r="110" spans="1:232" s="539" customFormat="1">
      <c r="A110" s="636" t="s">
        <v>433</v>
      </c>
      <c r="L110" s="523"/>
      <c r="M110" s="523"/>
      <c r="N110" s="523"/>
      <c r="O110" s="523"/>
      <c r="P110" s="524"/>
      <c r="Q110" s="523"/>
      <c r="R110" s="523"/>
      <c r="S110" s="523"/>
      <c r="T110" s="523"/>
      <c r="U110" s="524"/>
      <c r="V110" s="523"/>
      <c r="W110" s="523"/>
      <c r="X110" s="523"/>
      <c r="Y110" s="523"/>
      <c r="Z110" s="524"/>
      <c r="AA110" s="523"/>
      <c r="AB110" s="523"/>
      <c r="AC110" s="523"/>
      <c r="AD110" s="523"/>
      <c r="AE110" s="524"/>
      <c r="AF110" s="523">
        <f>SUM(AF106:AF109)</f>
        <v>129.06900000000002</v>
      </c>
      <c r="AG110" s="523">
        <f>SUM(AG106:AG109)</f>
        <v>100.60299999999995</v>
      </c>
      <c r="AH110" s="523">
        <f>SUM(AH106:AH109)</f>
        <v>94.11099999999999</v>
      </c>
      <c r="AI110" s="523">
        <f>SUM(AI106:AI109)</f>
        <v>132.44500000000002</v>
      </c>
      <c r="AJ110" s="524">
        <f>SUM(AF110:AI110)</f>
        <v>456.22799999999995</v>
      </c>
      <c r="AK110" s="523">
        <f>SUM(AK106:AK109)</f>
        <v>112.49300000000002</v>
      </c>
      <c r="AL110" s="523">
        <f>SUM(AL106:AL109)</f>
        <v>147.20100000000005</v>
      </c>
      <c r="AM110" s="523">
        <f>SUM(AM106:AM109)</f>
        <v>140.22400000000002</v>
      </c>
      <c r="AN110" s="523">
        <f>SUM(AN106:AN109)</f>
        <v>173.25500000000005</v>
      </c>
      <c r="AO110" s="524">
        <f>SUM(AK110:AN110)</f>
        <v>573.17300000000023</v>
      </c>
      <c r="AP110" s="523">
        <f>SUM(AP106:AP109)</f>
        <v>177.584</v>
      </c>
      <c r="AQ110" s="523">
        <f>SUM(AQ106:AQ109)</f>
        <v>193.86800000000005</v>
      </c>
      <c r="AR110" s="523">
        <f>SUM(AR106:AR109)</f>
        <v>108.91299999999998</v>
      </c>
      <c r="AS110" s="523">
        <f>SUM(AS106:AS109)</f>
        <v>131.53299999999993</v>
      </c>
      <c r="AT110" s="524">
        <f>SUM(AP110:AS110)</f>
        <v>611.89799999999991</v>
      </c>
      <c r="AU110" s="523">
        <f>SUM(AU106:AU109)</f>
        <v>-24.541000000000011</v>
      </c>
      <c r="AV110" s="523">
        <f>SUM(AV106:AV109)</f>
        <v>-25.49799999999999</v>
      </c>
      <c r="AW110" s="523">
        <f>SUM(AW106:AW109)</f>
        <v>-26.104000000000006</v>
      </c>
      <c r="AX110" s="523">
        <f>SUM(AX106:AX109)</f>
        <v>149.37999999999997</v>
      </c>
      <c r="AY110" s="524">
        <f>SUM(AU110:AX110)</f>
        <v>73.236999999999966</v>
      </c>
      <c r="AZ110" s="523">
        <f>SUM(AZ106:AZ109)</f>
        <v>114.798</v>
      </c>
      <c r="BA110" s="523">
        <f>SUM(BA106:BA109)</f>
        <v>63.186999999999948</v>
      </c>
      <c r="BB110" s="523">
        <f>SUM(BB106:BB109)</f>
        <v>23.561000000000025</v>
      </c>
      <c r="BC110" s="523">
        <f>SUM(BC106:BC109)</f>
        <v>197.26900000000006</v>
      </c>
      <c r="BD110" s="524">
        <f>SUM(AZ110:BC110)</f>
        <v>398.81500000000005</v>
      </c>
      <c r="BE110" s="523">
        <f>SUM(BE106:BE109)</f>
        <v>-21.57800000000001</v>
      </c>
      <c r="BF110" s="523">
        <f>SUM(BF106:BF109)</f>
        <v>97.466000000000051</v>
      </c>
      <c r="BG110" s="523">
        <f>SUM(BG106:BG109)</f>
        <v>-43.207999999999956</v>
      </c>
      <c r="BH110" s="523">
        <f>SUM(BH106:BH109)</f>
        <v>111.73299999999998</v>
      </c>
      <c r="BI110" s="524">
        <f>SUM(BE110:BH110)</f>
        <v>144.41300000000007</v>
      </c>
      <c r="BJ110" s="523">
        <f>SUM(BJ106:BJ109)</f>
        <v>21.871000000000034</v>
      </c>
      <c r="BK110" s="523">
        <f>SUM(BK106:BK109)</f>
        <v>-39.616999999999848</v>
      </c>
      <c r="BL110" s="523">
        <f>SUM(BL106:BL109)</f>
        <v>-61.634000000000015</v>
      </c>
      <c r="BM110" s="523">
        <f>SUM(BM106:BM109)</f>
        <v>339.29999999999995</v>
      </c>
      <c r="BN110" s="524">
        <f>SUM(BJ110:BM110)</f>
        <v>259.92000000000013</v>
      </c>
      <c r="BO110" s="523">
        <f>SUM(BO106:BO109)</f>
        <v>386.76299999999986</v>
      </c>
      <c r="BP110" s="523">
        <f>SUM(BP106:BP109)</f>
        <v>281.13599999999985</v>
      </c>
      <c r="BQ110" s="523">
        <f>SUM(BQ106:BQ109)</f>
        <v>287.14800000000002</v>
      </c>
      <c r="BR110" s="523">
        <f>SUM(BR106:BR109)</f>
        <v>250.50500000000011</v>
      </c>
      <c r="BS110" s="524">
        <f>SUM(BO110:BR110)</f>
        <v>1205.5519999999997</v>
      </c>
      <c r="BT110" s="523">
        <f>SUM(BT106:BT109)</f>
        <v>146.75599999999997</v>
      </c>
      <c r="BU110" s="523">
        <f>SUM(BU106:BU109)</f>
        <v>-163.86699999999996</v>
      </c>
      <c r="BV110" s="523">
        <f>SUM(BV106:BV109)</f>
        <v>73.189000000000419</v>
      </c>
      <c r="BW110" s="523">
        <f>SUM(BW106:BW109)</f>
        <v>111.56699999999996</v>
      </c>
      <c r="BX110" s="524">
        <f>SUM(BT110:BW110)</f>
        <v>167.64500000000038</v>
      </c>
      <c r="BY110" s="523">
        <f>SUM(BY106:BY109)</f>
        <v>210.53299999999996</v>
      </c>
      <c r="BZ110" s="523">
        <f>SUM(BZ106:BZ109)</f>
        <v>-107.75900000000003</v>
      </c>
      <c r="CA110" s="523">
        <f>SUM(CA106:CA109)</f>
        <v>-93.616000000000042</v>
      </c>
      <c r="CB110" s="523">
        <f>SUM(CB106:CB109)</f>
        <v>-98.068000000000097</v>
      </c>
      <c r="CC110" s="524">
        <f>SUM(BY110:CB110)</f>
        <v>-88.91000000000021</v>
      </c>
      <c r="CD110" s="523">
        <f>SUM(CD106:CD109)</f>
        <v>-78.662000000000063</v>
      </c>
      <c r="CE110" s="523">
        <f>SUM(CE106:CE109)</f>
        <v>-14.344999999999999</v>
      </c>
      <c r="CF110" s="523">
        <f>SUM(CF106:CF109)</f>
        <v>9.9999999999766942E-4</v>
      </c>
      <c r="CG110" s="523">
        <f>SUM(CG106:CG109)</f>
        <v>388.59199999999993</v>
      </c>
      <c r="CH110" s="524">
        <f>SUM(CD110:CG110)</f>
        <v>295.5859999999999</v>
      </c>
      <c r="CI110" s="523">
        <f>SUM(CI106:CI109)</f>
        <v>206.25999999999996</v>
      </c>
      <c r="CJ110" s="523">
        <f>SUM(CJ106:CJ109)</f>
        <v>254.67800000000008</v>
      </c>
      <c r="CK110" s="523">
        <f>SUM(CK106:CK109)</f>
        <v>263.3950000000001</v>
      </c>
      <c r="CL110" s="523">
        <f>SUM(CL106:CL109)</f>
        <v>362.18799999999987</v>
      </c>
      <c r="CM110" s="524">
        <f>SUM(CI110:CL110)</f>
        <v>1086.521</v>
      </c>
      <c r="CN110" s="523">
        <f>SUM(CN106:CN109)</f>
        <v>251.32699999999991</v>
      </c>
      <c r="CO110" s="523">
        <f>SUM(CO106:CO109)</f>
        <v>265.16300000000001</v>
      </c>
      <c r="CP110" s="523">
        <f>SUM(CP106:CP109)</f>
        <v>429.08600000000018</v>
      </c>
      <c r="CQ110" s="523">
        <f>SUM(CQ106:CQ109)</f>
        <v>537.27899999999977</v>
      </c>
      <c r="CR110" s="637">
        <f>SUM(CN110:CQ110)</f>
        <v>1482.8549999999998</v>
      </c>
      <c r="CS110" s="523">
        <f>SUM(CS106:CS109)</f>
        <v>566.34899999999993</v>
      </c>
      <c r="CT110" s="523">
        <f>SUM(CT106:CT109)</f>
        <v>218.85000000000005</v>
      </c>
      <c r="CU110" s="523">
        <f>SUM(CU106:CU109)</f>
        <v>230.18500000000003</v>
      </c>
      <c r="CV110" s="523">
        <f>SUM(CV106:CV109)</f>
        <v>272.44099999999992</v>
      </c>
      <c r="CW110" s="524">
        <f>SUM(CS110:CV110)</f>
        <v>1287.8249999999998</v>
      </c>
      <c r="CX110" s="523">
        <f>SUM(CX106:CX109)</f>
        <v>41</v>
      </c>
      <c r="CY110" s="523">
        <f>SUM(CY106:CY109)</f>
        <v>-635</v>
      </c>
      <c r="CZ110" s="523">
        <f>SUM(CZ106:CZ109)</f>
        <v>223</v>
      </c>
      <c r="DA110" s="523">
        <f>SUM(DA106:DA109)</f>
        <v>61</v>
      </c>
      <c r="DB110" s="524">
        <f>SUM(CX110:DA110)</f>
        <v>-310</v>
      </c>
      <c r="DC110" s="523">
        <f>SUM(DC106:DC109)</f>
        <v>16</v>
      </c>
      <c r="DD110" s="523">
        <f>SUM(DD106:DD109)</f>
        <v>-242</v>
      </c>
      <c r="DE110" s="523">
        <f>SUM(DE106:DE109)</f>
        <v>-216</v>
      </c>
      <c r="DF110" s="523">
        <f>SUM(DF106:DF109)</f>
        <v>-250</v>
      </c>
      <c r="DG110" s="524">
        <f>SUM(DC110:DF110)</f>
        <v>-692</v>
      </c>
      <c r="DH110" s="523">
        <f>SUM(DH106:DH109)</f>
        <v>-391</v>
      </c>
      <c r="DI110" s="523">
        <f>SUM(DI106:DI109)</f>
        <v>-144</v>
      </c>
      <c r="DJ110" s="523">
        <f>SUM(DJ106:DJ109)</f>
        <v>-142</v>
      </c>
      <c r="DK110" s="523">
        <f>SUM(DK106:DK109)</f>
        <v>1423</v>
      </c>
      <c r="DL110" s="524">
        <f>SUM(DH110:DK110)</f>
        <v>746</v>
      </c>
      <c r="DM110" s="523">
        <f>SUM(DM106:DM109)</f>
        <v>23</v>
      </c>
      <c r="DN110" s="523">
        <f>SUM(DN106:DN109)</f>
        <v>-98</v>
      </c>
      <c r="DO110" s="523">
        <f>SUM(DO106:DO109)</f>
        <v>-124</v>
      </c>
      <c r="DP110" s="523">
        <f>SUM(DP106:DP109)</f>
        <v>-213</v>
      </c>
      <c r="DQ110" s="524">
        <f>SUM(DM110:DP110)</f>
        <v>-412</v>
      </c>
      <c r="DR110" s="523">
        <f>SUM(DR106:DR109)</f>
        <v>-168</v>
      </c>
      <c r="DS110" s="523">
        <f>SUM(DS106:DS109)</f>
        <v>174</v>
      </c>
      <c r="DT110" s="523">
        <f>SUM(DT106:DT109)</f>
        <v>189</v>
      </c>
      <c r="DU110" s="523">
        <f>SUM(DU106:DU109)</f>
        <v>187</v>
      </c>
      <c r="DV110" s="524">
        <f>SUM(DR110:DU110)</f>
        <v>382</v>
      </c>
      <c r="DW110" s="523">
        <f>SUM(DW106:DW109)</f>
        <v>107</v>
      </c>
      <c r="DX110" s="523">
        <f>SUM(DX106:DX109)</f>
        <v>81</v>
      </c>
      <c r="DY110" s="523">
        <f>SUM(DY106:DY109)</f>
        <v>-240</v>
      </c>
      <c r="DZ110" s="523">
        <f>SUM(DZ106:DZ109)</f>
        <v>-286</v>
      </c>
      <c r="EA110" s="524">
        <f>SUM(DW110:DZ110)</f>
        <v>-338</v>
      </c>
      <c r="EB110" s="523">
        <f>SUM(EB106:EB109)</f>
        <v>-155</v>
      </c>
      <c r="EC110" s="523">
        <f>SUM(EC106:EC109)</f>
        <v>-35</v>
      </c>
      <c r="ED110" s="523">
        <f>SUM(ED106:ED109)</f>
        <v>21</v>
      </c>
      <c r="EE110" s="523">
        <f>SUM(EE106:EE109)</f>
        <v>21</v>
      </c>
      <c r="EF110" s="524">
        <f>SUM(EB110:EE110)</f>
        <v>-148</v>
      </c>
      <c r="EG110" s="523">
        <f>SUM(EG106:EG109)</f>
        <v>-204</v>
      </c>
      <c r="EH110" s="523">
        <f>SUM(EH106:EH109)</f>
        <v>-28</v>
      </c>
      <c r="EI110" s="523">
        <f>SUM(EI106:EI109)</f>
        <v>18</v>
      </c>
      <c r="EJ110" s="523">
        <f>SUM(EJ106:EJ109)</f>
        <v>116</v>
      </c>
      <c r="EK110" s="524">
        <f>SUM(EG110:EJ110)</f>
        <v>-98</v>
      </c>
      <c r="EL110" s="523">
        <f>SUM(EL106:EL109)</f>
        <v>-173</v>
      </c>
      <c r="EM110" s="523">
        <f>SUM(EM106:EM109)</f>
        <v>-58</v>
      </c>
      <c r="EN110" s="523">
        <f>SUM(EN106:EN109)</f>
        <v>-59</v>
      </c>
      <c r="EO110" s="523">
        <f>SUM(EO106:EO109)</f>
        <v>53</v>
      </c>
      <c r="EP110" s="524">
        <f>SUM(EL110:EO110)</f>
        <v>-237</v>
      </c>
      <c r="EQ110" s="523">
        <f>SUM(EQ106:EQ109)</f>
        <v>-42</v>
      </c>
      <c r="ER110" s="523">
        <f>SUM(ER106:ER109)</f>
        <v>-85</v>
      </c>
      <c r="ES110" s="523">
        <f>SUM(ES106:ES109)</f>
        <v>29</v>
      </c>
      <c r="ET110" s="523">
        <f>SUM(ET106:ET109)</f>
        <v>188</v>
      </c>
      <c r="EU110" s="524">
        <f>SUM(EQ110:ET110)</f>
        <v>90</v>
      </c>
      <c r="EV110" s="523">
        <f>SUM(EV106:EV109)</f>
        <v>-299</v>
      </c>
      <c r="EW110" s="523">
        <f>SUM(EW106:EW109)</f>
        <v>-82</v>
      </c>
      <c r="EX110" s="523">
        <f>SUM(EX106:EX109)</f>
        <v>66</v>
      </c>
      <c r="EY110" s="523">
        <f>SUM(EY106:EY109)</f>
        <v>383</v>
      </c>
      <c r="EZ110" s="524">
        <f>SUM(EV110:EY110)</f>
        <v>68</v>
      </c>
      <c r="FA110" s="523">
        <f>SUM(FA106:FA109)</f>
        <v>-86</v>
      </c>
      <c r="FB110" s="523">
        <f>SUM(FB106:FB109)</f>
        <v>-47</v>
      </c>
      <c r="FC110" s="523">
        <f>SUM(FC106:FC109)</f>
        <v>97</v>
      </c>
      <c r="FD110" s="523">
        <f>SUM(FD106:FD109)</f>
        <v>70</v>
      </c>
      <c r="FE110" s="524">
        <f>SUM(FA110:FD110)</f>
        <v>34</v>
      </c>
      <c r="FF110" s="523">
        <f>SUM(FF106:FF109)</f>
        <v>-213</v>
      </c>
      <c r="FG110" s="523">
        <f>SUM(FG106:FG109)</f>
        <v>30</v>
      </c>
      <c r="FH110" s="523">
        <f>SUM(FH106:FH109)</f>
        <v>234</v>
      </c>
      <c r="FI110" s="523">
        <f>SUM(FI106:FI109)</f>
        <v>442</v>
      </c>
      <c r="FJ110" s="524">
        <f>SUM(FF110:FI110)</f>
        <v>493</v>
      </c>
      <c r="FK110" s="523">
        <f>SUM(FK106:FK109)</f>
        <v>-65</v>
      </c>
      <c r="FL110" s="523">
        <f>SUM(FL106:FL109)</f>
        <v>243</v>
      </c>
      <c r="FM110" s="523">
        <f>SUM(FM106:FM109)</f>
        <v>339</v>
      </c>
      <c r="FN110" s="523">
        <f>SUM(FN106:FN109)</f>
        <v>554</v>
      </c>
      <c r="FO110" s="524">
        <f>SUM(FK110:FN110)</f>
        <v>1071</v>
      </c>
      <c r="FP110" s="523">
        <f>SUM(FP106:FP109)</f>
        <v>898</v>
      </c>
      <c r="FQ110" s="523">
        <f>SUM(FQ106:FQ109)</f>
        <v>952.02207792207787</v>
      </c>
      <c r="FR110" s="523">
        <f>SUM(FR106:FR109)</f>
        <v>848.97792207792213</v>
      </c>
      <c r="FS110" s="523">
        <f>SUM(FS106:FS109)</f>
        <v>822</v>
      </c>
      <c r="FT110" s="524">
        <f>SUM(FP110:FS110)</f>
        <v>3521</v>
      </c>
      <c r="FU110" s="523">
        <f>SUM(FU106:FU109)</f>
        <v>995</v>
      </c>
      <c r="FV110" s="523">
        <f>SUM(FV106:FV109)</f>
        <v>1038</v>
      </c>
      <c r="FW110" s="523">
        <f>SUM(FW106:FW109)</f>
        <v>965</v>
      </c>
      <c r="FX110" s="523">
        <f>SUM(FX106:FX109)</f>
        <v>567</v>
      </c>
      <c r="FY110" s="524">
        <f>SUM(FU110:FX110)</f>
        <v>3565</v>
      </c>
      <c r="FZ110" s="523">
        <f>SUM(FZ106:FZ109)</f>
        <v>486</v>
      </c>
      <c r="GA110" s="523">
        <f>SUM(GA106:GA109)</f>
        <v>379</v>
      </c>
      <c r="GB110" s="523">
        <f>SUM(GB106:GB109)</f>
        <v>421</v>
      </c>
      <c r="GC110" s="523">
        <f>SUM(GC106:GC109)</f>
        <v>381</v>
      </c>
      <c r="GD110" s="524">
        <f>SUM(FZ110:GC110)</f>
        <v>1667</v>
      </c>
      <c r="GE110" s="523">
        <f>SUM(GE106:GE109)</f>
        <v>521</v>
      </c>
      <c r="GF110" s="523">
        <f>SUM(GF106:GF109)</f>
        <v>593</v>
      </c>
      <c r="GG110" s="523">
        <f>SUM(GG106:GG109)</f>
        <v>628</v>
      </c>
      <c r="GH110" s="523">
        <f>SUM(GH106:GH109)</f>
        <v>1299</v>
      </c>
      <c r="GI110" s="524">
        <f>SUM(GE110:GH110)</f>
        <v>3041</v>
      </c>
      <c r="GJ110" s="523">
        <f>SUM(GJ106:GJ109)</f>
        <v>939</v>
      </c>
      <c r="GK110" s="523">
        <f>SUM(GK106:GK109)</f>
        <v>2011</v>
      </c>
      <c r="GL110" s="523">
        <f>SUM(GL106:GL109)</f>
        <v>2159</v>
      </c>
      <c r="GM110" s="523">
        <f>SUM(GM106:GM109)</f>
        <v>2600</v>
      </c>
      <c r="GN110" s="524">
        <f>SUM(GJ110:GM110)</f>
        <v>7709</v>
      </c>
      <c r="GO110" s="523">
        <f>SUM(GO106:GO109)</f>
        <v>2955</v>
      </c>
      <c r="GP110" s="523">
        <f>SUM(GP106:GP109)</f>
        <v>381.88926093351392</v>
      </c>
      <c r="GQ110" s="523">
        <f>SUM(GQ106:GQ109)</f>
        <v>2451.9907218851613</v>
      </c>
      <c r="GR110" s="523">
        <f>SUM(GR106:GR109)</f>
        <v>-331.51625288825795</v>
      </c>
      <c r="GS110" s="524">
        <f>SUM(GO110:GR110)</f>
        <v>5457.3637299304164</v>
      </c>
      <c r="GT110" s="523">
        <f>SUM(GT106:GT109)</f>
        <v>2580.1555494831264</v>
      </c>
      <c r="GU110" s="523">
        <f>SUM(GU106:GU109)</f>
        <v>1182.0357353129734</v>
      </c>
      <c r="GV110" s="523">
        <f>SUM(GV106:GV109)</f>
        <v>588.26406858210441</v>
      </c>
      <c r="GW110" s="523">
        <f>SUM(GW106:GW109)</f>
        <v>2229.848540996978</v>
      </c>
      <c r="GX110" s="524">
        <f>SUM(GT110:GW110)</f>
        <v>6580.3038943751826</v>
      </c>
      <c r="GY110" s="523">
        <f>SUM(GY106:GY109)</f>
        <v>8188.8512066117028</v>
      </c>
      <c r="GZ110" s="523">
        <f>SUM(GZ106:GZ109)</f>
        <v>6000.179771158093</v>
      </c>
      <c r="HA110" s="523">
        <f>SUM(HA106:HA109)</f>
        <v>4532.9971445694182</v>
      </c>
      <c r="HB110" s="523">
        <f>SUM(HB106:HB109)</f>
        <v>4953.7216047376123</v>
      </c>
      <c r="HC110" s="524">
        <f>SUM(GY110:HB110)</f>
        <v>23675.749727076825</v>
      </c>
      <c r="HD110" s="523">
        <f>SUM(HD106:HD109)</f>
        <v>9680.1471873315622</v>
      </c>
      <c r="HE110" s="523">
        <f>SUM(HE106:HE109)</f>
        <v>7419.7333786848376</v>
      </c>
      <c r="HF110" s="523">
        <f>SUM(HF106:HF109)</f>
        <v>6811.722697720882</v>
      </c>
      <c r="HG110" s="523">
        <f>SUM(HG106:HG109)</f>
        <v>8603.2184001157439</v>
      </c>
      <c r="HH110" s="524">
        <f>SUM(HD110:HG110)</f>
        <v>32514.821663853025</v>
      </c>
      <c r="HI110" s="523">
        <f>SUM(HI106:HI109)</f>
        <v>12290.257779104915</v>
      </c>
      <c r="HJ110" s="523">
        <f>SUM(HJ106:HJ109)</f>
        <v>8466.3409661455607</v>
      </c>
      <c r="HK110" s="523">
        <f>SUM(HK106:HK109)</f>
        <v>7117.1209057572969</v>
      </c>
      <c r="HL110" s="523">
        <f>SUM(HL106:HL109)</f>
        <v>10301.863318253219</v>
      </c>
      <c r="HM110" s="524">
        <f>SUM(HI110:HL110)</f>
        <v>38175.582969260991</v>
      </c>
      <c r="HN110" s="524"/>
      <c r="HO110" s="524"/>
      <c r="HP110" s="606"/>
      <c r="HR110" s="606"/>
      <c r="HS110" s="606"/>
      <c r="HT110" s="606"/>
      <c r="HU110" s="606"/>
      <c r="HV110" s="606"/>
      <c r="HW110" s="606"/>
      <c r="HX110" s="606"/>
    </row>
    <row r="111" spans="1:232" s="539" customFormat="1">
      <c r="L111" s="523"/>
      <c r="M111" s="523"/>
      <c r="N111" s="523"/>
      <c r="O111" s="523"/>
      <c r="P111" s="524"/>
      <c r="Q111" s="523"/>
      <c r="R111" s="523"/>
      <c r="S111" s="523"/>
      <c r="T111" s="523"/>
      <c r="U111" s="524"/>
      <c r="V111" s="523"/>
      <c r="W111" s="523"/>
      <c r="X111" s="523"/>
      <c r="Y111" s="523"/>
      <c r="Z111" s="524"/>
      <c r="AA111" s="523"/>
      <c r="AB111" s="523"/>
      <c r="AC111" s="523"/>
      <c r="AD111" s="523"/>
      <c r="AE111" s="524"/>
      <c r="AF111" s="523"/>
      <c r="AG111" s="523"/>
      <c r="AH111" s="523"/>
      <c r="AI111" s="523"/>
      <c r="AJ111" s="524"/>
      <c r="AK111" s="523"/>
      <c r="AL111" s="523"/>
      <c r="AM111" s="523"/>
      <c r="AN111" s="523"/>
      <c r="AO111" s="524"/>
      <c r="AP111" s="523"/>
      <c r="AQ111" s="523"/>
      <c r="AR111" s="523"/>
      <c r="AS111" s="523"/>
      <c r="AT111" s="524"/>
      <c r="AU111" s="523"/>
      <c r="AV111" s="523"/>
      <c r="AW111" s="523"/>
      <c r="AX111" s="523"/>
      <c r="AY111" s="524"/>
      <c r="AZ111" s="523"/>
      <c r="BA111" s="523"/>
      <c r="BB111" s="523"/>
      <c r="BC111" s="523"/>
      <c r="BD111" s="524"/>
      <c r="BE111" s="523"/>
      <c r="BF111" s="523"/>
      <c r="BG111" s="523"/>
      <c r="BH111" s="523"/>
      <c r="BI111" s="524"/>
      <c r="BJ111" s="523"/>
      <c r="BK111" s="523"/>
      <c r="BL111" s="523"/>
      <c r="BM111" s="523"/>
      <c r="BN111" s="524"/>
      <c r="BO111" s="523"/>
      <c r="BP111" s="523"/>
      <c r="BQ111" s="523"/>
      <c r="BR111" s="523"/>
      <c r="BS111" s="524"/>
      <c r="BT111" s="523"/>
      <c r="BU111" s="523"/>
      <c r="BV111" s="523"/>
      <c r="BW111" s="523"/>
      <c r="BX111" s="524"/>
      <c r="BY111" s="523"/>
      <c r="BZ111" s="523"/>
      <c r="CA111" s="523"/>
      <c r="CB111" s="523"/>
      <c r="CC111" s="524"/>
      <c r="CD111" s="523"/>
      <c r="CE111" s="523"/>
      <c r="CF111" s="523"/>
      <c r="CG111" s="523"/>
      <c r="CH111" s="524"/>
      <c r="CM111" s="524"/>
      <c r="CR111" s="524"/>
      <c r="CW111" s="524"/>
      <c r="DB111" s="524"/>
      <c r="DG111" s="524"/>
      <c r="DL111" s="524"/>
      <c r="DQ111" s="524"/>
      <c r="DV111" s="524"/>
      <c r="EA111" s="524"/>
      <c r="EF111" s="524"/>
      <c r="EK111" s="541"/>
      <c r="EP111" s="541"/>
      <c r="EQ111" s="590"/>
      <c r="EU111" s="524"/>
      <c r="EV111" s="590"/>
      <c r="EZ111" s="524"/>
      <c r="FA111" s="523"/>
      <c r="FE111" s="524"/>
      <c r="FF111" s="590"/>
      <c r="FJ111" s="524">
        <f>+FJ110+FJ113</f>
        <v>276</v>
      </c>
      <c r="FK111" s="590"/>
      <c r="FO111" s="524">
        <f>+FO110+FO113</f>
        <v>777</v>
      </c>
      <c r="FP111" s="590"/>
      <c r="FT111" s="524">
        <f>+FT110+FT113</f>
        <v>3220</v>
      </c>
      <c r="FU111" s="590"/>
      <c r="FV111" s="590"/>
      <c r="FY111" s="524">
        <f>+FY110+FY113</f>
        <v>3115</v>
      </c>
      <c r="GD111" s="524">
        <f>+GD110+GD113</f>
        <v>1121</v>
      </c>
      <c r="GI111" s="524">
        <f>+GI110+GI113</f>
        <v>2405</v>
      </c>
      <c r="GN111" s="524">
        <f>+GN110+GN113</f>
        <v>6735</v>
      </c>
      <c r="GS111" s="524">
        <f>+GS110+GS113</f>
        <v>3901.3637299304164</v>
      </c>
      <c r="GT111" s="590"/>
      <c r="GX111" s="524">
        <f>+GX110+GX113</f>
        <v>4980.3038943751826</v>
      </c>
      <c r="GY111" s="590"/>
      <c r="HC111" s="524">
        <f>+HC110+HC113</f>
        <v>22075.749727076825</v>
      </c>
      <c r="HD111" s="590"/>
      <c r="HH111" s="524">
        <f>+HH110+HH113</f>
        <v>30914.821663853025</v>
      </c>
      <c r="HI111" s="590"/>
      <c r="HM111" s="524">
        <f>+HM110+HM113</f>
        <v>36575.582969260991</v>
      </c>
      <c r="HN111" s="524"/>
      <c r="HO111" s="524"/>
      <c r="HP111" s="606"/>
      <c r="HR111" s="606"/>
      <c r="HS111" s="606"/>
      <c r="HT111" s="606"/>
      <c r="HU111" s="606"/>
      <c r="HV111" s="606"/>
      <c r="HW111" s="606"/>
      <c r="HX111" s="606"/>
    </row>
    <row r="112" spans="1:232" s="539" customFormat="1">
      <c r="A112" s="539" t="s">
        <v>434</v>
      </c>
      <c r="L112" s="523"/>
      <c r="M112" s="523"/>
      <c r="N112" s="523"/>
      <c r="O112" s="523"/>
      <c r="P112" s="524"/>
      <c r="Q112" s="523"/>
      <c r="R112" s="523"/>
      <c r="S112" s="523"/>
      <c r="T112" s="523"/>
      <c r="U112" s="524"/>
      <c r="V112" s="523"/>
      <c r="W112" s="523"/>
      <c r="X112" s="523"/>
      <c r="Y112" s="523"/>
      <c r="Z112" s="524"/>
      <c r="AA112" s="523"/>
      <c r="AB112" s="523"/>
      <c r="AC112" s="523"/>
      <c r="AD112" s="523"/>
      <c r="AE112" s="524"/>
      <c r="AF112" s="334"/>
      <c r="AG112" s="334"/>
      <c r="AH112" s="334"/>
      <c r="AI112" s="334"/>
      <c r="AJ112" s="334"/>
      <c r="AK112" s="334"/>
      <c r="AL112" s="334"/>
      <c r="AM112" s="334"/>
      <c r="AN112" s="334"/>
      <c r="AO112" s="334"/>
      <c r="AP112" s="334"/>
      <c r="AQ112" s="334"/>
      <c r="AR112" s="334"/>
      <c r="AS112" s="334"/>
      <c r="AT112" s="334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34"/>
      <c r="BJ112" s="334"/>
      <c r="BK112" s="334"/>
      <c r="BL112" s="334"/>
      <c r="BM112" s="334"/>
      <c r="BN112" s="334"/>
      <c r="BO112" s="334"/>
      <c r="BP112" s="334"/>
      <c r="BQ112" s="334"/>
      <c r="BR112" s="334"/>
      <c r="BS112" s="334"/>
      <c r="BT112" s="334"/>
      <c r="BU112" s="334"/>
      <c r="BV112" s="334"/>
      <c r="BW112" s="334"/>
      <c r="BX112" s="334"/>
      <c r="BY112" s="334"/>
      <c r="BZ112" s="334"/>
      <c r="CA112" s="334"/>
      <c r="CB112" s="334"/>
      <c r="CC112" s="334"/>
      <c r="CD112" s="334"/>
      <c r="CE112" s="334"/>
      <c r="CF112" s="334"/>
      <c r="CG112" s="334"/>
      <c r="CH112" s="334"/>
      <c r="CI112" s="334"/>
      <c r="CJ112" s="334"/>
      <c r="CK112" s="334"/>
      <c r="CL112" s="334"/>
      <c r="CM112" s="334"/>
      <c r="CN112" s="334"/>
      <c r="CO112" s="334"/>
      <c r="CP112" s="334"/>
      <c r="CQ112" s="334"/>
      <c r="CR112" s="334"/>
      <c r="CS112" s="334"/>
      <c r="CT112" s="334"/>
      <c r="CU112" s="334"/>
      <c r="CV112" s="334"/>
      <c r="CW112" s="334"/>
      <c r="CX112" s="334"/>
      <c r="DB112" s="334"/>
      <c r="DC112" s="638"/>
      <c r="DG112" s="334"/>
      <c r="DH112" s="638"/>
      <c r="DL112" s="334"/>
      <c r="DM112" s="638"/>
      <c r="DQ112" s="334"/>
      <c r="DR112" s="638"/>
      <c r="DV112" s="334"/>
      <c r="DW112" s="638"/>
      <c r="EA112" s="334"/>
      <c r="EB112" s="638"/>
      <c r="EF112" s="334"/>
      <c r="EG112" s="638"/>
      <c r="EK112" s="334"/>
      <c r="EL112" s="638"/>
      <c r="EP112" s="639"/>
      <c r="EQ112" s="340"/>
      <c r="EU112" s="334"/>
      <c r="EV112" s="340"/>
      <c r="EZ112" s="334"/>
      <c r="FA112" s="340"/>
      <c r="FE112" s="334"/>
      <c r="FF112" s="340"/>
      <c r="FJ112" s="334"/>
      <c r="FK112" s="340"/>
      <c r="FO112" s="334"/>
      <c r="FP112" s="340"/>
      <c r="FT112" s="334"/>
      <c r="FU112" s="340"/>
      <c r="FV112" s="340"/>
      <c r="FY112" s="334"/>
      <c r="GD112" s="334"/>
      <c r="GI112" s="334"/>
      <c r="GN112" s="334"/>
      <c r="GS112" s="334"/>
      <c r="GT112" s="340"/>
      <c r="GX112" s="334"/>
      <c r="GY112" s="340"/>
      <c r="HC112" s="334"/>
      <c r="HD112" s="340"/>
      <c r="HH112" s="334"/>
      <c r="HI112" s="340"/>
      <c r="HM112" s="334"/>
      <c r="HN112" s="334"/>
      <c r="HO112" s="334"/>
      <c r="HP112" s="606"/>
      <c r="HR112" s="606"/>
      <c r="HS112" s="606"/>
      <c r="HT112" s="606"/>
      <c r="HU112" s="606"/>
      <c r="HV112" s="606"/>
      <c r="HW112" s="606"/>
      <c r="HX112" s="606"/>
    </row>
    <row r="113" spans="1:232" s="539" customFormat="1">
      <c r="A113" s="636" t="s">
        <v>435</v>
      </c>
      <c r="L113" s="523"/>
      <c r="M113" s="523"/>
      <c r="N113" s="523"/>
      <c r="O113" s="523"/>
      <c r="P113" s="524"/>
      <c r="Q113" s="523"/>
      <c r="R113" s="523"/>
      <c r="S113" s="523"/>
      <c r="T113" s="523"/>
      <c r="U113" s="524"/>
      <c r="V113" s="605"/>
      <c r="W113" s="605"/>
      <c r="X113" s="605"/>
      <c r="Y113" s="605"/>
      <c r="Z113" s="524"/>
      <c r="AA113" s="605"/>
      <c r="AB113" s="605"/>
      <c r="AC113" s="605"/>
      <c r="AD113" s="605"/>
      <c r="AE113" s="524"/>
      <c r="AF113" s="605">
        <f>-91.327</f>
        <v>-91.326999999999998</v>
      </c>
      <c r="AG113" s="605">
        <f>-162.912-AF113</f>
        <v>-71.585000000000008</v>
      </c>
      <c r="AH113" s="605">
        <f>-232.993-SUM(AF113:AG113)</f>
        <v>-70.080999999999989</v>
      </c>
      <c r="AI113" s="605">
        <f>-323.669-SUM(AF113:AH113)</f>
        <v>-90.675999999999988</v>
      </c>
      <c r="AJ113" s="524">
        <f>SUM(AF113:AI113)</f>
        <v>-323.66899999999998</v>
      </c>
      <c r="AK113" s="605">
        <v>-53.125999999999998</v>
      </c>
      <c r="AL113" s="605">
        <f>-140.053-AK113</f>
        <v>-86.926999999999992</v>
      </c>
      <c r="AM113" s="605">
        <f>-292.904-SUM(AK113:AL113)</f>
        <v>-152.851</v>
      </c>
      <c r="AN113" s="605">
        <f>-548.742-SUM(AK113:AM113)</f>
        <v>-255.83799999999997</v>
      </c>
      <c r="AO113" s="524">
        <f>SUM(AK113:AN113)</f>
        <v>-548.74199999999996</v>
      </c>
      <c r="AP113" s="605">
        <v>-195.99</v>
      </c>
      <c r="AQ113" s="605">
        <f>-322.814-AP113</f>
        <v>-126.82400000000001</v>
      </c>
      <c r="AR113" s="605">
        <f>-487.368-SUM(AP113:AQ113)</f>
        <v>-164.55399999999997</v>
      </c>
      <c r="AS113" s="605">
        <f>-620.815-SUM(AP113:AR113)</f>
        <v>-133.44700000000006</v>
      </c>
      <c r="AT113" s="524">
        <f>SUM(AP113:AS113)</f>
        <v>-620.81500000000005</v>
      </c>
      <c r="AU113" s="523">
        <f>-95.329</f>
        <v>-95.328999999999994</v>
      </c>
      <c r="AV113" s="539">
        <f>-205.647-AU113</f>
        <v>-110.318</v>
      </c>
      <c r="AW113" s="539">
        <f>-349.132-SUM(AU113:AV113)</f>
        <v>-143.48500000000001</v>
      </c>
      <c r="AX113" s="523">
        <f>-485.018-SUM(AU113:AW113)</f>
        <v>-135.88599999999997</v>
      </c>
      <c r="AY113" s="524">
        <f>SUM(AU113:AX113)</f>
        <v>-485.01799999999997</v>
      </c>
      <c r="AZ113" s="539">
        <f>-150.594</f>
        <v>-150.59399999999999</v>
      </c>
      <c r="BA113" s="539">
        <f>-310.89-AZ113</f>
        <v>-160.29599999999999</v>
      </c>
      <c r="BB113" s="539">
        <f>-468.375-SUM(AZ113:BA113)</f>
        <v>-157.48500000000001</v>
      </c>
      <c r="BC113" s="539">
        <f>-685.1-SUM(AZ113:BB113)</f>
        <v>-216.72500000000002</v>
      </c>
      <c r="BD113" s="524">
        <f>SUM(AZ113:BC113)</f>
        <v>-685.1</v>
      </c>
      <c r="BE113" s="539">
        <v>-181.23</v>
      </c>
      <c r="BF113" s="539">
        <f>-494.82-BE113</f>
        <v>-313.59000000000003</v>
      </c>
      <c r="BG113" s="539">
        <f>-816.113-SUM(BE113:BF113)</f>
        <v>-321.29300000000001</v>
      </c>
      <c r="BH113" s="539">
        <f>-996.17-SUM(BE113:BG113)</f>
        <v>-180.0569999999999</v>
      </c>
      <c r="BI113" s="524">
        <f>SUM(BE113:BH113)</f>
        <v>-996.17</v>
      </c>
      <c r="BJ113" s="605">
        <v>-199.79300000000001</v>
      </c>
      <c r="BK113" s="605">
        <f>-347.446-BJ113</f>
        <v>-147.65300000000002</v>
      </c>
      <c r="BL113" s="605">
        <f>-495.044-SUM(BJ113:BK113)</f>
        <v>-147.59799999999996</v>
      </c>
      <c r="BM113" s="605">
        <f>-619.772-SUM(BJ113:BL113)</f>
        <v>-124.72800000000007</v>
      </c>
      <c r="BN113" s="524">
        <f>SUM(BJ113:BM113)</f>
        <v>-619.77200000000005</v>
      </c>
      <c r="BO113" s="605">
        <f>-129.027</f>
        <v>-129.02699999999999</v>
      </c>
      <c r="BP113" s="605">
        <f>-289.893-BO113</f>
        <v>-160.86599999999999</v>
      </c>
      <c r="BQ113" s="605">
        <f>-577.177-SUM(BO113:BP113)</f>
        <v>-287.28400000000005</v>
      </c>
      <c r="BR113" s="605">
        <f>-805.474-SUM(BO113:BQ113)</f>
        <v>-228.29700000000003</v>
      </c>
      <c r="BS113" s="524">
        <f>SUM(BO113:BR113)</f>
        <v>-805.47400000000005</v>
      </c>
      <c r="BT113" s="605">
        <f>-162.713</f>
        <v>-162.71299999999999</v>
      </c>
      <c r="BU113" s="605">
        <f>-377.818-BT113</f>
        <v>-215.10499999999999</v>
      </c>
      <c r="BV113" s="605">
        <f>-541.891-SUM(BT113:BU113)</f>
        <v>-164.07299999999998</v>
      </c>
      <c r="BW113" s="605">
        <f>-678.865-SUM(BT113:BV113)</f>
        <v>-136.97400000000005</v>
      </c>
      <c r="BX113" s="524">
        <f>SUM(BT113:BW113)</f>
        <v>-678.86500000000001</v>
      </c>
      <c r="BY113" s="523">
        <v>-199.083</v>
      </c>
      <c r="BZ113" s="523">
        <f>-371.41-BY113</f>
        <v>-172.32700000000003</v>
      </c>
      <c r="CA113" s="523">
        <f>-567.182-SUM(BY113:BZ113)</f>
        <v>-195.77199999999999</v>
      </c>
      <c r="CB113" s="523">
        <f>-705.147-SUM(BY113:CA113)</f>
        <v>-137.96500000000003</v>
      </c>
      <c r="CC113" s="524">
        <f>SUM(BY113:CB113)</f>
        <v>-705.14700000000005</v>
      </c>
      <c r="CD113" s="523">
        <v>-180.49600000000001</v>
      </c>
      <c r="CE113" s="523">
        <f>-283.576-CD113</f>
        <v>-103.08000000000001</v>
      </c>
      <c r="CF113" s="523">
        <f>-407.535-SUM(CD113:CE113)</f>
        <v>-123.959</v>
      </c>
      <c r="CG113" s="523">
        <f>-570.316-SUM(CD113:CF113)</f>
        <v>-162.78100000000001</v>
      </c>
      <c r="CH113" s="524">
        <f>SUM(CD113:CG113)</f>
        <v>-570.31600000000003</v>
      </c>
      <c r="CI113" s="539">
        <v>-202.047</v>
      </c>
      <c r="CJ113" s="539">
        <f>-563.01-CI113</f>
        <v>-360.96299999999997</v>
      </c>
      <c r="CK113" s="539">
        <f>-969.758-SUM(CI113:CJ113)</f>
        <v>-406.74800000000005</v>
      </c>
      <c r="CL113" s="539">
        <f>-1440.137-SUM(CI113:CK113)</f>
        <v>-470.37899999999991</v>
      </c>
      <c r="CM113" s="524">
        <f>SUM(CI113:CL113)</f>
        <v>-1440.1369999999999</v>
      </c>
      <c r="CN113" s="539">
        <v>-518.47199999999998</v>
      </c>
      <c r="CO113" s="539">
        <f>-821.737-CN113</f>
        <v>-303.26499999999999</v>
      </c>
      <c r="CP113" s="539">
        <f>-1184.033-SUM(CN113:CO113)</f>
        <v>-362.29599999999994</v>
      </c>
      <c r="CQ113" s="539">
        <f>-1513.173-SUM(CN113:CP113)</f>
        <v>-329.1400000000001</v>
      </c>
      <c r="CR113" s="524">
        <f>SUM(CN113:CQ113)</f>
        <v>-1513.173</v>
      </c>
      <c r="CS113" s="539">
        <v>-310.32600000000002</v>
      </c>
      <c r="CT113" s="539">
        <f>-765.69-CS113</f>
        <v>-455.36400000000003</v>
      </c>
      <c r="CU113" s="539">
        <f>-1190.582-SUM(CS113:CT113)</f>
        <v>-424.89200000000005</v>
      </c>
      <c r="CV113" s="539">
        <v>-666</v>
      </c>
      <c r="CW113" s="524">
        <f>SUM(CS113:CV113)</f>
        <v>-1856.5820000000001</v>
      </c>
      <c r="CX113" s="539">
        <v>-586</v>
      </c>
      <c r="CY113" s="539">
        <f>-1000-CX113</f>
        <v>-414</v>
      </c>
      <c r="CZ113" s="539">
        <f>-1419-SUM(CX113:CY113)</f>
        <v>-419</v>
      </c>
      <c r="DA113" s="539">
        <f>-1685-SUM(CX113:CZ113)</f>
        <v>-266</v>
      </c>
      <c r="DB113" s="524">
        <f>SUM(CX113:DA113)</f>
        <v>-1685</v>
      </c>
      <c r="DC113" s="539">
        <v>-323</v>
      </c>
      <c r="DD113" s="539">
        <f>-429-DC113</f>
        <v>-106</v>
      </c>
      <c r="DE113" s="539">
        <f>-511-SUM(DC113:DD113)</f>
        <v>-82</v>
      </c>
      <c r="DF113" s="539">
        <f>-624-SUM(DC113:DE113)</f>
        <v>-113</v>
      </c>
      <c r="DG113" s="524">
        <f>SUM(DC113:DF113)</f>
        <v>-624</v>
      </c>
      <c r="DH113" s="539">
        <v>-84</v>
      </c>
      <c r="DI113" s="539">
        <f>-196-DH113</f>
        <v>-112</v>
      </c>
      <c r="DJ113" s="539">
        <f>-293-SUM(DH113:DI113)</f>
        <v>-97</v>
      </c>
      <c r="DK113" s="539">
        <v>-173</v>
      </c>
      <c r="DL113" s="524">
        <f>SUM(DH113:DK113)</f>
        <v>-466</v>
      </c>
      <c r="DM113" s="539">
        <v>-48</v>
      </c>
      <c r="DN113" s="539">
        <v>-31</v>
      </c>
      <c r="DO113" s="539">
        <v>-31</v>
      </c>
      <c r="DP113" s="539">
        <v>-38</v>
      </c>
      <c r="DQ113" s="524">
        <f>SUM(DM113:DP113)</f>
        <v>-148</v>
      </c>
      <c r="DR113" s="539">
        <v>-38</v>
      </c>
      <c r="DS113" s="539">
        <v>-67</v>
      </c>
      <c r="DT113" s="539">
        <f>-58</f>
        <v>-58</v>
      </c>
      <c r="DU113" s="539">
        <v>-87</v>
      </c>
      <c r="DV113" s="524">
        <f>SUM(DR113:DU113)</f>
        <v>-250</v>
      </c>
      <c r="DW113" s="539">
        <v>-40</v>
      </c>
      <c r="DX113" s="539">
        <v>-39</v>
      </c>
      <c r="DY113" s="539">
        <v>-32</v>
      </c>
      <c r="DZ113" s="539">
        <v>-22</v>
      </c>
      <c r="EA113" s="524">
        <f>SUM(DW113:DZ113)</f>
        <v>-133</v>
      </c>
      <c r="EB113" s="539">
        <v>-20</v>
      </c>
      <c r="EC113" s="539">
        <v>-28</v>
      </c>
      <c r="ED113" s="539">
        <f>-15</f>
        <v>-15</v>
      </c>
      <c r="EE113" s="539">
        <f>-21</f>
        <v>-21</v>
      </c>
      <c r="EF113" s="524">
        <f>SUM(EB113:EE113)</f>
        <v>-84</v>
      </c>
      <c r="EG113" s="539">
        <v>-21</v>
      </c>
      <c r="EH113" s="539">
        <v>-23</v>
      </c>
      <c r="EI113" s="539">
        <v>-29</v>
      </c>
      <c r="EJ113" s="539">
        <v>-22</v>
      </c>
      <c r="EK113" s="524">
        <f>SUM(EG113:EJ113)</f>
        <v>-95</v>
      </c>
      <c r="EL113" s="539">
        <v>-22</v>
      </c>
      <c r="EM113" s="539">
        <v>-17</v>
      </c>
      <c r="EN113" s="539">
        <v>-25</v>
      </c>
      <c r="EO113" s="539">
        <v>-32</v>
      </c>
      <c r="EP113" s="524">
        <f>SUM(EL113:EO113)</f>
        <v>-96</v>
      </c>
      <c r="EQ113" s="539">
        <v>-26</v>
      </c>
      <c r="ER113" s="539">
        <v>-21</v>
      </c>
      <c r="ES113" s="539">
        <v>-9</v>
      </c>
      <c r="ET113" s="539">
        <v>-21</v>
      </c>
      <c r="EU113" s="524">
        <f>SUM(EQ113:ET113)</f>
        <v>-77</v>
      </c>
      <c r="EV113" s="539">
        <v>-23</v>
      </c>
      <c r="EW113" s="539">
        <v>-12</v>
      </c>
      <c r="EX113" s="539">
        <v>-34</v>
      </c>
      <c r="EY113" s="539">
        <v>-44</v>
      </c>
      <c r="EZ113" s="524">
        <f>SUM(EV113:EY113)</f>
        <v>-113</v>
      </c>
      <c r="FA113" s="539">
        <v>-46</v>
      </c>
      <c r="FB113" s="539">
        <f>-89-FA113</f>
        <v>-43</v>
      </c>
      <c r="FC113" s="539">
        <v>-33</v>
      </c>
      <c r="FD113" s="539">
        <f>-163-FC113-FB113-FA113</f>
        <v>-41</v>
      </c>
      <c r="FE113" s="524">
        <f>SUM(FA113:FD113)</f>
        <v>-163</v>
      </c>
      <c r="FF113" s="539">
        <v>-62</v>
      </c>
      <c r="FG113" s="539">
        <f>-120-FF113</f>
        <v>-58</v>
      </c>
      <c r="FH113" s="539">
        <f>-175-FG113-FF113</f>
        <v>-55</v>
      </c>
      <c r="FI113" s="539">
        <f>-217-FH113-FG113-FF113</f>
        <v>-42</v>
      </c>
      <c r="FJ113" s="524">
        <f>SUM(FF113:FI113)</f>
        <v>-217</v>
      </c>
      <c r="FK113" s="539">
        <v>-55</v>
      </c>
      <c r="FL113" s="539">
        <f>-146-FK113</f>
        <v>-91</v>
      </c>
      <c r="FM113" s="539">
        <f>-220-FL113-FK113</f>
        <v>-74</v>
      </c>
      <c r="FN113" s="539">
        <v>-74</v>
      </c>
      <c r="FO113" s="524">
        <f>SUM(FK113:FN113)</f>
        <v>-294</v>
      </c>
      <c r="FP113" s="539">
        <v>-66</v>
      </c>
      <c r="FQ113" s="539">
        <v>-64</v>
      </c>
      <c r="FR113" s="539">
        <f>-215-FQ113-FP113</f>
        <v>-85</v>
      </c>
      <c r="FS113" s="539">
        <f>-301-FR113-FQ113-FP113</f>
        <v>-86</v>
      </c>
      <c r="FT113" s="524">
        <f>SUM(FP113:FS113)</f>
        <v>-301</v>
      </c>
      <c r="FU113" s="539">
        <v>-71</v>
      </c>
      <c r="FV113" s="539">
        <v>-132</v>
      </c>
      <c r="FW113" s="539">
        <v>-123</v>
      </c>
      <c r="FX113" s="539">
        <v>-124</v>
      </c>
      <c r="FY113" s="524">
        <f>SUM(FU113:FX113)</f>
        <v>-450</v>
      </c>
      <c r="FZ113" s="539">
        <v>-158</v>
      </c>
      <c r="GA113" s="539">
        <v>-125</v>
      </c>
      <c r="GB113" s="539">
        <v>-124</v>
      </c>
      <c r="GC113" s="539">
        <v>-139</v>
      </c>
      <c r="GD113" s="524">
        <f>SUM(FZ113:GC113)</f>
        <v>-546</v>
      </c>
      <c r="GE113" s="539">
        <v>-142</v>
      </c>
      <c r="GF113" s="539">
        <v>-154</v>
      </c>
      <c r="GG113" s="539">
        <v>-132</v>
      </c>
      <c r="GH113" s="539">
        <v>-208</v>
      </c>
      <c r="GI113" s="524">
        <f>SUM(GE113:GH113)</f>
        <v>-636</v>
      </c>
      <c r="GJ113" s="539">
        <v>-212</v>
      </c>
      <c r="GK113" s="539">
        <v>-282</v>
      </c>
      <c r="GL113" s="539">
        <v>-258</v>
      </c>
      <c r="GM113" s="539">
        <v>-222</v>
      </c>
      <c r="GN113" s="524">
        <f>SUM(GJ113:GM113)</f>
        <v>-974</v>
      </c>
      <c r="GO113" s="539">
        <v>-389</v>
      </c>
      <c r="GP113" s="548">
        <f t="shared" ref="GP113:GR114" si="147">GO113</f>
        <v>-389</v>
      </c>
      <c r="GQ113" s="548">
        <f t="shared" si="147"/>
        <v>-389</v>
      </c>
      <c r="GR113" s="548">
        <f t="shared" si="147"/>
        <v>-389</v>
      </c>
      <c r="GS113" s="524">
        <f>SUM(GO113:GR113)</f>
        <v>-1556</v>
      </c>
      <c r="GT113" s="548">
        <v>-400</v>
      </c>
      <c r="GU113" s="548">
        <f t="shared" ref="GU113:GW114" si="148">GT113</f>
        <v>-400</v>
      </c>
      <c r="GV113" s="548">
        <f t="shared" si="148"/>
        <v>-400</v>
      </c>
      <c r="GW113" s="548">
        <f t="shared" si="148"/>
        <v>-400</v>
      </c>
      <c r="GX113" s="524">
        <f>SUM(GT113:GW113)</f>
        <v>-1600</v>
      </c>
      <c r="GY113" s="548">
        <v>-400</v>
      </c>
      <c r="GZ113" s="548">
        <f t="shared" ref="GZ113:HB114" si="149">GY113</f>
        <v>-400</v>
      </c>
      <c r="HA113" s="548">
        <f t="shared" si="149"/>
        <v>-400</v>
      </c>
      <c r="HB113" s="548">
        <f t="shared" si="149"/>
        <v>-400</v>
      </c>
      <c r="HC113" s="524">
        <f>SUM(GY113:HB113)</f>
        <v>-1600</v>
      </c>
      <c r="HD113" s="548">
        <v>-400</v>
      </c>
      <c r="HE113" s="548">
        <f t="shared" ref="HE113:HG114" si="150">HD113</f>
        <v>-400</v>
      </c>
      <c r="HF113" s="548">
        <f t="shared" si="150"/>
        <v>-400</v>
      </c>
      <c r="HG113" s="548">
        <f t="shared" si="150"/>
        <v>-400</v>
      </c>
      <c r="HH113" s="524">
        <f>SUM(HD113:HG113)</f>
        <v>-1600</v>
      </c>
      <c r="HI113" s="548">
        <v>-400</v>
      </c>
      <c r="HJ113" s="548">
        <f t="shared" ref="HJ113:HL114" si="151">HI113</f>
        <v>-400</v>
      </c>
      <c r="HK113" s="548">
        <f t="shared" si="151"/>
        <v>-400</v>
      </c>
      <c r="HL113" s="548">
        <f t="shared" si="151"/>
        <v>-400</v>
      </c>
      <c r="HM113" s="524">
        <f>SUM(HI113:HL113)</f>
        <v>-1600</v>
      </c>
      <c r="HN113" s="524"/>
      <c r="HO113" s="524"/>
      <c r="HP113" s="606"/>
      <c r="HR113" s="606"/>
      <c r="HS113" s="606"/>
      <c r="HT113" s="606"/>
      <c r="HU113" s="606"/>
      <c r="HV113" s="606"/>
      <c r="HW113" s="606"/>
      <c r="HX113" s="606"/>
    </row>
    <row r="114" spans="1:232" s="539" customFormat="1">
      <c r="A114" s="539" t="s">
        <v>273</v>
      </c>
      <c r="L114" s="523"/>
      <c r="M114" s="523"/>
      <c r="N114" s="523"/>
      <c r="O114" s="523"/>
      <c r="P114" s="524"/>
      <c r="Q114" s="523"/>
      <c r="R114" s="523"/>
      <c r="S114" s="523"/>
      <c r="T114" s="523"/>
      <c r="U114" s="524"/>
      <c r="V114" s="605"/>
      <c r="W114" s="605"/>
      <c r="X114" s="605"/>
      <c r="Y114" s="605"/>
      <c r="Z114" s="524"/>
      <c r="AA114" s="605"/>
      <c r="AB114" s="605"/>
      <c r="AC114" s="605"/>
      <c r="AD114" s="605"/>
      <c r="AE114" s="524"/>
      <c r="AF114" s="605">
        <f>0.183-228.206+224.226</f>
        <v>-3.796999999999997</v>
      </c>
      <c r="AG114" s="605">
        <f>3.991-414.807+326.339-1.846-AF114</f>
        <v>-82.526000000000039</v>
      </c>
      <c r="AH114" s="605">
        <f>4.454-620.489+492.009-3.16-SUM(AF114:AG114)</f>
        <v>-40.863000000000028</v>
      </c>
      <c r="AI114" s="605">
        <f>4.648-715.487+566.773-SUM(AF114:AH114)</f>
        <v>-16.879999999999853</v>
      </c>
      <c r="AJ114" s="524">
        <f>SUM(AF114:AI114)</f>
        <v>-144.06599999999992</v>
      </c>
      <c r="AK114" s="523">
        <f>0.241-161.968+131.461</f>
        <v>-30.265999999999963</v>
      </c>
      <c r="AL114" s="523">
        <f>1.101-349.157+284.871-39.245-AK114</f>
        <v>-72.164000000000044</v>
      </c>
      <c r="AM114" s="523">
        <f>1.244-546.269+585.646-75.186-SUM(AK114:AL114)</f>
        <v>67.864999999999981</v>
      </c>
      <c r="AN114" s="523">
        <f>2.058-1245.167+1416.431-139.175-SUM(AK114:AM114)</f>
        <v>68.712000000000131</v>
      </c>
      <c r="AO114" s="524">
        <f>SUM(AK114:AN114)</f>
        <v>34.147000000000105</v>
      </c>
      <c r="AP114" s="523">
        <f>0.583-230.488+162.151-18.019</f>
        <v>-85.772999999999996</v>
      </c>
      <c r="AQ114" s="523">
        <f>1.4-358.019+326.644-18.019-AP114</f>
        <v>37.778999999999975</v>
      </c>
      <c r="AR114" s="523">
        <f>3.046-566.619+508.635+4-18.019-SUM(AP114:AQ114)</f>
        <v>-20.962999999999973</v>
      </c>
      <c r="AS114" s="523">
        <f>4.834-678.071+603.772-648.012+642.229-18.019-SUM(AP114:AR114)</f>
        <v>-24.309999999999945</v>
      </c>
      <c r="AT114" s="524">
        <f>SUM(AP114:AS114)</f>
        <v>-93.266999999999939</v>
      </c>
      <c r="AU114" s="523">
        <f>0.802-236.331+322.128</f>
        <v>86.59899999999999</v>
      </c>
      <c r="AV114" s="539">
        <f>1.248-351.631+574.799-AU114</f>
        <v>137.81700000000001</v>
      </c>
      <c r="AW114" s="523">
        <f>2.278-518.317+692.741-SUM(AU114:AV114)</f>
        <v>-47.713999999999999</v>
      </c>
      <c r="AX114" s="539">
        <f>2.489-633.476+840.492-SUM(AU114:AW114)</f>
        <v>32.802999999999997</v>
      </c>
      <c r="AY114" s="524">
        <f>SUM(AU114:AX114)</f>
        <v>209.505</v>
      </c>
      <c r="AZ114" s="539">
        <f>0.13-308.326+138.892-0.128</f>
        <v>-169.43200000000002</v>
      </c>
      <c r="BA114" s="539">
        <f>0.567-407.098+258.746-0.128-AZ114</f>
        <v>21.519000000000005</v>
      </c>
      <c r="BB114" s="523">
        <f>22.698-442.416+398.255-0.128-SUM(AZ114:BA114)</f>
        <v>126.32199999999999</v>
      </c>
      <c r="BC114" s="539">
        <f>43.596-537.147+545.478-0.128-SUM(AZ114:BB114)</f>
        <v>73.38999999999993</v>
      </c>
      <c r="BD114" s="524">
        <f>SUM(AZ114:BC114)</f>
        <v>51.798999999999907</v>
      </c>
      <c r="BE114" s="539">
        <f>5.707-248.361+359.184</f>
        <v>116.53000000000003</v>
      </c>
      <c r="BF114" s="539">
        <f>6.482-951.087+645.535-BE114</f>
        <v>-415.60000000000008</v>
      </c>
      <c r="BG114" s="539">
        <f>13.825-1211.146+991.339-SUM(BE114:BF114)</f>
        <v>93.088000000000193</v>
      </c>
      <c r="BH114" s="539">
        <f>106.968-1591.802+1482.89-SUM(BE114:BG114)</f>
        <v>204.03800000000012</v>
      </c>
      <c r="BI114" s="524">
        <f>SUM(BE114:BH114)</f>
        <v>-1.9439999999997326</v>
      </c>
      <c r="BJ114" s="523">
        <f>2.786-496.774+511.39</f>
        <v>17.401999999999987</v>
      </c>
      <c r="BK114" s="523">
        <f>454.269+2.915-1041.084+935.686-BJ114</f>
        <v>334.38399999999996</v>
      </c>
      <c r="BL114" s="523">
        <f>454.269+3.342-1274.591+1315.617-SUM(BJ114:BK114)</f>
        <v>146.85100000000011</v>
      </c>
      <c r="BM114" s="523">
        <f>454.269+3.996-1579.813+1598.946-SUM(BJ114:BL114)</f>
        <v>-21.239000000000374</v>
      </c>
      <c r="BN114" s="524">
        <f>SUM(BJ114:BM114)</f>
        <v>477.39799999999968</v>
      </c>
      <c r="BO114" s="523">
        <f>9.049-729.799+495.666</f>
        <v>-225.084</v>
      </c>
      <c r="BP114" s="523">
        <f>9.66-1562.628+1497.207-BO114</f>
        <v>169.32300000000026</v>
      </c>
      <c r="BQ114" s="523">
        <f>375+12.243-2709.408+2359.185-SUM(BO114:BP114)</f>
        <v>92.780999999999722</v>
      </c>
      <c r="BR114" s="523">
        <f>375+12.899-4179.993+3781.766-SUM(BO114:BQ114)</f>
        <v>-47.348000000000411</v>
      </c>
      <c r="BS114" s="524">
        <f>SUM(BO114:BR114)</f>
        <v>-10.328000000000429</v>
      </c>
      <c r="BT114" s="523">
        <f>0.299-743.835+886.956</f>
        <v>143.41999999999996</v>
      </c>
      <c r="BU114" s="523">
        <f>0.367-2190.266+2205.171-122.356-BT114</f>
        <v>-250.50400000000002</v>
      </c>
      <c r="BV114" s="523">
        <f>1.715-3149.9+3346.085-122.356-SUM(BT114:BU114)</f>
        <v>182.62800000000016</v>
      </c>
      <c r="BW114" s="523">
        <f>1.737-4130.769+4376.732-122.356-SUM(BT114:BV114)</f>
        <v>49.799999999999727</v>
      </c>
      <c r="BX114" s="524">
        <f>SUM(BT114:BW114)</f>
        <v>125.34399999999982</v>
      </c>
      <c r="BY114" s="523">
        <f>-26.509-1934.438+1390.761</f>
        <v>-570.18600000000015</v>
      </c>
      <c r="BZ114" s="523">
        <f>2.24-26.509-2729.547+2611.547-BY114</f>
        <v>427.91700000000037</v>
      </c>
      <c r="CA114" s="523">
        <f>5.162-26.509-3294.538+3437.269-SUM(BY114:BZ114)</f>
        <v>263.65299999999934</v>
      </c>
      <c r="CB114" s="523">
        <f>8.618-26.509-4465.252+4333.901-SUM(BY114:CA114)</f>
        <v>-270.62599999999975</v>
      </c>
      <c r="CC114" s="524">
        <f>SUM(BY114:CB114)</f>
        <v>-149.24200000000019</v>
      </c>
      <c r="CD114" s="523">
        <f>2.071-643.439+882.284</f>
        <v>240.91600000000005</v>
      </c>
      <c r="CE114" s="523">
        <f>2.458-6.265-867.115+1440.862-CD114</f>
        <v>329.024</v>
      </c>
      <c r="CF114" s="523">
        <f>147.616+26.67-6.265-970.391+1500.46-SUM(CD114:CE114)</f>
        <v>128.15000000000009</v>
      </c>
      <c r="CG114" s="523">
        <f>147.616+29.939-6.265-1029.884+1512.093-SUM(CD114:CF114)</f>
        <v>-44.591000000000122</v>
      </c>
      <c r="CH114" s="524">
        <f>SUM(CD114:CG114)</f>
        <v>653.49900000000002</v>
      </c>
      <c r="CI114" s="539">
        <f>6.058-29.935+18.197</f>
        <v>-5.68</v>
      </c>
      <c r="CJ114" s="539">
        <f>7.217-172.586+68.575-CI114</f>
        <v>-91.114000000000004</v>
      </c>
      <c r="CK114" s="539">
        <f>24.347-197.187+130.807-SUM(CI114:CJ114)</f>
        <v>54.760999999999996</v>
      </c>
      <c r="CL114" s="539">
        <f>34.183-377.087+227.257-SUM(CI114:CK114)</f>
        <v>-73.613999999999976</v>
      </c>
      <c r="CM114" s="524">
        <f>SUM(CI114:CL114)</f>
        <v>-115.64699999999999</v>
      </c>
      <c r="CN114" s="539">
        <f>0.216-233.406+87.675-5.625</f>
        <v>-151.13999999999999</v>
      </c>
      <c r="CO114" s="539">
        <f>5.789-541.688+309.939-9.125-CN114</f>
        <v>-83.944999999999993</v>
      </c>
      <c r="CP114" s="539">
        <f>7.132-819.729+560.771-9.125-SUM(CN114:CO114)</f>
        <v>-25.866000000000156</v>
      </c>
      <c r="CQ114" s="539">
        <f>9.679+260.717-1561.8+836.152-133.075-158.957-9.125-SUM(CN114:CP114)</f>
        <v>-495.45799999999986</v>
      </c>
      <c r="CR114" s="524">
        <f>SUM(CN114:CQ114)</f>
        <v>-756.40899999999999</v>
      </c>
      <c r="CS114" s="539">
        <f>2.291+15-1028.223+394.053+1.858</f>
        <v>-615.02099999999996</v>
      </c>
      <c r="CT114" s="539">
        <f>3.285+21.564-1870.277+1028.333+175+1.858-CS114</f>
        <v>-25.216000000000122</v>
      </c>
      <c r="CU114" s="539">
        <f>4.423+21.564-1941.727+1971.658+175+1.858-SUM(CS114:CT114)</f>
        <v>873.01299999999992</v>
      </c>
      <c r="CV114" s="539">
        <f>23+22+278-3893-2119+3066+175+2-SUM(CS114:CU114)</f>
        <v>-2678.7759999999998</v>
      </c>
      <c r="CW114" s="524">
        <f>SUM(CS114:CV114)</f>
        <v>-2446</v>
      </c>
      <c r="CX114" s="539">
        <f>1+13-62+46-4</f>
        <v>-6</v>
      </c>
      <c r="CY114" s="539">
        <f>1+13-362+233-3-CX114</f>
        <v>-112</v>
      </c>
      <c r="CZ114" s="539">
        <f>42+157-406+255+22-SUM(CX114:CY114)</f>
        <v>188</v>
      </c>
      <c r="DA114" s="539">
        <f>73+157-545+307+18-SUM(CX114:CZ114)</f>
        <v>-60</v>
      </c>
      <c r="DB114" s="524">
        <f>SUM(CX114:DA114)</f>
        <v>10</v>
      </c>
      <c r="DC114" s="539">
        <f>53-95+184-17</f>
        <v>125</v>
      </c>
      <c r="DD114" s="539">
        <f>343-125+289-95-14-DC114</f>
        <v>273</v>
      </c>
      <c r="DE114" s="539">
        <f>343-200+379-95+6-SUM(DC114:DD114)</f>
        <v>35</v>
      </c>
      <c r="DF114" s="539">
        <f>343+416+127-200-95+6-SUM(DC114:DE114)</f>
        <v>164</v>
      </c>
      <c r="DG114" s="524">
        <f>SUM(DC114:DF114)</f>
        <v>597</v>
      </c>
      <c r="DH114" s="539">
        <f>-160+58+3+1+3</f>
        <v>-95</v>
      </c>
      <c r="DI114" s="539">
        <f>-439+1+58+75+5-DH114</f>
        <v>-205</v>
      </c>
      <c r="DJ114" s="539">
        <f>-689+1+58+203+4-SUM(DH114:DI114)</f>
        <v>-123</v>
      </c>
      <c r="DK114" s="539">
        <v>-196</v>
      </c>
      <c r="DL114" s="524">
        <f>SUM(DH114:DK114)</f>
        <v>-619</v>
      </c>
      <c r="DM114" s="539">
        <f>-503-904+1+239</f>
        <v>-1167</v>
      </c>
      <c r="DN114" s="539">
        <f>-165+670+25+17</f>
        <v>547</v>
      </c>
      <c r="DO114" s="539">
        <f>-647+315+36+6</f>
        <v>-290</v>
      </c>
      <c r="DP114" s="539">
        <f>-485+424-4</f>
        <v>-65</v>
      </c>
      <c r="DQ114" s="524">
        <f>SUM(DM114:DP114)</f>
        <v>-975</v>
      </c>
      <c r="DR114" s="539">
        <f>-393+434-17</f>
        <v>24</v>
      </c>
      <c r="DS114" s="539">
        <f>-559+396</f>
        <v>-163</v>
      </c>
      <c r="DT114" s="539">
        <f>16-509+585</f>
        <v>92</v>
      </c>
      <c r="DU114" s="539">
        <f>-125+311-2</f>
        <v>184</v>
      </c>
      <c r="DV114" s="524">
        <f>SUM(DR114:DU114)</f>
        <v>137</v>
      </c>
      <c r="DW114" s="539">
        <f>-281+1-95+620-5</f>
        <v>240</v>
      </c>
      <c r="DX114" s="539">
        <f>-453+230-1+49</f>
        <v>-175</v>
      </c>
      <c r="DY114" s="539">
        <f>-201+241-18</f>
        <v>22</v>
      </c>
      <c r="DZ114" s="539">
        <f>-195+257+14</f>
        <v>76</v>
      </c>
      <c r="EA114" s="524">
        <f>SUM(DW114:DZ114)</f>
        <v>163</v>
      </c>
      <c r="EB114" s="539">
        <f>178-361+250</f>
        <v>67</v>
      </c>
      <c r="EC114" s="539">
        <f>3-392+343</f>
        <v>-46</v>
      </c>
      <c r="ED114" s="539">
        <f>-232+376+57</f>
        <v>201</v>
      </c>
      <c r="EE114" s="539">
        <f>-58+375</f>
        <v>317</v>
      </c>
      <c r="EF114" s="524">
        <f>SUM(EB114:EE114)</f>
        <v>539</v>
      </c>
      <c r="EG114" s="539">
        <f>-310+200</f>
        <v>-110</v>
      </c>
      <c r="EH114" s="539">
        <f>-308+288</f>
        <v>-20</v>
      </c>
      <c r="EI114" s="539">
        <f>-28+176</f>
        <v>148</v>
      </c>
      <c r="EJ114" s="539">
        <f>-144+209</f>
        <v>65</v>
      </c>
      <c r="EK114" s="524">
        <f>SUM(EG114:EJ114)</f>
        <v>83</v>
      </c>
      <c r="EL114" s="539">
        <f>-223+230</f>
        <v>7</v>
      </c>
      <c r="EM114" s="539">
        <f>-4+232</f>
        <v>228</v>
      </c>
      <c r="EN114" s="539">
        <v>8</v>
      </c>
      <c r="EO114" s="539">
        <v>0</v>
      </c>
      <c r="EP114" s="524">
        <f>SUM(EL114:EO114)</f>
        <v>243</v>
      </c>
      <c r="EQ114" s="539">
        <v>0</v>
      </c>
      <c r="ER114" s="539">
        <f>351-1</f>
        <v>350</v>
      </c>
      <c r="ES114" s="539">
        <f>-5+4</f>
        <v>-1</v>
      </c>
      <c r="ET114" s="539">
        <f>-4-1</f>
        <v>-5</v>
      </c>
      <c r="EU114" s="524">
        <f>SUM(EQ114:ET114)</f>
        <v>344</v>
      </c>
      <c r="EV114" s="539">
        <f>-221-2</f>
        <v>-223</v>
      </c>
      <c r="EW114" s="539">
        <f>137-1</f>
        <v>136</v>
      </c>
      <c r="EX114" s="539">
        <v>85</v>
      </c>
      <c r="EY114" s="539">
        <f>1+1-1</f>
        <v>1</v>
      </c>
      <c r="EZ114" s="524">
        <f>SUM(EV114:EY114)</f>
        <v>-1</v>
      </c>
      <c r="FA114" s="539">
        <v>0</v>
      </c>
      <c r="FB114" s="539">
        <v>-35</v>
      </c>
      <c r="FC114" s="539">
        <f>-45+35-FB114-FA114</f>
        <v>25</v>
      </c>
      <c r="FD114" s="539">
        <f>-123+45+71-FC114-FB114-FA114</f>
        <v>3</v>
      </c>
      <c r="FE114" s="524">
        <f>SUM(FA114:FD114)</f>
        <v>-7</v>
      </c>
      <c r="FF114" s="539">
        <f>-231+93+25+2</f>
        <v>-111</v>
      </c>
      <c r="FG114" s="539">
        <f>-231+144+25+2-FF114</f>
        <v>51</v>
      </c>
      <c r="FH114" s="539">
        <f>-284+309+25+2-FG114-FF114</f>
        <v>112</v>
      </c>
      <c r="FI114" s="539">
        <f>+-284+325+25+2-FH114-FG114-FF114</f>
        <v>16</v>
      </c>
      <c r="FJ114" s="524">
        <f>SUM(FF114:FI114)</f>
        <v>68</v>
      </c>
      <c r="FK114" s="539">
        <v>-18</v>
      </c>
      <c r="FL114" s="539">
        <f>-55+92-FK114</f>
        <v>55</v>
      </c>
      <c r="FM114" s="539">
        <f>-530+92-FL114-FK114</f>
        <v>-475</v>
      </c>
      <c r="FN114" s="539">
        <v>-181</v>
      </c>
      <c r="FO114" s="524">
        <f>SUM(FK114:FN114)</f>
        <v>-619</v>
      </c>
      <c r="FP114" s="539">
        <f>-858+200+2</f>
        <v>-656</v>
      </c>
      <c r="FQ114" s="548">
        <v>183</v>
      </c>
      <c r="FR114" s="539">
        <f>-1901+1428+2-FQ114-FP114</f>
        <v>2</v>
      </c>
      <c r="FS114" s="539">
        <f>-2056+1678-7-FR114-FQ114-FP114</f>
        <v>86</v>
      </c>
      <c r="FT114" s="524">
        <f>SUM(FP114:FS114)</f>
        <v>-385</v>
      </c>
      <c r="FU114" s="539">
        <v>3229</v>
      </c>
      <c r="FV114" s="539">
        <f>-928-FV113</f>
        <v>-796</v>
      </c>
      <c r="FW114" s="539">
        <f>-1298-FW113</f>
        <v>-1175</v>
      </c>
      <c r="FX114" s="539">
        <f>1067-FX113</f>
        <v>1191</v>
      </c>
      <c r="FY114" s="524">
        <f>SUM(FU114:FX114)</f>
        <v>2449</v>
      </c>
      <c r="FZ114" s="539">
        <f>-1237-FZ113</f>
        <v>-1079</v>
      </c>
      <c r="GA114" s="539">
        <f>-438-GA113</f>
        <v>-313</v>
      </c>
      <c r="GB114" s="539">
        <f>102-GB113</f>
        <v>226</v>
      </c>
      <c r="GC114" s="539">
        <f>150-GC113</f>
        <v>289</v>
      </c>
      <c r="GD114" s="524">
        <f>SUM(FZ114:GC114)</f>
        <v>-877</v>
      </c>
      <c r="GE114" s="539">
        <f>-135-GE113</f>
        <v>7</v>
      </c>
      <c r="GF114" s="539">
        <f>386-GF113</f>
        <v>540</v>
      </c>
      <c r="GG114" s="539">
        <f>-138-GG113</f>
        <v>-6</v>
      </c>
      <c r="GH114" s="539">
        <f>-1214-GH113</f>
        <v>-1006</v>
      </c>
      <c r="GI114" s="524">
        <f>SUM(GE114:GH114)</f>
        <v>-465</v>
      </c>
      <c r="GJ114" s="539">
        <f>-304+365+33-239</f>
        <v>-145</v>
      </c>
      <c r="GK114" s="539">
        <f>-492+318+15-119-1716-22</f>
        <v>-2016</v>
      </c>
      <c r="GL114" s="539">
        <f>-1314+299+18-74-8</f>
        <v>-1079</v>
      </c>
      <c r="GM114" s="539">
        <f>-3360+783+14-44-70+10+1356-8</f>
        <v>-1319</v>
      </c>
      <c r="GN114" s="524">
        <f>SUM(GJ114:GM114)</f>
        <v>-4559</v>
      </c>
      <c r="GO114" s="539">
        <f>-2545+652+126-409</f>
        <v>-2176</v>
      </c>
      <c r="GP114" s="548">
        <v>0</v>
      </c>
      <c r="GQ114" s="548">
        <f t="shared" si="147"/>
        <v>0</v>
      </c>
      <c r="GR114" s="548">
        <f t="shared" si="147"/>
        <v>0</v>
      </c>
      <c r="GS114" s="524">
        <f>SUM(GO114:GR114)</f>
        <v>-2176</v>
      </c>
      <c r="GT114" s="548">
        <v>0</v>
      </c>
      <c r="GU114" s="548">
        <f t="shared" si="148"/>
        <v>0</v>
      </c>
      <c r="GV114" s="548">
        <f t="shared" si="148"/>
        <v>0</v>
      </c>
      <c r="GW114" s="548">
        <f t="shared" si="148"/>
        <v>0</v>
      </c>
      <c r="GX114" s="524">
        <f>SUM(GT114:GW114)</f>
        <v>0</v>
      </c>
      <c r="GY114" s="548">
        <v>0</v>
      </c>
      <c r="GZ114" s="548">
        <f t="shared" si="149"/>
        <v>0</v>
      </c>
      <c r="HA114" s="548">
        <f t="shared" si="149"/>
        <v>0</v>
      </c>
      <c r="HB114" s="548">
        <f t="shared" si="149"/>
        <v>0</v>
      </c>
      <c r="HC114" s="524">
        <f>SUM(GY114:HB114)</f>
        <v>0</v>
      </c>
      <c r="HD114" s="548">
        <v>0</v>
      </c>
      <c r="HE114" s="548">
        <f t="shared" si="150"/>
        <v>0</v>
      </c>
      <c r="HF114" s="548">
        <f t="shared" si="150"/>
        <v>0</v>
      </c>
      <c r="HG114" s="548">
        <f t="shared" si="150"/>
        <v>0</v>
      </c>
      <c r="HH114" s="524">
        <f>SUM(HD114:HG114)</f>
        <v>0</v>
      </c>
      <c r="HI114" s="548">
        <v>0</v>
      </c>
      <c r="HJ114" s="548">
        <f t="shared" si="151"/>
        <v>0</v>
      </c>
      <c r="HK114" s="548">
        <f t="shared" si="151"/>
        <v>0</v>
      </c>
      <c r="HL114" s="548">
        <f t="shared" si="151"/>
        <v>0</v>
      </c>
      <c r="HM114" s="524">
        <f>SUM(HI114:HL114)</f>
        <v>0</v>
      </c>
      <c r="HN114" s="524"/>
      <c r="HO114" s="524"/>
      <c r="HP114" s="606"/>
      <c r="HR114" s="606"/>
      <c r="HS114" s="606"/>
      <c r="HT114" s="606"/>
      <c r="HU114" s="606"/>
      <c r="HV114" s="606"/>
      <c r="HW114" s="606"/>
      <c r="HX114" s="606"/>
    </row>
    <row r="115" spans="1:232" s="539" customFormat="1">
      <c r="A115" s="539" t="s">
        <v>436</v>
      </c>
      <c r="L115" s="523"/>
      <c r="M115" s="523"/>
      <c r="N115" s="523"/>
      <c r="O115" s="523"/>
      <c r="P115" s="524"/>
      <c r="Q115" s="523"/>
      <c r="R115" s="523"/>
      <c r="S115" s="523"/>
      <c r="T115" s="523"/>
      <c r="U115" s="524"/>
      <c r="V115" s="523"/>
      <c r="W115" s="523"/>
      <c r="X115" s="523"/>
      <c r="Y115" s="523"/>
      <c r="Z115" s="524"/>
      <c r="AA115" s="523"/>
      <c r="AB115" s="523"/>
      <c r="AC115" s="523"/>
      <c r="AD115" s="523"/>
      <c r="AE115" s="524"/>
      <c r="AF115" s="523">
        <f>SUM(AF113:AF114)</f>
        <v>-95.123999999999995</v>
      </c>
      <c r="AG115" s="523">
        <f>SUM(AG113:AG114)</f>
        <v>-154.11100000000005</v>
      </c>
      <c r="AH115" s="523">
        <f>SUM(AH113:AH114)</f>
        <v>-110.94400000000002</v>
      </c>
      <c r="AI115" s="523">
        <f>SUM(AI113:AI114)</f>
        <v>-107.55599999999984</v>
      </c>
      <c r="AJ115" s="524">
        <f>SUM(AF115:AI115)</f>
        <v>-467.7349999999999</v>
      </c>
      <c r="AK115" s="523">
        <f>SUM(AK113:AK114)</f>
        <v>-83.391999999999967</v>
      </c>
      <c r="AL115" s="523">
        <f>SUM(AL113:AL114)</f>
        <v>-159.09100000000004</v>
      </c>
      <c r="AM115" s="523">
        <f>SUM(AM113:AM114)</f>
        <v>-84.986000000000018</v>
      </c>
      <c r="AN115" s="523">
        <f>SUM(AN113:AN114)</f>
        <v>-187.12599999999983</v>
      </c>
      <c r="AO115" s="524">
        <f>SUM(AK115:AN115)</f>
        <v>-514.59499999999991</v>
      </c>
      <c r="AP115" s="523">
        <f>SUM(AP113:AP114)</f>
        <v>-281.76300000000003</v>
      </c>
      <c r="AQ115" s="523">
        <f>SUM(AQ113:AQ114)</f>
        <v>-89.045000000000044</v>
      </c>
      <c r="AR115" s="523">
        <f>SUM(AR113:AR114)</f>
        <v>-185.51699999999994</v>
      </c>
      <c r="AS115" s="523">
        <f>SUM(AS113:AS114)</f>
        <v>-157.75700000000001</v>
      </c>
      <c r="AT115" s="524">
        <f>SUM(AP115:AS115)</f>
        <v>-714.08200000000011</v>
      </c>
      <c r="AU115" s="523">
        <f>SUM(AU113:AU114)</f>
        <v>-8.730000000000004</v>
      </c>
      <c r="AV115" s="523">
        <f>SUM(AV113:AV114)</f>
        <v>27.499000000000009</v>
      </c>
      <c r="AW115" s="523">
        <f>SUM(AW113:AW114)</f>
        <v>-191.19900000000001</v>
      </c>
      <c r="AX115" s="523">
        <f>SUM(AX113:AX114)</f>
        <v>-103.08299999999997</v>
      </c>
      <c r="AY115" s="524">
        <f>SUM(AU115:AX115)</f>
        <v>-275.51299999999998</v>
      </c>
      <c r="AZ115" s="523">
        <f>SUM(AZ113:AZ114)</f>
        <v>-320.02600000000001</v>
      </c>
      <c r="BA115" s="523">
        <f>SUM(BA113:BA114)</f>
        <v>-138.77699999999999</v>
      </c>
      <c r="BB115" s="523">
        <f>SUM(BB113:BB114)</f>
        <v>-31.163000000000025</v>
      </c>
      <c r="BC115" s="523">
        <f>SUM(BC113:BC114)</f>
        <v>-143.33500000000009</v>
      </c>
      <c r="BD115" s="524">
        <f>SUM(AZ115:BC115)</f>
        <v>-633.30100000000016</v>
      </c>
      <c r="BE115" s="523">
        <f>SUM(BE113:BE114)</f>
        <v>-64.69999999999996</v>
      </c>
      <c r="BF115" s="523">
        <f>SUM(BF113:BF114)</f>
        <v>-729.19</v>
      </c>
      <c r="BG115" s="523">
        <f>SUM(BG113:BG114)</f>
        <v>-228.20499999999981</v>
      </c>
      <c r="BH115" s="523">
        <f>SUM(BH113:BH114)</f>
        <v>23.981000000000222</v>
      </c>
      <c r="BI115" s="524">
        <f>SUM(BE115:BH115)</f>
        <v>-998.11399999999958</v>
      </c>
      <c r="BJ115" s="523">
        <f>SUM(BJ113:BJ114)</f>
        <v>-182.39100000000002</v>
      </c>
      <c r="BK115" s="523">
        <f>SUM(BK113:BK114)</f>
        <v>186.73099999999994</v>
      </c>
      <c r="BL115" s="523">
        <f>SUM(BL113:BL114)</f>
        <v>-0.74699999999984357</v>
      </c>
      <c r="BM115" s="523">
        <f>SUM(BM113:BM114)</f>
        <v>-145.96700000000044</v>
      </c>
      <c r="BN115" s="524">
        <f>SUM(BJ115:BM115)</f>
        <v>-142.37400000000036</v>
      </c>
      <c r="BO115" s="523">
        <f>SUM(BO113:BO114)</f>
        <v>-354.11099999999999</v>
      </c>
      <c r="BP115" s="523">
        <f>SUM(BP113:BP114)</f>
        <v>8.4570000000002779</v>
      </c>
      <c r="BQ115" s="523">
        <f>SUM(BQ113:BQ114)</f>
        <v>-194.50300000000033</v>
      </c>
      <c r="BR115" s="523">
        <f>SUM(BR113:BR114)</f>
        <v>-275.64500000000044</v>
      </c>
      <c r="BS115" s="524">
        <f>SUM(BO115:BR115)</f>
        <v>-815.80200000000048</v>
      </c>
      <c r="BT115" s="523">
        <f>SUM(BT113:BT114)</f>
        <v>-19.293000000000035</v>
      </c>
      <c r="BU115" s="523">
        <f>SUM(BU113:BU114)</f>
        <v>-465.60900000000004</v>
      </c>
      <c r="BV115" s="523">
        <f>SUM(BV113:BV114)</f>
        <v>18.555000000000177</v>
      </c>
      <c r="BW115" s="523">
        <f>SUM(BW113:BW114)</f>
        <v>-87.174000000000319</v>
      </c>
      <c r="BX115" s="524">
        <f>SUM(BT115:BW115)</f>
        <v>-553.52100000000019</v>
      </c>
      <c r="BY115" s="523">
        <f>SUM(BY113:BY114)</f>
        <v>-769.26900000000012</v>
      </c>
      <c r="BZ115" s="523">
        <f>SUM(BZ113:BZ114)</f>
        <v>255.59000000000034</v>
      </c>
      <c r="CA115" s="523">
        <f>SUM(CA113:CA114)</f>
        <v>67.880999999999347</v>
      </c>
      <c r="CB115" s="523">
        <f>SUM(CB113:CB114)</f>
        <v>-408.59099999999978</v>
      </c>
      <c r="CC115" s="524">
        <f>SUM(BY115:CB115)</f>
        <v>-854.38900000000012</v>
      </c>
      <c r="CD115" s="523">
        <f>SUM(CD113:CD114)</f>
        <v>60.420000000000044</v>
      </c>
      <c r="CE115" s="523">
        <f>SUM(CE113:CE114)</f>
        <v>225.94399999999999</v>
      </c>
      <c r="CF115" s="523">
        <f>SUM(CF113:CF114)</f>
        <v>4.1910000000000878</v>
      </c>
      <c r="CG115" s="523">
        <f>SUM(CG113:CG114)</f>
        <v>-207.37200000000013</v>
      </c>
      <c r="CH115" s="524">
        <f>SUM(CD115:CG115)</f>
        <v>83.182999999999993</v>
      </c>
      <c r="CI115" s="523">
        <f>SUM(CI113:CI114)</f>
        <v>-207.727</v>
      </c>
      <c r="CJ115" s="523">
        <f>SUM(CJ113:CJ114)</f>
        <v>-452.077</v>
      </c>
      <c r="CK115" s="523">
        <f>SUM(CK113:CK114)</f>
        <v>-351.98700000000008</v>
      </c>
      <c r="CL115" s="523">
        <f>SUM(CL113:CL114)</f>
        <v>-543.99299999999994</v>
      </c>
      <c r="CM115" s="524">
        <f>SUM(CI115:CL115)</f>
        <v>-1555.7840000000001</v>
      </c>
      <c r="CN115" s="523">
        <f>SUM(CN113:CN114)</f>
        <v>-669.61199999999997</v>
      </c>
      <c r="CO115" s="523">
        <f>SUM(CO113:CO114)</f>
        <v>-387.21</v>
      </c>
      <c r="CP115" s="523">
        <f>SUM(CP113:CP114)</f>
        <v>-388.16200000000009</v>
      </c>
      <c r="CQ115" s="523">
        <f>SUM(CQ113:CQ114)</f>
        <v>-824.59799999999996</v>
      </c>
      <c r="CR115" s="637">
        <f>SUM(CN115:CQ115)</f>
        <v>-2269.5819999999999</v>
      </c>
      <c r="CS115" s="523">
        <f>SUM(CS113:CS114)</f>
        <v>-925.34699999999998</v>
      </c>
      <c r="CT115" s="523">
        <f>SUM(CT113:CT114)</f>
        <v>-480.58000000000015</v>
      </c>
      <c r="CU115" s="523">
        <f>SUM(CU113:CU114)</f>
        <v>448.12099999999987</v>
      </c>
      <c r="CV115" s="523">
        <f>SUM(CV113:CV114)</f>
        <v>-3344.7759999999998</v>
      </c>
      <c r="CW115" s="524">
        <f>SUM(CS115:CV115)</f>
        <v>-4302.5820000000003</v>
      </c>
      <c r="CX115" s="523">
        <f>SUM(CX113:CX114)</f>
        <v>-592</v>
      </c>
      <c r="CY115" s="523">
        <f>SUM(CY113:CY114)</f>
        <v>-526</v>
      </c>
      <c r="CZ115" s="523">
        <f>SUM(CZ113:CZ114)</f>
        <v>-231</v>
      </c>
      <c r="DA115" s="523">
        <f>SUM(DA113:DA114)</f>
        <v>-326</v>
      </c>
      <c r="DB115" s="524">
        <f>SUM(CX115:DA115)</f>
        <v>-1675</v>
      </c>
      <c r="DC115" s="523">
        <f>SUM(DC113:DC114)</f>
        <v>-198</v>
      </c>
      <c r="DD115" s="523">
        <f>SUM(DD113:DD114)</f>
        <v>167</v>
      </c>
      <c r="DE115" s="523">
        <f>SUM(DE113:DE114)</f>
        <v>-47</v>
      </c>
      <c r="DF115" s="523">
        <f>SUM(DF113:DF114)</f>
        <v>51</v>
      </c>
      <c r="DG115" s="524">
        <f>SUM(DC115:DF115)</f>
        <v>-27</v>
      </c>
      <c r="DH115" s="523">
        <f>SUM(DH113:DH114)</f>
        <v>-179</v>
      </c>
      <c r="DI115" s="523">
        <f>SUM(DI113:DI114)</f>
        <v>-317</v>
      </c>
      <c r="DJ115" s="523">
        <f>SUM(DJ113:DJ114)</f>
        <v>-220</v>
      </c>
      <c r="DK115" s="523">
        <f>SUM(DK113:DK114)</f>
        <v>-369</v>
      </c>
      <c r="DL115" s="524">
        <f>SUM(DH115:DK115)</f>
        <v>-1085</v>
      </c>
      <c r="DM115" s="523">
        <f>SUM(DM113:DM114)</f>
        <v>-1215</v>
      </c>
      <c r="DN115" s="523">
        <f>SUM(DN113:DN114)</f>
        <v>516</v>
      </c>
      <c r="DO115" s="523">
        <f>SUM(DO113:DO114)</f>
        <v>-321</v>
      </c>
      <c r="DP115" s="523">
        <f>SUM(DP113:DP114)</f>
        <v>-103</v>
      </c>
      <c r="DQ115" s="524">
        <f>SUM(DM115:DP115)</f>
        <v>-1123</v>
      </c>
      <c r="DR115" s="523">
        <f>SUM(DR113:DR114)</f>
        <v>-14</v>
      </c>
      <c r="DS115" s="523">
        <f>SUM(DS113:DS114)</f>
        <v>-230</v>
      </c>
      <c r="DT115" s="523">
        <f>SUM(DT113:DT114)</f>
        <v>34</v>
      </c>
      <c r="DU115" s="523">
        <f>SUM(DU113:DU114)</f>
        <v>97</v>
      </c>
      <c r="DV115" s="524">
        <f>SUM(DR115:DU115)</f>
        <v>-113</v>
      </c>
      <c r="DW115" s="523">
        <f>SUM(DW113:DW114)</f>
        <v>200</v>
      </c>
      <c r="DX115" s="523">
        <f>SUM(DX113:DX114)</f>
        <v>-214</v>
      </c>
      <c r="DY115" s="523">
        <f>SUM(DY113:DY114)</f>
        <v>-10</v>
      </c>
      <c r="DZ115" s="523">
        <f>SUM(DZ113:DZ114)</f>
        <v>54</v>
      </c>
      <c r="EA115" s="524">
        <f>SUM(DW115:DZ115)</f>
        <v>30</v>
      </c>
      <c r="EB115" s="523">
        <f>SUM(EB113:EB114)</f>
        <v>47</v>
      </c>
      <c r="EC115" s="523">
        <f>SUM(EC113:EC114)</f>
        <v>-74</v>
      </c>
      <c r="ED115" s="523">
        <f>SUM(ED113:ED114)</f>
        <v>186</v>
      </c>
      <c r="EE115" s="523">
        <f>SUM(EE113:EE114)</f>
        <v>296</v>
      </c>
      <c r="EF115" s="524">
        <f>SUM(EB115:EE115)</f>
        <v>455</v>
      </c>
      <c r="EG115" s="523">
        <f>SUM(EG113:EG114)</f>
        <v>-131</v>
      </c>
      <c r="EH115" s="523">
        <f>SUM(EH113:EH114)</f>
        <v>-43</v>
      </c>
      <c r="EI115" s="523">
        <f>SUM(EI113:EI114)</f>
        <v>119</v>
      </c>
      <c r="EJ115" s="523">
        <f>SUM(EJ113:EJ114)</f>
        <v>43</v>
      </c>
      <c r="EK115" s="524">
        <f>SUM(EG115:EJ115)</f>
        <v>-12</v>
      </c>
      <c r="EL115" s="523">
        <f>SUM(EL113:EL114)</f>
        <v>-15</v>
      </c>
      <c r="EM115" s="523">
        <f>SUM(EM113:EM114)</f>
        <v>211</v>
      </c>
      <c r="EN115" s="523">
        <f>SUM(EN113:EN114)</f>
        <v>-17</v>
      </c>
      <c r="EO115" s="523">
        <f>SUM(EO113:EO114)</f>
        <v>-32</v>
      </c>
      <c r="EP115" s="524">
        <f>SUM(EL115:EO115)</f>
        <v>147</v>
      </c>
      <c r="EQ115" s="523">
        <f>SUM(EQ113:EQ114)</f>
        <v>-26</v>
      </c>
      <c r="ER115" s="523">
        <f>SUM(ER113:ER114)</f>
        <v>329</v>
      </c>
      <c r="ES115" s="523">
        <f>SUM(ES113:ES114)</f>
        <v>-10</v>
      </c>
      <c r="ET115" s="523">
        <f>SUM(ET113:ET114)</f>
        <v>-26</v>
      </c>
      <c r="EU115" s="524">
        <f>SUM(EQ115:ET115)</f>
        <v>267</v>
      </c>
      <c r="EV115" s="523">
        <f>SUM(EV113:EV114)</f>
        <v>-246</v>
      </c>
      <c r="EW115" s="523">
        <f>SUM(EW113:EW114)</f>
        <v>124</v>
      </c>
      <c r="EX115" s="523">
        <f>SUM(EX113:EX114)</f>
        <v>51</v>
      </c>
      <c r="EY115" s="523">
        <f>SUM(EY113:EY114)</f>
        <v>-43</v>
      </c>
      <c r="EZ115" s="524">
        <f>SUM(EV115:EY115)</f>
        <v>-114</v>
      </c>
      <c r="FA115" s="523">
        <f>SUM(FA113:FA114)</f>
        <v>-46</v>
      </c>
      <c r="FB115" s="523">
        <f>SUM(FB113:FB114)</f>
        <v>-78</v>
      </c>
      <c r="FC115" s="523">
        <f>SUM(FC113:FC114)</f>
        <v>-8</v>
      </c>
      <c r="FD115" s="523">
        <f>SUM(FD113:FD114)</f>
        <v>-38</v>
      </c>
      <c r="FE115" s="524">
        <f>SUM(FA115:FD115)</f>
        <v>-170</v>
      </c>
      <c r="FF115" s="523">
        <f>SUM(FF113:FF114)</f>
        <v>-173</v>
      </c>
      <c r="FG115" s="523">
        <f>SUM(FG113:FG114)</f>
        <v>-7</v>
      </c>
      <c r="FH115" s="523">
        <f>SUM(FH113:FH114)</f>
        <v>57</v>
      </c>
      <c r="FI115" s="523">
        <f>SUM(FI113:FI114)</f>
        <v>-26</v>
      </c>
      <c r="FJ115" s="524">
        <f>SUM(FF115:FI115)</f>
        <v>-149</v>
      </c>
      <c r="FK115" s="523">
        <f>SUM(FK113:FK114)</f>
        <v>-73</v>
      </c>
      <c r="FL115" s="523">
        <f>SUM(FL113:FL114)</f>
        <v>-36</v>
      </c>
      <c r="FM115" s="523">
        <f>SUM(FM113:FM114)</f>
        <v>-549</v>
      </c>
      <c r="FN115" s="523">
        <f>SUM(FN113:FN114)</f>
        <v>-255</v>
      </c>
      <c r="FO115" s="524">
        <f>SUM(FK115:FN115)</f>
        <v>-913</v>
      </c>
      <c r="FP115" s="523">
        <f>SUM(FP113:FP114)</f>
        <v>-722</v>
      </c>
      <c r="FQ115" s="523">
        <f>SUM(FQ113:FQ114)</f>
        <v>119</v>
      </c>
      <c r="FR115" s="523">
        <f>SUM(FR113:FR114)</f>
        <v>-83</v>
      </c>
      <c r="FS115" s="523">
        <f>SUM(FS113:FS114)</f>
        <v>0</v>
      </c>
      <c r="FT115" s="524">
        <f>SUM(FP115:FS115)</f>
        <v>-686</v>
      </c>
      <c r="FU115" s="523">
        <f>SUM(FU113:FU114)</f>
        <v>3158</v>
      </c>
      <c r="FV115" s="523">
        <f>SUM(FV113:FV114)</f>
        <v>-928</v>
      </c>
      <c r="FW115" s="523">
        <f>SUM(FW113:FW114)</f>
        <v>-1298</v>
      </c>
      <c r="FX115" s="523">
        <f>SUM(FX113:FX114)</f>
        <v>1067</v>
      </c>
      <c r="FY115" s="524">
        <f>SUM(FU115:FX115)</f>
        <v>1999</v>
      </c>
      <c r="FZ115" s="523">
        <f>SUM(FZ113:FZ114)</f>
        <v>-1237</v>
      </c>
      <c r="GA115" s="523">
        <f>SUM(GA113:GA114)</f>
        <v>-438</v>
      </c>
      <c r="GB115" s="523">
        <f>SUM(GB113:GB114)</f>
        <v>102</v>
      </c>
      <c r="GC115" s="523">
        <f>SUM(GC113:GC114)</f>
        <v>150</v>
      </c>
      <c r="GD115" s="524">
        <f>SUM(FZ115:GC115)</f>
        <v>-1423</v>
      </c>
      <c r="GE115" s="523">
        <f>SUM(GE113:GE114)</f>
        <v>-135</v>
      </c>
      <c r="GF115" s="523">
        <f>SUM(GF113:GF114)</f>
        <v>386</v>
      </c>
      <c r="GG115" s="523">
        <f>SUM(GG113:GG114)</f>
        <v>-138</v>
      </c>
      <c r="GH115" s="523">
        <f>SUM(GH113:GH114)</f>
        <v>-1214</v>
      </c>
      <c r="GI115" s="524">
        <f>SUM(GE115:GH115)</f>
        <v>-1101</v>
      </c>
      <c r="GJ115" s="523">
        <f>SUM(GJ113:GJ114)</f>
        <v>-357</v>
      </c>
      <c r="GK115" s="523">
        <f>SUM(GK113:GK114)</f>
        <v>-2298</v>
      </c>
      <c r="GL115" s="523">
        <f>SUM(GL113:GL114)</f>
        <v>-1337</v>
      </c>
      <c r="GM115" s="523">
        <f>SUM(GM113:GM114)</f>
        <v>-1541</v>
      </c>
      <c r="GN115" s="524">
        <f>SUM(GJ115:GM115)</f>
        <v>-5533</v>
      </c>
      <c r="GO115" s="523">
        <f>SUM(GO113:GO114)</f>
        <v>-2565</v>
      </c>
      <c r="GP115" s="523">
        <f>SUM(GP113:GP114)</f>
        <v>-389</v>
      </c>
      <c r="GQ115" s="523">
        <f>SUM(GQ113:GQ114)</f>
        <v>-389</v>
      </c>
      <c r="GR115" s="523">
        <f>SUM(GR113:GR114)</f>
        <v>-389</v>
      </c>
      <c r="GS115" s="524">
        <f>SUM(GO115:GR115)</f>
        <v>-3732</v>
      </c>
      <c r="GT115" s="523">
        <f>SUM(GT113:GT114)</f>
        <v>-400</v>
      </c>
      <c r="GU115" s="523">
        <f>SUM(GU113:GU114)</f>
        <v>-400</v>
      </c>
      <c r="GV115" s="523">
        <f>SUM(GV113:GV114)</f>
        <v>-400</v>
      </c>
      <c r="GW115" s="523">
        <f>SUM(GW113:GW114)</f>
        <v>-400</v>
      </c>
      <c r="GX115" s="524">
        <f>SUM(GT115:GW115)</f>
        <v>-1600</v>
      </c>
      <c r="GY115" s="523">
        <f>SUM(GY113:GY114)</f>
        <v>-400</v>
      </c>
      <c r="GZ115" s="523">
        <f>SUM(GZ113:GZ114)</f>
        <v>-400</v>
      </c>
      <c r="HA115" s="523">
        <f>SUM(HA113:HA114)</f>
        <v>-400</v>
      </c>
      <c r="HB115" s="523">
        <f>SUM(HB113:HB114)</f>
        <v>-400</v>
      </c>
      <c r="HC115" s="524">
        <f>SUM(GY115:HB115)</f>
        <v>-1600</v>
      </c>
      <c r="HD115" s="523">
        <f>SUM(HD113:HD114)</f>
        <v>-400</v>
      </c>
      <c r="HE115" s="523">
        <f>SUM(HE113:HE114)</f>
        <v>-400</v>
      </c>
      <c r="HF115" s="523">
        <f>SUM(HF113:HF114)</f>
        <v>-400</v>
      </c>
      <c r="HG115" s="523">
        <f>SUM(HG113:HG114)</f>
        <v>-400</v>
      </c>
      <c r="HH115" s="524">
        <f>SUM(HD115:HG115)</f>
        <v>-1600</v>
      </c>
      <c r="HI115" s="523">
        <f>SUM(HI113:HI114)</f>
        <v>-400</v>
      </c>
      <c r="HJ115" s="523">
        <f>SUM(HJ113:HJ114)</f>
        <v>-400</v>
      </c>
      <c r="HK115" s="523">
        <f>SUM(HK113:HK114)</f>
        <v>-400</v>
      </c>
      <c r="HL115" s="523">
        <f>SUM(HL113:HL114)</f>
        <v>-400</v>
      </c>
      <c r="HM115" s="524">
        <f>SUM(HI115:HL115)</f>
        <v>-1600</v>
      </c>
      <c r="HN115" s="524"/>
      <c r="HO115" s="524"/>
      <c r="HP115" s="606"/>
      <c r="HR115" s="606"/>
      <c r="HS115" s="606"/>
      <c r="HT115" s="606"/>
      <c r="HU115" s="606"/>
      <c r="HV115" s="606"/>
      <c r="HW115" s="606"/>
      <c r="HX115" s="606"/>
    </row>
    <row r="116" spans="1:232" s="539" customFormat="1">
      <c r="L116" s="523"/>
      <c r="M116" s="523"/>
      <c r="N116" s="523"/>
      <c r="O116" s="523"/>
      <c r="P116" s="524"/>
      <c r="Q116" s="523"/>
      <c r="R116" s="523"/>
      <c r="S116" s="523"/>
      <c r="T116" s="523"/>
      <c r="U116" s="524"/>
      <c r="V116" s="523"/>
      <c r="W116" s="523"/>
      <c r="X116" s="523"/>
      <c r="Y116" s="523"/>
      <c r="Z116" s="524"/>
      <c r="AA116" s="523"/>
      <c r="AB116" s="523"/>
      <c r="AC116" s="523"/>
      <c r="AD116" s="523"/>
      <c r="AE116" s="524"/>
      <c r="AF116" s="523"/>
      <c r="AG116" s="523"/>
      <c r="AH116" s="523"/>
      <c r="AI116" s="523"/>
      <c r="AJ116" s="524"/>
      <c r="AK116" s="523"/>
      <c r="AL116" s="523"/>
      <c r="AM116" s="523"/>
      <c r="AN116" s="523"/>
      <c r="AO116" s="524"/>
      <c r="AP116" s="523"/>
      <c r="AQ116" s="523"/>
      <c r="AR116" s="523"/>
      <c r="AS116" s="523"/>
      <c r="AT116" s="524"/>
      <c r="AU116" s="523"/>
      <c r="AV116" s="523"/>
      <c r="AW116" s="523"/>
      <c r="AX116" s="523"/>
      <c r="AY116" s="524"/>
      <c r="AZ116" s="523"/>
      <c r="BA116" s="523"/>
      <c r="BB116" s="523"/>
      <c r="BC116" s="523"/>
      <c r="BD116" s="524"/>
      <c r="BE116" s="523"/>
      <c r="BF116" s="523"/>
      <c r="BG116" s="523"/>
      <c r="BH116" s="523"/>
      <c r="BI116" s="524"/>
      <c r="BJ116" s="523"/>
      <c r="BK116" s="523"/>
      <c r="BL116" s="523"/>
      <c r="BM116" s="523"/>
      <c r="BN116" s="524"/>
      <c r="BO116" s="523"/>
      <c r="BP116" s="523"/>
      <c r="BQ116" s="523"/>
      <c r="BR116" s="523"/>
      <c r="BS116" s="524"/>
      <c r="BT116" s="523"/>
      <c r="BU116" s="523"/>
      <c r="BV116" s="523"/>
      <c r="BW116" s="523"/>
      <c r="BX116" s="524"/>
      <c r="BY116" s="523"/>
      <c r="BZ116" s="523"/>
      <c r="CA116" s="523"/>
      <c r="CB116" s="523"/>
      <c r="CC116" s="524"/>
      <c r="CD116" s="523"/>
      <c r="CE116" s="523"/>
      <c r="CF116" s="523"/>
      <c r="CG116" s="523"/>
      <c r="CH116" s="524"/>
      <c r="CM116" s="524"/>
      <c r="CR116" s="524"/>
      <c r="CW116" s="524"/>
      <c r="DB116" s="524"/>
      <c r="DG116" s="524"/>
      <c r="DL116" s="524"/>
      <c r="DQ116" s="524"/>
      <c r="DV116" s="524"/>
      <c r="EA116" s="524"/>
      <c r="EF116" s="524"/>
      <c r="EK116" s="524"/>
      <c r="EP116" s="524"/>
      <c r="EU116" s="524"/>
      <c r="EZ116" s="524"/>
      <c r="FE116" s="524"/>
      <c r="FJ116" s="524"/>
      <c r="FO116" s="524"/>
      <c r="FT116" s="524"/>
      <c r="FU116" s="539">
        <f>3158-FU115</f>
        <v>0</v>
      </c>
      <c r="FV116" s="539">
        <f>-928-FV115</f>
        <v>0</v>
      </c>
      <c r="HO116" s="524"/>
      <c r="HP116" s="606"/>
      <c r="HR116" s="606"/>
      <c r="HS116" s="606"/>
      <c r="HT116" s="606"/>
      <c r="HU116" s="606"/>
      <c r="HV116" s="606"/>
      <c r="HW116" s="606"/>
      <c r="HX116" s="606"/>
    </row>
    <row r="117" spans="1:232" s="539" customFormat="1">
      <c r="A117" s="539" t="s">
        <v>437</v>
      </c>
      <c r="L117" s="523"/>
      <c r="M117" s="523"/>
      <c r="N117" s="523"/>
      <c r="O117" s="523"/>
      <c r="P117" s="524"/>
      <c r="Q117" s="523"/>
      <c r="R117" s="523"/>
      <c r="S117" s="523"/>
      <c r="T117" s="523"/>
      <c r="U117" s="524"/>
      <c r="V117" s="523"/>
      <c r="W117" s="523"/>
      <c r="X117" s="523"/>
      <c r="Y117" s="523"/>
      <c r="Z117" s="524"/>
      <c r="AA117" s="523"/>
      <c r="AB117" s="523"/>
      <c r="AC117" s="523"/>
      <c r="AD117" s="523"/>
      <c r="AE117" s="524"/>
      <c r="AF117" s="523"/>
      <c r="AG117" s="523"/>
      <c r="AH117" s="523"/>
      <c r="AI117" s="523"/>
      <c r="AJ117" s="524"/>
      <c r="AK117" s="523"/>
      <c r="AL117" s="523"/>
      <c r="AM117" s="523"/>
      <c r="AN117" s="523"/>
      <c r="AO117" s="524"/>
      <c r="AP117" s="523"/>
      <c r="AQ117" s="523"/>
      <c r="AR117" s="523"/>
      <c r="AS117" s="523"/>
      <c r="AT117" s="524"/>
      <c r="AU117" s="523"/>
      <c r="AV117" s="523"/>
      <c r="AW117" s="523"/>
      <c r="AX117" s="523"/>
      <c r="AY117" s="524"/>
      <c r="AZ117" s="523"/>
      <c r="BA117" s="523"/>
      <c r="BB117" s="523"/>
      <c r="BC117" s="523"/>
      <c r="BD117" s="524"/>
      <c r="BE117" s="523"/>
      <c r="BF117" s="523"/>
      <c r="BG117" s="523"/>
      <c r="BH117" s="523"/>
      <c r="BI117" s="524"/>
      <c r="BJ117" s="523"/>
      <c r="BK117" s="523"/>
      <c r="BL117" s="523"/>
      <c r="BM117" s="523"/>
      <c r="BN117" s="524"/>
      <c r="BO117" s="523"/>
      <c r="BP117" s="523"/>
      <c r="BQ117" s="523"/>
      <c r="BR117" s="523"/>
      <c r="BS117" s="524"/>
      <c r="BT117" s="523"/>
      <c r="BU117" s="523"/>
      <c r="BV117" s="523"/>
      <c r="BW117" s="523"/>
      <c r="BX117" s="524"/>
      <c r="BY117" s="523"/>
      <c r="BZ117" s="523"/>
      <c r="CA117" s="523"/>
      <c r="CB117" s="523"/>
      <c r="CC117" s="524"/>
      <c r="CD117" s="523"/>
      <c r="CE117" s="523"/>
      <c r="CF117" s="523"/>
      <c r="CG117" s="523"/>
      <c r="CH117" s="524"/>
      <c r="CM117" s="524"/>
      <c r="CR117" s="524"/>
      <c r="CW117" s="524"/>
      <c r="DB117" s="524"/>
      <c r="DG117" s="524"/>
      <c r="DL117" s="524"/>
      <c r="DQ117" s="524"/>
      <c r="DV117" s="524"/>
      <c r="EA117" s="524"/>
      <c r="EF117" s="524"/>
      <c r="EK117" s="524"/>
      <c r="EP117" s="524"/>
      <c r="EU117" s="524"/>
      <c r="EZ117" s="524"/>
      <c r="FE117" s="524"/>
      <c r="FJ117" s="524"/>
      <c r="FO117" s="524"/>
      <c r="FT117" s="524"/>
      <c r="FY117" s="335"/>
      <c r="GA117" s="348"/>
      <c r="GB117" s="348"/>
      <c r="GC117" s="348"/>
      <c r="GD117" s="335"/>
      <c r="GE117" s="348"/>
      <c r="GF117" s="348"/>
      <c r="GG117" s="348"/>
      <c r="GH117" s="348"/>
      <c r="GI117" s="335"/>
      <c r="GJ117" s="348"/>
      <c r="GK117" s="348"/>
      <c r="GL117" s="348"/>
      <c r="GM117" s="348"/>
      <c r="GN117" s="335"/>
      <c r="GO117" s="348"/>
      <c r="GP117" s="348"/>
      <c r="GQ117" s="348"/>
      <c r="GR117" s="348"/>
      <c r="GS117" s="335"/>
      <c r="GT117" s="348"/>
      <c r="GU117" s="348"/>
      <c r="GV117" s="348"/>
      <c r="GW117" s="348"/>
      <c r="GX117" s="335"/>
      <c r="GY117" s="348"/>
      <c r="GZ117" s="348"/>
      <c r="HA117" s="348"/>
      <c r="HB117" s="348"/>
      <c r="HC117" s="335"/>
      <c r="HD117" s="348"/>
      <c r="HE117" s="348"/>
      <c r="HF117" s="348"/>
      <c r="HG117" s="348"/>
      <c r="HH117" s="335"/>
      <c r="HI117" s="348"/>
      <c r="HJ117" s="348"/>
      <c r="HK117" s="348"/>
      <c r="HL117" s="348"/>
      <c r="HM117" s="335"/>
      <c r="HN117" s="335"/>
      <c r="HO117" s="524"/>
      <c r="HP117" s="606"/>
      <c r="HR117" s="606"/>
      <c r="HS117" s="606"/>
      <c r="HT117" s="606"/>
      <c r="HU117" s="606"/>
      <c r="HV117" s="606"/>
      <c r="HW117" s="606"/>
      <c r="HX117" s="606"/>
    </row>
    <row r="118" spans="1:232" s="539" customFormat="1">
      <c r="A118" s="539" t="s">
        <v>438</v>
      </c>
      <c r="L118" s="523"/>
      <c r="M118" s="523"/>
      <c r="N118" s="523"/>
      <c r="O118" s="523"/>
      <c r="P118" s="524"/>
      <c r="Q118" s="523"/>
      <c r="R118" s="523"/>
      <c r="S118" s="523"/>
      <c r="T118" s="523"/>
      <c r="U118" s="524"/>
      <c r="V118" s="523"/>
      <c r="W118" s="523"/>
      <c r="X118" s="523"/>
      <c r="Y118" s="523"/>
      <c r="Z118" s="524"/>
      <c r="AA118" s="523"/>
      <c r="AB118" s="523"/>
      <c r="AC118" s="523"/>
      <c r="AD118" s="523"/>
      <c r="AE118" s="524"/>
      <c r="AF118" s="523">
        <v>0</v>
      </c>
      <c r="AG118" s="523">
        <f>0-AF118</f>
        <v>0</v>
      </c>
      <c r="AH118" s="523">
        <f>1.378-SUM(AF118:AG118)</f>
        <v>1.3779999999999999</v>
      </c>
      <c r="AI118" s="523">
        <f>5.941-SUM(AF118:AH118)</f>
        <v>4.5629999999999997</v>
      </c>
      <c r="AJ118" s="524">
        <f>SUM(AF118:AI118)</f>
        <v>5.9409999999999998</v>
      </c>
      <c r="AK118" s="523">
        <f>12.412</f>
        <v>12.412000000000001</v>
      </c>
      <c r="AL118" s="523">
        <f>30.387-AK118</f>
        <v>17.975000000000001</v>
      </c>
      <c r="AM118" s="523">
        <f>35.666-SUM(AK118:AL118)</f>
        <v>5.2789999999999964</v>
      </c>
      <c r="AN118" s="523">
        <f>42.025-SUM(AK118:AM118)</f>
        <v>6.3590000000000018</v>
      </c>
      <c r="AO118" s="524">
        <f>SUM(AK118:AN118)</f>
        <v>42.024999999999999</v>
      </c>
      <c r="AP118" s="523">
        <f>171.509</f>
        <v>171.50899999999999</v>
      </c>
      <c r="AQ118" s="523">
        <f>198.492-AP118</f>
        <v>26.983000000000004</v>
      </c>
      <c r="AR118" s="523">
        <f>217.465-SUM(AP118:AQ118)</f>
        <v>18.973000000000013</v>
      </c>
      <c r="AS118" s="523">
        <f>236.982-SUM(AP118:AR118)</f>
        <v>19.516999999999996</v>
      </c>
      <c r="AT118" s="524">
        <f>SUM(AP118:AS118)</f>
        <v>236.982</v>
      </c>
      <c r="AU118" s="523">
        <v>15.125</v>
      </c>
      <c r="AV118" s="523">
        <f>26.231-AU118</f>
        <v>11.106000000000002</v>
      </c>
      <c r="AW118" s="523">
        <f>432.76-SUM(AU118:AV118)</f>
        <v>406.529</v>
      </c>
      <c r="AX118" s="523">
        <f>447.877-SUM(AU118:AW118)</f>
        <v>15.117000000000019</v>
      </c>
      <c r="AY118" s="524">
        <f>SUM(AU118:AX118)</f>
        <v>447.87700000000001</v>
      </c>
      <c r="AZ118" s="523">
        <f>261.584</f>
        <v>261.584</v>
      </c>
      <c r="BA118" s="523">
        <f>271.644-AZ118</f>
        <v>10.060000000000002</v>
      </c>
      <c r="BB118" s="523">
        <f>287.93-SUM(AZ118:BA118)</f>
        <v>16.286000000000001</v>
      </c>
      <c r="BC118" s="523">
        <f>283.482-SUM(AZ118:BB118)</f>
        <v>-4.4479999999999791</v>
      </c>
      <c r="BD118" s="524">
        <f>SUM(AZ118:BC118)</f>
        <v>283.48200000000003</v>
      </c>
      <c r="BE118" s="523">
        <v>49.082999999999998</v>
      </c>
      <c r="BF118" s="523">
        <f>571.912-BE118</f>
        <v>522.82900000000006</v>
      </c>
      <c r="BG118" s="523">
        <f>819.222-SUM(BE118:BF118)</f>
        <v>247.30999999999995</v>
      </c>
      <c r="BH118" s="523">
        <f>836.1-SUM(BE118:BG118)</f>
        <v>16.878000000000043</v>
      </c>
      <c r="BI118" s="524">
        <f>SUM(BE118:BH118)</f>
        <v>836.1</v>
      </c>
      <c r="BJ118" s="523">
        <v>5.835</v>
      </c>
      <c r="BK118" s="523">
        <f>5.835-BJ118</f>
        <v>0</v>
      </c>
      <c r="BL118" s="523">
        <f>22.864-SUM(BJ118:BK118)</f>
        <v>17.029</v>
      </c>
      <c r="BM118" s="523">
        <f>12.101-SUM(BJ118:BL118)</f>
        <v>-10.763</v>
      </c>
      <c r="BN118" s="524">
        <f>SUM(BJ118:BM118)</f>
        <v>12.101000000000001</v>
      </c>
      <c r="BO118" s="523">
        <f>3.598</f>
        <v>3.5979999999999999</v>
      </c>
      <c r="BP118" s="523">
        <f>6.924-BO118</f>
        <v>3.3260000000000005</v>
      </c>
      <c r="BQ118" s="523">
        <f>145.91-SUM(BO118:BP118)</f>
        <v>138.98599999999999</v>
      </c>
      <c r="BR118" s="523">
        <f>135.789-SUM(BO118:BQ118)</f>
        <v>-10.121000000000009</v>
      </c>
      <c r="BS118" s="524">
        <f>SUM(BO118:BR118)</f>
        <v>135.78899999999999</v>
      </c>
      <c r="BT118" s="523">
        <v>330.13799999999998</v>
      </c>
      <c r="BU118" s="523">
        <f>334.307-BT118</f>
        <v>4.1690000000000396</v>
      </c>
      <c r="BV118" s="523">
        <f>342.402-SUM(BT118:BU118)</f>
        <v>8.0949999999999704</v>
      </c>
      <c r="BW118" s="523">
        <f>308.457-SUM(BT118:BV118)</f>
        <v>-33.944999999999993</v>
      </c>
      <c r="BX118" s="524">
        <f>SUM(BT118:BW118)</f>
        <v>308.45699999999999</v>
      </c>
      <c r="BY118" s="523">
        <f>501.251</f>
        <v>501.25099999999998</v>
      </c>
      <c r="BZ118" s="523">
        <f>581.784-BY118</f>
        <v>80.533000000000015</v>
      </c>
      <c r="CA118" s="523">
        <f>735.643-SUM(BY118:BZ118)</f>
        <v>153.85900000000004</v>
      </c>
      <c r="CB118" s="523">
        <f>1006.027-SUM(BY118:CA118)</f>
        <v>270.38400000000001</v>
      </c>
      <c r="CC118" s="524">
        <f>SUM(BY118:CB118)</f>
        <v>1006.027</v>
      </c>
      <c r="CD118" s="523">
        <v>7.35</v>
      </c>
      <c r="CE118" s="523">
        <f>13.678-CD118</f>
        <v>6.3280000000000012</v>
      </c>
      <c r="CF118" s="523">
        <f>47.35-SUM(CD118:CE118)</f>
        <v>33.671999999999997</v>
      </c>
      <c r="CG118" s="523">
        <f>0-SUM(CD118:CF118)</f>
        <v>-47.349999999999994</v>
      </c>
      <c r="CH118" s="524">
        <f>SUM(CD118:CG118)</f>
        <v>0</v>
      </c>
      <c r="CI118" s="539">
        <f>6.653</f>
        <v>6.6529999999999996</v>
      </c>
      <c r="CJ118" s="539">
        <f>22.457-CI118</f>
        <v>15.804000000000002</v>
      </c>
      <c r="CK118" s="539">
        <f>105.184-SUM(CI118:CJ118)</f>
        <v>82.727000000000004</v>
      </c>
      <c r="CL118" s="539">
        <f>745.377-SUM(CI118:CK118)</f>
        <v>640.19299999999998</v>
      </c>
      <c r="CM118" s="524">
        <f>SUM(CI118:CL118)</f>
        <v>745.37699999999995</v>
      </c>
      <c r="CN118" s="539">
        <v>0</v>
      </c>
      <c r="CO118" s="539">
        <f>36.267+50.528-CN118</f>
        <v>86.795000000000002</v>
      </c>
      <c r="CP118" s="539">
        <f>93.978+77.489-SUM(CN118:CO118)</f>
        <v>84.671999999999983</v>
      </c>
      <c r="CQ118" s="539">
        <f>77.489+168.637-SUM(CN118:CP118)</f>
        <v>74.65900000000002</v>
      </c>
      <c r="CR118" s="524">
        <f>SUM(CN118:CQ118)</f>
        <v>246.126</v>
      </c>
      <c r="CS118" s="539">
        <v>0</v>
      </c>
      <c r="CT118" s="539">
        <f>0-CS118</f>
        <v>0</v>
      </c>
      <c r="CU118" s="539">
        <f>CT118</f>
        <v>0</v>
      </c>
      <c r="CV118" s="539">
        <f>3366-SUM(CS118:CU118)</f>
        <v>3366</v>
      </c>
      <c r="CW118" s="524">
        <f>SUM(CS118:CV118)</f>
        <v>3366</v>
      </c>
      <c r="CX118" s="539">
        <v>153</v>
      </c>
      <c r="CY118" s="539">
        <f>2169-CX118</f>
        <v>2016</v>
      </c>
      <c r="CZ118" s="539">
        <f>3649-SUM(CX118:CY118)</f>
        <v>1480</v>
      </c>
      <c r="DA118" s="539">
        <f>3649-SUM(CX118:CZ118)</f>
        <v>0</v>
      </c>
      <c r="DB118" s="524">
        <f>SUM(CX118:DA118)</f>
        <v>3649</v>
      </c>
      <c r="DC118" s="539">
        <v>0</v>
      </c>
      <c r="DD118" s="539">
        <f>65-DC118</f>
        <v>65</v>
      </c>
      <c r="DE118" s="539">
        <f>182-SUM(DC118:DD118)</f>
        <v>117</v>
      </c>
      <c r="DF118" s="539">
        <f>308-SUM(DC118:DE118)</f>
        <v>126</v>
      </c>
      <c r="DG118" s="524">
        <f>SUM(DC118:DF118)</f>
        <v>308</v>
      </c>
      <c r="DH118" s="539">
        <f>1009+142</f>
        <v>1151</v>
      </c>
      <c r="DI118" s="539">
        <f>1009+254-DH118</f>
        <v>112</v>
      </c>
      <c r="DJ118" s="539">
        <f>1269+399-SUM(DH118:DI118)</f>
        <v>405</v>
      </c>
      <c r="DK118" s="539">
        <v>500</v>
      </c>
      <c r="DL118" s="524">
        <f>SUM(DH118:DK118)</f>
        <v>2168</v>
      </c>
      <c r="DM118" s="539">
        <v>199</v>
      </c>
      <c r="DN118" s="539">
        <v>224</v>
      </c>
      <c r="DO118" s="539">
        <v>800</v>
      </c>
      <c r="DP118" s="539">
        <v>297</v>
      </c>
      <c r="DQ118" s="524">
        <f>SUM(DM118:DP118)</f>
        <v>1520</v>
      </c>
      <c r="DR118" s="539">
        <v>164</v>
      </c>
      <c r="DS118" s="539">
        <v>1</v>
      </c>
      <c r="DT118" s="539">
        <v>0</v>
      </c>
      <c r="DU118" s="539">
        <v>0</v>
      </c>
      <c r="DV118" s="524">
        <f>SUM(DR118:DU118)</f>
        <v>165</v>
      </c>
      <c r="DW118" s="539">
        <v>0</v>
      </c>
      <c r="DX118" s="539">
        <v>0</v>
      </c>
      <c r="DY118" s="539">
        <v>491</v>
      </c>
      <c r="DZ118" s="539">
        <v>0</v>
      </c>
      <c r="EA118" s="524">
        <f>SUM(DW118:DZ118)</f>
        <v>491</v>
      </c>
      <c r="EB118" s="539">
        <v>0</v>
      </c>
      <c r="EC118" s="539">
        <v>0</v>
      </c>
      <c r="ED118" s="539">
        <v>0</v>
      </c>
      <c r="EE118" s="539">
        <v>55</v>
      </c>
      <c r="EF118" s="524">
        <f>SUM(EB118:EE118)</f>
        <v>55</v>
      </c>
      <c r="EG118" s="539">
        <v>589</v>
      </c>
      <c r="EH118" s="539">
        <v>491</v>
      </c>
      <c r="EI118" s="539">
        <v>0</v>
      </c>
      <c r="EJ118" s="539">
        <v>75</v>
      </c>
      <c r="EK118" s="524">
        <f>SUM(EG118:EJ118)</f>
        <v>1155</v>
      </c>
      <c r="EL118" s="539">
        <v>58</v>
      </c>
      <c r="EM118" s="539">
        <v>42</v>
      </c>
      <c r="EN118" s="539">
        <v>0</v>
      </c>
      <c r="EO118" s="539">
        <v>0</v>
      </c>
      <c r="EP118" s="524">
        <f>SUM(EL118:EO118)</f>
        <v>100</v>
      </c>
      <c r="EQ118" s="539">
        <v>0</v>
      </c>
      <c r="ER118" s="539">
        <v>0</v>
      </c>
      <c r="ES118" s="539">
        <v>681</v>
      </c>
      <c r="ET118" s="539">
        <v>101</v>
      </c>
      <c r="EU118" s="524">
        <f>SUM(EQ118:ET118)</f>
        <v>782</v>
      </c>
      <c r="EV118" s="539">
        <v>0</v>
      </c>
      <c r="EW118" s="539">
        <v>42</v>
      </c>
      <c r="EX118" s="539">
        <v>28</v>
      </c>
      <c r="EY118" s="539">
        <v>0</v>
      </c>
      <c r="EZ118" s="524">
        <f>SUM(EV118:EY118)</f>
        <v>70</v>
      </c>
      <c r="FA118" s="539">
        <v>0</v>
      </c>
      <c r="FB118" s="539">
        <v>0</v>
      </c>
      <c r="FC118" s="539">
        <v>0</v>
      </c>
      <c r="FD118" s="539">
        <v>0</v>
      </c>
      <c r="FE118" s="524">
        <f>SUM(FA118:FD118)</f>
        <v>0</v>
      </c>
      <c r="FF118" s="539">
        <v>0</v>
      </c>
      <c r="FG118" s="539">
        <v>0</v>
      </c>
      <c r="FH118" s="539">
        <v>0</v>
      </c>
      <c r="FI118" s="539">
        <v>0</v>
      </c>
      <c r="FJ118" s="524">
        <f>SUM(FF118:FI118)</f>
        <v>0</v>
      </c>
      <c r="FK118" s="539">
        <v>0</v>
      </c>
      <c r="FL118" s="539">
        <f>200-FK118</f>
        <v>200</v>
      </c>
      <c r="FM118" s="539">
        <f>200-FL118-FK118</f>
        <v>0</v>
      </c>
      <c r="FN118" s="539">
        <v>0</v>
      </c>
      <c r="FO118" s="524">
        <f>SUM(FK118:FN118)</f>
        <v>200</v>
      </c>
      <c r="FP118" s="539">
        <v>0</v>
      </c>
      <c r="FQ118" s="548">
        <v>0</v>
      </c>
      <c r="FR118" s="548">
        <f>0-FQ118-FP118</f>
        <v>0</v>
      </c>
      <c r="FS118" s="539">
        <f>0-FR118-FQ118-FP118</f>
        <v>0</v>
      </c>
      <c r="FT118" s="524">
        <f>SUM(FP118:FS118)</f>
        <v>0</v>
      </c>
      <c r="FU118" s="539">
        <v>0</v>
      </c>
      <c r="FV118" s="539">
        <f>FV95-FU95</f>
        <v>990</v>
      </c>
      <c r="FW118" s="548">
        <f>FW95-FV95</f>
        <v>1</v>
      </c>
      <c r="FX118" s="548">
        <f>FX95-FW95</f>
        <v>1</v>
      </c>
      <c r="FY118" s="524">
        <f>SUM(FU118:FX118)</f>
        <v>992</v>
      </c>
      <c r="FZ118" s="548">
        <f>FZ95-FX95</f>
        <v>0</v>
      </c>
      <c r="GA118" s="548">
        <v>0</v>
      </c>
      <c r="GB118" s="548">
        <v>0</v>
      </c>
      <c r="GC118" s="548">
        <v>0</v>
      </c>
      <c r="GD118" s="524">
        <f>SUM(FZ118:GC118)</f>
        <v>0</v>
      </c>
      <c r="GE118" s="548">
        <v>0</v>
      </c>
      <c r="GF118" s="548">
        <v>0</v>
      </c>
      <c r="GG118" s="548">
        <v>0</v>
      </c>
      <c r="GH118" s="548">
        <v>0</v>
      </c>
      <c r="GI118" s="524">
        <f>SUM(GE118:GH118)</f>
        <v>0</v>
      </c>
      <c r="GJ118" s="548">
        <f>1494+947</f>
        <v>2441</v>
      </c>
      <c r="GK118" s="548">
        <v>0</v>
      </c>
      <c r="GL118" s="548">
        <v>0</v>
      </c>
      <c r="GM118" s="548">
        <v>0</v>
      </c>
      <c r="GN118" s="524">
        <f>SUM(GJ118:GM118)</f>
        <v>2441</v>
      </c>
      <c r="GO118" s="548">
        <v>0</v>
      </c>
      <c r="GP118" s="548">
        <v>0</v>
      </c>
      <c r="GQ118" s="548">
        <v>0</v>
      </c>
      <c r="GR118" s="548">
        <v>0</v>
      </c>
      <c r="GS118" s="524">
        <f>SUM(GO118:GR118)</f>
        <v>0</v>
      </c>
      <c r="GT118" s="548">
        <v>0</v>
      </c>
      <c r="GU118" s="548">
        <v>0</v>
      </c>
      <c r="GV118" s="548">
        <v>0</v>
      </c>
      <c r="GW118" s="548">
        <v>0</v>
      </c>
      <c r="GX118" s="524">
        <f>SUM(GT118:GW118)</f>
        <v>0</v>
      </c>
      <c r="GY118" s="548">
        <v>0</v>
      </c>
      <c r="GZ118" s="548">
        <v>0</v>
      </c>
      <c r="HA118" s="548">
        <v>0</v>
      </c>
      <c r="HB118" s="548">
        <v>0</v>
      </c>
      <c r="HC118" s="524">
        <f>SUM(GY118:HB118)</f>
        <v>0</v>
      </c>
      <c r="HD118" s="548">
        <v>0</v>
      </c>
      <c r="HE118" s="548">
        <v>0</v>
      </c>
      <c r="HF118" s="548">
        <v>0</v>
      </c>
      <c r="HG118" s="548">
        <v>0</v>
      </c>
      <c r="HH118" s="524">
        <f>SUM(HD118:HG118)</f>
        <v>0</v>
      </c>
      <c r="HI118" s="548">
        <v>0</v>
      </c>
      <c r="HJ118" s="548">
        <v>0</v>
      </c>
      <c r="HK118" s="548">
        <v>0</v>
      </c>
      <c r="HL118" s="548">
        <v>0</v>
      </c>
      <c r="HM118" s="524">
        <f>SUM(HI118:HL118)</f>
        <v>0</v>
      </c>
      <c r="HN118" s="524"/>
      <c r="HO118" s="524"/>
      <c r="HP118" s="606"/>
      <c r="HR118" s="606"/>
      <c r="HS118" s="606"/>
      <c r="HT118" s="606"/>
      <c r="HU118" s="606"/>
      <c r="HV118" s="606"/>
      <c r="HW118" s="606"/>
      <c r="HX118" s="606"/>
    </row>
    <row r="119" spans="1:232" s="539" customFormat="1">
      <c r="A119" s="539" t="s">
        <v>439</v>
      </c>
      <c r="L119" s="523"/>
      <c r="M119" s="523"/>
      <c r="N119" s="523"/>
      <c r="O119" s="523"/>
      <c r="P119" s="524"/>
      <c r="Q119" s="523"/>
      <c r="R119" s="523"/>
      <c r="S119" s="523"/>
      <c r="T119" s="523"/>
      <c r="U119" s="524"/>
      <c r="V119" s="523"/>
      <c r="W119" s="523"/>
      <c r="X119" s="523"/>
      <c r="Y119" s="523"/>
      <c r="Z119" s="524"/>
      <c r="AA119" s="523"/>
      <c r="AB119" s="523"/>
      <c r="AC119" s="523"/>
      <c r="AD119" s="523"/>
      <c r="AE119" s="524"/>
      <c r="AF119" s="523">
        <v>-8.2089999999999996</v>
      </c>
      <c r="AG119" s="523">
        <f>-5.282-AF119</f>
        <v>2.9269999999999996</v>
      </c>
      <c r="AH119" s="523">
        <f>-9.955-SUM(AF119:AG119)</f>
        <v>-4.673</v>
      </c>
      <c r="AI119" s="523">
        <f>-18.089-SUM(AF119:AH119)</f>
        <v>-8.1339999999999986</v>
      </c>
      <c r="AJ119" s="524">
        <f>SUM(AF119:AI119)</f>
        <v>-18.088999999999999</v>
      </c>
      <c r="AK119" s="523">
        <f>-17.629</f>
        <v>-17.629000000000001</v>
      </c>
      <c r="AL119" s="523">
        <f>-40.253-AK119</f>
        <v>-22.623999999999999</v>
      </c>
      <c r="AM119" s="523">
        <f>-52.785-SUM(AK119:AL119)</f>
        <v>-12.531999999999996</v>
      </c>
      <c r="AN119" s="523">
        <f>-68.898-SUM(AK119:AM119)</f>
        <v>-16.113</v>
      </c>
      <c r="AO119" s="524">
        <f>SUM(AK119:AN119)</f>
        <v>-68.897999999999996</v>
      </c>
      <c r="AP119" s="523">
        <f>-28.731</f>
        <v>-28.731000000000002</v>
      </c>
      <c r="AQ119" s="523">
        <f>-67.381-AP119</f>
        <v>-38.65</v>
      </c>
      <c r="AR119" s="523">
        <f>-99.982-SUM(AP119:AQ119)</f>
        <v>-32.600999999999999</v>
      </c>
      <c r="AS119" s="523">
        <f>-125.614-SUM(AP119:AR119)</f>
        <v>-25.632000000000005</v>
      </c>
      <c r="AT119" s="524">
        <f>SUM(AP119:AS119)</f>
        <v>-125.614</v>
      </c>
      <c r="AU119" s="523">
        <f>-39.812</f>
        <v>-39.811999999999998</v>
      </c>
      <c r="AV119" s="523">
        <f>-68.411-AU119</f>
        <v>-28.599000000000004</v>
      </c>
      <c r="AW119" s="523">
        <f>-230.377-SUM(AU119:AV119)</f>
        <v>-161.96600000000001</v>
      </c>
      <c r="AX119" s="523">
        <f>-252.766-SUM(AU119:AW119)</f>
        <v>-22.388999999999982</v>
      </c>
      <c r="AY119" s="524">
        <f>SUM(AU119:AX119)</f>
        <v>-252.76599999999999</v>
      </c>
      <c r="AZ119" s="523">
        <f>-21.993</f>
        <v>-21.992999999999999</v>
      </c>
      <c r="BA119" s="523">
        <f>-35.706-AZ119</f>
        <v>-13.713000000000005</v>
      </c>
      <c r="BB119" s="523">
        <f>-52.699-SUM(AZ119:BA119)</f>
        <v>-16.992999999999995</v>
      </c>
      <c r="BC119" s="523">
        <f>-79.791-SUM(AZ119:BB119)</f>
        <v>-27.091999999999999</v>
      </c>
      <c r="BD119" s="524">
        <f>SUM(AZ119:BC119)</f>
        <v>-79.790999999999997</v>
      </c>
      <c r="BE119" s="523">
        <v>-16.457000000000001</v>
      </c>
      <c r="BF119" s="523">
        <f>-34.549-BE119</f>
        <v>-18.091999999999999</v>
      </c>
      <c r="BG119" s="523">
        <f>-40.002-SUM(BE119:BF119)</f>
        <v>-5.453000000000003</v>
      </c>
      <c r="BH119" s="523">
        <f>-87.549-SUM(BE119:BG119)</f>
        <v>-47.547000000000004</v>
      </c>
      <c r="BI119" s="524">
        <f>SUM(BE119:BH119)</f>
        <v>-87.549000000000007</v>
      </c>
      <c r="BJ119" s="523">
        <v>-43.228999999999999</v>
      </c>
      <c r="BK119" s="523">
        <f>-149.398-BJ119</f>
        <v>-106.169</v>
      </c>
      <c r="BL119" s="523">
        <f>-239.392-SUM(BJ119:BK119)</f>
        <v>-89.994</v>
      </c>
      <c r="BM119" s="523">
        <f>-243.762-SUM(BJ119:BL119)</f>
        <v>-4.3700000000000045</v>
      </c>
      <c r="BN119" s="524">
        <f>SUM(BJ119:BM119)</f>
        <v>-243.762</v>
      </c>
      <c r="BO119" s="523">
        <f>-4.246</f>
        <v>-4.2460000000000004</v>
      </c>
      <c r="BP119" s="523">
        <f>-12.38-BO119</f>
        <v>-8.1340000000000003</v>
      </c>
      <c r="BQ119" s="523">
        <f>-394.306-SUM(BO119:BP119)</f>
        <v>-381.92599999999999</v>
      </c>
      <c r="BR119" s="523">
        <f>-375.016-SUM(BO119:BQ119)</f>
        <v>19.289999999999964</v>
      </c>
      <c r="BS119" s="524">
        <f>SUM(BO119:BR119)</f>
        <v>-375.01600000000002</v>
      </c>
      <c r="BT119" s="523">
        <v>-2.778</v>
      </c>
      <c r="BU119" s="523">
        <f>-47.598-BT119</f>
        <v>-44.82</v>
      </c>
      <c r="BV119" s="523">
        <f>-90.305-SUM(BT119:BU119)</f>
        <v>-42.707000000000008</v>
      </c>
      <c r="BW119" s="523">
        <f>-137.104-SUM(BT119:BV119)</f>
        <v>-46.799000000000007</v>
      </c>
      <c r="BX119" s="524">
        <f>SUM(BT119:BW119)</f>
        <v>-137.10400000000001</v>
      </c>
      <c r="BY119" s="523">
        <v>-67.320999999999998</v>
      </c>
      <c r="BZ119" s="523">
        <f>-184.734-BY119</f>
        <v>-117.41300000000001</v>
      </c>
      <c r="CA119" s="523">
        <f>-280.611-SUM(BY119:BZ119)</f>
        <v>-95.876999999999981</v>
      </c>
      <c r="CB119" s="523">
        <f>-324.744-SUM(BY119:CA119)</f>
        <v>-44.133000000000038</v>
      </c>
      <c r="CC119" s="524">
        <f>SUM(BY119:CB119)</f>
        <v>-324.74400000000003</v>
      </c>
      <c r="CD119" s="523">
        <f>-28.744</f>
        <v>-28.744</v>
      </c>
      <c r="CE119" s="523">
        <f>-48.792-CD119</f>
        <v>-20.048000000000002</v>
      </c>
      <c r="CF119" s="523">
        <f>-85.481-SUM(CD119:CE119)</f>
        <v>-36.688999999999993</v>
      </c>
      <c r="CG119" s="523">
        <f>-140.933-SUM(CD119:CF119)</f>
        <v>-55.451999999999998</v>
      </c>
      <c r="CH119" s="524">
        <f>SUM(CD119:CG119)</f>
        <v>-140.93299999999999</v>
      </c>
      <c r="CI119" s="539">
        <v>-60.203000000000003</v>
      </c>
      <c r="CJ119" s="539">
        <f>-160.868-CI119</f>
        <v>-100.66499999999999</v>
      </c>
      <c r="CK119" s="539">
        <f>-204.078-SUM(CI119:CJ119)</f>
        <v>-43.210000000000008</v>
      </c>
      <c r="CL119" s="539">
        <f>-897.619-SUM(CI119:CK119)</f>
        <v>-693.54100000000005</v>
      </c>
      <c r="CM119" s="524">
        <f>SUM(CI119:CL119)</f>
        <v>-897.61900000000003</v>
      </c>
      <c r="CN119" s="539">
        <v>-54.332000000000001</v>
      </c>
      <c r="CO119" s="539">
        <f>-100.49-CN119</f>
        <v>-46.157999999999994</v>
      </c>
      <c r="CP119" s="539">
        <f>-185.42-SUM(CN119:CO119)</f>
        <v>-84.929999999999993</v>
      </c>
      <c r="CQ119" s="539">
        <f>-315.509-SUM(CN119:CP119)</f>
        <v>-130.08900000000003</v>
      </c>
      <c r="CR119" s="524">
        <f>SUM(CN119:CQ119)</f>
        <v>-315.50900000000001</v>
      </c>
      <c r="CS119" s="539">
        <f>-211.205</f>
        <v>-211.20500000000001</v>
      </c>
      <c r="CT119" s="539">
        <f>-212.062-CS119</f>
        <v>-0.85699999999999932</v>
      </c>
      <c r="CU119" s="539">
        <f>-212.857-SUM(CS119:CT119)</f>
        <v>-0.79499999999998749</v>
      </c>
      <c r="CV119" s="539">
        <f>-539-SUM(CS119:CU119)</f>
        <v>-326.14300000000003</v>
      </c>
      <c r="CW119" s="524">
        <f>SUM(CS119:CV119)</f>
        <v>-539</v>
      </c>
      <c r="CX119" s="539">
        <v>-21</v>
      </c>
      <c r="CY119" s="539">
        <f>-531-CX119</f>
        <v>-510</v>
      </c>
      <c r="CZ119" s="539">
        <f>-2255-SUM(CX119:CY119)</f>
        <v>-1724</v>
      </c>
      <c r="DA119" s="539">
        <f>-2291-SUM(CX119:CZ119)</f>
        <v>-36</v>
      </c>
      <c r="DB119" s="524">
        <f>SUM(CX119:DA119)</f>
        <v>-2291</v>
      </c>
      <c r="DC119" s="539">
        <v>-3</v>
      </c>
      <c r="DD119" s="539">
        <f>-51-DC119</f>
        <v>-48</v>
      </c>
      <c r="DE119" s="539">
        <f>-98-SUM(DC119:DD119)</f>
        <v>-47</v>
      </c>
      <c r="DF119" s="539">
        <f>-166-SUM(DC119:DE119)</f>
        <v>-68</v>
      </c>
      <c r="DG119" s="524">
        <f>SUM(DC119:DF119)</f>
        <v>-166</v>
      </c>
      <c r="DH119" s="539">
        <v>0</v>
      </c>
      <c r="DI119" s="539">
        <f>-184-DH119</f>
        <v>-184</v>
      </c>
      <c r="DJ119" s="539">
        <f>-359-SUM(DH119:DI119)</f>
        <v>-175</v>
      </c>
      <c r="DK119" s="539">
        <v>-1390</v>
      </c>
      <c r="DL119" s="524">
        <f>SUM(DH119:DK119)</f>
        <v>-1749</v>
      </c>
      <c r="DM119" s="539">
        <v>-25</v>
      </c>
      <c r="DN119" s="539">
        <v>-215</v>
      </c>
      <c r="DO119" s="539">
        <v>-818</v>
      </c>
      <c r="DP119" s="539">
        <v>-16</v>
      </c>
      <c r="DQ119" s="524">
        <f>SUM(DM119:DP119)</f>
        <v>-1074</v>
      </c>
      <c r="DR119" s="539">
        <v>0</v>
      </c>
      <c r="DS119" s="539">
        <v>0</v>
      </c>
      <c r="DT119" s="539">
        <v>-153</v>
      </c>
      <c r="DU119" s="539">
        <v>-51</v>
      </c>
      <c r="DV119" s="524">
        <f>SUM(DR119:DU119)</f>
        <v>-204</v>
      </c>
      <c r="DW119" s="539">
        <v>-1</v>
      </c>
      <c r="DX119" s="539">
        <v>-50</v>
      </c>
      <c r="DY119" s="539">
        <v>-486</v>
      </c>
      <c r="DZ119" s="539">
        <v>-1</v>
      </c>
      <c r="EA119" s="524">
        <f>SUM(DW119:DZ119)</f>
        <v>-538</v>
      </c>
      <c r="EB119" s="539">
        <v>-1</v>
      </c>
      <c r="EC119" s="539">
        <v>-1</v>
      </c>
      <c r="ED119" s="539">
        <v>-2</v>
      </c>
      <c r="EE119" s="539">
        <v>-51</v>
      </c>
      <c r="EF119" s="524">
        <f>SUM(EB119:EE119)</f>
        <v>-55</v>
      </c>
      <c r="EG119" s="539">
        <v>-569</v>
      </c>
      <c r="EH119" s="539">
        <v>-473</v>
      </c>
      <c r="EI119" s="539">
        <v>0</v>
      </c>
      <c r="EJ119" s="539">
        <v>-72</v>
      </c>
      <c r="EK119" s="524">
        <f>SUM(EG119:EJ119)</f>
        <v>-1114</v>
      </c>
      <c r="EL119" s="539">
        <v>0</v>
      </c>
      <c r="EM119" s="539">
        <v>-43</v>
      </c>
      <c r="EN119" s="539">
        <v>0</v>
      </c>
      <c r="EO119" s="539">
        <v>0</v>
      </c>
      <c r="EP119" s="524">
        <f>SUM(EL119:EO119)</f>
        <v>-43</v>
      </c>
      <c r="EQ119" s="539">
        <v>0</v>
      </c>
      <c r="ER119" s="539">
        <v>-4</v>
      </c>
      <c r="ES119" s="539">
        <f>-226-848</f>
        <v>-1074</v>
      </c>
      <c r="ET119" s="539">
        <v>-265</v>
      </c>
      <c r="EU119" s="524">
        <f>SUM(EQ119:ET119)</f>
        <v>-1343</v>
      </c>
      <c r="EV119" s="539">
        <v>0</v>
      </c>
      <c r="EW119" s="539">
        <v>-42</v>
      </c>
      <c r="EX119" s="539">
        <v>-28</v>
      </c>
      <c r="EY119" s="539">
        <v>-40</v>
      </c>
      <c r="EZ119" s="524">
        <f>SUM(EV119:EY119)</f>
        <v>-110</v>
      </c>
      <c r="FA119" s="539">
        <v>-14</v>
      </c>
      <c r="FB119" s="539">
        <f>-15-FA119</f>
        <v>-1</v>
      </c>
      <c r="FC119" s="539">
        <f>-15-FB119-FA119</f>
        <v>0</v>
      </c>
      <c r="FD119" s="539">
        <f>-41-FC119-FB119-FA119</f>
        <v>-26</v>
      </c>
      <c r="FE119" s="524">
        <f>SUM(FA119:FD119)</f>
        <v>-41</v>
      </c>
      <c r="FF119" s="539">
        <v>-164</v>
      </c>
      <c r="FG119" s="539">
        <f>-70-164-FF119</f>
        <v>-70</v>
      </c>
      <c r="FH119" s="539">
        <f>-70-261-FG119-FF119</f>
        <v>-97</v>
      </c>
      <c r="FI119" s="539">
        <f>-403-70-FH119-FG119-FF119</f>
        <v>-142</v>
      </c>
      <c r="FJ119" s="524">
        <f>SUM(FF119:FI119)</f>
        <v>-473</v>
      </c>
      <c r="FK119" s="539">
        <v>0</v>
      </c>
      <c r="FL119" s="539">
        <v>0</v>
      </c>
      <c r="FM119" s="539">
        <f>-200-FL119-FK119</f>
        <v>-200</v>
      </c>
      <c r="FN119" s="539">
        <v>0</v>
      </c>
      <c r="FO119" s="524">
        <f>SUM(FK119:FN119)</f>
        <v>-200</v>
      </c>
      <c r="FP119" s="539">
        <v>0</v>
      </c>
      <c r="FQ119" s="548">
        <v>0</v>
      </c>
      <c r="FR119" s="548">
        <f>0-FQ119-FP119</f>
        <v>0</v>
      </c>
      <c r="FS119" s="539">
        <f>0-FR119-FQ119-FP119</f>
        <v>0</v>
      </c>
      <c r="FT119" s="524">
        <f>SUM(FP119:FS119)</f>
        <v>0</v>
      </c>
      <c r="FU119" s="539">
        <v>0</v>
      </c>
      <c r="FV119" s="539">
        <v>0</v>
      </c>
      <c r="FW119" s="548">
        <v>-312</v>
      </c>
      <c r="FX119" s="548">
        <v>1265</v>
      </c>
      <c r="FY119" s="524">
        <f>SUM(FU119:FX119)</f>
        <v>953</v>
      </c>
      <c r="FZ119" s="548">
        <v>0</v>
      </c>
      <c r="GA119" s="548">
        <v>0</v>
      </c>
      <c r="GB119" s="548">
        <v>0</v>
      </c>
      <c r="GC119" s="548">
        <v>0</v>
      </c>
      <c r="GD119" s="524">
        <f>SUM(FZ119:GC119)</f>
        <v>0</v>
      </c>
      <c r="GE119" s="548">
        <v>0</v>
      </c>
      <c r="GF119" s="548">
        <v>-750</v>
      </c>
      <c r="GG119" s="548">
        <v>0</v>
      </c>
      <c r="GH119" s="548">
        <v>0</v>
      </c>
      <c r="GI119" s="524">
        <f>SUM(GE119:GH119)</f>
        <v>-750</v>
      </c>
      <c r="GJ119" s="548">
        <v>0</v>
      </c>
      <c r="GK119" s="548">
        <v>-950</v>
      </c>
      <c r="GL119" s="548">
        <v>0</v>
      </c>
      <c r="GM119" s="548">
        <v>0</v>
      </c>
      <c r="GN119" s="524">
        <f>SUM(GJ119:GM119)</f>
        <v>-950</v>
      </c>
      <c r="GO119" s="548">
        <v>0</v>
      </c>
      <c r="GP119" s="548">
        <v>0</v>
      </c>
      <c r="GQ119" s="548">
        <v>0</v>
      </c>
      <c r="GR119" s="548">
        <v>0</v>
      </c>
      <c r="GS119" s="524">
        <f>SUM(GO119:GR119)</f>
        <v>0</v>
      </c>
      <c r="GT119" s="548">
        <v>0</v>
      </c>
      <c r="GU119" s="548">
        <v>0</v>
      </c>
      <c r="GV119" s="548">
        <v>0</v>
      </c>
      <c r="GW119" s="548">
        <v>0</v>
      </c>
      <c r="GX119" s="524">
        <f>SUM(GT119:GW119)</f>
        <v>0</v>
      </c>
      <c r="GY119" s="548">
        <v>0</v>
      </c>
      <c r="GZ119" s="548">
        <v>0</v>
      </c>
      <c r="HA119" s="548">
        <v>0</v>
      </c>
      <c r="HB119" s="548">
        <v>0</v>
      </c>
      <c r="HC119" s="524">
        <f>SUM(GY119:HB119)</f>
        <v>0</v>
      </c>
      <c r="HD119" s="548">
        <v>0</v>
      </c>
      <c r="HE119" s="548">
        <v>0</v>
      </c>
      <c r="HF119" s="548">
        <v>0</v>
      </c>
      <c r="HG119" s="548">
        <v>0</v>
      </c>
      <c r="HH119" s="524">
        <f>SUM(HD119:HG119)</f>
        <v>0</v>
      </c>
      <c r="HI119" s="548">
        <v>0</v>
      </c>
      <c r="HJ119" s="548">
        <v>0</v>
      </c>
      <c r="HK119" s="548">
        <v>0</v>
      </c>
      <c r="HL119" s="548">
        <v>0</v>
      </c>
      <c r="HM119" s="524">
        <f>SUM(HI119:HL119)</f>
        <v>0</v>
      </c>
      <c r="HN119" s="524"/>
      <c r="HO119" s="524"/>
      <c r="HP119" s="606"/>
      <c r="HR119" s="606"/>
      <c r="HS119" s="606"/>
      <c r="HT119" s="606"/>
      <c r="HU119" s="606"/>
      <c r="HV119" s="606"/>
      <c r="HW119" s="606"/>
      <c r="HX119" s="606"/>
    </row>
    <row r="120" spans="1:232" s="539" customFormat="1">
      <c r="A120" s="539" t="s">
        <v>440</v>
      </c>
      <c r="L120" s="523"/>
      <c r="M120" s="523"/>
      <c r="N120" s="523"/>
      <c r="O120" s="523"/>
      <c r="P120" s="524"/>
      <c r="Q120" s="523"/>
      <c r="R120" s="523"/>
      <c r="S120" s="523"/>
      <c r="T120" s="523"/>
      <c r="U120" s="524"/>
      <c r="V120" s="523"/>
      <c r="W120" s="523"/>
      <c r="X120" s="523"/>
      <c r="Y120" s="523"/>
      <c r="Z120" s="524"/>
      <c r="AA120" s="523"/>
      <c r="AB120" s="523"/>
      <c r="AC120" s="523"/>
      <c r="AD120" s="523"/>
      <c r="AE120" s="524"/>
      <c r="AF120" s="523">
        <f>5.376-2.587</f>
        <v>2.7890000000000001</v>
      </c>
      <c r="AG120" s="523">
        <f>21.105-5.175-AF120</f>
        <v>13.141</v>
      </c>
      <c r="AH120" s="523">
        <f>26.521-7.762-SUM(AF120:AG120)</f>
        <v>2.8290000000000006</v>
      </c>
      <c r="AI120" s="523">
        <f>42.401-10.35-SUM(AF120:AH120)</f>
        <v>13.292000000000002</v>
      </c>
      <c r="AJ120" s="524">
        <f>SUM(AF120:AI120)</f>
        <v>32.051000000000002</v>
      </c>
      <c r="AK120" s="523">
        <f>2.686-2.588</f>
        <v>9.7999999999999865E-2</v>
      </c>
      <c r="AL120" s="523">
        <f>16.675-5.175-AK120</f>
        <v>11.402000000000001</v>
      </c>
      <c r="AM120" s="523">
        <f>22.596-7.762-SUM(AK120:AL120)</f>
        <v>3.3339999999999996</v>
      </c>
      <c r="AN120" s="523">
        <f>39.565-10.35-SUM(AK120:AM120)</f>
        <v>14.380999999999997</v>
      </c>
      <c r="AO120" s="524">
        <f>SUM(AK120:AN120)</f>
        <v>29.214999999999996</v>
      </c>
      <c r="AP120" s="523">
        <f>5.249-2.501-0.01</f>
        <v>2.738</v>
      </c>
      <c r="AQ120" s="523">
        <f>10.487-2.501-0.01-AP120</f>
        <v>5.2380000000000013</v>
      </c>
      <c r="AR120" s="523">
        <f>18.073-2.501-0.01-SUM(AP120:AQ120)</f>
        <v>7.5860000000000003</v>
      </c>
      <c r="AS120" s="523">
        <f>23.073-3.536-0.01-SUM(AP120:AR120)</f>
        <v>3.9649999999999963</v>
      </c>
      <c r="AT120" s="524">
        <f>SUM(AP120:AS120)</f>
        <v>19.526999999999997</v>
      </c>
      <c r="AU120" s="523">
        <v>17.024000000000001</v>
      </c>
      <c r="AV120" s="539">
        <f>24.94-AU120</f>
        <v>7.9160000000000004</v>
      </c>
      <c r="AW120" s="539">
        <f>28.622-SUM(AU120:AV120)</f>
        <v>3.6819999999999986</v>
      </c>
      <c r="AX120" s="523">
        <f>47.043-SUM(AU120:AW120)</f>
        <v>18.420999999999999</v>
      </c>
      <c r="AY120" s="524">
        <f>SUM(AU120:AX120)</f>
        <v>47.042999999999999</v>
      </c>
      <c r="AZ120" s="539">
        <v>24.827999999999999</v>
      </c>
      <c r="BA120" s="539">
        <f>39.281-AZ120</f>
        <v>14.452999999999999</v>
      </c>
      <c r="BB120" s="539">
        <f>49.776-SUM(AZ120:BA120)</f>
        <v>10.495000000000005</v>
      </c>
      <c r="BC120" s="539">
        <f>40.474-SUM(AZ120:BB120)</f>
        <v>-9.3020000000000067</v>
      </c>
      <c r="BD120" s="524">
        <f>SUM(AZ120:BC120)</f>
        <v>40.473999999999997</v>
      </c>
      <c r="BE120" s="539">
        <v>5.4749999999999996</v>
      </c>
      <c r="BF120" s="539">
        <f>21.575-BE120</f>
        <v>16.100000000000001</v>
      </c>
      <c r="BG120" s="539">
        <f>26.658-SUM(BE120:BF120)</f>
        <v>5.0829999999999984</v>
      </c>
      <c r="BH120" s="539">
        <f>44.099-SUM(BE120:BG120)</f>
        <v>17.440999999999995</v>
      </c>
      <c r="BI120" s="524">
        <f>SUM(BE120:BH120)</f>
        <v>44.098999999999997</v>
      </c>
      <c r="BJ120" s="539">
        <v>10.253</v>
      </c>
      <c r="BK120" s="539">
        <f>27.256-BJ120</f>
        <v>17.003</v>
      </c>
      <c r="BL120" s="539">
        <f>33.143-SUM(BJ120:BK120)</f>
        <v>5.8870000000000005</v>
      </c>
      <c r="BM120" s="539">
        <f>43.777-SUM(BJ120:BL120)</f>
        <v>10.634</v>
      </c>
      <c r="BN120" s="524">
        <f>SUM(BJ120:BM120)</f>
        <v>43.777000000000001</v>
      </c>
      <c r="BO120" s="605">
        <f>51.557</f>
        <v>51.557000000000002</v>
      </c>
      <c r="BP120" s="605">
        <f>95.099-BO120</f>
        <v>43.542000000000002</v>
      </c>
      <c r="BQ120" s="605">
        <f>115.907-SUM(BO120:BP120)</f>
        <v>20.807999999999993</v>
      </c>
      <c r="BR120" s="605">
        <f>122.994-SUM(BO120:BQ120)</f>
        <v>7.0870000000000033</v>
      </c>
      <c r="BS120" s="524">
        <f>SUM(BO120:BR120)</f>
        <v>122.994</v>
      </c>
      <c r="BT120" s="523">
        <v>10.858000000000001</v>
      </c>
      <c r="BU120" s="523">
        <f>32.623-BT120</f>
        <v>21.764999999999997</v>
      </c>
      <c r="BV120" s="523">
        <f>38.252-68.837-SUM(BT120:BU120)</f>
        <v>-63.207999999999998</v>
      </c>
      <c r="BW120" s="523">
        <f>36.706-77.22-SUM(BT120:BV120)</f>
        <v>-9.9289999999999949</v>
      </c>
      <c r="BX120" s="524">
        <f>SUM(BT120:BW120)</f>
        <v>-40.513999999999996</v>
      </c>
      <c r="BY120" s="523">
        <v>8.2720000000000002</v>
      </c>
      <c r="BZ120" s="523">
        <f>16.099-BY120</f>
        <v>7.827</v>
      </c>
      <c r="CA120" s="523">
        <f>23.606-SUM(BY120:BZ120)</f>
        <v>7.5070000000000014</v>
      </c>
      <c r="CB120" s="523">
        <f>29.179-SUM(BY120:CA120)</f>
        <v>5.5729999999999968</v>
      </c>
      <c r="CC120" s="524">
        <f>SUM(BY120:CB120)</f>
        <v>29.178999999999998</v>
      </c>
      <c r="CD120" s="523">
        <v>5.133</v>
      </c>
      <c r="CE120" s="523">
        <f>10.285-CD120</f>
        <v>5.1520000000000001</v>
      </c>
      <c r="CF120" s="523">
        <f>17.149-SUM(CD120:CE120)</f>
        <v>6.8640000000000008</v>
      </c>
      <c r="CG120" s="523">
        <f>35.436-SUM(CD120:CF120)</f>
        <v>18.286999999999999</v>
      </c>
      <c r="CH120" s="524">
        <f>SUM(CD120:CG120)</f>
        <v>35.436</v>
      </c>
      <c r="CI120" s="539">
        <v>19.62</v>
      </c>
      <c r="CJ120" s="539">
        <f>44.681-CI120</f>
        <v>25.060999999999996</v>
      </c>
      <c r="CK120" s="539">
        <f>57.841-SUM(CI120:CJ120)</f>
        <v>13.160000000000004</v>
      </c>
      <c r="CL120" s="539">
        <f>123.677-SUM(CI120:CK120)</f>
        <v>65.836000000000013</v>
      </c>
      <c r="CM120" s="524">
        <f>SUM(CI120:CL120)</f>
        <v>123.67700000000002</v>
      </c>
      <c r="CN120" s="539">
        <v>35.191000000000003</v>
      </c>
      <c r="CO120" s="605">
        <f>53.065-CN120</f>
        <v>17.873999999999995</v>
      </c>
      <c r="CP120" s="605">
        <f>120.87-SUM(CN120:CO120)</f>
        <v>67.805000000000007</v>
      </c>
      <c r="CQ120" s="605">
        <f>189.349-SUM(CN120:CP120)</f>
        <v>68.478999999999985</v>
      </c>
      <c r="CR120" s="524">
        <f>SUM(CN120:CQ120)</f>
        <v>189.34899999999999</v>
      </c>
      <c r="CS120" s="539">
        <f>494.618+160.214</f>
        <v>654.83199999999999</v>
      </c>
      <c r="CT120" s="539">
        <f>494.618+192.32-CS120</f>
        <v>32.105999999999995</v>
      </c>
      <c r="CU120" s="539">
        <f>494.618-SUM(CS120:CT120)+213.254</f>
        <v>20.933999999999997</v>
      </c>
      <c r="CV120" s="539">
        <f>495+231-SUM(CS120:CU120)</f>
        <v>18.128000000000043</v>
      </c>
      <c r="CW120" s="524">
        <f>SUM(CS120:CV120)</f>
        <v>726</v>
      </c>
      <c r="CX120" s="539">
        <v>30</v>
      </c>
      <c r="CY120" s="539">
        <f>0-CX120</f>
        <v>-30</v>
      </c>
      <c r="CZ120" s="539">
        <f>-182+62-SUM(CX120:CY120)</f>
        <v>-120</v>
      </c>
      <c r="DA120" s="539">
        <f>-182+608+78-SUM(CX120:CZ120)</f>
        <v>624</v>
      </c>
      <c r="DB120" s="524">
        <f>SUM(CX120:DA120)</f>
        <v>504</v>
      </c>
      <c r="DC120" s="539">
        <v>0</v>
      </c>
      <c r="DD120" s="539">
        <f>DC120</f>
        <v>0</v>
      </c>
      <c r="DE120" s="539">
        <f>DD120</f>
        <v>0</v>
      </c>
      <c r="DF120" s="539">
        <f>DE120</f>
        <v>0</v>
      </c>
      <c r="DG120" s="524">
        <f>SUM(DC120:DF120)</f>
        <v>0</v>
      </c>
      <c r="DH120" s="539">
        <f>125+1091</f>
        <v>1216</v>
      </c>
      <c r="DI120" s="539">
        <f>125+1091-DH120</f>
        <v>0</v>
      </c>
      <c r="DJ120" s="539">
        <f>1091+125-SUM(DH120:DI120)</f>
        <v>0</v>
      </c>
      <c r="DK120" s="539">
        <f>DJ120</f>
        <v>0</v>
      </c>
      <c r="DL120" s="524">
        <f>SUM(DH120:DK120)</f>
        <v>1216</v>
      </c>
      <c r="DM120" s="539">
        <f>3</f>
        <v>3</v>
      </c>
      <c r="DN120" s="539">
        <v>4</v>
      </c>
      <c r="DO120" s="539">
        <v>2</v>
      </c>
      <c r="DP120" s="539">
        <v>0</v>
      </c>
      <c r="DQ120" s="524">
        <f>SUM(DM120:DP120)</f>
        <v>9</v>
      </c>
      <c r="DR120" s="539">
        <v>9</v>
      </c>
      <c r="DS120" s="539">
        <v>6</v>
      </c>
      <c r="DT120" s="539">
        <v>2</v>
      </c>
      <c r="DU120" s="539">
        <v>1</v>
      </c>
      <c r="DV120" s="524">
        <f>SUM(DR120:DU120)</f>
        <v>18</v>
      </c>
      <c r="DW120" s="539">
        <v>9</v>
      </c>
      <c r="DX120" s="539">
        <v>3</v>
      </c>
      <c r="DY120" s="539">
        <v>0</v>
      </c>
      <c r="DZ120" s="539">
        <v>2</v>
      </c>
      <c r="EA120" s="524">
        <f>SUM(DW120:DZ120)</f>
        <v>14</v>
      </c>
      <c r="EB120" s="539">
        <v>1</v>
      </c>
      <c r="EC120" s="539">
        <f>2-EB120</f>
        <v>1</v>
      </c>
      <c r="ED120" s="539">
        <v>1</v>
      </c>
      <c r="EE120" s="539">
        <v>1</v>
      </c>
      <c r="EF120" s="524">
        <f>SUM(EB120:EE120)</f>
        <v>4</v>
      </c>
      <c r="EG120" s="539">
        <v>1</v>
      </c>
      <c r="EH120" s="539">
        <v>1</v>
      </c>
      <c r="EI120" s="539">
        <v>2</v>
      </c>
      <c r="EJ120" s="539">
        <v>0</v>
      </c>
      <c r="EK120" s="524">
        <f>SUM(EG120:EJ120)</f>
        <v>4</v>
      </c>
      <c r="EL120" s="539">
        <f>EJ120</f>
        <v>0</v>
      </c>
      <c r="EM120" s="539">
        <f>EL120</f>
        <v>0</v>
      </c>
      <c r="EN120" s="539">
        <f>EM120</f>
        <v>0</v>
      </c>
      <c r="EO120" s="539">
        <v>3</v>
      </c>
      <c r="EP120" s="524">
        <f>SUM(EL120:EO120)</f>
        <v>3</v>
      </c>
      <c r="EQ120" s="539">
        <v>0</v>
      </c>
      <c r="ER120" s="539">
        <v>2</v>
      </c>
      <c r="ES120" s="539">
        <f>668+10</f>
        <v>678</v>
      </c>
      <c r="ET120" s="539">
        <f>-1+8</f>
        <v>7</v>
      </c>
      <c r="EU120" s="524">
        <f>SUM(EQ120:ET120)</f>
        <v>687</v>
      </c>
      <c r="EV120" s="539">
        <v>8</v>
      </c>
      <c r="EW120" s="539">
        <v>2</v>
      </c>
      <c r="EX120" s="539">
        <v>5</v>
      </c>
      <c r="EY120" s="539">
        <v>5</v>
      </c>
      <c r="EZ120" s="524">
        <f>SUM(EV120:EY120)</f>
        <v>20</v>
      </c>
      <c r="FA120" s="539">
        <v>0</v>
      </c>
      <c r="FB120" s="539">
        <v>0</v>
      </c>
      <c r="FC120" s="539">
        <v>44</v>
      </c>
      <c r="FD120" s="539">
        <f>70-FC120</f>
        <v>26</v>
      </c>
      <c r="FE120" s="524">
        <f>SUM(FA120:FD120)</f>
        <v>70</v>
      </c>
      <c r="FF120" s="539">
        <v>1</v>
      </c>
      <c r="FG120" s="539">
        <f>35-FF120</f>
        <v>34</v>
      </c>
      <c r="FH120" s="539">
        <f>38-FG120-FF120</f>
        <v>3</v>
      </c>
      <c r="FI120" s="539">
        <f>74-FH120-FG120-FF120</f>
        <v>36</v>
      </c>
      <c r="FJ120" s="524">
        <f>SUM(FF120:FI120)</f>
        <v>74</v>
      </c>
      <c r="FK120" s="539">
        <v>0</v>
      </c>
      <c r="FL120" s="539">
        <v>0</v>
      </c>
      <c r="FM120" s="539">
        <f>+-73+45-FL120-FK120</f>
        <v>-28</v>
      </c>
      <c r="FN120" s="539">
        <v>0</v>
      </c>
      <c r="FO120" s="524">
        <f>SUM(FK120:FN120)</f>
        <v>-28</v>
      </c>
      <c r="FP120" s="539">
        <f>2-10</f>
        <v>-8</v>
      </c>
      <c r="FQ120" s="539">
        <v>-256</v>
      </c>
      <c r="FR120" s="539">
        <f>+-219+55-1004-FQ120-FP120</f>
        <v>-904</v>
      </c>
      <c r="FS120" s="539">
        <f>-1762-237-FR120-FQ120-FP120</f>
        <v>-831</v>
      </c>
      <c r="FT120" s="524">
        <f>SUM(FP120:FS120)</f>
        <v>-1999</v>
      </c>
      <c r="FU120" s="539">
        <v>-1900</v>
      </c>
      <c r="FV120" s="539">
        <v>-920</v>
      </c>
      <c r="FW120" s="539">
        <v>-617</v>
      </c>
      <c r="FX120" s="539">
        <v>-250</v>
      </c>
      <c r="FY120" s="524">
        <f>SUM(FU120:FX120)</f>
        <v>-3687</v>
      </c>
      <c r="FZ120" s="539">
        <v>-241</v>
      </c>
      <c r="GA120" s="539">
        <f>-241-FZ120</f>
        <v>0</v>
      </c>
      <c r="GB120" s="539">
        <f>-752-GA120-FZ120</f>
        <v>-511</v>
      </c>
      <c r="GC120" s="539">
        <f>-985-SUM(FZ120:GB120)</f>
        <v>-233</v>
      </c>
      <c r="GD120" s="524">
        <f>SUM(FZ120:GC120)</f>
        <v>-985</v>
      </c>
      <c r="GE120" s="539">
        <v>-4</v>
      </c>
      <c r="GF120" s="539">
        <f>-356-GE120</f>
        <v>-352</v>
      </c>
      <c r="GG120" s="539">
        <v>-250</v>
      </c>
      <c r="GH120" s="539">
        <v>-256</v>
      </c>
      <c r="GI120" s="524">
        <f>SUM(GE120:GH120)</f>
        <v>-862</v>
      </c>
      <c r="GJ120" s="539">
        <v>-749</v>
      </c>
      <c r="GK120" s="539">
        <v>-478</v>
      </c>
      <c r="GL120" s="539">
        <v>-89</v>
      </c>
      <c r="GM120" s="539">
        <f>116-160</f>
        <v>-44</v>
      </c>
      <c r="GN120" s="524">
        <f>SUM(GJ120:GM120)</f>
        <v>-1360</v>
      </c>
      <c r="GO120" s="539">
        <f>-221-134</f>
        <v>-355</v>
      </c>
      <c r="GP120" s="548">
        <f>GO120</f>
        <v>-355</v>
      </c>
      <c r="GQ120" s="548">
        <f>GP120</f>
        <v>-355</v>
      </c>
      <c r="GR120" s="548">
        <v>1978.3333333333335</v>
      </c>
      <c r="GS120" s="524">
        <f>SUM(GO120:GR120)</f>
        <v>913.33333333333348</v>
      </c>
      <c r="GT120" s="548">
        <v>2616.666666666667</v>
      </c>
      <c r="GU120" s="548">
        <v>2883.3333333333335</v>
      </c>
      <c r="GV120" s="548">
        <v>3816.666666666667</v>
      </c>
      <c r="GW120" s="548">
        <v>4350</v>
      </c>
      <c r="GX120" s="524">
        <f>SUM(GT120:GW120)</f>
        <v>13666.666666666668</v>
      </c>
      <c r="GY120" s="548">
        <v>3950</v>
      </c>
      <c r="GZ120" s="548">
        <v>4190</v>
      </c>
      <c r="HA120" s="548">
        <v>4190</v>
      </c>
      <c r="HB120" s="548">
        <v>4790</v>
      </c>
      <c r="HC120" s="524">
        <f>SUM(GY120:HB120)</f>
        <v>17120</v>
      </c>
      <c r="HD120" s="548">
        <v>5695.454545454546</v>
      </c>
      <c r="HE120" s="548">
        <v>5695.454545454546</v>
      </c>
      <c r="HF120" s="548">
        <v>6180.3030303030309</v>
      </c>
      <c r="HG120" s="548">
        <v>6422.7272727272739</v>
      </c>
      <c r="HH120" s="524">
        <f>SUM(HD120:HG120)</f>
        <v>23993.939393939399</v>
      </c>
      <c r="HI120" s="548">
        <v>8216.6666666666679</v>
      </c>
      <c r="HJ120" s="548">
        <v>8216.6666666666679</v>
      </c>
      <c r="HK120" s="548">
        <v>8216.6666666666679</v>
      </c>
      <c r="HL120" s="548">
        <v>9016.6666666666679</v>
      </c>
      <c r="HM120" s="524">
        <f>SUM(HI120:HL120)</f>
        <v>33666.666666666672</v>
      </c>
      <c r="HN120" s="524"/>
      <c r="HO120" s="524"/>
      <c r="HP120" s="606"/>
      <c r="HR120" s="606"/>
      <c r="HS120" s="606"/>
      <c r="HT120" s="606"/>
      <c r="HU120" s="606"/>
      <c r="HV120" s="606"/>
      <c r="HW120" s="606"/>
      <c r="HX120" s="606"/>
    </row>
    <row r="121" spans="1:232" s="539" customFormat="1">
      <c r="A121" s="539" t="s">
        <v>441</v>
      </c>
      <c r="L121" s="523"/>
      <c r="M121" s="523"/>
      <c r="N121" s="523"/>
      <c r="O121" s="523"/>
      <c r="P121" s="524"/>
      <c r="Q121" s="523"/>
      <c r="R121" s="523"/>
      <c r="S121" s="523"/>
      <c r="T121" s="523"/>
      <c r="U121" s="524"/>
      <c r="V121" s="523"/>
      <c r="W121" s="523"/>
      <c r="X121" s="523"/>
      <c r="Y121" s="523"/>
      <c r="Z121" s="524"/>
      <c r="AA121" s="523"/>
      <c r="AB121" s="523"/>
      <c r="AC121" s="523"/>
      <c r="AD121" s="605"/>
      <c r="AE121" s="524"/>
      <c r="AF121" s="605">
        <v>0</v>
      </c>
      <c r="AG121" s="605">
        <f>0-AF121</f>
        <v>0</v>
      </c>
      <c r="AH121" s="605">
        <f>0-SUM(AF121:AG121)</f>
        <v>0</v>
      </c>
      <c r="AI121" s="605">
        <f>0-SUM(AF121:AH121)</f>
        <v>0</v>
      </c>
      <c r="AJ121" s="524">
        <f>SUM(AF121:AI121)</f>
        <v>0</v>
      </c>
      <c r="AK121" s="605">
        <v>0</v>
      </c>
      <c r="AL121" s="605">
        <f>0-AK121</f>
        <v>0</v>
      </c>
      <c r="AM121" s="605">
        <f>0-SUM(AK121:AL121)</f>
        <v>0</v>
      </c>
      <c r="AN121" s="605">
        <f>0-SUM(AK121:AM121)</f>
        <v>0</v>
      </c>
      <c r="AO121" s="524">
        <f>SUM(AK121:AN121)</f>
        <v>0</v>
      </c>
      <c r="AP121" s="523">
        <v>0</v>
      </c>
      <c r="AQ121" s="523">
        <f>0-AP121</f>
        <v>0</v>
      </c>
      <c r="AR121" s="523">
        <f>0-SUM(AP121:AQ121)</f>
        <v>0</v>
      </c>
      <c r="AS121" s="523">
        <f>0-SUM(AP121:AR121)</f>
        <v>0</v>
      </c>
      <c r="AT121" s="524">
        <f>SUM(AP121:AS121)</f>
        <v>0</v>
      </c>
      <c r="AU121" s="523">
        <v>0</v>
      </c>
      <c r="AV121" s="523">
        <f>0-AU121</f>
        <v>0</v>
      </c>
      <c r="AW121" s="523">
        <f>0-SUM(AU121:AV121)</f>
        <v>0</v>
      </c>
      <c r="AX121" s="523">
        <f>0-SUM(AU121:AW121)</f>
        <v>0</v>
      </c>
      <c r="AY121" s="524">
        <f>SUM(AU121:AX121)</f>
        <v>0</v>
      </c>
      <c r="AZ121" s="523">
        <v>0</v>
      </c>
      <c r="BA121" s="523">
        <f>0-AZ121</f>
        <v>0</v>
      </c>
      <c r="BB121" s="523">
        <f>0-SUM(AZ121:BA121)</f>
        <v>0</v>
      </c>
      <c r="BC121" s="523">
        <f>-13.08+77.865-SUM(AZ121:BB121)</f>
        <v>64.784999999999997</v>
      </c>
      <c r="BD121" s="524">
        <f>SUM(AZ121:BC121)</f>
        <v>64.784999999999997</v>
      </c>
      <c r="BE121" s="523">
        <v>0</v>
      </c>
      <c r="BF121" s="523">
        <f>-12.783+91.355-BE121</f>
        <v>78.572000000000003</v>
      </c>
      <c r="BG121" s="523">
        <f>-12.783+91.355-SUM(BE121:BF121)</f>
        <v>0</v>
      </c>
      <c r="BH121" s="523">
        <f>-14.35+196.651-SUM(BE121:BG121)</f>
        <v>103.72900000000001</v>
      </c>
      <c r="BI121" s="524">
        <f>SUM(BE121:BH121)</f>
        <v>182.30100000000002</v>
      </c>
      <c r="BJ121" s="523">
        <v>0</v>
      </c>
      <c r="BK121" s="523">
        <f>0-BJ121</f>
        <v>0</v>
      </c>
      <c r="BL121" s="539">
        <f>0-SUM(BJ121:BK121)</f>
        <v>0</v>
      </c>
      <c r="BM121" s="523">
        <f>14.341-SUM(BJ121:BL121)</f>
        <v>14.340999999999999</v>
      </c>
      <c r="BN121" s="524">
        <f>SUM(BJ121:BM121)</f>
        <v>14.340999999999999</v>
      </c>
      <c r="BO121" s="605">
        <v>0</v>
      </c>
      <c r="BP121" s="605">
        <f>0-BO121</f>
        <v>0</v>
      </c>
      <c r="BQ121" s="605">
        <f>0-SUM(BO121:BP121)</f>
        <v>0</v>
      </c>
      <c r="BR121" s="605">
        <f>15.382-SUM(BO121:BQ121)</f>
        <v>15.382</v>
      </c>
      <c r="BS121" s="524">
        <f>SUM(BO121:BR121)</f>
        <v>15.382</v>
      </c>
      <c r="BT121" s="523">
        <v>0</v>
      </c>
      <c r="BU121" s="523">
        <f>0-BT121</f>
        <v>0</v>
      </c>
      <c r="BV121" s="523">
        <f>0-SUM(BT121:BU121)</f>
        <v>0</v>
      </c>
      <c r="BW121" s="523">
        <f>63.363+37.51-SUM(BT121:BV121)</f>
        <v>100.87299999999999</v>
      </c>
      <c r="BX121" s="524">
        <f>SUM(BT121:BW121)</f>
        <v>100.87299999999999</v>
      </c>
      <c r="BY121" s="523">
        <f>-14.057+8.295</f>
        <v>-5.7620000000000005</v>
      </c>
      <c r="BZ121" s="523">
        <f>-14.057+74.781-BY121</f>
        <v>66.486000000000004</v>
      </c>
      <c r="CA121" s="523">
        <f>50.253-SUM(BY121:BZ121)</f>
        <v>-10.471000000000004</v>
      </c>
      <c r="CB121" s="523">
        <f>121.251+75.727-SUM(BY121:CA121)</f>
        <v>146.72500000000002</v>
      </c>
      <c r="CC121" s="524">
        <f>SUM(BY121:CB121)</f>
        <v>196.97800000000001</v>
      </c>
      <c r="CD121" s="523">
        <v>25.925999999999998</v>
      </c>
      <c r="CE121" s="523">
        <f>81.596-CD121</f>
        <v>55.67</v>
      </c>
      <c r="CF121" s="523">
        <f>244.647+142.029-SUM(CD121:CE121)</f>
        <v>305.08</v>
      </c>
      <c r="CG121" s="523">
        <f>7.35+40+155.349+244.647-74.447-SUM(CD121:CF121)</f>
        <v>-13.776999999999987</v>
      </c>
      <c r="CH121" s="524">
        <f>SUM(CD121:CG121)</f>
        <v>372.899</v>
      </c>
      <c r="CI121" s="539">
        <f>27.614</f>
        <v>27.614000000000001</v>
      </c>
      <c r="CJ121" s="539">
        <f>0.02+27.614-CI121</f>
        <v>1.9999999999999574E-2</v>
      </c>
      <c r="CK121" s="539">
        <f>4.91+44.141+90.888-SUM(CI121:CJ121)</f>
        <v>112.30500000000002</v>
      </c>
      <c r="CL121" s="539">
        <f>30.11+59.531+127.916+223.808-SUM(CI121:CK121)</f>
        <v>301.42599999999999</v>
      </c>
      <c r="CM121" s="524">
        <f>SUM(CI121:CL121)</f>
        <v>441.36500000000001</v>
      </c>
      <c r="CN121" s="539">
        <f>99.043+78.145</f>
        <v>177.18799999999999</v>
      </c>
      <c r="CO121" s="539">
        <f>159.932+78.145+54.401-CN121</f>
        <v>115.29000000000002</v>
      </c>
      <c r="CP121" s="539">
        <f>159.932+78.145+54.401-8.013-SUM(CN121:CO121)</f>
        <v>-8.0129999999999768</v>
      </c>
      <c r="CQ121" s="539">
        <f>163.459+129.171+89.606-8.013-SUM(CN121:CP121)</f>
        <v>89.757999999999981</v>
      </c>
      <c r="CR121" s="524">
        <f>SUM(CN121:CQ121)</f>
        <v>374.22300000000001</v>
      </c>
      <c r="CS121" s="539">
        <v>105.435</v>
      </c>
      <c r="CT121" s="539">
        <f>201.442-CS121</f>
        <v>96.007000000000005</v>
      </c>
      <c r="CU121" s="539">
        <f>201.78-SUM(CS121:CT121)-2.914</f>
        <v>-2.5760000000000063</v>
      </c>
      <c r="CV121" s="539">
        <f>210-SUM(CS121:CU121)</f>
        <v>11.133999999999986</v>
      </c>
      <c r="CW121" s="524">
        <f>SUM(CS121:CV121)</f>
        <v>210</v>
      </c>
      <c r="CX121" s="539">
        <v>0</v>
      </c>
      <c r="CY121" s="539">
        <f>-22-182+156+46-CX121</f>
        <v>-2</v>
      </c>
      <c r="CZ121" s="539">
        <f>-48+210-SUM(CX121:CY121)</f>
        <v>164</v>
      </c>
      <c r="DA121" s="539">
        <f>223-46-2-SUM(CX121:CZ121)</f>
        <v>13</v>
      </c>
      <c r="DB121" s="524">
        <f>SUM(CX121:DA121)</f>
        <v>175</v>
      </c>
      <c r="DC121" s="539">
        <f>141+16</f>
        <v>157</v>
      </c>
      <c r="DD121" s="539">
        <f>-38-3+146+16-DC121</f>
        <v>-36</v>
      </c>
      <c r="DE121" s="539">
        <f>-19-38+154+15-SUM(DC121:DD121)</f>
        <v>-9</v>
      </c>
      <c r="DF121" s="539">
        <f>161-63-19-1-SUM(DC121:DE121)</f>
        <v>-34</v>
      </c>
      <c r="DG121" s="524">
        <f>SUM(DC121:DF121)</f>
        <v>78</v>
      </c>
      <c r="DH121" s="539">
        <f>34-158-105-67-32</f>
        <v>-328</v>
      </c>
      <c r="DI121" s="539">
        <f>39-158-67-32-DH121</f>
        <v>110</v>
      </c>
      <c r="DJ121" s="539">
        <f>40-158-67-32-1-SUM(DH121:DI121)</f>
        <v>0</v>
      </c>
      <c r="DK121" s="539">
        <f>DJ121</f>
        <v>0</v>
      </c>
      <c r="DL121" s="524">
        <f>SUM(DH121:DK121)</f>
        <v>-218</v>
      </c>
      <c r="DM121" s="539">
        <v>0</v>
      </c>
      <c r="DN121" s="539">
        <v>11</v>
      </c>
      <c r="DO121" s="539">
        <v>-3</v>
      </c>
      <c r="DP121" s="539">
        <f>8+6+7</f>
        <v>21</v>
      </c>
      <c r="DQ121" s="524">
        <f>SUM(DM121:DP121)</f>
        <v>29</v>
      </c>
      <c r="DR121" s="539">
        <f>7-2</f>
        <v>5</v>
      </c>
      <c r="DS121" s="539">
        <v>1</v>
      </c>
      <c r="DT121" s="539">
        <v>-1</v>
      </c>
      <c r="DU121" s="539">
        <v>10</v>
      </c>
      <c r="DV121" s="524">
        <f>SUM(DR121:DU121)</f>
        <v>15</v>
      </c>
      <c r="DW121" s="539">
        <v>9</v>
      </c>
      <c r="DX121" s="539">
        <f>-1+3</f>
        <v>2</v>
      </c>
      <c r="DY121" s="539">
        <v>6</v>
      </c>
      <c r="DZ121" s="539">
        <f>5-1</f>
        <v>4</v>
      </c>
      <c r="EA121" s="524">
        <f>SUM(DW121:DZ121)</f>
        <v>21</v>
      </c>
      <c r="EB121" s="539">
        <v>0</v>
      </c>
      <c r="EC121" s="539">
        <v>2</v>
      </c>
      <c r="ED121" s="539">
        <f>-1+4</f>
        <v>3</v>
      </c>
      <c r="EE121" s="539">
        <f>5-1</f>
        <v>4</v>
      </c>
      <c r="EF121" s="524">
        <f>SUM(EB121:EE121)</f>
        <v>9</v>
      </c>
      <c r="EG121" s="539">
        <v>-1</v>
      </c>
      <c r="EH121" s="539">
        <f>-1+2</f>
        <v>1</v>
      </c>
      <c r="EI121" s="539">
        <f>3-1-4</f>
        <v>-2</v>
      </c>
      <c r="EJ121" s="539">
        <v>3</v>
      </c>
      <c r="EK121" s="524">
        <f>SUM(EG121:EJ121)</f>
        <v>1</v>
      </c>
      <c r="EL121" s="539">
        <f>4-1-1</f>
        <v>2</v>
      </c>
      <c r="EM121" s="539">
        <v>0</v>
      </c>
      <c r="EN121" s="539">
        <f>4-2</f>
        <v>2</v>
      </c>
      <c r="EO121" s="539">
        <v>6</v>
      </c>
      <c r="EP121" s="524">
        <f>SUM(EL121:EO121)</f>
        <v>10</v>
      </c>
      <c r="EQ121" s="539">
        <v>-1</v>
      </c>
      <c r="ER121" s="539">
        <v>-1</v>
      </c>
      <c r="ES121" s="539">
        <v>-3</v>
      </c>
      <c r="ET121" s="539">
        <v>1</v>
      </c>
      <c r="EU121" s="524">
        <f>SUM(EQ121:ET121)</f>
        <v>-4</v>
      </c>
      <c r="EV121" s="539">
        <v>-5</v>
      </c>
      <c r="EW121" s="539">
        <v>-6</v>
      </c>
      <c r="EX121" s="539">
        <v>-3</v>
      </c>
      <c r="EY121" s="539">
        <v>1</v>
      </c>
      <c r="EZ121" s="524">
        <f>SUM(EV121:EY121)</f>
        <v>-13</v>
      </c>
      <c r="FA121" s="539">
        <v>6</v>
      </c>
      <c r="FB121" s="539">
        <f>35-FA121</f>
        <v>29</v>
      </c>
      <c r="FC121" s="539">
        <f>-1-FB121-FA121</f>
        <v>-36</v>
      </c>
      <c r="FD121" s="539">
        <f>-1-FC121-FB121-FA121</f>
        <v>0</v>
      </c>
      <c r="FE121" s="524">
        <f>SUM(FA121:FD121)</f>
        <v>-1</v>
      </c>
      <c r="FF121" s="539">
        <v>449</v>
      </c>
      <c r="FG121" s="539">
        <f>449-2-FF121</f>
        <v>-2</v>
      </c>
      <c r="FH121" s="539">
        <f>449-6-FG121-FF121</f>
        <v>-4</v>
      </c>
      <c r="FI121" s="539">
        <f>449-FH121-FG121-FF121-7</f>
        <v>-1</v>
      </c>
      <c r="FJ121" s="524">
        <f>SUM(FF121:FI121)</f>
        <v>442</v>
      </c>
      <c r="FK121" s="539">
        <v>2</v>
      </c>
      <c r="FL121" s="539">
        <f>42-2-FK121</f>
        <v>38</v>
      </c>
      <c r="FM121" s="539">
        <f>-1-FL121-FK121</f>
        <v>-41</v>
      </c>
      <c r="FN121" s="539">
        <v>0</v>
      </c>
      <c r="FO121" s="524">
        <f>SUM(FK121:FN121)</f>
        <v>-1</v>
      </c>
      <c r="FP121" s="539">
        <v>0</v>
      </c>
      <c r="FQ121" s="539">
        <v>44.978000000000002</v>
      </c>
      <c r="FR121" s="539">
        <f>0-FQ121-FP121</f>
        <v>-44.978000000000002</v>
      </c>
      <c r="FS121" s="539">
        <v>104</v>
      </c>
      <c r="FT121" s="524">
        <f>SUM(FP121:FS121)</f>
        <v>104</v>
      </c>
      <c r="FU121" s="539">
        <v>-48</v>
      </c>
      <c r="FV121" s="539">
        <f>114-FV120-FV119-FV118</f>
        <v>44</v>
      </c>
      <c r="FW121" s="539">
        <f>-1233-FW120-FW119-FW118</f>
        <v>-305</v>
      </c>
      <c r="FX121" s="539">
        <f>-197-FX120-FX119-FX118</f>
        <v>-1213</v>
      </c>
      <c r="FY121" s="524">
        <f>SUM(FU121:FX121)</f>
        <v>-1522</v>
      </c>
      <c r="FZ121" s="539">
        <f>-259-FZ120-FZ119-FZ118</f>
        <v>-18</v>
      </c>
      <c r="GA121" s="539">
        <f>144-87-FZ121</f>
        <v>75</v>
      </c>
      <c r="GB121" s="539">
        <f>148-382-1-SUM(FZ121:GA121)</f>
        <v>-292</v>
      </c>
      <c r="GC121" s="539">
        <f>268-427-2-SUM(FZ121:GB121)</f>
        <v>74</v>
      </c>
      <c r="GD121" s="524">
        <f>SUM(FZ121:GC121)</f>
        <v>-161</v>
      </c>
      <c r="GE121" s="539">
        <f>5-129-1</f>
        <v>-125</v>
      </c>
      <c r="GF121" s="539">
        <f>148-226-1-GE121</f>
        <v>46</v>
      </c>
      <c r="GG121" s="539">
        <f>-460+4</f>
        <v>-456</v>
      </c>
      <c r="GH121" s="539">
        <f>127-42</f>
        <v>85</v>
      </c>
      <c r="GI121" s="524">
        <f>SUM(GE121:GH121)</f>
        <v>-450</v>
      </c>
      <c r="GJ121" s="539">
        <f>4-30</f>
        <v>-26</v>
      </c>
      <c r="GK121" s="539">
        <f>155-46</f>
        <v>109</v>
      </c>
      <c r="GL121" s="539">
        <f>10-371</f>
        <v>-361</v>
      </c>
      <c r="GM121" s="539">
        <v>-284</v>
      </c>
      <c r="GN121" s="524">
        <f>SUM(GJ121:GM121)</f>
        <v>-562</v>
      </c>
      <c r="GO121" s="539">
        <v>5</v>
      </c>
      <c r="GP121" s="548">
        <v>0</v>
      </c>
      <c r="GQ121" s="548">
        <v>0</v>
      </c>
      <c r="GR121" s="548">
        <v>0</v>
      </c>
      <c r="GS121" s="524">
        <f>SUM(GO121:GR121)</f>
        <v>5</v>
      </c>
      <c r="GT121" s="548">
        <v>0</v>
      </c>
      <c r="GU121" s="548">
        <v>0</v>
      </c>
      <c r="GV121" s="548">
        <v>0</v>
      </c>
      <c r="GW121" s="548">
        <v>0</v>
      </c>
      <c r="GX121" s="524">
        <f>SUM(GT121:GW121)</f>
        <v>0</v>
      </c>
      <c r="GY121" s="548">
        <v>0</v>
      </c>
      <c r="GZ121" s="548">
        <v>0</v>
      </c>
      <c r="HA121" s="548">
        <v>0</v>
      </c>
      <c r="HB121" s="548">
        <v>0</v>
      </c>
      <c r="HC121" s="524">
        <f>SUM(GY121:HB121)</f>
        <v>0</v>
      </c>
      <c r="HD121" s="548">
        <v>0</v>
      </c>
      <c r="HE121" s="548">
        <v>0</v>
      </c>
      <c r="HF121" s="548">
        <v>0</v>
      </c>
      <c r="HG121" s="548">
        <v>0</v>
      </c>
      <c r="HH121" s="524">
        <f>SUM(HD121:HG121)</f>
        <v>0</v>
      </c>
      <c r="HI121" s="548">
        <v>0</v>
      </c>
      <c r="HJ121" s="548">
        <v>0</v>
      </c>
      <c r="HK121" s="548">
        <v>0</v>
      </c>
      <c r="HL121" s="548">
        <v>0</v>
      </c>
      <c r="HM121" s="524">
        <f>SUM(HI121:HL121)</f>
        <v>0</v>
      </c>
      <c r="HN121" s="524"/>
      <c r="HO121" s="524"/>
      <c r="HP121" s="606"/>
      <c r="HR121" s="606"/>
      <c r="HS121" s="606"/>
      <c r="HT121" s="606"/>
      <c r="HU121" s="606"/>
      <c r="HV121" s="606"/>
      <c r="HW121" s="606"/>
      <c r="HX121" s="606"/>
    </row>
    <row r="122" spans="1:232" s="539" customFormat="1">
      <c r="A122" s="636" t="s">
        <v>442</v>
      </c>
      <c r="L122" s="523"/>
      <c r="M122" s="523"/>
      <c r="N122" s="523"/>
      <c r="O122" s="523"/>
      <c r="P122" s="524"/>
      <c r="Q122" s="523"/>
      <c r="R122" s="523"/>
      <c r="S122" s="523"/>
      <c r="T122" s="523"/>
      <c r="U122" s="524"/>
      <c r="V122" s="523"/>
      <c r="W122" s="523"/>
      <c r="X122" s="523"/>
      <c r="Y122" s="523"/>
      <c r="Z122" s="524"/>
      <c r="AA122" s="523"/>
      <c r="AB122" s="523"/>
      <c r="AC122" s="523"/>
      <c r="AD122" s="523"/>
      <c r="AE122" s="524"/>
      <c r="AF122" s="523">
        <f>SUM(AF118:AF121)</f>
        <v>-5.42</v>
      </c>
      <c r="AG122" s="523">
        <f>SUM(AG118:AG121)</f>
        <v>16.067999999999998</v>
      </c>
      <c r="AH122" s="523">
        <f>SUM(AH118:AH121)</f>
        <v>-0.4659999999999993</v>
      </c>
      <c r="AI122" s="523">
        <f>SUM(AI118:AI121)</f>
        <v>9.7210000000000036</v>
      </c>
      <c r="AJ122" s="524">
        <f>SUM(AF122:AI122)</f>
        <v>19.903000000000002</v>
      </c>
      <c r="AK122" s="523">
        <f>SUM(AK118:AK121)</f>
        <v>-5.1190000000000007</v>
      </c>
      <c r="AL122" s="523">
        <f>SUM(AL118:AL121)</f>
        <v>6.7530000000000037</v>
      </c>
      <c r="AM122" s="523">
        <f>SUM(AM118:AM121)</f>
        <v>-3.9190000000000005</v>
      </c>
      <c r="AN122" s="523">
        <f>SUM(AN118:AN121)</f>
        <v>4.6269999999999989</v>
      </c>
      <c r="AO122" s="524">
        <f>SUM(AK122:AN122)</f>
        <v>2.3420000000000014</v>
      </c>
      <c r="AP122" s="523">
        <f>SUM(AP118:AP121)</f>
        <v>145.51599999999999</v>
      </c>
      <c r="AQ122" s="523">
        <f>SUM(AQ118:AQ121)</f>
        <v>-6.4289999999999932</v>
      </c>
      <c r="AR122" s="523">
        <f>SUM(AR118:AR121)</f>
        <v>-6.0419999999999856</v>
      </c>
      <c r="AS122" s="523">
        <f>SUM(AS118:AS121)</f>
        <v>-2.1500000000000128</v>
      </c>
      <c r="AT122" s="524">
        <f>SUM(AP122:AS122)</f>
        <v>130.89500000000001</v>
      </c>
      <c r="AU122" s="523">
        <f>SUM(AU118:AU121)</f>
        <v>-7.6629999999999967</v>
      </c>
      <c r="AV122" s="523">
        <f>SUM(AV118:AV121)</f>
        <v>-9.5770000000000017</v>
      </c>
      <c r="AW122" s="523">
        <f>SUM(AW118:AW121)</f>
        <v>248.24499999999998</v>
      </c>
      <c r="AX122" s="523">
        <f>SUM(AX118:AX121)</f>
        <v>11.149000000000036</v>
      </c>
      <c r="AY122" s="524">
        <f>SUM(AU122:AX122)</f>
        <v>242.154</v>
      </c>
      <c r="AZ122" s="523">
        <f>SUM(AZ118:AZ121)</f>
        <v>264.41899999999998</v>
      </c>
      <c r="BA122" s="523">
        <f>SUM(BA118:BA121)</f>
        <v>10.799999999999997</v>
      </c>
      <c r="BB122" s="523">
        <f>SUM(BB118:BB121)</f>
        <v>9.7880000000000109</v>
      </c>
      <c r="BC122" s="523">
        <f>SUM(BC118:BC121)</f>
        <v>23.943000000000012</v>
      </c>
      <c r="BD122" s="524">
        <f>SUM(AZ122:BC122)</f>
        <v>308.95000000000005</v>
      </c>
      <c r="BE122" s="523">
        <f>SUM(BE118:BE121)</f>
        <v>38.100999999999999</v>
      </c>
      <c r="BF122" s="523">
        <f>SUM(BF118:BF121)</f>
        <v>599.40900000000011</v>
      </c>
      <c r="BG122" s="523">
        <f>SUM(BG118:BG121)</f>
        <v>246.93999999999994</v>
      </c>
      <c r="BH122" s="523">
        <f>SUM(BH118:BH121)</f>
        <v>90.501000000000047</v>
      </c>
      <c r="BI122" s="524">
        <f>SUM(BE122:BH122)</f>
        <v>974.95100000000014</v>
      </c>
      <c r="BJ122" s="523">
        <f>SUM(BJ118:BJ121)</f>
        <v>-27.140999999999998</v>
      </c>
      <c r="BK122" s="523">
        <f>SUM(BK118:BK121)</f>
        <v>-89.165999999999997</v>
      </c>
      <c r="BL122" s="523">
        <f>SUM(BL118:BL121)</f>
        <v>-67.078000000000003</v>
      </c>
      <c r="BM122" s="523">
        <f>SUM(BM118:BM121)</f>
        <v>9.8419999999999952</v>
      </c>
      <c r="BN122" s="524">
        <f>SUM(BJ122:BM122)</f>
        <v>-173.54300000000001</v>
      </c>
      <c r="BO122" s="523">
        <f>SUM(BO118:BO121)</f>
        <v>50.908999999999999</v>
      </c>
      <c r="BP122" s="523">
        <f>SUM(BP118:BP121)</f>
        <v>38.734000000000002</v>
      </c>
      <c r="BQ122" s="523">
        <f>SUM(BQ118:BQ121)</f>
        <v>-222.13200000000001</v>
      </c>
      <c r="BR122" s="523">
        <f>SUM(BR118:BR121)</f>
        <v>31.637999999999955</v>
      </c>
      <c r="BS122" s="524">
        <f>SUM(BO122:BR122)</f>
        <v>-100.85100000000006</v>
      </c>
      <c r="BT122" s="523">
        <f>SUM(BT118:BT121)</f>
        <v>338.21799999999996</v>
      </c>
      <c r="BU122" s="523">
        <f>SUM(BU118:BU121)</f>
        <v>-18.885999999999964</v>
      </c>
      <c r="BV122" s="523">
        <f>SUM(BV118:BV121)</f>
        <v>-97.820000000000036</v>
      </c>
      <c r="BW122" s="523">
        <f>SUM(BW118:BW121)</f>
        <v>10.199999999999989</v>
      </c>
      <c r="BX122" s="524">
        <f>SUM(BT122:BW122)</f>
        <v>231.71199999999993</v>
      </c>
      <c r="BY122" s="523">
        <f>SUM(BY118:BY121)</f>
        <v>436.43999999999994</v>
      </c>
      <c r="BZ122" s="523">
        <f>SUM(BZ118:BZ121)</f>
        <v>37.433000000000007</v>
      </c>
      <c r="CA122" s="523">
        <f>SUM(CA118:CA121)</f>
        <v>55.018000000000058</v>
      </c>
      <c r="CB122" s="523">
        <f>SUM(CB118:CB121)</f>
        <v>378.54899999999998</v>
      </c>
      <c r="CC122" s="524">
        <f>SUM(BY122:CB122)</f>
        <v>907.43999999999994</v>
      </c>
      <c r="CD122" s="523">
        <f>SUM(CD118:CD121)</f>
        <v>9.6649999999999991</v>
      </c>
      <c r="CE122" s="523">
        <f>SUM(CE118:CE121)</f>
        <v>47.102000000000004</v>
      </c>
      <c r="CF122" s="523">
        <f>SUM(CF118:CF121)</f>
        <v>308.92699999999996</v>
      </c>
      <c r="CG122" s="523">
        <f>SUM(CG118:CG121)</f>
        <v>-98.291999999999973</v>
      </c>
      <c r="CH122" s="524">
        <f>SUM(CD122:CG122)</f>
        <v>267.40199999999999</v>
      </c>
      <c r="CI122" s="523">
        <f>SUM(CI118:CI121)</f>
        <v>-6.3160000000000061</v>
      </c>
      <c r="CJ122" s="523">
        <f>SUM(CJ118:CJ121)</f>
        <v>-59.78</v>
      </c>
      <c r="CK122" s="523">
        <f>SUM(CK118:CK121)</f>
        <v>164.98200000000003</v>
      </c>
      <c r="CL122" s="523">
        <f>SUM(CL118:CL121)</f>
        <v>313.91399999999993</v>
      </c>
      <c r="CM122" s="524">
        <f>SUM(CI122:CL122)</f>
        <v>412.79999999999995</v>
      </c>
      <c r="CN122" s="523">
        <f>SUM(CN118:CN121)</f>
        <v>158.047</v>
      </c>
      <c r="CO122" s="523">
        <f>SUM(CO118:CO121)</f>
        <v>173.80100000000002</v>
      </c>
      <c r="CP122" s="523">
        <f>SUM(CP118:CP121)</f>
        <v>59.53400000000002</v>
      </c>
      <c r="CQ122" s="523">
        <f>SUM(CQ118:CQ121)</f>
        <v>102.80699999999996</v>
      </c>
      <c r="CR122" s="640">
        <f>SUM(CN122:CQ122)</f>
        <v>494.18900000000002</v>
      </c>
      <c r="CS122" s="523">
        <f>SUM(CS118:CS121)</f>
        <v>549.0619999999999</v>
      </c>
      <c r="CT122" s="523">
        <f>SUM(CT118:CT121)</f>
        <v>127.256</v>
      </c>
      <c r="CU122" s="523">
        <f>SUM(CU118:CU121)</f>
        <v>17.563000000000002</v>
      </c>
      <c r="CV122" s="523">
        <f>SUM(CV118:CV121)</f>
        <v>3069.1190000000001</v>
      </c>
      <c r="CW122" s="524">
        <f>SUM(CS122:CV122)</f>
        <v>3763</v>
      </c>
      <c r="CX122" s="523">
        <f>SUM(CX118:CX121)</f>
        <v>162</v>
      </c>
      <c r="CY122" s="523">
        <f>SUM(CY118:CY121)</f>
        <v>1474</v>
      </c>
      <c r="CZ122" s="523">
        <f>SUM(CZ118:CZ121)</f>
        <v>-200</v>
      </c>
      <c r="DA122" s="523">
        <f>SUM(DA118:DA121)</f>
        <v>601</v>
      </c>
      <c r="DB122" s="524">
        <f>SUM(CX122:DA122)</f>
        <v>2037</v>
      </c>
      <c r="DC122" s="523">
        <f>SUM(DC118:DC121)</f>
        <v>154</v>
      </c>
      <c r="DD122" s="523">
        <f>SUM(DD118:DD121)</f>
        <v>-19</v>
      </c>
      <c r="DE122" s="523">
        <f>SUM(DE118:DE121)</f>
        <v>61</v>
      </c>
      <c r="DF122" s="523">
        <f>SUM(DF118:DF121)</f>
        <v>24</v>
      </c>
      <c r="DG122" s="524">
        <f>SUM(DC122:DF122)</f>
        <v>220</v>
      </c>
      <c r="DH122" s="523">
        <f>SUM(DH118:DH121)</f>
        <v>2039</v>
      </c>
      <c r="DI122" s="523">
        <f>SUM(DI118:DI121)</f>
        <v>38</v>
      </c>
      <c r="DJ122" s="523">
        <f>SUM(DJ118:DJ121)</f>
        <v>230</v>
      </c>
      <c r="DK122" s="523">
        <f>SUM(DK118:DK121)</f>
        <v>-890</v>
      </c>
      <c r="DL122" s="524">
        <f>SUM(DH122:DK122)</f>
        <v>1417</v>
      </c>
      <c r="DM122" s="523">
        <f>SUM(DM118:DM121)</f>
        <v>177</v>
      </c>
      <c r="DN122" s="523">
        <f>SUM(DN118:DN121)</f>
        <v>24</v>
      </c>
      <c r="DO122" s="523">
        <f>SUM(DO118:DO121)</f>
        <v>-19</v>
      </c>
      <c r="DP122" s="523">
        <f>SUM(DP118:DP121)</f>
        <v>302</v>
      </c>
      <c r="DQ122" s="524">
        <f>SUM(DM122:DP122)</f>
        <v>484</v>
      </c>
      <c r="DR122" s="523">
        <f>SUM(DR118:DR121)</f>
        <v>178</v>
      </c>
      <c r="DS122" s="523">
        <f>SUM(DS118:DS121)</f>
        <v>8</v>
      </c>
      <c r="DT122" s="523">
        <f>SUM(DT118:DT121)</f>
        <v>-152</v>
      </c>
      <c r="DU122" s="523">
        <f>SUM(DU118:DU121)</f>
        <v>-40</v>
      </c>
      <c r="DV122" s="524">
        <f>SUM(DR122:DU122)</f>
        <v>-6</v>
      </c>
      <c r="DW122" s="523">
        <f>SUM(DW118:DW121)</f>
        <v>17</v>
      </c>
      <c r="DX122" s="523">
        <f>SUM(DX118:DX121)</f>
        <v>-45</v>
      </c>
      <c r="DY122" s="523">
        <f>SUM(DY118:DY121)</f>
        <v>11</v>
      </c>
      <c r="DZ122" s="523">
        <f>SUM(DZ118:DZ121)</f>
        <v>5</v>
      </c>
      <c r="EA122" s="524">
        <f>SUM(DW122:DZ122)</f>
        <v>-12</v>
      </c>
      <c r="EB122" s="523">
        <f>SUM(EB118:EB121)</f>
        <v>0</v>
      </c>
      <c r="EC122" s="523">
        <f>SUM(EC118:EC121)</f>
        <v>2</v>
      </c>
      <c r="ED122" s="523">
        <f>SUM(ED118:ED121)</f>
        <v>2</v>
      </c>
      <c r="EE122" s="523">
        <f>SUM(EE118:EE121)</f>
        <v>9</v>
      </c>
      <c r="EF122" s="524">
        <f>SUM(EB122:EE122)</f>
        <v>13</v>
      </c>
      <c r="EG122" s="523">
        <f>SUM(EG118:EG121)</f>
        <v>20</v>
      </c>
      <c r="EH122" s="523">
        <f>SUM(EH118:EH121)</f>
        <v>20</v>
      </c>
      <c r="EI122" s="523">
        <f>SUM(EI118:EI121)</f>
        <v>0</v>
      </c>
      <c r="EJ122" s="523">
        <f>SUM(EJ118:EJ121)</f>
        <v>6</v>
      </c>
      <c r="EK122" s="524">
        <f>SUM(EG122:EJ122)</f>
        <v>46</v>
      </c>
      <c r="EL122" s="523">
        <f>SUM(EL118:EL121)</f>
        <v>60</v>
      </c>
      <c r="EM122" s="523">
        <f>SUM(EM118:EM121)</f>
        <v>-1</v>
      </c>
      <c r="EN122" s="523">
        <f>SUM(EN118:EN121)</f>
        <v>2</v>
      </c>
      <c r="EO122" s="523">
        <f>SUM(EO118:EO121)</f>
        <v>9</v>
      </c>
      <c r="EP122" s="524">
        <f>SUM(EL122:EO122)</f>
        <v>70</v>
      </c>
      <c r="EQ122" s="523">
        <f>SUM(EQ118:EQ121)</f>
        <v>-1</v>
      </c>
      <c r="ER122" s="523">
        <f>SUM(ER118:ER121)</f>
        <v>-3</v>
      </c>
      <c r="ES122" s="523">
        <f>SUM(ES118:ES121)</f>
        <v>282</v>
      </c>
      <c r="ET122" s="523">
        <f>SUM(ET118:ET121)</f>
        <v>-156</v>
      </c>
      <c r="EU122" s="524">
        <f>SUM(EQ122:ET122)</f>
        <v>122</v>
      </c>
      <c r="EV122" s="523">
        <f>SUM(EV118:EV121)</f>
        <v>3</v>
      </c>
      <c r="EW122" s="523">
        <f>SUM(EW118:EW121)</f>
        <v>-4</v>
      </c>
      <c r="EX122" s="523">
        <f>SUM(EX118:EX121)</f>
        <v>2</v>
      </c>
      <c r="EY122" s="523">
        <f>SUM(EY118:EY121)</f>
        <v>-34</v>
      </c>
      <c r="EZ122" s="524">
        <f>SUM(EV122:EY122)</f>
        <v>-33</v>
      </c>
      <c r="FA122" s="523">
        <f>SUM(FA118:FA121)</f>
        <v>-8</v>
      </c>
      <c r="FB122" s="523">
        <f>SUM(FB118:FB121)</f>
        <v>28</v>
      </c>
      <c r="FC122" s="523">
        <f>SUM(FC118:FC121)</f>
        <v>8</v>
      </c>
      <c r="FD122" s="523">
        <f>SUM(FD118:FD121)</f>
        <v>0</v>
      </c>
      <c r="FE122" s="524">
        <f>SUM(FA122:FD122)</f>
        <v>28</v>
      </c>
      <c r="FF122" s="523">
        <f>SUM(FF118:FF121)</f>
        <v>286</v>
      </c>
      <c r="FG122" s="523">
        <f>SUM(FG118:FG121)</f>
        <v>-38</v>
      </c>
      <c r="FH122" s="523">
        <f>SUM(FH118:FH121)</f>
        <v>-98</v>
      </c>
      <c r="FI122" s="523">
        <f>SUM(FI118:FI121)</f>
        <v>-107</v>
      </c>
      <c r="FJ122" s="524">
        <f>SUM(FF122:FI122)</f>
        <v>43</v>
      </c>
      <c r="FK122" s="523">
        <f>SUM(FK118:FK121)</f>
        <v>2</v>
      </c>
      <c r="FL122" s="523">
        <f>SUM(FL118:FL121)</f>
        <v>238</v>
      </c>
      <c r="FM122" s="523">
        <f>SUM(FM118:FM121)</f>
        <v>-269</v>
      </c>
      <c r="FN122" s="523">
        <f>SUM(FN118:FN121)</f>
        <v>0</v>
      </c>
      <c r="FO122" s="524">
        <f>SUM(FK122:FN122)</f>
        <v>-29</v>
      </c>
      <c r="FP122" s="523">
        <f>SUM(FP118:FP121)</f>
        <v>-8</v>
      </c>
      <c r="FQ122" s="523">
        <f>SUM(FQ118:FQ121)</f>
        <v>-211.02199999999999</v>
      </c>
      <c r="FR122" s="523">
        <f>SUM(FR118:FR121)</f>
        <v>-948.97799999999995</v>
      </c>
      <c r="FS122" s="523">
        <f>SUM(FS118:FS121)</f>
        <v>-727</v>
      </c>
      <c r="FT122" s="524">
        <f>SUM(FP122:FS122)</f>
        <v>-1895</v>
      </c>
      <c r="FU122" s="523">
        <f>SUM(FU118:FU121)</f>
        <v>-1948</v>
      </c>
      <c r="FV122" s="523">
        <f>SUM(FV118:FV121)</f>
        <v>114</v>
      </c>
      <c r="FW122" s="523">
        <f>SUM(FW118:FW121)</f>
        <v>-1233</v>
      </c>
      <c r="FX122" s="523">
        <f>SUM(FX118:FX121)</f>
        <v>-197</v>
      </c>
      <c r="FY122" s="524">
        <f>SUM(FU122:FX122)</f>
        <v>-3264</v>
      </c>
      <c r="FZ122" s="523">
        <f>SUM(FZ118:FZ121)</f>
        <v>-259</v>
      </c>
      <c r="GA122" s="523">
        <f>SUM(GA118:GA121)</f>
        <v>75</v>
      </c>
      <c r="GB122" s="523">
        <f>SUM(GB118:GB121)</f>
        <v>-803</v>
      </c>
      <c r="GC122" s="523">
        <f>SUM(GC118:GC121)</f>
        <v>-159</v>
      </c>
      <c r="GD122" s="524">
        <f>SUM(FZ122:GC122)</f>
        <v>-1146</v>
      </c>
      <c r="GE122" s="523">
        <f>SUM(GE118:GE121)</f>
        <v>-129</v>
      </c>
      <c r="GF122" s="523">
        <f>SUM(GF118:GF121)</f>
        <v>-1056</v>
      </c>
      <c r="GG122" s="523">
        <f>SUM(GG118:GG121)</f>
        <v>-706</v>
      </c>
      <c r="GH122" s="523">
        <f>SUM(GH118:GH121)</f>
        <v>-171</v>
      </c>
      <c r="GI122" s="524">
        <f>SUM(GE122:GH122)</f>
        <v>-2062</v>
      </c>
      <c r="GJ122" s="523">
        <f>SUM(GJ118:GJ121)</f>
        <v>1666</v>
      </c>
      <c r="GK122" s="523">
        <f>SUM(GK118:GK121)</f>
        <v>-1319</v>
      </c>
      <c r="GL122" s="523">
        <f>SUM(GL118:GL121)</f>
        <v>-450</v>
      </c>
      <c r="GM122" s="523">
        <f>SUM(GM118:GM121)</f>
        <v>-328</v>
      </c>
      <c r="GN122" s="524">
        <f>SUM(GJ122:GM122)</f>
        <v>-431</v>
      </c>
      <c r="GO122" s="523">
        <f>SUM(GO118:GO121)</f>
        <v>-350</v>
      </c>
      <c r="GP122" s="523">
        <f>SUM(GP118:GP121)</f>
        <v>-355</v>
      </c>
      <c r="GQ122" s="523">
        <f>SUM(GQ118:GQ121)</f>
        <v>-355</v>
      </c>
      <c r="GR122" s="523">
        <f>SUM(GR118:GR121)</f>
        <v>1978.3333333333335</v>
      </c>
      <c r="GS122" s="524">
        <f>SUM(GO122:GR122)</f>
        <v>918.33333333333348</v>
      </c>
      <c r="GT122" s="523">
        <f>SUM(GT118:GT121)</f>
        <v>2616.666666666667</v>
      </c>
      <c r="GU122" s="523">
        <f>SUM(GU118:GU121)</f>
        <v>2883.3333333333335</v>
      </c>
      <c r="GV122" s="523">
        <f>SUM(GV118:GV121)</f>
        <v>3816.666666666667</v>
      </c>
      <c r="GW122" s="523">
        <f>SUM(GW118:GW121)</f>
        <v>4350</v>
      </c>
      <c r="GX122" s="524">
        <f>SUM(GT122:GW122)</f>
        <v>13666.666666666668</v>
      </c>
      <c r="GY122" s="523">
        <f>SUM(GY118:GY121)</f>
        <v>3950</v>
      </c>
      <c r="GZ122" s="523">
        <f>SUM(GZ118:GZ121)</f>
        <v>4190</v>
      </c>
      <c r="HA122" s="523">
        <f>SUM(HA118:HA121)</f>
        <v>4190</v>
      </c>
      <c r="HB122" s="523">
        <f>SUM(HB118:HB121)</f>
        <v>4790</v>
      </c>
      <c r="HC122" s="524">
        <f>SUM(GY122:HB122)</f>
        <v>17120</v>
      </c>
      <c r="HD122" s="523">
        <f>SUM(HD118:HD121)</f>
        <v>5695.454545454546</v>
      </c>
      <c r="HE122" s="523">
        <f>SUM(HE118:HE121)</f>
        <v>5695.454545454546</v>
      </c>
      <c r="HF122" s="523">
        <f>SUM(HF118:HF121)</f>
        <v>6180.3030303030309</v>
      </c>
      <c r="HG122" s="523">
        <f>SUM(HG118:HG121)</f>
        <v>6422.7272727272739</v>
      </c>
      <c r="HH122" s="524">
        <f>SUM(HD122:HG122)</f>
        <v>23993.939393939399</v>
      </c>
      <c r="HI122" s="523">
        <f>SUM(HI118:HI121)</f>
        <v>8216.6666666666679</v>
      </c>
      <c r="HJ122" s="523">
        <f>SUM(HJ118:HJ121)</f>
        <v>8216.6666666666679</v>
      </c>
      <c r="HK122" s="523">
        <f>SUM(HK118:HK121)</f>
        <v>8216.6666666666679</v>
      </c>
      <c r="HL122" s="523">
        <f>SUM(HL118:HL121)</f>
        <v>9016.6666666666679</v>
      </c>
      <c r="HM122" s="524">
        <f>SUM(HI122:HL122)</f>
        <v>33666.666666666672</v>
      </c>
      <c r="HN122" s="524"/>
      <c r="HO122" s="524"/>
      <c r="HP122" s="606"/>
      <c r="HR122" s="606"/>
      <c r="HS122" s="606"/>
      <c r="HT122" s="606"/>
      <c r="HU122" s="606"/>
      <c r="HV122" s="606"/>
      <c r="HW122" s="606"/>
      <c r="HX122" s="606"/>
    </row>
    <row r="123" spans="1:232" s="539" customFormat="1">
      <c r="L123" s="523"/>
      <c r="M123" s="523"/>
      <c r="N123" s="523"/>
      <c r="O123" s="523"/>
      <c r="P123" s="524"/>
      <c r="Q123" s="523"/>
      <c r="R123" s="523"/>
      <c r="S123" s="523"/>
      <c r="T123" s="523"/>
      <c r="U123" s="524"/>
      <c r="V123" s="523"/>
      <c r="W123" s="523"/>
      <c r="X123" s="523"/>
      <c r="Y123" s="523"/>
      <c r="Z123" s="524"/>
      <c r="AA123" s="523"/>
      <c r="AB123" s="523"/>
      <c r="AC123" s="523"/>
      <c r="AD123" s="523"/>
      <c r="AE123" s="524"/>
      <c r="AF123" s="523"/>
      <c r="AG123" s="523"/>
      <c r="AH123" s="523"/>
      <c r="AI123" s="523"/>
      <c r="AJ123" s="524"/>
      <c r="AK123" s="523"/>
      <c r="AL123" s="523"/>
      <c r="AM123" s="523"/>
      <c r="AN123" s="523"/>
      <c r="AO123" s="524"/>
      <c r="AP123" s="523"/>
      <c r="AQ123" s="523"/>
      <c r="AR123" s="523"/>
      <c r="AS123" s="523"/>
      <c r="AT123" s="524"/>
      <c r="AU123" s="523"/>
      <c r="AV123" s="523"/>
      <c r="AW123" s="523"/>
      <c r="AX123" s="523"/>
      <c r="AY123" s="524"/>
      <c r="AZ123" s="523"/>
      <c r="BA123" s="523"/>
      <c r="BB123" s="523"/>
      <c r="BC123" s="523"/>
      <c r="BD123" s="524"/>
      <c r="BE123" s="523"/>
      <c r="BF123" s="523"/>
      <c r="BG123" s="523"/>
      <c r="BH123" s="523"/>
      <c r="BI123" s="524"/>
      <c r="BJ123" s="523"/>
      <c r="BK123" s="523"/>
      <c r="BL123" s="523"/>
      <c r="BM123" s="523"/>
      <c r="BN123" s="524"/>
      <c r="BO123" s="523"/>
      <c r="BP123" s="523"/>
      <c r="BQ123" s="523"/>
      <c r="BR123" s="523"/>
      <c r="BS123" s="524"/>
      <c r="BT123" s="523"/>
      <c r="BU123" s="523"/>
      <c r="BV123" s="523"/>
      <c r="BW123" s="523"/>
      <c r="BX123" s="524"/>
      <c r="BY123" s="523"/>
      <c r="BZ123" s="523"/>
      <c r="CA123" s="523"/>
      <c r="CB123" s="523"/>
      <c r="CC123" s="524"/>
      <c r="CD123" s="523"/>
      <c r="CE123" s="523"/>
      <c r="CF123" s="523"/>
      <c r="CG123" s="523"/>
      <c r="CH123" s="524"/>
      <c r="CM123" s="524"/>
      <c r="CO123" s="641"/>
      <c r="CR123" s="524"/>
      <c r="CW123" s="524"/>
      <c r="DB123" s="524"/>
      <c r="DG123" s="524"/>
      <c r="DL123" s="524"/>
      <c r="DQ123" s="524"/>
      <c r="DV123" s="524"/>
      <c r="EA123" s="524"/>
      <c r="EF123" s="524"/>
      <c r="EK123" s="524"/>
      <c r="EP123" s="524"/>
      <c r="EU123" s="524"/>
      <c r="EZ123" s="524"/>
      <c r="FE123" s="524"/>
      <c r="FJ123" s="524"/>
      <c r="FO123" s="524"/>
      <c r="FT123" s="524"/>
      <c r="FU123" s="539">
        <f>-1948-FU122</f>
        <v>0</v>
      </c>
      <c r="FV123" s="539">
        <f>114-FV122</f>
        <v>0</v>
      </c>
      <c r="FY123" s="524"/>
      <c r="GD123" s="524"/>
      <c r="GI123" s="524"/>
      <c r="GN123" s="524"/>
      <c r="GS123" s="524"/>
      <c r="GX123" s="524"/>
      <c r="HC123" s="524"/>
      <c r="HH123" s="524"/>
      <c r="HM123" s="524"/>
      <c r="HN123" s="524"/>
      <c r="HO123" s="524"/>
      <c r="HP123" s="606"/>
      <c r="HR123" s="606"/>
      <c r="HS123" s="606"/>
      <c r="HT123" s="606"/>
      <c r="HU123" s="606"/>
      <c r="HV123" s="606"/>
      <c r="HW123" s="606"/>
      <c r="HX123" s="606"/>
    </row>
    <row r="124" spans="1:232" s="539" customFormat="1">
      <c r="A124" s="604" t="s">
        <v>443</v>
      </c>
      <c r="L124" s="523"/>
      <c r="M124" s="523"/>
      <c r="N124" s="523"/>
      <c r="O124" s="523"/>
      <c r="P124" s="524"/>
      <c r="Q124" s="523"/>
      <c r="R124" s="523"/>
      <c r="S124" s="523"/>
      <c r="T124" s="523"/>
      <c r="U124" s="524"/>
      <c r="V124" s="523"/>
      <c r="W124" s="523"/>
      <c r="X124" s="523"/>
      <c r="Y124" s="523"/>
      <c r="Z124" s="524"/>
      <c r="AA124" s="523"/>
      <c r="AB124" s="523"/>
      <c r="AC124" s="523"/>
      <c r="AD124" s="523"/>
      <c r="AE124" s="524"/>
      <c r="AF124" s="523">
        <v>0</v>
      </c>
      <c r="AG124" s="523">
        <f>0-AF124</f>
        <v>0</v>
      </c>
      <c r="AH124" s="523">
        <f>0-SUM(AF124:AG124)</f>
        <v>0</v>
      </c>
      <c r="AI124" s="523">
        <f>0-SUM(AF124:AH124)</f>
        <v>0</v>
      </c>
      <c r="AJ124" s="524">
        <f>SUM(AF124:AI124)</f>
        <v>0</v>
      </c>
      <c r="AK124" s="523">
        <f>0-AJ124</f>
        <v>0</v>
      </c>
      <c r="AL124" s="523">
        <f>0-AK124</f>
        <v>0</v>
      </c>
      <c r="AM124" s="523">
        <f>0-SUM(AK124:AL124)</f>
        <v>0</v>
      </c>
      <c r="AN124" s="523">
        <f>0-SUM(AK124:AM124)</f>
        <v>0</v>
      </c>
      <c r="AO124" s="524">
        <f>SUM(AK124:AN124)</f>
        <v>0</v>
      </c>
      <c r="AP124" s="523">
        <f>0-SUM(AM124:AO124)</f>
        <v>0</v>
      </c>
      <c r="AQ124" s="523">
        <f>0-AP124</f>
        <v>0</v>
      </c>
      <c r="AR124" s="523">
        <f>0-SUM(AP124:AQ124)</f>
        <v>0</v>
      </c>
      <c r="AS124" s="523">
        <f>0-SUM(AP124:AR124)</f>
        <v>0</v>
      </c>
      <c r="AT124" s="524">
        <f>SUM(AP124:AS124)</f>
        <v>0</v>
      </c>
      <c r="AU124" s="523">
        <v>0</v>
      </c>
      <c r="AV124" s="523">
        <f>0-AU124</f>
        <v>0</v>
      </c>
      <c r="AW124" s="523">
        <f>0-SUM(AU124:AV124)</f>
        <v>0</v>
      </c>
      <c r="AX124" s="523">
        <f>0-SUM(AU124:AW124)</f>
        <v>0</v>
      </c>
      <c r="AY124" s="524">
        <f>SUM(AU124:AX124)</f>
        <v>0</v>
      </c>
      <c r="AZ124" s="523">
        <v>0</v>
      </c>
      <c r="BA124" s="523">
        <v>0</v>
      </c>
      <c r="BB124" s="523">
        <f>0-SUM(AZ124:BA124)</f>
        <v>0</v>
      </c>
      <c r="BC124" s="523">
        <f>0-SUM(AZ124:BB124)</f>
        <v>0</v>
      </c>
      <c r="BD124" s="524">
        <f>SUM(AZ124:BC124)</f>
        <v>0</v>
      </c>
      <c r="BE124" s="523">
        <v>0</v>
      </c>
      <c r="BF124" s="523">
        <f>0-BE124</f>
        <v>0</v>
      </c>
      <c r="BG124" s="523">
        <f>0-SUM(BE124:BF124)</f>
        <v>0</v>
      </c>
      <c r="BH124" s="523">
        <f>0-SUM(BE124:BG124)</f>
        <v>0</v>
      </c>
      <c r="BI124" s="524">
        <f>SUM(BE124:BH124)</f>
        <v>0</v>
      </c>
      <c r="BJ124" s="523">
        <v>-10.672000000000001</v>
      </c>
      <c r="BK124" s="523">
        <f>-11.557-BJ124</f>
        <v>-0.88499999999999979</v>
      </c>
      <c r="BL124" s="523">
        <f>-9.469-SUM(BJ124:BK124)</f>
        <v>2.088000000000001</v>
      </c>
      <c r="BM124" s="523">
        <f>-11.786-SUM(BJ124:BL124)</f>
        <v>-2.3170000000000002</v>
      </c>
      <c r="BN124" s="524">
        <f>SUM(BJ124:BM124)</f>
        <v>-11.786</v>
      </c>
      <c r="BO124" s="523">
        <v>2.468</v>
      </c>
      <c r="BP124" s="523">
        <f>3.51-BO124</f>
        <v>1.0419999999999998</v>
      </c>
      <c r="BQ124" s="523">
        <f>5.773-SUM(BO124:BP124)</f>
        <v>2.2629999999999999</v>
      </c>
      <c r="BR124" s="523">
        <f>8.433-SUM(BO124:BQ124)</f>
        <v>2.66</v>
      </c>
      <c r="BS124" s="524">
        <f>SUM(BO124:BR124)</f>
        <v>8.4329999999999998</v>
      </c>
      <c r="BT124" s="523">
        <v>-1.3620000000000001</v>
      </c>
      <c r="BU124" s="523">
        <f>-16.276-BT124</f>
        <v>-14.914</v>
      </c>
      <c r="BV124" s="523">
        <f>-5.277-SUM(BT124:BU124)</f>
        <v>10.998999999999999</v>
      </c>
      <c r="BW124" s="523">
        <f>-10.005-SUM(BT124:BV124)</f>
        <v>-4.7279999999999998</v>
      </c>
      <c r="BX124" s="524">
        <f>SUM(BT124:BW124)</f>
        <v>-10.005000000000001</v>
      </c>
      <c r="BY124" s="523">
        <v>-6.6050000000000004</v>
      </c>
      <c r="BZ124" s="523">
        <f>15.935-BY124</f>
        <v>22.54</v>
      </c>
      <c r="CA124" s="523">
        <f>13.85-SUM(BY124:BZ124)</f>
        <v>-2.0849999999999991</v>
      </c>
      <c r="CB124" s="523">
        <f>37.319-SUM(BY124:CA124)</f>
        <v>23.469000000000001</v>
      </c>
      <c r="CC124" s="524">
        <f>SUM(BY124:CB124)</f>
        <v>37.319000000000003</v>
      </c>
      <c r="CD124" s="523">
        <v>9.2210000000000001</v>
      </c>
      <c r="CE124" s="523">
        <f>24.304-CD124</f>
        <v>15.082999999999998</v>
      </c>
      <c r="CF124" s="523">
        <f>33.994-SUM(CD124:CE124)</f>
        <v>9.6900000000000013</v>
      </c>
      <c r="CG124" s="523">
        <f>32.173-SUM(CD124:CF124)</f>
        <v>-1.820999999999998</v>
      </c>
      <c r="CH124" s="524">
        <f>SUM(CD124:CG124)</f>
        <v>32.173000000000002</v>
      </c>
      <c r="CI124" s="523">
        <v>-2.9769999999999999</v>
      </c>
      <c r="CJ124" s="523">
        <f>-4.971-CI124</f>
        <v>-1.9940000000000002</v>
      </c>
      <c r="CK124" s="523">
        <f>-3.023-SUM(CI124:CJ124)</f>
        <v>1.948</v>
      </c>
      <c r="CL124" s="523">
        <f>6.657-SUM(CI124:CK124)</f>
        <v>9.68</v>
      </c>
      <c r="CM124" s="524">
        <f>SUM(CI124:CL124)</f>
        <v>6.657</v>
      </c>
      <c r="CN124" s="523">
        <v>3.8450000000000002</v>
      </c>
      <c r="CO124" s="523">
        <f>1.328-CN124</f>
        <v>-2.5170000000000003</v>
      </c>
      <c r="CP124" s="523">
        <f>-4.236-SUM(CN124:CO124)</f>
        <v>-5.5640000000000001</v>
      </c>
      <c r="CQ124" s="523">
        <f>7.228-SUM(CN124:CP124)</f>
        <v>11.464</v>
      </c>
      <c r="CR124" s="640">
        <f>SUM(CN124:CQ124)</f>
        <v>7.2279999999999998</v>
      </c>
      <c r="CS124" s="539">
        <v>5.4950000000000001</v>
      </c>
      <c r="CT124" s="539">
        <f>0-CS124</f>
        <v>-5.4950000000000001</v>
      </c>
      <c r="CU124" s="539">
        <f>0-SUM(CS124:CT124)</f>
        <v>0</v>
      </c>
      <c r="CV124" s="539">
        <v>-1.31</v>
      </c>
      <c r="CW124" s="524">
        <f>SUM(CS124:CV124)</f>
        <v>-1.31</v>
      </c>
      <c r="CX124" s="539">
        <v>0</v>
      </c>
      <c r="CY124" s="539">
        <f>CX124</f>
        <v>0</v>
      </c>
      <c r="CZ124" s="539">
        <f>CY124</f>
        <v>0</v>
      </c>
      <c r="DA124" s="539">
        <v>0</v>
      </c>
      <c r="DB124" s="524">
        <f>SUM(CX124:DA124)</f>
        <v>0</v>
      </c>
      <c r="DC124" s="539">
        <f>DA124</f>
        <v>0</v>
      </c>
      <c r="DD124" s="539">
        <f>DC124</f>
        <v>0</v>
      </c>
      <c r="DE124" s="539">
        <f>DD124</f>
        <v>0</v>
      </c>
      <c r="DF124" s="539">
        <f>DE124</f>
        <v>0</v>
      </c>
      <c r="DG124" s="524">
        <f>SUM(DC124:DF124)</f>
        <v>0</v>
      </c>
      <c r="DH124" s="539">
        <f>DF124</f>
        <v>0</v>
      </c>
      <c r="DI124" s="539">
        <f>DH124</f>
        <v>0</v>
      </c>
      <c r="DJ124" s="539">
        <f>DI124</f>
        <v>0</v>
      </c>
      <c r="DK124" s="539">
        <f>DJ124</f>
        <v>0</v>
      </c>
      <c r="DL124" s="524">
        <f>SUM(DH124:DK124)</f>
        <v>0</v>
      </c>
      <c r="DM124" s="539">
        <v>0</v>
      </c>
      <c r="DN124" s="539">
        <f>DM124</f>
        <v>0</v>
      </c>
      <c r="DO124" s="539">
        <f>DN124</f>
        <v>0</v>
      </c>
      <c r="DP124" s="539">
        <f>DO124</f>
        <v>0</v>
      </c>
      <c r="DQ124" s="524">
        <f>SUM(DM124:DP124)</f>
        <v>0</v>
      </c>
      <c r="DR124" s="539">
        <f>DP124</f>
        <v>0</v>
      </c>
      <c r="DS124" s="539">
        <f>DR124</f>
        <v>0</v>
      </c>
      <c r="DT124" s="539">
        <v>0</v>
      </c>
      <c r="DU124" s="539">
        <f>DT124</f>
        <v>0</v>
      </c>
      <c r="DV124" s="524">
        <f>SUM(DR124:DU124)</f>
        <v>0</v>
      </c>
      <c r="DW124" s="539">
        <f>DU124</f>
        <v>0</v>
      </c>
      <c r="DX124" s="539">
        <f>DW124</f>
        <v>0</v>
      </c>
      <c r="DY124" s="539">
        <f>DX124</f>
        <v>0</v>
      </c>
      <c r="DZ124" s="539">
        <f>DY124</f>
        <v>0</v>
      </c>
      <c r="EA124" s="524">
        <f>SUM(DW124:DZ124)</f>
        <v>0</v>
      </c>
      <c r="EB124" s="539">
        <f>DZ124</f>
        <v>0</v>
      </c>
      <c r="EC124" s="539">
        <f>EB124</f>
        <v>0</v>
      </c>
      <c r="ED124" s="539">
        <f>EC124</f>
        <v>0</v>
      </c>
      <c r="EE124" s="539">
        <f>ED124</f>
        <v>0</v>
      </c>
      <c r="EF124" s="524">
        <f>SUM(EB124:EE124)</f>
        <v>0</v>
      </c>
      <c r="EG124" s="539">
        <f>EE124</f>
        <v>0</v>
      </c>
      <c r="EH124" s="539">
        <f>EG124</f>
        <v>0</v>
      </c>
      <c r="EI124" s="539">
        <f>EH124</f>
        <v>0</v>
      </c>
      <c r="EJ124" s="539">
        <f>EI124</f>
        <v>0</v>
      </c>
      <c r="EK124" s="524">
        <f>SUM(EG124:EJ124)</f>
        <v>0</v>
      </c>
      <c r="EL124" s="539">
        <f>EJ124</f>
        <v>0</v>
      </c>
      <c r="EM124" s="539">
        <f>EL124</f>
        <v>0</v>
      </c>
      <c r="EN124" s="539">
        <f>EM124</f>
        <v>0</v>
      </c>
      <c r="EO124" s="539">
        <f>EN124</f>
        <v>0</v>
      </c>
      <c r="EP124" s="524">
        <f>SUM(EL124:EO124)</f>
        <v>0</v>
      </c>
      <c r="EQ124" s="539">
        <f>EO124</f>
        <v>0</v>
      </c>
      <c r="ER124" s="539">
        <f>EQ124</f>
        <v>0</v>
      </c>
      <c r="ES124" s="539">
        <f>ER124</f>
        <v>0</v>
      </c>
      <c r="ET124" s="539">
        <f>ES124</f>
        <v>0</v>
      </c>
      <c r="EU124" s="524">
        <f>SUM(EQ124:ET124)</f>
        <v>0</v>
      </c>
      <c r="EV124" s="539">
        <f>ET124</f>
        <v>0</v>
      </c>
      <c r="EW124" s="539">
        <f>EV124</f>
        <v>0</v>
      </c>
      <c r="EX124" s="539">
        <f>EW124</f>
        <v>0</v>
      </c>
      <c r="EY124" s="539">
        <f>EX124</f>
        <v>0</v>
      </c>
      <c r="EZ124" s="524">
        <f>SUM(EV124:EY124)</f>
        <v>0</v>
      </c>
      <c r="FA124" s="539">
        <v>0</v>
      </c>
      <c r="FB124" s="539">
        <v>0</v>
      </c>
      <c r="FC124" s="539">
        <v>0</v>
      </c>
      <c r="FD124" s="539">
        <v>0</v>
      </c>
      <c r="FE124" s="524">
        <f>SUM(FA124:FD124)</f>
        <v>0</v>
      </c>
      <c r="FF124" s="539">
        <v>0</v>
      </c>
      <c r="FG124" s="539">
        <v>0</v>
      </c>
      <c r="FH124" s="539">
        <f>FG124</f>
        <v>0</v>
      </c>
      <c r="FI124" s="539">
        <f>FH124</f>
        <v>0</v>
      </c>
      <c r="FJ124" s="524">
        <f>SUM(FF124:FI124)</f>
        <v>0</v>
      </c>
      <c r="FK124" s="539">
        <f>FI124</f>
        <v>0</v>
      </c>
      <c r="FL124" s="539">
        <v>2</v>
      </c>
      <c r="FM124" s="539">
        <v>0</v>
      </c>
      <c r="FN124" s="539">
        <f>FM124</f>
        <v>0</v>
      </c>
      <c r="FO124" s="524">
        <f>SUM(FK124:FN124)</f>
        <v>2</v>
      </c>
      <c r="FP124" s="539">
        <f>FN124</f>
        <v>0</v>
      </c>
      <c r="FQ124" s="539">
        <f>FP124</f>
        <v>0</v>
      </c>
      <c r="FR124" s="539">
        <v>0</v>
      </c>
      <c r="FS124" s="539">
        <f>FR124</f>
        <v>0</v>
      </c>
      <c r="FT124" s="524">
        <f>SUM(FP124:FS124)</f>
        <v>0</v>
      </c>
      <c r="FU124" s="539">
        <f>FS124</f>
        <v>0</v>
      </c>
      <c r="FV124" s="539">
        <f>FU124</f>
        <v>0</v>
      </c>
      <c r="FW124" s="539">
        <v>0</v>
      </c>
      <c r="FX124" s="539">
        <f>FW124</f>
        <v>0</v>
      </c>
      <c r="FY124" s="524">
        <f>SUM(FU124:FX124)</f>
        <v>0</v>
      </c>
      <c r="FZ124" s="539">
        <f>FX124</f>
        <v>0</v>
      </c>
      <c r="GA124" s="539">
        <f>FZ124</f>
        <v>0</v>
      </c>
      <c r="GB124" s="539">
        <f>GA124</f>
        <v>0</v>
      </c>
      <c r="GC124" s="539">
        <f>GB124</f>
        <v>0</v>
      </c>
      <c r="GD124" s="524">
        <f>SUM(FZ124:GC124)</f>
        <v>0</v>
      </c>
      <c r="GE124" s="539">
        <f>GD124</f>
        <v>0</v>
      </c>
      <c r="GF124" s="539">
        <f>GE124</f>
        <v>0</v>
      </c>
      <c r="GG124" s="539">
        <f>GF124</f>
        <v>0</v>
      </c>
      <c r="GH124" s="539">
        <f>GG124</f>
        <v>0</v>
      </c>
      <c r="GI124" s="524">
        <f>SUM(GE124:GH124)</f>
        <v>0</v>
      </c>
      <c r="GJ124" s="539">
        <f>GH124</f>
        <v>0</v>
      </c>
      <c r="GK124" s="539">
        <f>GI124</f>
        <v>0</v>
      </c>
      <c r="GL124" s="539">
        <f>GJ124</f>
        <v>0</v>
      </c>
      <c r="GM124" s="539">
        <f>GK124</f>
        <v>0</v>
      </c>
      <c r="GN124" s="524">
        <f>SUM(GJ124:GM124)</f>
        <v>0</v>
      </c>
      <c r="GO124" s="539">
        <f>GM124</f>
        <v>0</v>
      </c>
      <c r="GP124" s="539">
        <f>GO124</f>
        <v>0</v>
      </c>
      <c r="GQ124" s="539">
        <f>GP124</f>
        <v>0</v>
      </c>
      <c r="GR124" s="539">
        <f>GQ124</f>
        <v>0</v>
      </c>
      <c r="GS124" s="524">
        <f>SUM(GO124:GR124)</f>
        <v>0</v>
      </c>
      <c r="GT124" s="539">
        <f>GR124</f>
        <v>0</v>
      </c>
      <c r="GU124" s="539">
        <f>GT124</f>
        <v>0</v>
      </c>
      <c r="GV124" s="539">
        <f>GU124</f>
        <v>0</v>
      </c>
      <c r="GW124" s="539">
        <f>GV124</f>
        <v>0</v>
      </c>
      <c r="GX124" s="524">
        <f>SUM(GT124:GW124)</f>
        <v>0</v>
      </c>
      <c r="GY124" s="539">
        <f>GW124</f>
        <v>0</v>
      </c>
      <c r="GZ124" s="539">
        <f>GY124</f>
        <v>0</v>
      </c>
      <c r="HA124" s="539">
        <f>GZ124</f>
        <v>0</v>
      </c>
      <c r="HB124" s="539">
        <f>HA124</f>
        <v>0</v>
      </c>
      <c r="HC124" s="524">
        <f>SUM(GY124:HB124)</f>
        <v>0</v>
      </c>
      <c r="HD124" s="539">
        <f>HB124</f>
        <v>0</v>
      </c>
      <c r="HE124" s="539">
        <f>HD124</f>
        <v>0</v>
      </c>
      <c r="HF124" s="539">
        <f>HE124</f>
        <v>0</v>
      </c>
      <c r="HG124" s="539">
        <f>HF124</f>
        <v>0</v>
      </c>
      <c r="HH124" s="524">
        <f>SUM(HD124:HG124)</f>
        <v>0</v>
      </c>
      <c r="HI124" s="539">
        <f>HG124</f>
        <v>0</v>
      </c>
      <c r="HJ124" s="539">
        <f>HI124</f>
        <v>0</v>
      </c>
      <c r="HK124" s="539">
        <f>HJ124</f>
        <v>0</v>
      </c>
      <c r="HL124" s="539">
        <f>HK124</f>
        <v>0</v>
      </c>
      <c r="HM124" s="524">
        <f>SUM(HI124:HL124)</f>
        <v>0</v>
      </c>
      <c r="HN124" s="524"/>
      <c r="HO124" s="524"/>
      <c r="HP124" s="606"/>
      <c r="HR124" s="606"/>
      <c r="HS124" s="606"/>
      <c r="HT124" s="606"/>
      <c r="HU124" s="606"/>
      <c r="HV124" s="606"/>
      <c r="HW124" s="606"/>
      <c r="HX124" s="606"/>
    </row>
    <row r="125" spans="1:232" s="539" customFormat="1">
      <c r="L125" s="523"/>
      <c r="M125" s="523"/>
      <c r="N125" s="523"/>
      <c r="O125" s="523"/>
      <c r="P125" s="524"/>
      <c r="Q125" s="523"/>
      <c r="R125" s="523"/>
      <c r="S125" s="523"/>
      <c r="T125" s="523"/>
      <c r="U125" s="524"/>
      <c r="V125" s="523"/>
      <c r="W125" s="523"/>
      <c r="X125" s="523"/>
      <c r="Y125" s="523"/>
      <c r="Z125" s="524"/>
      <c r="AA125" s="523"/>
      <c r="AB125" s="523"/>
      <c r="AC125" s="523"/>
      <c r="AD125" s="523"/>
      <c r="AE125" s="524"/>
      <c r="AF125" s="523"/>
      <c r="AG125" s="523"/>
      <c r="AH125" s="523"/>
      <c r="AI125" s="523"/>
      <c r="AJ125" s="524"/>
      <c r="AK125" s="523"/>
      <c r="AL125" s="523"/>
      <c r="AM125" s="523"/>
      <c r="AN125" s="523"/>
      <c r="AO125" s="524"/>
      <c r="AP125" s="523"/>
      <c r="AQ125" s="523"/>
      <c r="AR125" s="523"/>
      <c r="AS125" s="523"/>
      <c r="AT125" s="524"/>
      <c r="AU125" s="523"/>
      <c r="AV125" s="523"/>
      <c r="AW125" s="523"/>
      <c r="AX125" s="523"/>
      <c r="AY125" s="524"/>
      <c r="AZ125" s="523"/>
      <c r="BA125" s="523"/>
      <c r="BB125" s="523"/>
      <c r="BC125" s="523"/>
      <c r="BD125" s="524"/>
      <c r="BE125" s="523"/>
      <c r="BF125" s="523"/>
      <c r="BG125" s="523"/>
      <c r="BH125" s="523"/>
      <c r="BI125" s="524"/>
      <c r="BJ125" s="523"/>
      <c r="BK125" s="523"/>
      <c r="BL125" s="523"/>
      <c r="BM125" s="523"/>
      <c r="BN125" s="524"/>
      <c r="BO125" s="523"/>
      <c r="BP125" s="523"/>
      <c r="BQ125" s="523"/>
      <c r="BR125" s="523"/>
      <c r="BS125" s="524"/>
      <c r="BT125" s="523"/>
      <c r="BU125" s="523"/>
      <c r="BV125" s="523"/>
      <c r="BW125" s="523"/>
      <c r="BX125" s="524"/>
      <c r="BY125" s="523"/>
      <c r="BZ125" s="523"/>
      <c r="CA125" s="523"/>
      <c r="CB125" s="523"/>
      <c r="CC125" s="524"/>
      <c r="CD125" s="523"/>
      <c r="CE125" s="523"/>
      <c r="CF125" s="523"/>
      <c r="CG125" s="523"/>
      <c r="CH125" s="524"/>
      <c r="CM125" s="524"/>
      <c r="CR125" s="524"/>
      <c r="CW125" s="524"/>
      <c r="DB125" s="524"/>
      <c r="DG125" s="524"/>
      <c r="DL125" s="524"/>
      <c r="DQ125" s="524"/>
      <c r="DV125" s="524"/>
      <c r="EA125" s="524"/>
      <c r="EF125" s="524"/>
      <c r="EK125" s="524"/>
      <c r="EP125" s="524"/>
      <c r="EU125" s="524"/>
      <c r="EZ125" s="524"/>
      <c r="FE125" s="524"/>
      <c r="FJ125" s="524"/>
      <c r="FO125" s="524"/>
      <c r="FT125" s="524"/>
      <c r="FY125" s="524"/>
      <c r="GD125" s="524"/>
      <c r="GI125" s="524"/>
      <c r="GN125" s="524"/>
      <c r="GS125" s="524"/>
      <c r="GX125" s="524"/>
      <c r="HC125" s="524"/>
      <c r="HH125" s="524"/>
      <c r="HM125" s="524"/>
      <c r="HN125" s="524"/>
      <c r="HO125" s="524"/>
      <c r="HP125" s="606"/>
      <c r="HR125" s="606"/>
      <c r="HS125" s="606"/>
      <c r="HT125" s="606"/>
      <c r="HU125" s="606"/>
      <c r="HV125" s="606"/>
      <c r="HW125" s="606"/>
      <c r="HX125" s="606"/>
    </row>
    <row r="126" spans="1:232" s="539" customFormat="1">
      <c r="A126" s="636" t="s">
        <v>444</v>
      </c>
      <c r="L126" s="523"/>
      <c r="M126" s="523"/>
      <c r="N126" s="523"/>
      <c r="O126" s="523"/>
      <c r="P126" s="524"/>
      <c r="Q126" s="523"/>
      <c r="R126" s="523"/>
      <c r="S126" s="523"/>
      <c r="T126" s="523"/>
      <c r="U126" s="524"/>
      <c r="V126" s="523"/>
      <c r="W126" s="523"/>
      <c r="X126" s="523"/>
      <c r="Y126" s="523"/>
      <c r="Z126" s="524"/>
      <c r="AA126" s="523"/>
      <c r="AB126" s="523"/>
      <c r="AC126" s="523"/>
      <c r="AD126" s="523"/>
      <c r="AE126" s="524"/>
      <c r="AF126" s="523">
        <f>AF124+AF122+AF115+AF110</f>
        <v>28.52500000000002</v>
      </c>
      <c r="AG126" s="523">
        <f>AG124+AG122+AG115+AG110</f>
        <v>-37.440000000000111</v>
      </c>
      <c r="AH126" s="523">
        <f>AH124+AH122+AH115+AH110</f>
        <v>-17.299000000000021</v>
      </c>
      <c r="AI126" s="523">
        <f>AI124+AI122+AI115+AI110</f>
        <v>34.610000000000184</v>
      </c>
      <c r="AJ126" s="524">
        <f>SUM(AF126:AI126)</f>
        <v>8.3960000000000719</v>
      </c>
      <c r="AK126" s="523">
        <f>AK124+AK122+AK115+AK110</f>
        <v>23.982000000000056</v>
      </c>
      <c r="AL126" s="523">
        <f>AL124+AL122+AL115+AL110</f>
        <v>-5.136999999999972</v>
      </c>
      <c r="AM126" s="523">
        <f>AM124+AM122+AM115+AM110</f>
        <v>51.319000000000003</v>
      </c>
      <c r="AN126" s="523">
        <f>AN124+AN122+AN115+AN110</f>
        <v>-9.2439999999997724</v>
      </c>
      <c r="AO126" s="524">
        <f>SUM(AK126:AN126)</f>
        <v>60.920000000000314</v>
      </c>
      <c r="AP126" s="523">
        <f>AP124+AP122+AP115+AP110</f>
        <v>41.336999999999961</v>
      </c>
      <c r="AQ126" s="523">
        <f>AQ124+AQ122+AQ115+AQ110</f>
        <v>98.39400000000002</v>
      </c>
      <c r="AR126" s="523">
        <f>AR124+AR122+AR115+AR110</f>
        <v>-82.64599999999993</v>
      </c>
      <c r="AS126" s="523">
        <f>AS124+AS122+AS115+AS110</f>
        <v>-28.37400000000008</v>
      </c>
      <c r="AT126" s="524">
        <f>SUM(AP126:AS126)</f>
        <v>28.710999999999984</v>
      </c>
      <c r="AU126" s="523">
        <f>AU124+AU122+AU115+AU110</f>
        <v>-40.934000000000012</v>
      </c>
      <c r="AV126" s="523">
        <f>AV124+AV122+AV115+AV110</f>
        <v>-7.5759999999999827</v>
      </c>
      <c r="AW126" s="523">
        <f>AW124+AW122+AW115+AW110</f>
        <v>30.941999999999958</v>
      </c>
      <c r="AX126" s="523">
        <f>AX124+AX122+AX115+AX110</f>
        <v>57.446000000000026</v>
      </c>
      <c r="AY126" s="524">
        <f>SUM(AU126:AX126)</f>
        <v>39.877999999999993</v>
      </c>
      <c r="AZ126" s="523">
        <f>AZ124+AZ122+AZ115+AZ110</f>
        <v>59.190999999999974</v>
      </c>
      <c r="BA126" s="523">
        <f>BA124+BA122+BA115+BA110</f>
        <v>-64.790000000000049</v>
      </c>
      <c r="BB126" s="523">
        <f>BB124+BB122+BB115+BB110</f>
        <v>2.1860000000000106</v>
      </c>
      <c r="BC126" s="523">
        <f>BC124+BC122+BC115+BC110</f>
        <v>77.876999999999981</v>
      </c>
      <c r="BD126" s="524">
        <f>SUM(AZ126:BC126)</f>
        <v>74.463999999999913</v>
      </c>
      <c r="BE126" s="523">
        <f>BE124+BE122+BE115+BE110</f>
        <v>-48.176999999999971</v>
      </c>
      <c r="BF126" s="523">
        <f>BF124+BF122+BF115+BF110</f>
        <v>-32.314999999999898</v>
      </c>
      <c r="BG126" s="523">
        <f>BG124+BG122+BG115+BG110</f>
        <v>-24.472999999999828</v>
      </c>
      <c r="BH126" s="523">
        <f>BH124+BH122+BH115+BH110</f>
        <v>226.21500000000026</v>
      </c>
      <c r="BI126" s="524">
        <f>SUM(BE126:BH126)</f>
        <v>121.25000000000055</v>
      </c>
      <c r="BJ126" s="523">
        <f>BJ124+BJ122+BJ115+BJ110</f>
        <v>-198.33299999999997</v>
      </c>
      <c r="BK126" s="523">
        <f>BK124+BK122+BK115+BK110</f>
        <v>57.063000000000088</v>
      </c>
      <c r="BL126" s="523">
        <f>BL124+BL122+BL115+BL110</f>
        <v>-127.37099999999987</v>
      </c>
      <c r="BM126" s="523">
        <f>BM124+BM122+BM115+BM110</f>
        <v>200.85799999999952</v>
      </c>
      <c r="BN126" s="524">
        <f>SUM(BJ126:BM126)</f>
        <v>-67.783000000000214</v>
      </c>
      <c r="BO126" s="523">
        <f>BO124+BO122+BO115+BO110</f>
        <v>86.028999999999883</v>
      </c>
      <c r="BP126" s="523">
        <f>BP124+BP122+BP115+BP110</f>
        <v>329.36900000000014</v>
      </c>
      <c r="BQ126" s="523">
        <f>BQ124+BQ122+BQ115+BQ110</f>
        <v>-127.22400000000027</v>
      </c>
      <c r="BR126" s="523">
        <f>BR124+BR122+BR115+BR110</f>
        <v>9.1579999999996176</v>
      </c>
      <c r="BS126" s="524">
        <f>SUM(BO126:BR126)</f>
        <v>297.33199999999937</v>
      </c>
      <c r="BT126" s="523">
        <f>BT124+BT122+BT115+BT110</f>
        <v>464.31899999999985</v>
      </c>
      <c r="BU126" s="523">
        <f>BU124+BU122+BU115+BU110</f>
        <v>-663.27599999999995</v>
      </c>
      <c r="BV126" s="523">
        <f>BV124+BV122+BV115+BV110</f>
        <v>4.923000000000556</v>
      </c>
      <c r="BW126" s="523">
        <f>BW124+BW122+BW115+BW110</f>
        <v>29.86499999999964</v>
      </c>
      <c r="BX126" s="524">
        <f>SUM(BT126:BW126)</f>
        <v>-164.1689999999999</v>
      </c>
      <c r="BY126" s="523">
        <f>BY124+BY122+BY115+BY110</f>
        <v>-128.90100000000024</v>
      </c>
      <c r="BZ126" s="523">
        <f>BZ124+BZ122+BZ115+BZ110</f>
        <v>207.80400000000031</v>
      </c>
      <c r="CA126" s="523">
        <f>CA124+CA122+CA115+CA110</f>
        <v>27.197999999999354</v>
      </c>
      <c r="CB126" s="523">
        <f>CB124+CB122+CB115+CB110</f>
        <v>-104.64099999999991</v>
      </c>
      <c r="CC126" s="524">
        <f>SUM(BY126:CB126)</f>
        <v>1.4599999999995248</v>
      </c>
      <c r="CD126" s="523">
        <f>CD124+CD122+CD115+CD110</f>
        <v>0.64399999999997704</v>
      </c>
      <c r="CE126" s="523">
        <f>CE124+CE122+CE115+CE110</f>
        <v>273.78399999999999</v>
      </c>
      <c r="CF126" s="523">
        <f>CF124+CF122+CF115+CF110</f>
        <v>322.80900000000003</v>
      </c>
      <c r="CG126" s="523">
        <f>CG124+CG122+CG115+CG110</f>
        <v>81.1069999999998</v>
      </c>
      <c r="CH126" s="524">
        <f>SUM(CD126:CG126)</f>
        <v>678.34399999999982</v>
      </c>
      <c r="CI126" s="523">
        <f>CI124+CI122+CI115+CI110</f>
        <v>-10.760000000000048</v>
      </c>
      <c r="CJ126" s="523">
        <f>CJ124+CJ122+CJ115+CJ110</f>
        <v>-259.17299999999989</v>
      </c>
      <c r="CK126" s="523">
        <f>CK124+CK122+CK115+CK110</f>
        <v>78.338000000000051</v>
      </c>
      <c r="CL126" s="523">
        <f>CL124+CL122+CL115+CL110</f>
        <v>141.78899999999987</v>
      </c>
      <c r="CM126" s="524">
        <f>SUM(CI126:CL126)</f>
        <v>-49.806000000000012</v>
      </c>
      <c r="CN126" s="523">
        <f>CN124+CN122+CN115+CN110</f>
        <v>-256.39300000000003</v>
      </c>
      <c r="CO126" s="523">
        <f>CO124+CO122+CO115+CO110</f>
        <v>49.237000000000052</v>
      </c>
      <c r="CP126" s="523">
        <f>CP124+CP122+CP115+CP110</f>
        <v>94.894000000000119</v>
      </c>
      <c r="CQ126" s="523">
        <f>CQ124+CQ122+CQ115+CQ110</f>
        <v>-173.04800000000023</v>
      </c>
      <c r="CR126" s="533">
        <f>SUM(CN126:CQ126)</f>
        <v>-285.31000000000006</v>
      </c>
      <c r="CS126" s="523">
        <f>CS124+CS122+CS115+CS110</f>
        <v>195.55899999999986</v>
      </c>
      <c r="CT126" s="523">
        <f>CT124+CT122+CT115+CT110</f>
        <v>-139.96900000000014</v>
      </c>
      <c r="CU126" s="523">
        <f>CU124+CU122+CU115+CU110</f>
        <v>695.86899999999991</v>
      </c>
      <c r="CV126" s="523">
        <f>CV124+CV122+CV115+CV110</f>
        <v>-4.5259999999997262</v>
      </c>
      <c r="CW126" s="524">
        <f>SUM(CS126:CV126)</f>
        <v>746.93299999999988</v>
      </c>
      <c r="CX126" s="523">
        <f>CX124+CX122+CX115+CX110</f>
        <v>-389</v>
      </c>
      <c r="CY126" s="523">
        <f>CY124+CY122+CY115+CY110</f>
        <v>313</v>
      </c>
      <c r="CZ126" s="523">
        <f>CZ124+CZ122+CZ115+CZ110</f>
        <v>-208</v>
      </c>
      <c r="DA126" s="523">
        <f>DA124+DA122+DA115+DA110</f>
        <v>336</v>
      </c>
      <c r="DB126" s="524">
        <f>SUM(CX126:DA126)</f>
        <v>52</v>
      </c>
      <c r="DC126" s="523">
        <f>DC124+DC122+DC115+DC110</f>
        <v>-28</v>
      </c>
      <c r="DD126" s="523">
        <f>DD124+DD122+DD115+DD110</f>
        <v>-94</v>
      </c>
      <c r="DE126" s="523">
        <f>DE124+DE122+DE115+DE110</f>
        <v>-202</v>
      </c>
      <c r="DF126" s="523">
        <f>DF124+DF122+DF115+DF110</f>
        <v>-175</v>
      </c>
      <c r="DG126" s="524">
        <f>SUM(DC126:DF126)</f>
        <v>-499</v>
      </c>
      <c r="DH126" s="523">
        <f>DH124+DH122+DH115+DH110</f>
        <v>1469</v>
      </c>
      <c r="DI126" s="523">
        <f>DI124+DI122+DI115+DI110</f>
        <v>-423</v>
      </c>
      <c r="DJ126" s="523">
        <f>DJ124+DJ122+DJ115+DJ110</f>
        <v>-132</v>
      </c>
      <c r="DK126" s="523">
        <f>DK124+DK122+DK115+DK110</f>
        <v>164</v>
      </c>
      <c r="DL126" s="524">
        <f>SUM(DH126:DK126)</f>
        <v>1078</v>
      </c>
      <c r="DM126" s="523">
        <f>DM124+DM122+DM115+DM110</f>
        <v>-1015</v>
      </c>
      <c r="DN126" s="523">
        <f>DN124+DN122+DN115+DN110</f>
        <v>442</v>
      </c>
      <c r="DO126" s="523">
        <f>DO124+DO122+DO115+DO110</f>
        <v>-464</v>
      </c>
      <c r="DP126" s="523">
        <f>DP124+DP122+DP115+DP110</f>
        <v>-14</v>
      </c>
      <c r="DQ126" s="524">
        <f>SUM(DM126:DP126)</f>
        <v>-1051</v>
      </c>
      <c r="DR126" s="523">
        <f>DR124+DR122+DR115+DR110</f>
        <v>-4</v>
      </c>
      <c r="DS126" s="523">
        <f>DS124+DS122+DS115+DS110</f>
        <v>-48</v>
      </c>
      <c r="DT126" s="523">
        <f>DT124+DT122+DT115+DT110</f>
        <v>71</v>
      </c>
      <c r="DU126" s="523">
        <f>DU124+DU122+DU115+DU110</f>
        <v>244</v>
      </c>
      <c r="DV126" s="524">
        <f>SUM(DR126:DU126)</f>
        <v>263</v>
      </c>
      <c r="DW126" s="523">
        <f>DW124+DW122+DW115+DW110</f>
        <v>324</v>
      </c>
      <c r="DX126" s="523">
        <f>DX124+DX122+DX115+DX110</f>
        <v>-178</v>
      </c>
      <c r="DY126" s="523">
        <f>DY124+DY122+DY115+DY110</f>
        <v>-239</v>
      </c>
      <c r="DZ126" s="523">
        <f>DZ124+DZ122+DZ115+DZ110</f>
        <v>-227</v>
      </c>
      <c r="EA126" s="524">
        <f>SUM(DW126:DZ126)</f>
        <v>-320</v>
      </c>
      <c r="EB126" s="523">
        <f>EB124+EB122+EB115+EB110</f>
        <v>-108</v>
      </c>
      <c r="EC126" s="523">
        <f>EC124+EC122+EC115+EC110</f>
        <v>-107</v>
      </c>
      <c r="ED126" s="523">
        <f>ED124+ED122+ED115+ED110</f>
        <v>209</v>
      </c>
      <c r="EE126" s="523">
        <f>EE124+EE122+EE115+EE110</f>
        <v>326</v>
      </c>
      <c r="EF126" s="524">
        <f>SUM(EB126:EE126)</f>
        <v>320</v>
      </c>
      <c r="EG126" s="523">
        <f>EG124+EG122+EG115+EG110</f>
        <v>-315</v>
      </c>
      <c r="EH126" s="523">
        <f>EH124+EH122+EH115+EH110</f>
        <v>-51</v>
      </c>
      <c r="EI126" s="523">
        <f>EI124+EI122+EI115+EI110</f>
        <v>137</v>
      </c>
      <c r="EJ126" s="523">
        <f>EJ124+EJ122+EJ115+EJ110</f>
        <v>165</v>
      </c>
      <c r="EK126" s="524">
        <f>SUM(EG126:EJ126)</f>
        <v>-64</v>
      </c>
      <c r="EL126" s="523">
        <f>EL124+EL122+EL115+EL110</f>
        <v>-128</v>
      </c>
      <c r="EM126" s="523">
        <f>EM124+EM122+EM115+EM110</f>
        <v>152</v>
      </c>
      <c r="EN126" s="523">
        <f>EN124+EN122+EN115+EN110</f>
        <v>-74</v>
      </c>
      <c r="EO126" s="523">
        <f>EO124+EO122+EO115+EO110</f>
        <v>30</v>
      </c>
      <c r="EP126" s="524">
        <f>SUM(EL126:EO126)</f>
        <v>-20</v>
      </c>
      <c r="EQ126" s="523">
        <f>EQ124+EQ122+EQ115+EQ110</f>
        <v>-69</v>
      </c>
      <c r="ER126" s="523">
        <f>ER124+ER122+ER115+ER110</f>
        <v>241</v>
      </c>
      <c r="ES126" s="523">
        <f>ES124+ES122+ES115+ES110</f>
        <v>301</v>
      </c>
      <c r="ET126" s="523">
        <f>ET124+ET122+ET115+ET110</f>
        <v>6</v>
      </c>
      <c r="EU126" s="524">
        <f>SUM(EQ126:ET126)</f>
        <v>479</v>
      </c>
      <c r="EV126" s="523">
        <f>EV124+EV122+EV115+EV110</f>
        <v>-542</v>
      </c>
      <c r="EW126" s="523">
        <f>EW124+EW122+EW115+EW110</f>
        <v>38</v>
      </c>
      <c r="EX126" s="523">
        <f>EX124+EX122+EX115+EX110</f>
        <v>119</v>
      </c>
      <c r="EY126" s="523">
        <f>EY124+EY122+EY115+EY110</f>
        <v>306</v>
      </c>
      <c r="EZ126" s="524">
        <f>SUM(EV126:EY126)</f>
        <v>-79</v>
      </c>
      <c r="FA126" s="523">
        <f>FA124+FA122+FA115+FA110</f>
        <v>-140</v>
      </c>
      <c r="FB126" s="523">
        <f>FB124+FB122+FB115+FB110</f>
        <v>-97</v>
      </c>
      <c r="FC126" s="523">
        <f>FC124+FC122+FC115+FC110</f>
        <v>97</v>
      </c>
      <c r="FD126" s="523">
        <f>FD124+FD122+FD115+FD110</f>
        <v>32</v>
      </c>
      <c r="FE126" s="524">
        <f>SUM(FA126:FD126)</f>
        <v>-108</v>
      </c>
      <c r="FF126" s="523">
        <f>FF124+FF122+FF115+FF110</f>
        <v>-100</v>
      </c>
      <c r="FG126" s="523">
        <f>FG124+FG122+FG115+FG110</f>
        <v>-15</v>
      </c>
      <c r="FH126" s="523">
        <f>FH124+FH122+FH115+FH110</f>
        <v>193</v>
      </c>
      <c r="FI126" s="523">
        <f>FI124+FI122+FI115+FI110</f>
        <v>309</v>
      </c>
      <c r="FJ126" s="524">
        <f>SUM(FF126:FI126)</f>
        <v>387</v>
      </c>
      <c r="FK126" s="523">
        <f>FK124+FK122+FK115+FK110</f>
        <v>-136</v>
      </c>
      <c r="FL126" s="523">
        <f>FL124+FL122+FL115+FL110</f>
        <v>447</v>
      </c>
      <c r="FM126" s="523">
        <f>FM124+FM122+FM115+FM110</f>
        <v>-479</v>
      </c>
      <c r="FN126" s="523">
        <f>FN124+FN122+FN115+FN110</f>
        <v>299</v>
      </c>
      <c r="FO126" s="524">
        <f>SUM(FK126:FN126)</f>
        <v>131</v>
      </c>
      <c r="FP126" s="523">
        <f>FP124+FP122+FP115+FP110</f>
        <v>168</v>
      </c>
      <c r="FQ126" s="523">
        <f>FQ124+FQ122+FQ115+FQ110</f>
        <v>860.00007792207793</v>
      </c>
      <c r="FR126" s="523">
        <f>FR124+FR122+FR115+FR110</f>
        <v>-183.00007792207793</v>
      </c>
      <c r="FS126" s="523">
        <f>FS124+FS122+FS115+FS110</f>
        <v>95</v>
      </c>
      <c r="FT126" s="524">
        <f>SUM(FP126:FS126)</f>
        <v>940</v>
      </c>
      <c r="FU126" s="523">
        <f>FU124+FU122+FU115+FU110</f>
        <v>2205</v>
      </c>
      <c r="FV126" s="523">
        <f>FV124+FV122+FV115+FV110</f>
        <v>224</v>
      </c>
      <c r="FW126" s="523">
        <f>FW124+FW122+FW115+FW110</f>
        <v>-1566</v>
      </c>
      <c r="FX126" s="523">
        <f>FX124+FX122+FX115+FX110</f>
        <v>1437</v>
      </c>
      <c r="FY126" s="524">
        <f>SUM(FU126:FX126)</f>
        <v>2300</v>
      </c>
      <c r="FZ126" s="523">
        <f>FZ124+FZ122+FZ115+FZ110</f>
        <v>-1010</v>
      </c>
      <c r="GA126" s="523">
        <f>GA124+GA122+GA115+GA110</f>
        <v>16</v>
      </c>
      <c r="GB126" s="523">
        <f>GB124+GB122+GB115+GB110</f>
        <v>-280</v>
      </c>
      <c r="GC126" s="523">
        <f>GC124+GC122+GC115+GC110</f>
        <v>372</v>
      </c>
      <c r="GD126" s="524">
        <f>SUM(FZ126:GC126)</f>
        <v>-902</v>
      </c>
      <c r="GE126" s="523">
        <f>GE124+GE122+GE115+GE110</f>
        <v>257</v>
      </c>
      <c r="GF126" s="523">
        <f>GF124+GF122+GF115+GF110</f>
        <v>-77</v>
      </c>
      <c r="GG126" s="523">
        <f>GG124+GG122+GG115+GG110</f>
        <v>-216</v>
      </c>
      <c r="GH126" s="523">
        <f>GH124+GH122+GH115+GH110</f>
        <v>-86</v>
      </c>
      <c r="GI126" s="524">
        <f>SUM(GE126:GH126)</f>
        <v>-122</v>
      </c>
      <c r="GJ126" s="523">
        <f>GJ124+GJ122+GJ115+GJ110</f>
        <v>2248</v>
      </c>
      <c r="GK126" s="523">
        <f>GK124+GK122+GK115+GK110</f>
        <v>-1606</v>
      </c>
      <c r="GL126" s="523">
        <f>GL124+GL122+GL115+GL110</f>
        <v>372</v>
      </c>
      <c r="GM126" s="523">
        <f>GM124+GM122+GM115+GM110</f>
        <v>731</v>
      </c>
      <c r="GN126" s="524">
        <f>SUM(GJ126:GM126)</f>
        <v>1745</v>
      </c>
      <c r="GO126" s="523">
        <f>GO124+GO122+GO115+GO110</f>
        <v>40</v>
      </c>
      <c r="GP126" s="523">
        <f>GP124+GP122+GP115+GP110</f>
        <v>-362.11073906648608</v>
      </c>
      <c r="GQ126" s="523">
        <f>GQ124+GQ122+GQ115+GQ110</f>
        <v>1707.9907218851613</v>
      </c>
      <c r="GR126" s="523">
        <f>GR124+GR122+GR115+GR110</f>
        <v>1257.8170804450756</v>
      </c>
      <c r="GS126" s="524">
        <f>SUM(GO126:GR126)</f>
        <v>2643.6970632637508</v>
      </c>
      <c r="GT126" s="523">
        <f>GT124+GT122+GT115+GT110</f>
        <v>4796.8222161497933</v>
      </c>
      <c r="GU126" s="523">
        <f>GU124+GU122+GU115+GU110</f>
        <v>3665.3690686463069</v>
      </c>
      <c r="GV126" s="523">
        <f>GV124+GV122+GV115+GV110</f>
        <v>4004.9307352487713</v>
      </c>
      <c r="GW126" s="523">
        <f>GW124+GW122+GW115+GW110</f>
        <v>6179.848540996978</v>
      </c>
      <c r="GX126" s="524">
        <f>SUM(GT126:GW126)</f>
        <v>18646.970561041846</v>
      </c>
      <c r="GY126" s="523">
        <f>GY124+GY122+GY115+GY110</f>
        <v>11738.851206611704</v>
      </c>
      <c r="GZ126" s="523">
        <f>GZ124+GZ122+GZ115+GZ110</f>
        <v>9790.179771158093</v>
      </c>
      <c r="HA126" s="523">
        <f>HA124+HA122+HA115+HA110</f>
        <v>8322.9971445694173</v>
      </c>
      <c r="HB126" s="523">
        <f>HB124+HB122+HB115+HB110</f>
        <v>9343.7216047376132</v>
      </c>
      <c r="HC126" s="524">
        <f>SUM(GY126:HB126)</f>
        <v>39195.749727076829</v>
      </c>
      <c r="HD126" s="523">
        <f>HD124+HD122+HD115+HD110</f>
        <v>14975.601732786108</v>
      </c>
      <c r="HE126" s="523">
        <f>HE124+HE122+HE115+HE110</f>
        <v>12715.187924139384</v>
      </c>
      <c r="HF126" s="523">
        <f>HF124+HF122+HF115+HF110</f>
        <v>12592.025728023913</v>
      </c>
      <c r="HG126" s="523">
        <f>HG124+HG122+HG115+HG110</f>
        <v>14625.945672843018</v>
      </c>
      <c r="HH126" s="524">
        <f>SUM(HD126:HG126)</f>
        <v>54908.761057792421</v>
      </c>
      <c r="HI126" s="523">
        <f>HI124+HI122+HI115+HI110</f>
        <v>20106.924445771583</v>
      </c>
      <c r="HJ126" s="523">
        <f>HJ124+HJ122+HJ115+HJ110</f>
        <v>16283.007632812229</v>
      </c>
      <c r="HK126" s="523">
        <f>HK124+HK122+HK115+HK110</f>
        <v>14933.787572423964</v>
      </c>
      <c r="HL126" s="523">
        <f>HL124+HL122+HL115+HL110</f>
        <v>18918.529984919885</v>
      </c>
      <c r="HM126" s="524">
        <f>SUM(HI126:HL126)</f>
        <v>70242.24963592767</v>
      </c>
      <c r="HN126" s="524"/>
      <c r="HO126" s="524"/>
      <c r="HP126" s="606"/>
      <c r="HR126" s="606"/>
      <c r="HS126" s="606"/>
      <c r="HT126" s="606"/>
      <c r="HU126" s="606"/>
      <c r="HV126" s="606"/>
      <c r="HW126" s="606"/>
      <c r="HX126" s="606"/>
    </row>
    <row r="127" spans="1:232" s="539" customFormat="1">
      <c r="L127" s="523"/>
      <c r="M127" s="523"/>
      <c r="N127" s="523"/>
      <c r="O127" s="523"/>
      <c r="P127" s="524"/>
      <c r="Q127" s="523"/>
      <c r="R127" s="523"/>
      <c r="S127" s="523"/>
      <c r="T127" s="523"/>
      <c r="U127" s="524"/>
      <c r="V127" s="523"/>
      <c r="W127" s="523"/>
      <c r="X127" s="523"/>
      <c r="Y127" s="523"/>
      <c r="Z127" s="524"/>
      <c r="AA127" s="523"/>
      <c r="AB127" s="523"/>
      <c r="AC127" s="523"/>
      <c r="AD127" s="523"/>
      <c r="AE127" s="524"/>
      <c r="AF127" s="523"/>
      <c r="AG127" s="523"/>
      <c r="AH127" s="523"/>
      <c r="AI127" s="523"/>
      <c r="AJ127" s="524"/>
      <c r="AK127" s="523"/>
      <c r="AL127" s="523"/>
      <c r="AM127" s="523"/>
      <c r="AN127" s="523"/>
      <c r="AO127" s="524"/>
      <c r="AP127" s="523"/>
      <c r="AQ127" s="523"/>
      <c r="AR127" s="523"/>
      <c r="AS127" s="523"/>
      <c r="AT127" s="524"/>
      <c r="AU127" s="523"/>
      <c r="AV127" s="523"/>
      <c r="AW127" s="523"/>
      <c r="AX127" s="523"/>
      <c r="AY127" s="524"/>
      <c r="AZ127" s="523"/>
      <c r="BA127" s="523"/>
      <c r="BB127" s="523"/>
      <c r="BC127" s="523"/>
      <c r="BD127" s="524"/>
      <c r="BE127" s="523"/>
      <c r="BF127" s="523"/>
      <c r="BG127" s="523"/>
      <c r="BH127" s="523"/>
      <c r="BI127" s="524"/>
      <c r="BJ127" s="523"/>
      <c r="BK127" s="523"/>
      <c r="BL127" s="523"/>
      <c r="BM127" s="523"/>
      <c r="BN127" s="524"/>
      <c r="BO127" s="523"/>
      <c r="BP127" s="523"/>
      <c r="BQ127" s="523"/>
      <c r="BR127" s="523"/>
      <c r="BS127" s="524"/>
      <c r="BT127" s="523"/>
      <c r="BU127" s="523"/>
      <c r="BV127" s="523"/>
      <c r="BW127" s="523"/>
      <c r="BX127" s="524"/>
      <c r="BY127" s="523"/>
      <c r="BZ127" s="523"/>
      <c r="CA127" s="523"/>
      <c r="CB127" s="523"/>
      <c r="CC127" s="524"/>
      <c r="CD127" s="523"/>
      <c r="CE127" s="523"/>
      <c r="CF127" s="523"/>
      <c r="CG127" s="523"/>
      <c r="CH127" s="524"/>
      <c r="CM127" s="524"/>
      <c r="CO127" s="641"/>
      <c r="CR127" s="524"/>
      <c r="CW127" s="524"/>
      <c r="DB127" s="524"/>
      <c r="DG127" s="524"/>
      <c r="DL127" s="524"/>
      <c r="DQ127" s="524"/>
      <c r="DV127" s="524"/>
      <c r="EA127" s="524"/>
      <c r="EF127" s="524"/>
      <c r="EK127" s="524"/>
      <c r="EP127" s="524"/>
      <c r="EU127" s="524"/>
      <c r="EZ127" s="524"/>
      <c r="FE127" s="524"/>
      <c r="FJ127" s="524"/>
      <c r="FO127" s="524"/>
      <c r="FT127" s="524"/>
      <c r="FY127" s="524"/>
      <c r="GD127" s="524"/>
      <c r="GI127" s="524"/>
      <c r="GN127" s="524"/>
      <c r="GS127" s="524"/>
      <c r="GX127" s="524"/>
      <c r="HC127" s="524"/>
      <c r="HH127" s="524"/>
      <c r="HM127" s="524"/>
      <c r="HN127" s="524"/>
      <c r="HO127" s="524"/>
      <c r="HP127" s="606"/>
      <c r="HR127" s="606"/>
      <c r="HS127" s="606"/>
      <c r="HT127" s="606"/>
      <c r="HU127" s="606"/>
      <c r="HV127" s="606"/>
      <c r="HW127" s="606"/>
      <c r="HX127" s="606"/>
    </row>
    <row r="128" spans="1:232" s="539" customFormat="1">
      <c r="A128" s="636" t="s">
        <v>445</v>
      </c>
      <c r="L128" s="523"/>
      <c r="M128" s="523"/>
      <c r="N128" s="523"/>
      <c r="O128" s="523"/>
      <c r="P128" s="524"/>
      <c r="Q128" s="523"/>
      <c r="R128" s="523"/>
      <c r="S128" s="523"/>
      <c r="T128" s="523"/>
      <c r="U128" s="524"/>
      <c r="V128" s="523"/>
      <c r="W128" s="523"/>
      <c r="X128" s="523"/>
      <c r="Y128" s="523"/>
      <c r="Z128" s="524"/>
      <c r="AA128" s="523"/>
      <c r="AB128" s="523"/>
      <c r="AC128" s="523"/>
      <c r="AD128" s="523"/>
      <c r="AE128" s="524"/>
      <c r="AF128" s="523">
        <v>52.027000000000001</v>
      </c>
      <c r="AG128" s="523">
        <f>AF129</f>
        <v>80.552000000000021</v>
      </c>
      <c r="AH128" s="523">
        <f>AG129</f>
        <v>43.11199999999991</v>
      </c>
      <c r="AI128" s="523">
        <f>AH129</f>
        <v>25.812999999999889</v>
      </c>
      <c r="AJ128" s="524">
        <v>52.027000000000001</v>
      </c>
      <c r="AK128" s="523">
        <f>AI129</f>
        <v>60.423000000000073</v>
      </c>
      <c r="AL128" s="523">
        <f>AK129</f>
        <v>84.405000000000129</v>
      </c>
      <c r="AM128" s="523">
        <f>AL129</f>
        <v>79.268000000000157</v>
      </c>
      <c r="AN128" s="523">
        <f>AM129</f>
        <v>130.58700000000016</v>
      </c>
      <c r="AO128" s="524">
        <f>AJ129</f>
        <v>60.423000000000073</v>
      </c>
      <c r="AP128" s="523">
        <f>AN129</f>
        <v>121.34300000000039</v>
      </c>
      <c r="AQ128" s="523">
        <f>AP129</f>
        <v>162.68000000000035</v>
      </c>
      <c r="AR128" s="523">
        <f>AQ129</f>
        <v>261.07400000000035</v>
      </c>
      <c r="AS128" s="523">
        <f>AR129</f>
        <v>178.42800000000042</v>
      </c>
      <c r="AT128" s="524">
        <v>84.643000000000001</v>
      </c>
      <c r="AU128" s="523">
        <v>126.316</v>
      </c>
      <c r="AV128" s="523">
        <f>AU129</f>
        <v>85.381999999999991</v>
      </c>
      <c r="AW128" s="523">
        <f>AV129</f>
        <v>77.806000000000012</v>
      </c>
      <c r="AX128" s="523">
        <f>AW129</f>
        <v>108.74799999999996</v>
      </c>
      <c r="AY128" s="524">
        <v>126.316</v>
      </c>
      <c r="AZ128" s="523">
        <f>AX129</f>
        <v>166.19399999999999</v>
      </c>
      <c r="BA128" s="523">
        <f>AZ129</f>
        <v>225.38499999999996</v>
      </c>
      <c r="BB128" s="523">
        <f>BA129</f>
        <v>160.59499999999991</v>
      </c>
      <c r="BC128" s="523">
        <f>BB129</f>
        <v>162.78099999999992</v>
      </c>
      <c r="BD128" s="524">
        <f>AY129</f>
        <v>166.19399999999999</v>
      </c>
      <c r="BE128" s="523">
        <f>BC129</f>
        <v>240.6579999999999</v>
      </c>
      <c r="BF128" s="523">
        <f>BE129</f>
        <v>192.48099999999994</v>
      </c>
      <c r="BG128" s="523">
        <f>BF129</f>
        <v>160.16600000000005</v>
      </c>
      <c r="BH128" s="523">
        <f>BG129</f>
        <v>135.69300000000021</v>
      </c>
      <c r="BI128" s="524">
        <f>BD129</f>
        <v>240.6579999999999</v>
      </c>
      <c r="BJ128" s="523">
        <f>BH129</f>
        <v>361.90800000000047</v>
      </c>
      <c r="BK128" s="523">
        <f>BJ129</f>
        <v>163.5750000000005</v>
      </c>
      <c r="BL128" s="523">
        <f>BK129</f>
        <v>220.6380000000006</v>
      </c>
      <c r="BM128" s="523">
        <f>BL129</f>
        <v>93.267000000000735</v>
      </c>
      <c r="BN128" s="524">
        <f>BI129</f>
        <v>361.90800000000047</v>
      </c>
      <c r="BO128" s="523">
        <f>BM129</f>
        <v>294.12500000000023</v>
      </c>
      <c r="BP128" s="523">
        <f>BO129</f>
        <v>380.15400000000011</v>
      </c>
      <c r="BQ128" s="523">
        <f>BP129</f>
        <v>709.52300000000025</v>
      </c>
      <c r="BR128" s="523">
        <f>BQ129</f>
        <v>582.29899999999998</v>
      </c>
      <c r="BS128" s="524">
        <f>BN129</f>
        <v>294.12500000000023</v>
      </c>
      <c r="BT128" s="523">
        <f>BR129</f>
        <v>591.45699999999965</v>
      </c>
      <c r="BU128" s="523">
        <f>BT129</f>
        <v>1055.7759999999994</v>
      </c>
      <c r="BV128" s="523">
        <f>BU129</f>
        <v>392.49999999999943</v>
      </c>
      <c r="BW128" s="523">
        <f>BV129</f>
        <v>397.423</v>
      </c>
      <c r="BX128" s="524">
        <f>BS129</f>
        <v>591.45699999999965</v>
      </c>
      <c r="BY128" s="523">
        <v>427.28800000000001</v>
      </c>
      <c r="BZ128" s="523">
        <f>BY129</f>
        <v>298.38699999999977</v>
      </c>
      <c r="CA128" s="523">
        <f>BZ129</f>
        <v>506.19100000000009</v>
      </c>
      <c r="CB128" s="523">
        <f>CA129</f>
        <v>533.38899999999944</v>
      </c>
      <c r="CC128" s="524">
        <f>BX129</f>
        <v>427.28799999999978</v>
      </c>
      <c r="CD128" s="523">
        <f>CB129</f>
        <v>428.74799999999954</v>
      </c>
      <c r="CE128" s="523">
        <f>CD129</f>
        <v>429.39199999999948</v>
      </c>
      <c r="CF128" s="523">
        <f>397.698+CE130+CD126</f>
        <v>672.12599999999998</v>
      </c>
      <c r="CG128" s="523">
        <f>289.839+CD126+CE130+CF130</f>
        <v>887.07600000000002</v>
      </c>
      <c r="CH128" s="524">
        <f>289.839</f>
        <v>289.839</v>
      </c>
      <c r="CI128" s="523">
        <f>CG129</f>
        <v>968.18299999999977</v>
      </c>
      <c r="CJ128" s="523">
        <f>CI129</f>
        <v>957.42299999999977</v>
      </c>
      <c r="CK128" s="523">
        <f>CJ129</f>
        <v>698.24999999999989</v>
      </c>
      <c r="CL128" s="523">
        <f>CK129</f>
        <v>776.58799999999997</v>
      </c>
      <c r="CM128" s="524">
        <f>CH129</f>
        <v>968.18299999999977</v>
      </c>
      <c r="CN128" s="523">
        <f>CL129</f>
        <v>918.37699999999984</v>
      </c>
      <c r="CO128" s="523">
        <f>CN129</f>
        <v>661.98399999999981</v>
      </c>
      <c r="CP128" s="523">
        <f>CO129</f>
        <v>711.22099999999989</v>
      </c>
      <c r="CQ128" s="523">
        <f>CP129</f>
        <v>806.11500000000001</v>
      </c>
      <c r="CR128" s="524">
        <f>CM129</f>
        <v>918.37699999999973</v>
      </c>
      <c r="CS128" s="523">
        <f>CQ129</f>
        <v>633.06699999999978</v>
      </c>
      <c r="CT128" s="523">
        <f>CS129</f>
        <v>828.62599999999964</v>
      </c>
      <c r="CU128" s="523">
        <f>CT129</f>
        <v>688.65699999999947</v>
      </c>
      <c r="CV128" s="523">
        <f>CU129</f>
        <v>1384.5259999999994</v>
      </c>
      <c r="CW128" s="524">
        <f>CR129</f>
        <v>633.06699999999967</v>
      </c>
      <c r="CX128" s="523">
        <f>CV129</f>
        <v>1379.9999999999995</v>
      </c>
      <c r="CY128" s="523">
        <f>CX129</f>
        <v>990.99999999999955</v>
      </c>
      <c r="CZ128" s="523">
        <f>CY129</f>
        <v>1303.9999999999995</v>
      </c>
      <c r="DA128" s="523">
        <f>CZ129</f>
        <v>1095.9999999999995</v>
      </c>
      <c r="DB128" s="524">
        <f>CW129</f>
        <v>1379.9999999999995</v>
      </c>
      <c r="DC128" s="523">
        <f>DA129</f>
        <v>1431.9999999999995</v>
      </c>
      <c r="DD128" s="523">
        <f>DC129</f>
        <v>1403.9999999999995</v>
      </c>
      <c r="DE128" s="523">
        <f>DD129</f>
        <v>1309.9999999999995</v>
      </c>
      <c r="DF128" s="523">
        <f>DE129</f>
        <v>1107.9999999999995</v>
      </c>
      <c r="DG128" s="524">
        <f>DB129</f>
        <v>1431.9999999999995</v>
      </c>
      <c r="DH128" s="523">
        <f>DF129</f>
        <v>932.99999999999955</v>
      </c>
      <c r="DI128" s="523">
        <f>DH129</f>
        <v>2401.9999999999995</v>
      </c>
      <c r="DJ128" s="523">
        <f>DI129</f>
        <v>1978.9999999999995</v>
      </c>
      <c r="DK128" s="523">
        <f>DJ129</f>
        <v>1846.9999999999995</v>
      </c>
      <c r="DL128" s="524">
        <f>DG129</f>
        <v>932.99999999999955</v>
      </c>
      <c r="DM128" s="523">
        <v>1657</v>
      </c>
      <c r="DN128" s="523">
        <f>DM129</f>
        <v>642</v>
      </c>
      <c r="DO128" s="523">
        <f>DN129</f>
        <v>1084</v>
      </c>
      <c r="DP128" s="523">
        <f>DO129</f>
        <v>620</v>
      </c>
      <c r="DQ128" s="524">
        <f>DM128</f>
        <v>1657</v>
      </c>
      <c r="DR128" s="523">
        <f>DP129</f>
        <v>606</v>
      </c>
      <c r="DS128" s="523">
        <f>DR129</f>
        <v>602</v>
      </c>
      <c r="DT128" s="523">
        <f>DS129</f>
        <v>554</v>
      </c>
      <c r="DU128" s="523">
        <f>DT129</f>
        <v>625</v>
      </c>
      <c r="DV128" s="524">
        <f>DQ129</f>
        <v>606</v>
      </c>
      <c r="DW128" s="523">
        <f>DU129</f>
        <v>869</v>
      </c>
      <c r="DX128" s="523">
        <f>DW129</f>
        <v>1193</v>
      </c>
      <c r="DY128" s="523">
        <f>DX129</f>
        <v>1015</v>
      </c>
      <c r="DZ128" s="523">
        <f>DY129</f>
        <v>776</v>
      </c>
      <c r="EA128" s="524">
        <f>DV129</f>
        <v>869</v>
      </c>
      <c r="EB128" s="523">
        <f>DZ129</f>
        <v>549</v>
      </c>
      <c r="EC128" s="523">
        <f>EB129</f>
        <v>441</v>
      </c>
      <c r="ED128" s="523">
        <f>EC129</f>
        <v>334</v>
      </c>
      <c r="EE128" s="523">
        <f>ED129</f>
        <v>543</v>
      </c>
      <c r="EF128" s="524">
        <f>EA129</f>
        <v>549</v>
      </c>
      <c r="EG128" s="523">
        <f>EE129</f>
        <v>869</v>
      </c>
      <c r="EH128" s="523">
        <f>EG129</f>
        <v>554</v>
      </c>
      <c r="EI128" s="523">
        <f>EH129</f>
        <v>503</v>
      </c>
      <c r="EJ128" s="523">
        <f>EI129</f>
        <v>640</v>
      </c>
      <c r="EK128" s="524">
        <f>EF129</f>
        <v>869</v>
      </c>
      <c r="EL128" s="523">
        <f>EJ129</f>
        <v>805</v>
      </c>
      <c r="EM128" s="523">
        <f>EL129</f>
        <v>677</v>
      </c>
      <c r="EN128" s="523">
        <f>EM129</f>
        <v>829</v>
      </c>
      <c r="EO128" s="523">
        <f>EN129</f>
        <v>755</v>
      </c>
      <c r="EP128" s="524">
        <f>EK129</f>
        <v>805</v>
      </c>
      <c r="EQ128" s="523">
        <f>EO129</f>
        <v>785</v>
      </c>
      <c r="ER128" s="523">
        <f>EQ129</f>
        <v>716</v>
      </c>
      <c r="ES128" s="523">
        <f>ER129</f>
        <v>957</v>
      </c>
      <c r="ET128" s="523">
        <f>ES129</f>
        <v>1258</v>
      </c>
      <c r="EU128" s="524">
        <f>EP129</f>
        <v>785</v>
      </c>
      <c r="EV128" s="523">
        <f>ET129</f>
        <v>1264</v>
      </c>
      <c r="EW128" s="523">
        <f>EV129</f>
        <v>722</v>
      </c>
      <c r="EX128" s="523">
        <f>EW129</f>
        <v>760</v>
      </c>
      <c r="EY128" s="523">
        <f>EX129</f>
        <v>879</v>
      </c>
      <c r="EZ128" s="524">
        <f>EU129</f>
        <v>1264</v>
      </c>
      <c r="FA128" s="523">
        <f>EY129</f>
        <v>1185</v>
      </c>
      <c r="FB128" s="523">
        <f>FA129</f>
        <v>1045</v>
      </c>
      <c r="FC128" s="523">
        <f>FB129</f>
        <v>948</v>
      </c>
      <c r="FD128" s="523">
        <f>FC129</f>
        <v>1045</v>
      </c>
      <c r="FE128" s="524">
        <f>EZ129</f>
        <v>1185</v>
      </c>
      <c r="FF128" s="523">
        <f>FD129</f>
        <v>1077</v>
      </c>
      <c r="FG128" s="523">
        <f>FF129</f>
        <v>977</v>
      </c>
      <c r="FH128" s="523">
        <f>FG129</f>
        <v>962</v>
      </c>
      <c r="FI128" s="523">
        <f>FH129</f>
        <v>1155</v>
      </c>
      <c r="FJ128" s="524">
        <f>FE129</f>
        <v>1077</v>
      </c>
      <c r="FK128" s="523">
        <f>FI129</f>
        <v>1464</v>
      </c>
      <c r="FL128" s="523">
        <f>FK129</f>
        <v>1328</v>
      </c>
      <c r="FM128" s="523">
        <f>FL129</f>
        <v>1775</v>
      </c>
      <c r="FN128" s="523">
        <f>FM129</f>
        <v>1296</v>
      </c>
      <c r="FO128" s="524">
        <f>FJ129</f>
        <v>1464</v>
      </c>
      <c r="FP128" s="523">
        <f>FN129</f>
        <v>1595</v>
      </c>
      <c r="FQ128" s="523">
        <f>FP129</f>
        <v>1763</v>
      </c>
      <c r="FR128" s="523">
        <f>FQ129</f>
        <v>2623.0000779220782</v>
      </c>
      <c r="FS128" s="523">
        <f>FR129</f>
        <v>2440</v>
      </c>
      <c r="FT128" s="524">
        <f>FO129</f>
        <v>1595</v>
      </c>
      <c r="FU128" s="523">
        <f>FS129</f>
        <v>2535</v>
      </c>
      <c r="FV128" s="523">
        <f>FU129</f>
        <v>4740</v>
      </c>
      <c r="FW128" s="523">
        <f>FV129</f>
        <v>4964</v>
      </c>
      <c r="FX128" s="523">
        <f>FW129</f>
        <v>3398</v>
      </c>
      <c r="FY128" s="524">
        <f>FT129</f>
        <v>2535</v>
      </c>
      <c r="FZ128" s="523">
        <f>FX129</f>
        <v>4835</v>
      </c>
      <c r="GA128" s="523">
        <f>FZ129</f>
        <v>3825</v>
      </c>
      <c r="GB128" s="523">
        <f>GA129</f>
        <v>3841</v>
      </c>
      <c r="GC128" s="523">
        <f>GB129</f>
        <v>3561</v>
      </c>
      <c r="GD128" s="524">
        <f>FY129</f>
        <v>4835</v>
      </c>
      <c r="GE128" s="523">
        <f>GD129</f>
        <v>3933</v>
      </c>
      <c r="GF128" s="523">
        <f>GE129</f>
        <v>4190</v>
      </c>
      <c r="GG128" s="523">
        <f>GF129</f>
        <v>4113</v>
      </c>
      <c r="GH128" s="523">
        <f>GG129</f>
        <v>3897</v>
      </c>
      <c r="GI128" s="524">
        <f>GD129</f>
        <v>3933</v>
      </c>
      <c r="GJ128" s="523">
        <f>GH129</f>
        <v>3811</v>
      </c>
      <c r="GK128" s="523">
        <f>GJ129</f>
        <v>6059</v>
      </c>
      <c r="GL128" s="523">
        <f>GK129</f>
        <v>4453</v>
      </c>
      <c r="GM128" s="523">
        <f>GL129</f>
        <v>4825</v>
      </c>
      <c r="GN128" s="524">
        <f>GI129</f>
        <v>3811</v>
      </c>
      <c r="GO128" s="523">
        <f>GM129</f>
        <v>5556</v>
      </c>
      <c r="GP128" s="523">
        <f>GO129</f>
        <v>5596</v>
      </c>
      <c r="GQ128" s="523">
        <f>GP129</f>
        <v>5233.8892609335144</v>
      </c>
      <c r="GR128" s="523">
        <f>GQ129</f>
        <v>6941.8799828186757</v>
      </c>
      <c r="GS128" s="524">
        <f>GN129</f>
        <v>5556</v>
      </c>
      <c r="GT128" s="523">
        <f>GR129</f>
        <v>8199.6970632637513</v>
      </c>
      <c r="GU128" s="523">
        <f>GT129</f>
        <v>12996.519279413544</v>
      </c>
      <c r="GV128" s="523">
        <f>GU129</f>
        <v>16661.888348059852</v>
      </c>
      <c r="GW128" s="523">
        <f>GV129</f>
        <v>20666.819083308623</v>
      </c>
      <c r="GX128" s="524">
        <f>GS129</f>
        <v>8199.6970632637513</v>
      </c>
      <c r="GY128" s="523">
        <f>GW129</f>
        <v>26846.667624305599</v>
      </c>
      <c r="GZ128" s="523">
        <f>GY129</f>
        <v>38585.518830917303</v>
      </c>
      <c r="HA128" s="523">
        <f>GZ129</f>
        <v>48375.698602075398</v>
      </c>
      <c r="HB128" s="523">
        <f>HA129</f>
        <v>56698.695746644815</v>
      </c>
      <c r="HC128" s="524">
        <f>GX129</f>
        <v>26846.667624305599</v>
      </c>
      <c r="HD128" s="523">
        <f>HB129</f>
        <v>66042.417351382435</v>
      </c>
      <c r="HE128" s="523">
        <f>HD129</f>
        <v>81018.01908416854</v>
      </c>
      <c r="HF128" s="523">
        <f>HE129</f>
        <v>93733.207008307916</v>
      </c>
      <c r="HG128" s="523">
        <f>HF129</f>
        <v>106325.23273633183</v>
      </c>
      <c r="HH128" s="524">
        <f>HC129</f>
        <v>66042.417351382435</v>
      </c>
      <c r="HI128" s="523">
        <f>HG129</f>
        <v>120951.17840917486</v>
      </c>
      <c r="HJ128" s="523">
        <f>HI129</f>
        <v>141058.10285494645</v>
      </c>
      <c r="HK128" s="523">
        <f>HJ129</f>
        <v>157341.11048775868</v>
      </c>
      <c r="HL128" s="523">
        <f>HK129</f>
        <v>172274.89806018263</v>
      </c>
      <c r="HM128" s="524">
        <f>HH129</f>
        <v>120951.17840917486</v>
      </c>
      <c r="HN128" s="524"/>
      <c r="HO128" s="524"/>
      <c r="HP128" s="606"/>
      <c r="HR128" s="606"/>
      <c r="HS128" s="606"/>
      <c r="HT128" s="606"/>
      <c r="HU128" s="606"/>
      <c r="HV128" s="606"/>
      <c r="HW128" s="606"/>
      <c r="HX128" s="606"/>
    </row>
    <row r="129" spans="1:236" s="539" customFormat="1">
      <c r="A129" s="539" t="s">
        <v>446</v>
      </c>
      <c r="L129" s="523"/>
      <c r="M129" s="523"/>
      <c r="N129" s="523"/>
      <c r="O129" s="523"/>
      <c r="P129" s="524"/>
      <c r="Q129" s="523"/>
      <c r="R129" s="523"/>
      <c r="S129" s="523"/>
      <c r="T129" s="523"/>
      <c r="U129" s="524"/>
      <c r="V129" s="523"/>
      <c r="W129" s="523"/>
      <c r="X129" s="523"/>
      <c r="Y129" s="523"/>
      <c r="Z129" s="524"/>
      <c r="AA129" s="523"/>
      <c r="AB129" s="523"/>
      <c r="AC129" s="523"/>
      <c r="AD129" s="523"/>
      <c r="AE129" s="524"/>
      <c r="AF129" s="523">
        <f t="shared" ref="AF129:CQ129" si="152">AF128+AF130</f>
        <v>80.552000000000021</v>
      </c>
      <c r="AG129" s="523">
        <f t="shared" si="152"/>
        <v>43.11199999999991</v>
      </c>
      <c r="AH129" s="523">
        <f t="shared" si="152"/>
        <v>25.812999999999889</v>
      </c>
      <c r="AI129" s="523">
        <f t="shared" si="152"/>
        <v>60.423000000000073</v>
      </c>
      <c r="AJ129" s="524">
        <f t="shared" si="152"/>
        <v>60.423000000000073</v>
      </c>
      <c r="AK129" s="523">
        <f t="shared" si="152"/>
        <v>84.405000000000129</v>
      </c>
      <c r="AL129" s="523">
        <f t="shared" si="152"/>
        <v>79.268000000000157</v>
      </c>
      <c r="AM129" s="523">
        <f t="shared" si="152"/>
        <v>130.58700000000016</v>
      </c>
      <c r="AN129" s="523">
        <f t="shared" si="152"/>
        <v>121.34300000000039</v>
      </c>
      <c r="AO129" s="524">
        <f t="shared" si="152"/>
        <v>121.34300000000039</v>
      </c>
      <c r="AP129" s="523">
        <f t="shared" si="152"/>
        <v>162.68000000000035</v>
      </c>
      <c r="AQ129" s="523">
        <f t="shared" si="152"/>
        <v>261.07400000000035</v>
      </c>
      <c r="AR129" s="523">
        <f t="shared" si="152"/>
        <v>178.42800000000042</v>
      </c>
      <c r="AS129" s="523">
        <f t="shared" si="152"/>
        <v>150.05400000000034</v>
      </c>
      <c r="AT129" s="524">
        <f t="shared" si="152"/>
        <v>113.35399999999998</v>
      </c>
      <c r="AU129" s="523">
        <f t="shared" si="152"/>
        <v>85.381999999999991</v>
      </c>
      <c r="AV129" s="523">
        <f t="shared" si="152"/>
        <v>77.806000000000012</v>
      </c>
      <c r="AW129" s="523">
        <f t="shared" si="152"/>
        <v>108.74799999999996</v>
      </c>
      <c r="AX129" s="523">
        <f t="shared" si="152"/>
        <v>166.19399999999999</v>
      </c>
      <c r="AY129" s="524">
        <f t="shared" si="152"/>
        <v>166.19399999999999</v>
      </c>
      <c r="AZ129" s="523">
        <f t="shared" si="152"/>
        <v>225.38499999999996</v>
      </c>
      <c r="BA129" s="523">
        <f t="shared" si="152"/>
        <v>160.59499999999991</v>
      </c>
      <c r="BB129" s="523">
        <f t="shared" si="152"/>
        <v>162.78099999999992</v>
      </c>
      <c r="BC129" s="523">
        <f t="shared" si="152"/>
        <v>240.6579999999999</v>
      </c>
      <c r="BD129" s="524">
        <f t="shared" si="152"/>
        <v>240.6579999999999</v>
      </c>
      <c r="BE129" s="523">
        <f t="shared" si="152"/>
        <v>192.48099999999994</v>
      </c>
      <c r="BF129" s="523">
        <f t="shared" si="152"/>
        <v>160.16600000000005</v>
      </c>
      <c r="BG129" s="523">
        <f t="shared" si="152"/>
        <v>135.69300000000021</v>
      </c>
      <c r="BH129" s="523">
        <f t="shared" si="152"/>
        <v>361.90800000000047</v>
      </c>
      <c r="BI129" s="524">
        <f t="shared" si="152"/>
        <v>361.90800000000047</v>
      </c>
      <c r="BJ129" s="523">
        <f t="shared" si="152"/>
        <v>163.5750000000005</v>
      </c>
      <c r="BK129" s="523">
        <f t="shared" si="152"/>
        <v>220.6380000000006</v>
      </c>
      <c r="BL129" s="523">
        <f t="shared" si="152"/>
        <v>93.267000000000735</v>
      </c>
      <c r="BM129" s="523">
        <f t="shared" si="152"/>
        <v>294.12500000000023</v>
      </c>
      <c r="BN129" s="524">
        <f t="shared" si="152"/>
        <v>294.12500000000023</v>
      </c>
      <c r="BO129" s="523">
        <f t="shared" si="152"/>
        <v>380.15400000000011</v>
      </c>
      <c r="BP129" s="523">
        <f t="shared" si="152"/>
        <v>709.52300000000025</v>
      </c>
      <c r="BQ129" s="523">
        <f t="shared" si="152"/>
        <v>582.29899999999998</v>
      </c>
      <c r="BR129" s="523">
        <f t="shared" si="152"/>
        <v>591.45699999999965</v>
      </c>
      <c r="BS129" s="524">
        <f t="shared" si="152"/>
        <v>591.45699999999965</v>
      </c>
      <c r="BT129" s="523">
        <f t="shared" si="152"/>
        <v>1055.7759999999994</v>
      </c>
      <c r="BU129" s="523">
        <f t="shared" si="152"/>
        <v>392.49999999999943</v>
      </c>
      <c r="BV129" s="523">
        <f t="shared" si="152"/>
        <v>397.423</v>
      </c>
      <c r="BW129" s="523">
        <f t="shared" si="152"/>
        <v>427.28799999999967</v>
      </c>
      <c r="BX129" s="524">
        <f t="shared" si="152"/>
        <v>427.28799999999978</v>
      </c>
      <c r="BY129" s="523">
        <f t="shared" si="152"/>
        <v>298.38699999999977</v>
      </c>
      <c r="BZ129" s="523">
        <f t="shared" si="152"/>
        <v>506.19100000000009</v>
      </c>
      <c r="CA129" s="523">
        <f t="shared" si="152"/>
        <v>533.38899999999944</v>
      </c>
      <c r="CB129" s="523">
        <f t="shared" si="152"/>
        <v>428.74799999999954</v>
      </c>
      <c r="CC129" s="524">
        <f t="shared" si="152"/>
        <v>428.74799999999931</v>
      </c>
      <c r="CD129" s="523">
        <f t="shared" si="152"/>
        <v>429.39199999999948</v>
      </c>
      <c r="CE129" s="523">
        <f t="shared" si="152"/>
        <v>703.17599999999948</v>
      </c>
      <c r="CF129" s="523">
        <f t="shared" si="152"/>
        <v>994.93499999999995</v>
      </c>
      <c r="CG129" s="523">
        <f t="shared" si="152"/>
        <v>968.18299999999977</v>
      </c>
      <c r="CH129" s="524">
        <f t="shared" si="152"/>
        <v>968.18299999999977</v>
      </c>
      <c r="CI129" s="523">
        <f t="shared" si="152"/>
        <v>957.42299999999977</v>
      </c>
      <c r="CJ129" s="523">
        <f t="shared" si="152"/>
        <v>698.24999999999989</v>
      </c>
      <c r="CK129" s="523">
        <f t="shared" si="152"/>
        <v>776.58799999999997</v>
      </c>
      <c r="CL129" s="523">
        <f t="shared" si="152"/>
        <v>918.37699999999984</v>
      </c>
      <c r="CM129" s="524">
        <f t="shared" si="152"/>
        <v>918.37699999999973</v>
      </c>
      <c r="CN129" s="523">
        <f t="shared" si="152"/>
        <v>661.98399999999981</v>
      </c>
      <c r="CO129" s="523">
        <f t="shared" si="152"/>
        <v>711.22099999999989</v>
      </c>
      <c r="CP129" s="523">
        <f t="shared" si="152"/>
        <v>806.11500000000001</v>
      </c>
      <c r="CQ129" s="523">
        <f t="shared" si="152"/>
        <v>633.06699999999978</v>
      </c>
      <c r="CR129" s="524">
        <f t="shared" ref="CR129:DZ129" si="153">CR128+CR130</f>
        <v>633.06699999999967</v>
      </c>
      <c r="CS129" s="523">
        <f t="shared" si="153"/>
        <v>828.62599999999964</v>
      </c>
      <c r="CT129" s="523">
        <f t="shared" si="153"/>
        <v>688.65699999999947</v>
      </c>
      <c r="CU129" s="523">
        <f t="shared" si="153"/>
        <v>1384.5259999999994</v>
      </c>
      <c r="CV129" s="523">
        <f t="shared" si="153"/>
        <v>1379.9999999999995</v>
      </c>
      <c r="CW129" s="524">
        <f t="shared" si="153"/>
        <v>1379.9999999999995</v>
      </c>
      <c r="CX129" s="523">
        <f t="shared" si="153"/>
        <v>990.99999999999955</v>
      </c>
      <c r="CY129" s="523">
        <f t="shared" si="153"/>
        <v>1303.9999999999995</v>
      </c>
      <c r="CZ129" s="523">
        <f t="shared" si="153"/>
        <v>1095.9999999999995</v>
      </c>
      <c r="DA129" s="523">
        <f t="shared" si="153"/>
        <v>1431.9999999999995</v>
      </c>
      <c r="DB129" s="524">
        <f t="shared" si="153"/>
        <v>1431.9999999999995</v>
      </c>
      <c r="DC129" s="523">
        <f t="shared" si="153"/>
        <v>1403.9999999999995</v>
      </c>
      <c r="DD129" s="523">
        <f t="shared" si="153"/>
        <v>1309.9999999999995</v>
      </c>
      <c r="DE129" s="523">
        <f t="shared" si="153"/>
        <v>1107.9999999999995</v>
      </c>
      <c r="DF129" s="523">
        <f t="shared" si="153"/>
        <v>932.99999999999955</v>
      </c>
      <c r="DG129" s="524">
        <f t="shared" si="153"/>
        <v>932.99999999999955</v>
      </c>
      <c r="DH129" s="523">
        <f t="shared" si="153"/>
        <v>2401.9999999999995</v>
      </c>
      <c r="DI129" s="523">
        <f t="shared" si="153"/>
        <v>1978.9999999999995</v>
      </c>
      <c r="DJ129" s="523">
        <f t="shared" si="153"/>
        <v>1846.9999999999995</v>
      </c>
      <c r="DK129" s="523">
        <f t="shared" si="153"/>
        <v>2010.9999999999995</v>
      </c>
      <c r="DL129" s="524">
        <f>DL128+DL130</f>
        <v>2010.9999999999995</v>
      </c>
      <c r="DM129" s="523">
        <f t="shared" si="153"/>
        <v>642</v>
      </c>
      <c r="DN129" s="523">
        <f t="shared" si="153"/>
        <v>1084</v>
      </c>
      <c r="DO129" s="523">
        <f t="shared" si="153"/>
        <v>620</v>
      </c>
      <c r="DP129" s="523">
        <f t="shared" si="153"/>
        <v>606</v>
      </c>
      <c r="DQ129" s="524">
        <f t="shared" si="153"/>
        <v>606</v>
      </c>
      <c r="DR129" s="523">
        <f t="shared" si="153"/>
        <v>602</v>
      </c>
      <c r="DS129" s="523">
        <f t="shared" si="153"/>
        <v>554</v>
      </c>
      <c r="DT129" s="523">
        <f t="shared" si="153"/>
        <v>625</v>
      </c>
      <c r="DU129" s="523">
        <f t="shared" si="153"/>
        <v>869</v>
      </c>
      <c r="DV129" s="524">
        <f t="shared" si="153"/>
        <v>869</v>
      </c>
      <c r="DW129" s="523">
        <f>DW75</f>
        <v>1193</v>
      </c>
      <c r="DX129" s="523">
        <f t="shared" si="153"/>
        <v>1015</v>
      </c>
      <c r="DY129" s="523">
        <f t="shared" si="153"/>
        <v>776</v>
      </c>
      <c r="DZ129" s="523">
        <f t="shared" si="153"/>
        <v>549</v>
      </c>
      <c r="EA129" s="524">
        <f>EA75</f>
        <v>549</v>
      </c>
      <c r="EB129" s="523">
        <f t="shared" ref="EB129:EU129" si="154">EB128+EB130</f>
        <v>441</v>
      </c>
      <c r="EC129" s="523">
        <f t="shared" si="154"/>
        <v>334</v>
      </c>
      <c r="ED129" s="523">
        <f t="shared" si="154"/>
        <v>543</v>
      </c>
      <c r="EE129" s="523">
        <f t="shared" si="154"/>
        <v>869</v>
      </c>
      <c r="EF129" s="524">
        <f t="shared" si="154"/>
        <v>869</v>
      </c>
      <c r="EG129" s="523">
        <f t="shared" si="154"/>
        <v>554</v>
      </c>
      <c r="EH129" s="523">
        <f t="shared" si="154"/>
        <v>503</v>
      </c>
      <c r="EI129" s="523">
        <f t="shared" si="154"/>
        <v>640</v>
      </c>
      <c r="EJ129" s="523">
        <f t="shared" si="154"/>
        <v>805</v>
      </c>
      <c r="EK129" s="524">
        <f t="shared" si="154"/>
        <v>805</v>
      </c>
      <c r="EL129" s="523">
        <f t="shared" si="154"/>
        <v>677</v>
      </c>
      <c r="EM129" s="523">
        <f t="shared" si="154"/>
        <v>829</v>
      </c>
      <c r="EN129" s="523">
        <f t="shared" si="154"/>
        <v>755</v>
      </c>
      <c r="EO129" s="523">
        <f t="shared" si="154"/>
        <v>785</v>
      </c>
      <c r="EP129" s="524">
        <f t="shared" si="154"/>
        <v>785</v>
      </c>
      <c r="EQ129" s="523">
        <f t="shared" si="154"/>
        <v>716</v>
      </c>
      <c r="ER129" s="523">
        <f t="shared" si="154"/>
        <v>957</v>
      </c>
      <c r="ES129" s="523">
        <f t="shared" si="154"/>
        <v>1258</v>
      </c>
      <c r="ET129" s="523">
        <f t="shared" si="154"/>
        <v>1264</v>
      </c>
      <c r="EU129" s="524">
        <f t="shared" si="154"/>
        <v>1264</v>
      </c>
      <c r="EV129" s="523">
        <f>EV128+EV130</f>
        <v>722</v>
      </c>
      <c r="EW129" s="523">
        <f>EW128+EW130</f>
        <v>760</v>
      </c>
      <c r="EX129" s="523">
        <f>EX128+EX130</f>
        <v>879</v>
      </c>
      <c r="EY129" s="523">
        <f>EY128+EY130</f>
        <v>1185</v>
      </c>
      <c r="EZ129" s="524">
        <f>EZ128+EZ130</f>
        <v>1185</v>
      </c>
      <c r="FA129" s="523">
        <f t="shared" ref="FA129:FT129" si="155">FA128+FA130</f>
        <v>1045</v>
      </c>
      <c r="FB129" s="523">
        <f t="shared" si="155"/>
        <v>948</v>
      </c>
      <c r="FC129" s="523">
        <f>FC128+FC130</f>
        <v>1045</v>
      </c>
      <c r="FD129" s="523">
        <f t="shared" si="155"/>
        <v>1077</v>
      </c>
      <c r="FE129" s="524">
        <f t="shared" si="155"/>
        <v>1077</v>
      </c>
      <c r="FF129" s="523">
        <f t="shared" si="155"/>
        <v>977</v>
      </c>
      <c r="FG129" s="523">
        <f t="shared" si="155"/>
        <v>962</v>
      </c>
      <c r="FH129" s="523">
        <f t="shared" si="155"/>
        <v>1155</v>
      </c>
      <c r="FI129" s="523">
        <f t="shared" si="155"/>
        <v>1464</v>
      </c>
      <c r="FJ129" s="524">
        <f t="shared" si="155"/>
        <v>1464</v>
      </c>
      <c r="FK129" s="523">
        <f t="shared" si="155"/>
        <v>1328</v>
      </c>
      <c r="FL129" s="523">
        <f t="shared" si="155"/>
        <v>1775</v>
      </c>
      <c r="FM129" s="523">
        <f t="shared" si="155"/>
        <v>1296</v>
      </c>
      <c r="FN129" s="523">
        <f t="shared" si="155"/>
        <v>1595</v>
      </c>
      <c r="FO129" s="524">
        <f t="shared" si="155"/>
        <v>1595</v>
      </c>
      <c r="FP129" s="523">
        <f t="shared" si="155"/>
        <v>1763</v>
      </c>
      <c r="FQ129" s="523">
        <f>FQ128+FQ130</f>
        <v>2623.0000779220782</v>
      </c>
      <c r="FR129" s="523">
        <f>FR128+FR130</f>
        <v>2440</v>
      </c>
      <c r="FS129" s="523">
        <f>FS128+FS130</f>
        <v>2535</v>
      </c>
      <c r="FT129" s="524">
        <f t="shared" si="155"/>
        <v>2535</v>
      </c>
      <c r="FU129" s="523">
        <f>FU128+FU130</f>
        <v>4740</v>
      </c>
      <c r="FV129" s="523">
        <f>FV128+FV130</f>
        <v>4964</v>
      </c>
      <c r="FW129" s="523">
        <f>FW128+FW130</f>
        <v>3398</v>
      </c>
      <c r="FX129" s="523">
        <f>FX128+FX130</f>
        <v>4835</v>
      </c>
      <c r="FY129" s="524">
        <f t="shared" ref="FY129:HM129" si="156">FY128+FY130</f>
        <v>4835</v>
      </c>
      <c r="FZ129" s="523">
        <f t="shared" si="156"/>
        <v>3825</v>
      </c>
      <c r="GA129" s="523">
        <f t="shared" si="156"/>
        <v>3841</v>
      </c>
      <c r="GB129" s="523">
        <f t="shared" si="156"/>
        <v>3561</v>
      </c>
      <c r="GC129" s="523">
        <f>GC128+GC130</f>
        <v>3933</v>
      </c>
      <c r="GD129" s="524">
        <f t="shared" si="156"/>
        <v>3933</v>
      </c>
      <c r="GE129" s="523">
        <f>GE128+GE130</f>
        <v>4190</v>
      </c>
      <c r="GF129" s="523">
        <f t="shared" si="156"/>
        <v>4113</v>
      </c>
      <c r="GG129" s="523">
        <f>GG128+GG130</f>
        <v>3897</v>
      </c>
      <c r="GH129" s="523">
        <f>GH128+GH130</f>
        <v>3811</v>
      </c>
      <c r="GI129" s="524">
        <f t="shared" si="156"/>
        <v>3811</v>
      </c>
      <c r="GJ129" s="523">
        <f t="shared" si="156"/>
        <v>6059</v>
      </c>
      <c r="GK129" s="523">
        <f t="shared" si="156"/>
        <v>4453</v>
      </c>
      <c r="GL129" s="523">
        <f t="shared" si="156"/>
        <v>4825</v>
      </c>
      <c r="GM129" s="523">
        <f t="shared" si="156"/>
        <v>5556</v>
      </c>
      <c r="GN129" s="524">
        <f t="shared" si="156"/>
        <v>5556</v>
      </c>
      <c r="GO129" s="523">
        <f t="shared" si="156"/>
        <v>5596</v>
      </c>
      <c r="GP129" s="523">
        <f t="shared" si="156"/>
        <v>5233.8892609335144</v>
      </c>
      <c r="GQ129" s="523">
        <f t="shared" si="156"/>
        <v>6941.8799828186757</v>
      </c>
      <c r="GR129" s="523">
        <f t="shared" si="156"/>
        <v>8199.6970632637513</v>
      </c>
      <c r="GS129" s="524">
        <f t="shared" si="156"/>
        <v>8199.6970632637513</v>
      </c>
      <c r="GT129" s="523">
        <f t="shared" si="156"/>
        <v>12996.519279413544</v>
      </c>
      <c r="GU129" s="523">
        <f t="shared" si="156"/>
        <v>16661.888348059852</v>
      </c>
      <c r="GV129" s="523">
        <f t="shared" si="156"/>
        <v>20666.819083308623</v>
      </c>
      <c r="GW129" s="523">
        <f t="shared" si="156"/>
        <v>26846.667624305599</v>
      </c>
      <c r="GX129" s="524">
        <f t="shared" si="156"/>
        <v>26846.667624305599</v>
      </c>
      <c r="GY129" s="523">
        <f t="shared" si="156"/>
        <v>38585.518830917303</v>
      </c>
      <c r="GZ129" s="523">
        <f t="shared" si="156"/>
        <v>48375.698602075398</v>
      </c>
      <c r="HA129" s="523">
        <f t="shared" si="156"/>
        <v>56698.695746644815</v>
      </c>
      <c r="HB129" s="523">
        <f t="shared" si="156"/>
        <v>66042.417351382435</v>
      </c>
      <c r="HC129" s="524">
        <f t="shared" si="156"/>
        <v>66042.417351382435</v>
      </c>
      <c r="HD129" s="523">
        <f t="shared" si="156"/>
        <v>81018.01908416854</v>
      </c>
      <c r="HE129" s="523">
        <f t="shared" si="156"/>
        <v>93733.207008307916</v>
      </c>
      <c r="HF129" s="523">
        <f t="shared" si="156"/>
        <v>106325.23273633183</v>
      </c>
      <c r="HG129" s="523">
        <f t="shared" si="156"/>
        <v>120951.17840917486</v>
      </c>
      <c r="HH129" s="524">
        <f t="shared" si="156"/>
        <v>120951.17840917486</v>
      </c>
      <c r="HI129" s="523">
        <f t="shared" si="156"/>
        <v>141058.10285494645</v>
      </c>
      <c r="HJ129" s="523">
        <f t="shared" si="156"/>
        <v>157341.11048775868</v>
      </c>
      <c r="HK129" s="523">
        <f t="shared" si="156"/>
        <v>172274.89806018263</v>
      </c>
      <c r="HL129" s="523">
        <f t="shared" si="156"/>
        <v>191193.42804510251</v>
      </c>
      <c r="HM129" s="524">
        <f t="shared" si="156"/>
        <v>191193.42804510251</v>
      </c>
      <c r="HN129" s="524"/>
      <c r="HO129" s="524"/>
      <c r="HP129" s="606"/>
      <c r="HR129" s="606"/>
      <c r="HS129" s="606"/>
      <c r="HT129" s="606"/>
      <c r="HU129" s="606"/>
      <c r="HV129" s="606"/>
      <c r="HW129" s="606"/>
      <c r="HX129" s="606"/>
    </row>
    <row r="130" spans="1:236" s="539" customFormat="1">
      <c r="A130" s="539" t="s">
        <v>447</v>
      </c>
      <c r="L130" s="523"/>
      <c r="M130" s="523"/>
      <c r="N130" s="523"/>
      <c r="O130" s="523"/>
      <c r="P130" s="524"/>
      <c r="Q130" s="523"/>
      <c r="R130" s="523"/>
      <c r="S130" s="523"/>
      <c r="T130" s="523"/>
      <c r="U130" s="524"/>
      <c r="V130" s="523"/>
      <c r="W130" s="523"/>
      <c r="X130" s="523"/>
      <c r="Y130" s="523"/>
      <c r="Z130" s="524"/>
      <c r="AA130" s="523"/>
      <c r="AB130" s="523"/>
      <c r="AC130" s="523"/>
      <c r="AD130" s="523"/>
      <c r="AE130" s="524"/>
      <c r="AF130" s="523">
        <f t="shared" ref="AF130:CQ130" si="157">AF126</f>
        <v>28.52500000000002</v>
      </c>
      <c r="AG130" s="523">
        <f t="shared" si="157"/>
        <v>-37.440000000000111</v>
      </c>
      <c r="AH130" s="523">
        <f t="shared" si="157"/>
        <v>-17.299000000000021</v>
      </c>
      <c r="AI130" s="523">
        <f t="shared" si="157"/>
        <v>34.610000000000184</v>
      </c>
      <c r="AJ130" s="524">
        <f t="shared" si="157"/>
        <v>8.3960000000000719</v>
      </c>
      <c r="AK130" s="523">
        <f t="shared" si="157"/>
        <v>23.982000000000056</v>
      </c>
      <c r="AL130" s="523">
        <f t="shared" si="157"/>
        <v>-5.136999999999972</v>
      </c>
      <c r="AM130" s="523">
        <f t="shared" si="157"/>
        <v>51.319000000000003</v>
      </c>
      <c r="AN130" s="523">
        <f t="shared" si="157"/>
        <v>-9.2439999999997724</v>
      </c>
      <c r="AO130" s="524">
        <f t="shared" si="157"/>
        <v>60.920000000000314</v>
      </c>
      <c r="AP130" s="523">
        <f t="shared" si="157"/>
        <v>41.336999999999961</v>
      </c>
      <c r="AQ130" s="523">
        <f t="shared" si="157"/>
        <v>98.39400000000002</v>
      </c>
      <c r="AR130" s="523">
        <f t="shared" si="157"/>
        <v>-82.64599999999993</v>
      </c>
      <c r="AS130" s="523">
        <f t="shared" si="157"/>
        <v>-28.37400000000008</v>
      </c>
      <c r="AT130" s="524">
        <f t="shared" si="157"/>
        <v>28.710999999999984</v>
      </c>
      <c r="AU130" s="523">
        <f t="shared" si="157"/>
        <v>-40.934000000000012</v>
      </c>
      <c r="AV130" s="523">
        <f t="shared" si="157"/>
        <v>-7.5759999999999827</v>
      </c>
      <c r="AW130" s="523">
        <f t="shared" si="157"/>
        <v>30.941999999999958</v>
      </c>
      <c r="AX130" s="523">
        <f t="shared" si="157"/>
        <v>57.446000000000026</v>
      </c>
      <c r="AY130" s="524">
        <f t="shared" si="157"/>
        <v>39.877999999999993</v>
      </c>
      <c r="AZ130" s="523">
        <f t="shared" si="157"/>
        <v>59.190999999999974</v>
      </c>
      <c r="BA130" s="523">
        <f t="shared" si="157"/>
        <v>-64.790000000000049</v>
      </c>
      <c r="BB130" s="523">
        <f t="shared" si="157"/>
        <v>2.1860000000000106</v>
      </c>
      <c r="BC130" s="523">
        <f t="shared" si="157"/>
        <v>77.876999999999981</v>
      </c>
      <c r="BD130" s="524">
        <f t="shared" si="157"/>
        <v>74.463999999999913</v>
      </c>
      <c r="BE130" s="523">
        <f t="shared" si="157"/>
        <v>-48.176999999999971</v>
      </c>
      <c r="BF130" s="523">
        <f t="shared" si="157"/>
        <v>-32.314999999999898</v>
      </c>
      <c r="BG130" s="523">
        <f t="shared" si="157"/>
        <v>-24.472999999999828</v>
      </c>
      <c r="BH130" s="523">
        <f t="shared" si="157"/>
        <v>226.21500000000026</v>
      </c>
      <c r="BI130" s="524">
        <f t="shared" si="157"/>
        <v>121.25000000000055</v>
      </c>
      <c r="BJ130" s="523">
        <f t="shared" si="157"/>
        <v>-198.33299999999997</v>
      </c>
      <c r="BK130" s="523">
        <f t="shared" si="157"/>
        <v>57.063000000000088</v>
      </c>
      <c r="BL130" s="523">
        <f t="shared" si="157"/>
        <v>-127.37099999999987</v>
      </c>
      <c r="BM130" s="523">
        <f t="shared" si="157"/>
        <v>200.85799999999952</v>
      </c>
      <c r="BN130" s="524">
        <f t="shared" si="157"/>
        <v>-67.783000000000214</v>
      </c>
      <c r="BO130" s="523">
        <f t="shared" si="157"/>
        <v>86.028999999999883</v>
      </c>
      <c r="BP130" s="523">
        <f t="shared" si="157"/>
        <v>329.36900000000014</v>
      </c>
      <c r="BQ130" s="523">
        <f t="shared" si="157"/>
        <v>-127.22400000000027</v>
      </c>
      <c r="BR130" s="523">
        <f t="shared" si="157"/>
        <v>9.1579999999996176</v>
      </c>
      <c r="BS130" s="524">
        <f t="shared" si="157"/>
        <v>297.33199999999937</v>
      </c>
      <c r="BT130" s="523">
        <f t="shared" si="157"/>
        <v>464.31899999999985</v>
      </c>
      <c r="BU130" s="523">
        <f t="shared" si="157"/>
        <v>-663.27599999999995</v>
      </c>
      <c r="BV130" s="523">
        <f t="shared" si="157"/>
        <v>4.923000000000556</v>
      </c>
      <c r="BW130" s="523">
        <f t="shared" si="157"/>
        <v>29.86499999999964</v>
      </c>
      <c r="BX130" s="524">
        <f t="shared" si="157"/>
        <v>-164.1689999999999</v>
      </c>
      <c r="BY130" s="523">
        <f t="shared" si="157"/>
        <v>-128.90100000000024</v>
      </c>
      <c r="BZ130" s="523">
        <f t="shared" si="157"/>
        <v>207.80400000000031</v>
      </c>
      <c r="CA130" s="523">
        <f t="shared" si="157"/>
        <v>27.197999999999354</v>
      </c>
      <c r="CB130" s="523">
        <f t="shared" si="157"/>
        <v>-104.64099999999991</v>
      </c>
      <c r="CC130" s="524">
        <f t="shared" si="157"/>
        <v>1.4599999999995248</v>
      </c>
      <c r="CD130" s="523">
        <f t="shared" si="157"/>
        <v>0.64399999999997704</v>
      </c>
      <c r="CE130" s="523">
        <f t="shared" si="157"/>
        <v>273.78399999999999</v>
      </c>
      <c r="CF130" s="523">
        <f t="shared" si="157"/>
        <v>322.80900000000003</v>
      </c>
      <c r="CG130" s="523">
        <f t="shared" si="157"/>
        <v>81.1069999999998</v>
      </c>
      <c r="CH130" s="524">
        <f t="shared" si="157"/>
        <v>678.34399999999982</v>
      </c>
      <c r="CI130" s="523">
        <f t="shared" si="157"/>
        <v>-10.760000000000048</v>
      </c>
      <c r="CJ130" s="523">
        <f t="shared" si="157"/>
        <v>-259.17299999999989</v>
      </c>
      <c r="CK130" s="523">
        <f t="shared" si="157"/>
        <v>78.338000000000051</v>
      </c>
      <c r="CL130" s="523">
        <f t="shared" si="157"/>
        <v>141.78899999999987</v>
      </c>
      <c r="CM130" s="524">
        <f t="shared" si="157"/>
        <v>-49.806000000000012</v>
      </c>
      <c r="CN130" s="523">
        <f t="shared" si="157"/>
        <v>-256.39300000000003</v>
      </c>
      <c r="CO130" s="523">
        <f t="shared" si="157"/>
        <v>49.237000000000052</v>
      </c>
      <c r="CP130" s="523">
        <f t="shared" si="157"/>
        <v>94.894000000000119</v>
      </c>
      <c r="CQ130" s="523">
        <f t="shared" si="157"/>
        <v>-173.04800000000023</v>
      </c>
      <c r="CR130" s="524">
        <f t="shared" ref="CR130:EU130" si="158">CR126</f>
        <v>-285.31000000000006</v>
      </c>
      <c r="CS130" s="523">
        <f t="shared" si="158"/>
        <v>195.55899999999986</v>
      </c>
      <c r="CT130" s="523">
        <f t="shared" si="158"/>
        <v>-139.96900000000014</v>
      </c>
      <c r="CU130" s="523">
        <f t="shared" si="158"/>
        <v>695.86899999999991</v>
      </c>
      <c r="CV130" s="523">
        <f t="shared" si="158"/>
        <v>-4.5259999999997262</v>
      </c>
      <c r="CW130" s="524">
        <f t="shared" si="158"/>
        <v>746.93299999999988</v>
      </c>
      <c r="CX130" s="523">
        <f t="shared" si="158"/>
        <v>-389</v>
      </c>
      <c r="CY130" s="523">
        <f t="shared" si="158"/>
        <v>313</v>
      </c>
      <c r="CZ130" s="523">
        <f t="shared" si="158"/>
        <v>-208</v>
      </c>
      <c r="DA130" s="523">
        <f t="shared" si="158"/>
        <v>336</v>
      </c>
      <c r="DB130" s="524">
        <f t="shared" si="158"/>
        <v>52</v>
      </c>
      <c r="DC130" s="523">
        <f t="shared" si="158"/>
        <v>-28</v>
      </c>
      <c r="DD130" s="523">
        <f t="shared" si="158"/>
        <v>-94</v>
      </c>
      <c r="DE130" s="523">
        <f t="shared" si="158"/>
        <v>-202</v>
      </c>
      <c r="DF130" s="523">
        <f t="shared" si="158"/>
        <v>-175</v>
      </c>
      <c r="DG130" s="524">
        <f t="shared" si="158"/>
        <v>-499</v>
      </c>
      <c r="DH130" s="523">
        <f t="shared" si="158"/>
        <v>1469</v>
      </c>
      <c r="DI130" s="523">
        <f t="shared" si="158"/>
        <v>-423</v>
      </c>
      <c r="DJ130" s="523">
        <f t="shared" si="158"/>
        <v>-132</v>
      </c>
      <c r="DK130" s="523">
        <f t="shared" si="158"/>
        <v>164</v>
      </c>
      <c r="DL130" s="524">
        <f t="shared" si="158"/>
        <v>1078</v>
      </c>
      <c r="DM130" s="523">
        <f t="shared" si="158"/>
        <v>-1015</v>
      </c>
      <c r="DN130" s="523">
        <f t="shared" si="158"/>
        <v>442</v>
      </c>
      <c r="DO130" s="523">
        <f t="shared" si="158"/>
        <v>-464</v>
      </c>
      <c r="DP130" s="523">
        <f t="shared" si="158"/>
        <v>-14</v>
      </c>
      <c r="DQ130" s="524">
        <f t="shared" si="158"/>
        <v>-1051</v>
      </c>
      <c r="DR130" s="523">
        <f t="shared" si="158"/>
        <v>-4</v>
      </c>
      <c r="DS130" s="523">
        <f t="shared" si="158"/>
        <v>-48</v>
      </c>
      <c r="DT130" s="523">
        <f t="shared" si="158"/>
        <v>71</v>
      </c>
      <c r="DU130" s="523">
        <f t="shared" si="158"/>
        <v>244</v>
      </c>
      <c r="DV130" s="524">
        <f t="shared" si="158"/>
        <v>263</v>
      </c>
      <c r="DW130" s="523">
        <f t="shared" si="158"/>
        <v>324</v>
      </c>
      <c r="DX130" s="523">
        <f t="shared" si="158"/>
        <v>-178</v>
      </c>
      <c r="DY130" s="523">
        <f t="shared" si="158"/>
        <v>-239</v>
      </c>
      <c r="DZ130" s="523">
        <f t="shared" si="158"/>
        <v>-227</v>
      </c>
      <c r="EA130" s="524">
        <f t="shared" si="158"/>
        <v>-320</v>
      </c>
      <c r="EB130" s="523">
        <f t="shared" si="158"/>
        <v>-108</v>
      </c>
      <c r="EC130" s="523">
        <f t="shared" si="158"/>
        <v>-107</v>
      </c>
      <c r="ED130" s="523">
        <f t="shared" si="158"/>
        <v>209</v>
      </c>
      <c r="EE130" s="523">
        <f t="shared" si="158"/>
        <v>326</v>
      </c>
      <c r="EF130" s="524">
        <f t="shared" si="158"/>
        <v>320</v>
      </c>
      <c r="EG130" s="523">
        <f t="shared" si="158"/>
        <v>-315</v>
      </c>
      <c r="EH130" s="523">
        <f t="shared" si="158"/>
        <v>-51</v>
      </c>
      <c r="EI130" s="523">
        <f t="shared" si="158"/>
        <v>137</v>
      </c>
      <c r="EJ130" s="523">
        <f t="shared" si="158"/>
        <v>165</v>
      </c>
      <c r="EK130" s="524">
        <f t="shared" si="158"/>
        <v>-64</v>
      </c>
      <c r="EL130" s="523">
        <f t="shared" si="158"/>
        <v>-128</v>
      </c>
      <c r="EM130" s="523">
        <f t="shared" si="158"/>
        <v>152</v>
      </c>
      <c r="EN130" s="523">
        <f t="shared" si="158"/>
        <v>-74</v>
      </c>
      <c r="EO130" s="523">
        <f t="shared" si="158"/>
        <v>30</v>
      </c>
      <c r="EP130" s="524">
        <f t="shared" si="158"/>
        <v>-20</v>
      </c>
      <c r="EQ130" s="523">
        <f t="shared" si="158"/>
        <v>-69</v>
      </c>
      <c r="ER130" s="523">
        <f t="shared" si="158"/>
        <v>241</v>
      </c>
      <c r="ES130" s="523">
        <f t="shared" si="158"/>
        <v>301</v>
      </c>
      <c r="ET130" s="523">
        <f t="shared" si="158"/>
        <v>6</v>
      </c>
      <c r="EU130" s="524">
        <f t="shared" si="158"/>
        <v>479</v>
      </c>
      <c r="EV130" s="523">
        <f>EV126</f>
        <v>-542</v>
      </c>
      <c r="EW130" s="523">
        <f>EW126</f>
        <v>38</v>
      </c>
      <c r="EX130" s="523">
        <f>EX126</f>
        <v>119</v>
      </c>
      <c r="EY130" s="523">
        <f>EY126</f>
        <v>306</v>
      </c>
      <c r="EZ130" s="524">
        <f>EZ126</f>
        <v>-79</v>
      </c>
      <c r="FA130" s="523">
        <f t="shared" ref="FA130:FT130" si="159">FA126</f>
        <v>-140</v>
      </c>
      <c r="FB130" s="523">
        <f t="shared" si="159"/>
        <v>-97</v>
      </c>
      <c r="FC130" s="523">
        <f t="shared" si="159"/>
        <v>97</v>
      </c>
      <c r="FD130" s="523">
        <f t="shared" si="159"/>
        <v>32</v>
      </c>
      <c r="FE130" s="524">
        <f t="shared" si="159"/>
        <v>-108</v>
      </c>
      <c r="FF130" s="523">
        <f t="shared" si="159"/>
        <v>-100</v>
      </c>
      <c r="FG130" s="523">
        <f t="shared" si="159"/>
        <v>-15</v>
      </c>
      <c r="FH130" s="523">
        <f t="shared" si="159"/>
        <v>193</v>
      </c>
      <c r="FI130" s="523">
        <f t="shared" si="159"/>
        <v>309</v>
      </c>
      <c r="FJ130" s="524">
        <f t="shared" si="159"/>
        <v>387</v>
      </c>
      <c r="FK130" s="523">
        <f t="shared" si="159"/>
        <v>-136</v>
      </c>
      <c r="FL130" s="523">
        <f t="shared" si="159"/>
        <v>447</v>
      </c>
      <c r="FM130" s="523">
        <f t="shared" si="159"/>
        <v>-479</v>
      </c>
      <c r="FN130" s="523">
        <f t="shared" si="159"/>
        <v>299</v>
      </c>
      <c r="FO130" s="524">
        <f t="shared" si="159"/>
        <v>131</v>
      </c>
      <c r="FP130" s="523">
        <f t="shared" si="159"/>
        <v>168</v>
      </c>
      <c r="FQ130" s="523">
        <f>FQ126</f>
        <v>860.00007792207793</v>
      </c>
      <c r="FR130" s="523">
        <f>FR126</f>
        <v>-183.00007792207793</v>
      </c>
      <c r="FS130" s="523">
        <f>FS126</f>
        <v>95</v>
      </c>
      <c r="FT130" s="524">
        <f t="shared" si="159"/>
        <v>940</v>
      </c>
      <c r="FU130" s="523">
        <f>FU126</f>
        <v>2205</v>
      </c>
      <c r="FV130" s="523">
        <f>FV126</f>
        <v>224</v>
      </c>
      <c r="FW130" s="523">
        <f>FW126</f>
        <v>-1566</v>
      </c>
      <c r="FX130" s="523">
        <f>FX126</f>
        <v>1437</v>
      </c>
      <c r="FY130" s="524">
        <f t="shared" ref="FY130:HM130" si="160">FY126</f>
        <v>2300</v>
      </c>
      <c r="FZ130" s="523">
        <f t="shared" si="160"/>
        <v>-1010</v>
      </c>
      <c r="GA130" s="523">
        <f t="shared" si="160"/>
        <v>16</v>
      </c>
      <c r="GB130" s="523">
        <f t="shared" si="160"/>
        <v>-280</v>
      </c>
      <c r="GC130" s="523">
        <f>GC126</f>
        <v>372</v>
      </c>
      <c r="GD130" s="524">
        <f t="shared" si="160"/>
        <v>-902</v>
      </c>
      <c r="GE130" s="523">
        <f>GE126</f>
        <v>257</v>
      </c>
      <c r="GF130" s="523">
        <f t="shared" si="160"/>
        <v>-77</v>
      </c>
      <c r="GG130" s="523">
        <f>GG126</f>
        <v>-216</v>
      </c>
      <c r="GH130" s="523">
        <f>GH126</f>
        <v>-86</v>
      </c>
      <c r="GI130" s="524">
        <f t="shared" si="160"/>
        <v>-122</v>
      </c>
      <c r="GJ130" s="523">
        <f t="shared" si="160"/>
        <v>2248</v>
      </c>
      <c r="GK130" s="523">
        <f t="shared" si="160"/>
        <v>-1606</v>
      </c>
      <c r="GL130" s="523">
        <f t="shared" si="160"/>
        <v>372</v>
      </c>
      <c r="GM130" s="523">
        <f t="shared" si="160"/>
        <v>731</v>
      </c>
      <c r="GN130" s="524">
        <f t="shared" si="160"/>
        <v>1745</v>
      </c>
      <c r="GO130" s="523">
        <f t="shared" si="160"/>
        <v>40</v>
      </c>
      <c r="GP130" s="523">
        <f t="shared" si="160"/>
        <v>-362.11073906648608</v>
      </c>
      <c r="GQ130" s="523">
        <f t="shared" si="160"/>
        <v>1707.9907218851613</v>
      </c>
      <c r="GR130" s="523">
        <f t="shared" si="160"/>
        <v>1257.8170804450756</v>
      </c>
      <c r="GS130" s="524">
        <f t="shared" si="160"/>
        <v>2643.6970632637508</v>
      </c>
      <c r="GT130" s="523">
        <f t="shared" si="160"/>
        <v>4796.8222161497933</v>
      </c>
      <c r="GU130" s="523">
        <f t="shared" si="160"/>
        <v>3665.3690686463069</v>
      </c>
      <c r="GV130" s="523">
        <f t="shared" si="160"/>
        <v>4004.9307352487713</v>
      </c>
      <c r="GW130" s="523">
        <f t="shared" si="160"/>
        <v>6179.848540996978</v>
      </c>
      <c r="GX130" s="524">
        <f t="shared" si="160"/>
        <v>18646.970561041846</v>
      </c>
      <c r="GY130" s="523">
        <f t="shared" si="160"/>
        <v>11738.851206611704</v>
      </c>
      <c r="GZ130" s="523">
        <f t="shared" si="160"/>
        <v>9790.179771158093</v>
      </c>
      <c r="HA130" s="523">
        <f t="shared" si="160"/>
        <v>8322.9971445694173</v>
      </c>
      <c r="HB130" s="523">
        <f t="shared" si="160"/>
        <v>9343.7216047376132</v>
      </c>
      <c r="HC130" s="524">
        <f t="shared" si="160"/>
        <v>39195.749727076829</v>
      </c>
      <c r="HD130" s="523">
        <f t="shared" si="160"/>
        <v>14975.601732786108</v>
      </c>
      <c r="HE130" s="523">
        <f t="shared" si="160"/>
        <v>12715.187924139384</v>
      </c>
      <c r="HF130" s="523">
        <f t="shared" si="160"/>
        <v>12592.025728023913</v>
      </c>
      <c r="HG130" s="523">
        <f t="shared" si="160"/>
        <v>14625.945672843018</v>
      </c>
      <c r="HH130" s="524">
        <f t="shared" si="160"/>
        <v>54908.761057792421</v>
      </c>
      <c r="HI130" s="523">
        <f t="shared" si="160"/>
        <v>20106.924445771583</v>
      </c>
      <c r="HJ130" s="523">
        <f t="shared" si="160"/>
        <v>16283.007632812229</v>
      </c>
      <c r="HK130" s="523">
        <f t="shared" si="160"/>
        <v>14933.787572423964</v>
      </c>
      <c r="HL130" s="523">
        <f t="shared" si="160"/>
        <v>18918.529984919885</v>
      </c>
      <c r="HM130" s="524">
        <f t="shared" si="160"/>
        <v>70242.24963592767</v>
      </c>
      <c r="HN130" s="524"/>
      <c r="HO130" s="524"/>
      <c r="HP130" s="606"/>
      <c r="HR130" s="606"/>
      <c r="HS130" s="606"/>
      <c r="HT130" s="606"/>
      <c r="HU130" s="606"/>
      <c r="HV130" s="606"/>
      <c r="HW130" s="606"/>
      <c r="HX130" s="606"/>
    </row>
    <row r="131" spans="1:236" s="642" customFormat="1">
      <c r="L131" s="643"/>
      <c r="M131" s="643"/>
      <c r="N131" s="643"/>
      <c r="O131" s="643"/>
      <c r="P131" s="643"/>
      <c r="Q131" s="643"/>
      <c r="R131" s="643"/>
      <c r="S131" s="643"/>
      <c r="T131" s="643"/>
      <c r="U131" s="643"/>
      <c r="V131" s="643"/>
      <c r="W131" s="643"/>
      <c r="X131" s="643"/>
      <c r="Y131" s="643"/>
      <c r="Z131" s="643"/>
      <c r="AA131" s="643"/>
      <c r="AB131" s="643"/>
      <c r="AC131" s="643"/>
      <c r="AD131" s="643"/>
      <c r="AE131" s="643"/>
      <c r="AF131" s="643"/>
      <c r="AG131" s="643"/>
      <c r="AH131" s="643"/>
      <c r="AI131" s="643"/>
      <c r="AJ131" s="643"/>
      <c r="AK131" s="643"/>
      <c r="AL131" s="643"/>
      <c r="AM131" s="643"/>
      <c r="AN131" s="643"/>
      <c r="AO131" s="643"/>
      <c r="AP131" s="643"/>
      <c r="AQ131" s="643"/>
      <c r="AR131" s="643"/>
      <c r="AS131" s="643"/>
      <c r="AT131" s="643"/>
      <c r="AU131" s="643"/>
      <c r="AV131" s="643"/>
      <c r="AW131" s="643"/>
      <c r="AX131" s="643"/>
      <c r="AY131" s="643"/>
      <c r="AZ131" s="643"/>
      <c r="BA131" s="643"/>
      <c r="BB131" s="643"/>
      <c r="BC131" s="643"/>
      <c r="BD131" s="643"/>
      <c r="BE131" s="643"/>
      <c r="BF131" s="643"/>
      <c r="BG131" s="643"/>
      <c r="BH131" s="643"/>
      <c r="BI131" s="643"/>
      <c r="BJ131" s="643"/>
      <c r="BK131" s="643"/>
      <c r="BL131" s="643"/>
      <c r="BM131" s="643"/>
      <c r="BN131" s="643"/>
      <c r="BO131" s="643"/>
      <c r="BP131" s="643"/>
      <c r="BQ131" s="643"/>
      <c r="BR131" s="643"/>
      <c r="BS131" s="643"/>
      <c r="BT131" s="643"/>
      <c r="BU131" s="643"/>
      <c r="BV131" s="643"/>
      <c r="BW131" s="643"/>
      <c r="BX131" s="643"/>
      <c r="BY131" s="643"/>
      <c r="BZ131" s="643"/>
      <c r="CA131" s="643"/>
      <c r="CB131" s="643"/>
      <c r="CC131" s="643"/>
      <c r="CD131" s="643"/>
      <c r="CE131" s="643"/>
      <c r="CF131" s="643"/>
      <c r="CG131" s="643"/>
      <c r="CH131" s="643"/>
      <c r="CI131" s="643"/>
      <c r="CJ131" s="643"/>
      <c r="CK131" s="643"/>
      <c r="CL131" s="643"/>
      <c r="CM131" s="643"/>
      <c r="CN131" s="643"/>
      <c r="CO131" s="643"/>
      <c r="CP131" s="643"/>
      <c r="CQ131" s="643"/>
      <c r="CR131" s="643"/>
      <c r="CS131" s="643"/>
      <c r="CT131" s="643"/>
      <c r="CU131" s="643"/>
      <c r="CV131" s="643"/>
      <c r="CW131" s="643"/>
      <c r="CX131" s="643"/>
      <c r="CY131" s="643"/>
      <c r="CZ131" s="643"/>
      <c r="DA131" s="643"/>
      <c r="DB131" s="643"/>
      <c r="DC131" s="643"/>
      <c r="DD131" s="643"/>
      <c r="DE131" s="643"/>
      <c r="DF131" s="643"/>
      <c r="DG131" s="643"/>
      <c r="DH131" s="643"/>
      <c r="DI131" s="643"/>
      <c r="DJ131" s="643"/>
      <c r="DK131" s="643"/>
      <c r="DL131" s="643"/>
      <c r="DM131" s="643"/>
      <c r="DN131" s="643"/>
      <c r="DO131" s="643"/>
      <c r="DP131" s="643"/>
      <c r="DQ131" s="643"/>
      <c r="DR131" s="643"/>
      <c r="DS131" s="643"/>
      <c r="DT131" s="643"/>
      <c r="DU131" s="643"/>
      <c r="DV131" s="643"/>
      <c r="DW131" s="643"/>
      <c r="DX131" s="643"/>
      <c r="DY131" s="643"/>
      <c r="DZ131" s="643"/>
      <c r="EA131" s="643"/>
      <c r="EB131" s="643"/>
      <c r="EC131" s="643"/>
      <c r="ED131" s="643"/>
      <c r="EE131" s="643"/>
      <c r="EF131" s="643"/>
      <c r="EG131" s="643"/>
      <c r="EH131" s="643"/>
      <c r="EI131" s="643"/>
      <c r="EJ131" s="643"/>
      <c r="EK131" s="643"/>
      <c r="EL131" s="643"/>
      <c r="EM131" s="643"/>
      <c r="EN131" s="643"/>
      <c r="EO131" s="643"/>
      <c r="EP131" s="643"/>
      <c r="EQ131" s="643"/>
      <c r="ER131" s="643"/>
      <c r="ES131" s="643"/>
      <c r="ET131" s="643"/>
      <c r="EU131" s="643"/>
      <c r="EV131" s="643"/>
      <c r="EW131" s="643"/>
      <c r="EX131" s="643"/>
      <c r="EY131" s="643"/>
      <c r="EZ131" s="643"/>
      <c r="FA131" s="643"/>
      <c r="FB131" s="643"/>
      <c r="FC131" s="643"/>
      <c r="FD131" s="643"/>
      <c r="FE131" s="643"/>
      <c r="FF131" s="643"/>
      <c r="FG131" s="643"/>
      <c r="FH131" s="643"/>
      <c r="FI131" s="643"/>
      <c r="FJ131" s="643"/>
      <c r="FK131" s="643"/>
      <c r="FL131" s="643"/>
      <c r="FM131" s="643"/>
      <c r="FN131" s="643"/>
      <c r="FO131" s="643"/>
      <c r="FP131" s="643"/>
      <c r="FQ131" s="643"/>
      <c r="FR131" s="643"/>
      <c r="FS131" s="643"/>
      <c r="FT131" s="643"/>
      <c r="FU131" s="643"/>
      <c r="FV131" s="643"/>
      <c r="FW131" s="643"/>
      <c r="FX131" s="643"/>
      <c r="FY131" s="643"/>
      <c r="FZ131" s="643"/>
      <c r="GA131" s="643"/>
      <c r="GB131" s="643"/>
      <c r="GC131" s="643"/>
      <c r="GD131" s="643"/>
      <c r="GE131" s="643"/>
      <c r="GF131" s="643"/>
      <c r="GG131" s="643"/>
      <c r="GH131" s="643"/>
      <c r="GI131" s="643"/>
      <c r="GJ131" s="643"/>
      <c r="GK131" s="643"/>
      <c r="GL131" s="643"/>
      <c r="GM131" s="643"/>
      <c r="GN131" s="643"/>
      <c r="GO131" s="643"/>
      <c r="GP131" s="643"/>
      <c r="GQ131" s="643"/>
      <c r="GR131" s="643"/>
      <c r="GS131" s="643"/>
      <c r="GT131" s="643"/>
      <c r="GU131" s="643"/>
      <c r="GV131" s="643"/>
      <c r="GW131" s="643"/>
      <c r="GX131" s="643"/>
      <c r="GY131" s="643"/>
      <c r="GZ131" s="643"/>
      <c r="HA131" s="643"/>
      <c r="HB131" s="643"/>
      <c r="HC131" s="643"/>
      <c r="HD131" s="643"/>
      <c r="HE131" s="643"/>
      <c r="HF131" s="643"/>
      <c r="HG131" s="643"/>
      <c r="HH131" s="643"/>
      <c r="HI131" s="643"/>
      <c r="HJ131" s="643"/>
      <c r="HK131" s="643"/>
      <c r="HL131" s="643"/>
      <c r="HM131" s="643"/>
      <c r="HN131" s="643"/>
      <c r="HO131" s="643"/>
      <c r="HP131" s="644"/>
      <c r="HR131" s="644"/>
      <c r="HS131" s="644"/>
      <c r="HT131" s="644"/>
      <c r="HU131" s="644"/>
      <c r="HV131" s="644"/>
      <c r="HW131" s="644"/>
      <c r="HX131" s="644"/>
    </row>
    <row r="132" spans="1:236" s="642" customFormat="1">
      <c r="A132" s="645" t="s">
        <v>251</v>
      </c>
      <c r="L132" s="643"/>
      <c r="M132" s="643"/>
      <c r="N132" s="643"/>
      <c r="O132" s="643"/>
      <c r="P132" s="643"/>
      <c r="Q132" s="643"/>
      <c r="R132" s="643"/>
      <c r="S132" s="643"/>
      <c r="T132" s="643"/>
      <c r="U132" s="643"/>
      <c r="V132" s="643"/>
      <c r="W132" s="643"/>
      <c r="X132" s="643"/>
      <c r="Y132" s="643"/>
      <c r="Z132" s="643"/>
      <c r="AA132" s="643"/>
      <c r="AB132" s="643"/>
      <c r="AC132" s="643"/>
      <c r="AD132" s="643"/>
      <c r="AE132" s="643"/>
      <c r="AF132" s="646">
        <f>AF110+AF113</f>
        <v>37.742000000000019</v>
      </c>
      <c r="AG132" s="646">
        <f>AG110+AG113</f>
        <v>29.017999999999944</v>
      </c>
      <c r="AH132" s="646">
        <f>AH110+AH113</f>
        <v>24.03</v>
      </c>
      <c r="AI132" s="646">
        <f>AI110+AI113</f>
        <v>41.769000000000034</v>
      </c>
      <c r="AJ132" s="647">
        <f>AJ110+AJ113</f>
        <v>132.55899999999997</v>
      </c>
      <c r="AK132" s="646">
        <f>AK110+AK113</f>
        <v>59.367000000000026</v>
      </c>
      <c r="AL132" s="646">
        <f>AL110+AL113</f>
        <v>60.274000000000058</v>
      </c>
      <c r="AM132" s="646">
        <f>AM110+AM113</f>
        <v>-12.626999999999981</v>
      </c>
      <c r="AN132" s="646">
        <f>AN110+AN113</f>
        <v>-82.582999999999913</v>
      </c>
      <c r="AO132" s="647">
        <f>AO110+AO113</f>
        <v>24.431000000000267</v>
      </c>
      <c r="AP132" s="646">
        <f>AP110+AP113</f>
        <v>-18.406000000000006</v>
      </c>
      <c r="AQ132" s="646">
        <f>AQ110+AQ113</f>
        <v>67.04400000000004</v>
      </c>
      <c r="AR132" s="646">
        <f>AR110+AR113</f>
        <v>-55.640999999999991</v>
      </c>
      <c r="AS132" s="646">
        <f>AS110+AS113</f>
        <v>-1.9140000000001294</v>
      </c>
      <c r="AT132" s="647">
        <f>AT110+AT113</f>
        <v>-8.9170000000001437</v>
      </c>
      <c r="AU132" s="646">
        <f>AU110+AU113</f>
        <v>-119.87</v>
      </c>
      <c r="AV132" s="646">
        <f>AV110+AV113</f>
        <v>-135.81599999999997</v>
      </c>
      <c r="AW132" s="646">
        <f>AW110+AW113</f>
        <v>-169.58900000000003</v>
      </c>
      <c r="AX132" s="646">
        <f>AX110+AX113</f>
        <v>13.494</v>
      </c>
      <c r="AY132" s="647">
        <f>AY110+AY113</f>
        <v>-411.78100000000001</v>
      </c>
      <c r="AZ132" s="646">
        <f>AZ110+AZ113</f>
        <v>-35.795999999999992</v>
      </c>
      <c r="BA132" s="646">
        <f>BA110+BA113</f>
        <v>-97.109000000000037</v>
      </c>
      <c r="BB132" s="646">
        <f>BB110+BB113</f>
        <v>-133.92399999999998</v>
      </c>
      <c r="BC132" s="646">
        <f>BC110+BC113</f>
        <v>-19.45599999999996</v>
      </c>
      <c r="BD132" s="647">
        <f>BD110+BD113</f>
        <v>-286.28499999999997</v>
      </c>
      <c r="BE132" s="646">
        <f>BE110+BE113</f>
        <v>-202.80799999999999</v>
      </c>
      <c r="BF132" s="646">
        <f>BF110+BF113</f>
        <v>-216.12399999999997</v>
      </c>
      <c r="BG132" s="646">
        <f>BG110+BG113</f>
        <v>-364.50099999999998</v>
      </c>
      <c r="BH132" s="646">
        <f>BH110+BH113</f>
        <v>-68.323999999999927</v>
      </c>
      <c r="BI132" s="647">
        <f>BI110+BI113</f>
        <v>-851.75699999999983</v>
      </c>
      <c r="BJ132" s="646">
        <f>BJ110+BJ113</f>
        <v>-177.92199999999997</v>
      </c>
      <c r="BK132" s="646">
        <f>BK110+BK113</f>
        <v>-187.26999999999987</v>
      </c>
      <c r="BL132" s="646">
        <f>BL110+BL113</f>
        <v>-209.23199999999997</v>
      </c>
      <c r="BM132" s="646">
        <f>BM110+BM113</f>
        <v>214.57199999999989</v>
      </c>
      <c r="BN132" s="647">
        <f>BN110+BN113</f>
        <v>-359.85199999999992</v>
      </c>
      <c r="BO132" s="646">
        <f>BO110+BO113</f>
        <v>257.73599999999988</v>
      </c>
      <c r="BP132" s="646">
        <f>BP110+BP113</f>
        <v>120.26999999999987</v>
      </c>
      <c r="BQ132" s="646">
        <f>BQ110+BQ113</f>
        <v>-0.1360000000000241</v>
      </c>
      <c r="BR132" s="646">
        <f>BR110+BR113</f>
        <v>22.208000000000084</v>
      </c>
      <c r="BS132" s="647">
        <f>BS110+BS113</f>
        <v>400.07799999999963</v>
      </c>
      <c r="BT132" s="646">
        <f>BT110+BT113</f>
        <v>-15.957000000000022</v>
      </c>
      <c r="BU132" s="646">
        <f>BU110+BU113</f>
        <v>-378.97199999999998</v>
      </c>
      <c r="BV132" s="646">
        <f>BV110+BV113</f>
        <v>-90.88399999999956</v>
      </c>
      <c r="BW132" s="646">
        <f>BW110+BW113</f>
        <v>-25.407000000000082</v>
      </c>
      <c r="BX132" s="647">
        <f>BX110+BX113</f>
        <v>-511.21999999999963</v>
      </c>
      <c r="BY132" s="646">
        <f>BY110+BY113</f>
        <v>11.44999999999996</v>
      </c>
      <c r="BZ132" s="646">
        <f>BZ110+BZ113</f>
        <v>-280.08600000000007</v>
      </c>
      <c r="CA132" s="646">
        <f>CA110+CA113</f>
        <v>-289.38800000000003</v>
      </c>
      <c r="CB132" s="646">
        <f>CB110+CB113</f>
        <v>-236.03300000000013</v>
      </c>
      <c r="CC132" s="647">
        <f>CC110+CC113</f>
        <v>-794.05700000000024</v>
      </c>
      <c r="CD132" s="646">
        <f>CD110+CD113</f>
        <v>-259.15800000000007</v>
      </c>
      <c r="CE132" s="646">
        <f>CE110+CE113</f>
        <v>-117.42500000000001</v>
      </c>
      <c r="CF132" s="646">
        <f>CF110+CF113</f>
        <v>-123.958</v>
      </c>
      <c r="CG132" s="646">
        <f>CG110+CG113</f>
        <v>225.81099999999992</v>
      </c>
      <c r="CH132" s="647">
        <f>CH110+CH113</f>
        <v>-274.73000000000013</v>
      </c>
      <c r="CI132" s="646">
        <f>CI110+CI113</f>
        <v>4.2129999999999654</v>
      </c>
      <c r="CJ132" s="646">
        <f>CJ110+CJ113</f>
        <v>-106.28499999999988</v>
      </c>
      <c r="CK132" s="646">
        <f>CK110+CK113</f>
        <v>-143.35299999999995</v>
      </c>
      <c r="CL132" s="646">
        <f>CL110+CL113</f>
        <v>-108.19100000000003</v>
      </c>
      <c r="CM132" s="647">
        <f>CM110+CM113</f>
        <v>-353.61599999999999</v>
      </c>
      <c r="CN132" s="646">
        <f>CN110+CN113</f>
        <v>-267.1450000000001</v>
      </c>
      <c r="CO132" s="646">
        <f>CO110+CO113</f>
        <v>-38.101999999999975</v>
      </c>
      <c r="CP132" s="646">
        <f>CP110+CP113</f>
        <v>66.790000000000248</v>
      </c>
      <c r="CQ132" s="646">
        <f>CQ110+CQ113</f>
        <v>208.13899999999967</v>
      </c>
      <c r="CR132" s="647">
        <f>CR110+CR113</f>
        <v>-30.318000000000211</v>
      </c>
      <c r="CS132" s="646">
        <f>CS110+CS113</f>
        <v>256.02299999999991</v>
      </c>
      <c r="CT132" s="646">
        <f>CT110+CT113</f>
        <v>-236.51399999999998</v>
      </c>
      <c r="CU132" s="646">
        <f>CU110+CU113</f>
        <v>-194.70700000000002</v>
      </c>
      <c r="CV132" s="646">
        <f>CV110+CV113</f>
        <v>-393.55900000000008</v>
      </c>
      <c r="CW132" s="647">
        <f>CW110+CW113</f>
        <v>-568.75700000000029</v>
      </c>
      <c r="CX132" s="646">
        <f>CX110+CX113</f>
        <v>-545</v>
      </c>
      <c r="CY132" s="646">
        <f>CY110+CY113</f>
        <v>-1049</v>
      </c>
      <c r="CZ132" s="646">
        <f>CZ110+CZ113</f>
        <v>-196</v>
      </c>
      <c r="DA132" s="646">
        <f>DA110+DA113</f>
        <v>-205</v>
      </c>
      <c r="DB132" s="647">
        <f>DB110+DB113</f>
        <v>-1995</v>
      </c>
      <c r="DC132" s="646">
        <f>DC110+DC113</f>
        <v>-307</v>
      </c>
      <c r="DD132" s="646">
        <f>DD110+DD113</f>
        <v>-348</v>
      </c>
      <c r="DE132" s="646">
        <f>DE110+DE113</f>
        <v>-298</v>
      </c>
      <c r="DF132" s="646">
        <f>DF110+DF113</f>
        <v>-363</v>
      </c>
      <c r="DG132" s="647">
        <f>DG110+DG113</f>
        <v>-1316</v>
      </c>
      <c r="DH132" s="646">
        <f>DH110+DH113</f>
        <v>-475</v>
      </c>
      <c r="DI132" s="646">
        <f>DI110+DI113</f>
        <v>-256</v>
      </c>
      <c r="DJ132" s="646">
        <f>DJ110+DJ113</f>
        <v>-239</v>
      </c>
      <c r="DK132" s="646">
        <f>DK110+DK113</f>
        <v>1250</v>
      </c>
      <c r="DL132" s="647">
        <f>DL110+DL113</f>
        <v>280</v>
      </c>
      <c r="DM132" s="646">
        <f>DM110+DM113</f>
        <v>-25</v>
      </c>
      <c r="DN132" s="646">
        <f>DN110+DN113</f>
        <v>-129</v>
      </c>
      <c r="DO132" s="646">
        <f>DO110+DO113</f>
        <v>-155</v>
      </c>
      <c r="DP132" s="646">
        <f>DP110+DP113</f>
        <v>-251</v>
      </c>
      <c r="DQ132" s="647">
        <f>DQ110+DQ113</f>
        <v>-560</v>
      </c>
      <c r="DR132" s="646">
        <f>DR110+DR113</f>
        <v>-206</v>
      </c>
      <c r="DS132" s="646">
        <f>DS110+DS113</f>
        <v>107</v>
      </c>
      <c r="DT132" s="646">
        <f>DT110+DT113</f>
        <v>131</v>
      </c>
      <c r="DU132" s="646">
        <f>DU110+DU113</f>
        <v>100</v>
      </c>
      <c r="DV132" s="647">
        <f>DV110+DV113</f>
        <v>132</v>
      </c>
      <c r="DW132" s="646">
        <f>DW110+DW113</f>
        <v>67</v>
      </c>
      <c r="DX132" s="646">
        <f>DX110+DX113</f>
        <v>42</v>
      </c>
      <c r="DY132" s="646">
        <f>DY110+DY113</f>
        <v>-272</v>
      </c>
      <c r="DZ132" s="646">
        <f>DZ110+DZ113</f>
        <v>-308</v>
      </c>
      <c r="EA132" s="647">
        <f>EA110+EA113</f>
        <v>-471</v>
      </c>
      <c r="EB132" s="646">
        <f>EB110+EB113</f>
        <v>-175</v>
      </c>
      <c r="EC132" s="646">
        <f>EC110+EC113</f>
        <v>-63</v>
      </c>
      <c r="ED132" s="646">
        <f>ED110+ED113</f>
        <v>6</v>
      </c>
      <c r="EE132" s="646">
        <f>EE110+EE113</f>
        <v>0</v>
      </c>
      <c r="EF132" s="647">
        <f>EF110+EF113</f>
        <v>-232</v>
      </c>
      <c r="EG132" s="646">
        <f>EG110+EG113</f>
        <v>-225</v>
      </c>
      <c r="EH132" s="646">
        <f>EH110+EH113</f>
        <v>-51</v>
      </c>
      <c r="EI132" s="646">
        <f>EI110+EI113</f>
        <v>-11</v>
      </c>
      <c r="EJ132" s="646">
        <f>EJ110+EJ113</f>
        <v>94</v>
      </c>
      <c r="EK132" s="647">
        <f>EK110+EK113</f>
        <v>-193</v>
      </c>
      <c r="EL132" s="646">
        <f>EL110+EL113</f>
        <v>-195</v>
      </c>
      <c r="EM132" s="646">
        <f>EM110+EM113</f>
        <v>-75</v>
      </c>
      <c r="EN132" s="646">
        <f>EN110+EN113</f>
        <v>-84</v>
      </c>
      <c r="EO132" s="646">
        <f>EO110+EO113</f>
        <v>21</v>
      </c>
      <c r="EP132" s="647">
        <f>EP110+EP113</f>
        <v>-333</v>
      </c>
      <c r="EQ132" s="646">
        <f>EQ110+EQ113</f>
        <v>-68</v>
      </c>
      <c r="ER132" s="646">
        <f>ER110+ER113</f>
        <v>-106</v>
      </c>
      <c r="ES132" s="646">
        <f>ES110+ES113</f>
        <v>20</v>
      </c>
      <c r="ET132" s="646">
        <f>ET110+ET113</f>
        <v>167</v>
      </c>
      <c r="EU132" s="647">
        <f>EU110+EU113</f>
        <v>13</v>
      </c>
      <c r="EV132" s="646">
        <f>EV110+EV113</f>
        <v>-322</v>
      </c>
      <c r="EW132" s="646">
        <f>EW110+EW113</f>
        <v>-94</v>
      </c>
      <c r="EX132" s="646">
        <f>EX110+EX113</f>
        <v>32</v>
      </c>
      <c r="EY132" s="646">
        <f>EY110+EY113</f>
        <v>339</v>
      </c>
      <c r="EZ132" s="647">
        <f>EZ110+EZ113</f>
        <v>-45</v>
      </c>
      <c r="FA132" s="646">
        <f>FA110+FA113</f>
        <v>-132</v>
      </c>
      <c r="FB132" s="646">
        <f>FB110+FB113</f>
        <v>-90</v>
      </c>
      <c r="FC132" s="646">
        <f>FC110+FC113</f>
        <v>64</v>
      </c>
      <c r="FD132" s="646">
        <f>FD110+FD113</f>
        <v>29</v>
      </c>
      <c r="FE132" s="647">
        <f>FE110+FE113</f>
        <v>-129</v>
      </c>
      <c r="FF132" s="646">
        <f>FF110+FF113</f>
        <v>-275</v>
      </c>
      <c r="FG132" s="646">
        <f>FG110+FG113</f>
        <v>-28</v>
      </c>
      <c r="FH132" s="646">
        <f>FH110+FH113</f>
        <v>179</v>
      </c>
      <c r="FI132" s="646">
        <f>FI110+FI113</f>
        <v>400</v>
      </c>
      <c r="FJ132" s="647">
        <f>FJ110+FJ113</f>
        <v>276</v>
      </c>
      <c r="FK132" s="646">
        <f>FK110+FK113</f>
        <v>-120</v>
      </c>
      <c r="FL132" s="646">
        <f>FL110+FL113</f>
        <v>152</v>
      </c>
      <c r="FM132" s="646">
        <f>FM110+FM113</f>
        <v>265</v>
      </c>
      <c r="FN132" s="646">
        <f>FN110+FN113</f>
        <v>480</v>
      </c>
      <c r="FO132" s="647">
        <f>FO110+FO113</f>
        <v>777</v>
      </c>
      <c r="FP132" s="646">
        <f>FP110+FP113</f>
        <v>832</v>
      </c>
      <c r="FQ132" s="646">
        <f>FQ110+FQ113</f>
        <v>888.02207792207787</v>
      </c>
      <c r="FR132" s="646">
        <f>FR110+FR113</f>
        <v>763.97792207792213</v>
      </c>
      <c r="FS132" s="646">
        <f>FS110+FS113</f>
        <v>736</v>
      </c>
      <c r="FT132" s="647">
        <f>FT110+FT113</f>
        <v>3220</v>
      </c>
      <c r="FU132" s="646">
        <f>FU110+FU113</f>
        <v>924</v>
      </c>
      <c r="FV132" s="646">
        <f>FV110+FV113</f>
        <v>906</v>
      </c>
      <c r="FW132" s="646">
        <f>FW110+FW113</f>
        <v>842</v>
      </c>
      <c r="FX132" s="646">
        <f>FX110+FX113</f>
        <v>443</v>
      </c>
      <c r="FY132" s="647">
        <f>FY110+FY113</f>
        <v>3115</v>
      </c>
      <c r="FZ132" s="646">
        <f>FZ110+FZ113</f>
        <v>328</v>
      </c>
      <c r="GA132" s="646">
        <f>GA110+GA113</f>
        <v>254</v>
      </c>
      <c r="GB132" s="646">
        <f>GB110+GB113</f>
        <v>297</v>
      </c>
      <c r="GC132" s="646">
        <f>GC110+GC113</f>
        <v>242</v>
      </c>
      <c r="GD132" s="647">
        <f>GD110+GD113</f>
        <v>1121</v>
      </c>
      <c r="GE132" s="646">
        <f>GE110+GE113</f>
        <v>379</v>
      </c>
      <c r="GF132" s="646">
        <f>GF110+GF113</f>
        <v>439</v>
      </c>
      <c r="GG132" s="646">
        <f>GG110+GG113</f>
        <v>496</v>
      </c>
      <c r="GH132" s="646">
        <f>GH110+GH113</f>
        <v>1091</v>
      </c>
      <c r="GI132" s="647">
        <f>GI110+GI113</f>
        <v>2405</v>
      </c>
      <c r="GJ132" s="646">
        <f>GJ110+GJ113</f>
        <v>727</v>
      </c>
      <c r="GK132" s="646">
        <f>GK110+GK113</f>
        <v>1729</v>
      </c>
      <c r="GL132" s="646">
        <f>GL110+GL113</f>
        <v>1901</v>
      </c>
      <c r="GM132" s="646">
        <f>GM110+GM113</f>
        <v>2378</v>
      </c>
      <c r="GN132" s="647">
        <f>GN110+GN113</f>
        <v>6735</v>
      </c>
      <c r="GO132" s="646">
        <f>GO110+GO113</f>
        <v>2566</v>
      </c>
      <c r="GP132" s="646">
        <f>GP110+GP113</f>
        <v>-7.1107390664860759</v>
      </c>
      <c r="GQ132" s="646">
        <f>GQ110+GQ113</f>
        <v>2062.9907218851613</v>
      </c>
      <c r="GR132" s="646">
        <f>GR110+GR113</f>
        <v>-720.5162528882579</v>
      </c>
      <c r="GS132" s="647">
        <f>GS110+GS113</f>
        <v>3901.3637299304164</v>
      </c>
      <c r="GT132" s="646">
        <f>GT110+GT113</f>
        <v>2180.1555494831264</v>
      </c>
      <c r="GU132" s="646">
        <f>GU110+GU113</f>
        <v>782.03573531297343</v>
      </c>
      <c r="GV132" s="646">
        <f>GV110+GV113</f>
        <v>188.26406858210441</v>
      </c>
      <c r="GW132" s="646">
        <f>GW110+GW113</f>
        <v>1829.848540996978</v>
      </c>
      <c r="GX132" s="647">
        <f>GX110+GX113</f>
        <v>4980.3038943751826</v>
      </c>
      <c r="GY132" s="646">
        <f>GY110+GY113</f>
        <v>7788.8512066117028</v>
      </c>
      <c r="GZ132" s="646">
        <f>GZ110+GZ113</f>
        <v>5600.179771158093</v>
      </c>
      <c r="HA132" s="646">
        <f>HA110+HA113</f>
        <v>4132.9971445694182</v>
      </c>
      <c r="HB132" s="646">
        <f>HB110+HB113</f>
        <v>4553.7216047376123</v>
      </c>
      <c r="HC132" s="647">
        <f>HC110+HC113</f>
        <v>22075.749727076825</v>
      </c>
      <c r="HD132" s="646">
        <f>HD110+HD113</f>
        <v>9280.1471873315622</v>
      </c>
      <c r="HE132" s="646">
        <f>HE110+HE113</f>
        <v>7019.7333786848376</v>
      </c>
      <c r="HF132" s="646">
        <f>HF110+HF113</f>
        <v>6411.722697720882</v>
      </c>
      <c r="HG132" s="646">
        <f>HG110+HG113</f>
        <v>8203.2184001157439</v>
      </c>
      <c r="HH132" s="647">
        <f>HH110+HH113</f>
        <v>30914.821663853025</v>
      </c>
      <c r="HI132" s="646">
        <f>HI110+HI113</f>
        <v>11890.257779104915</v>
      </c>
      <c r="HJ132" s="646">
        <f>HJ110+HJ113</f>
        <v>8066.3409661455607</v>
      </c>
      <c r="HK132" s="646">
        <f>HK110+HK113</f>
        <v>6717.1209057572969</v>
      </c>
      <c r="HL132" s="646">
        <f>HL110+HL113</f>
        <v>9901.8633182532194</v>
      </c>
      <c r="HM132" s="647">
        <f>HM110+HM113</f>
        <v>36575.582969260991</v>
      </c>
      <c r="HN132" s="647"/>
      <c r="HO132" s="643"/>
      <c r="HP132" s="644"/>
      <c r="HR132" s="644"/>
      <c r="HS132" s="644"/>
      <c r="HT132" s="644"/>
      <c r="HU132" s="644"/>
      <c r="HV132" s="644"/>
      <c r="HW132" s="644"/>
      <c r="HX132" s="644"/>
    </row>
    <row r="133" spans="1:236" s="642" customFormat="1">
      <c r="L133" s="643"/>
      <c r="M133" s="643"/>
      <c r="N133" s="643"/>
      <c r="O133" s="643"/>
      <c r="P133" s="643"/>
      <c r="Q133" s="643"/>
      <c r="R133" s="643"/>
      <c r="S133" s="643"/>
      <c r="T133" s="643"/>
      <c r="U133" s="643"/>
      <c r="V133" s="643"/>
      <c r="W133" s="643"/>
      <c r="X133" s="643"/>
      <c r="Y133" s="643"/>
      <c r="Z133" s="643"/>
      <c r="AA133" s="643"/>
      <c r="AB133" s="643"/>
      <c r="AC133" s="643"/>
      <c r="AD133" s="643"/>
      <c r="AE133" s="643"/>
      <c r="AF133" s="643"/>
      <c r="AG133" s="643"/>
      <c r="AH133" s="643"/>
      <c r="AI133" s="643"/>
      <c r="AJ133" s="643"/>
      <c r="AK133" s="643"/>
      <c r="AL133" s="643"/>
      <c r="AM133" s="643"/>
      <c r="AN133" s="643"/>
      <c r="AO133" s="643"/>
      <c r="AP133" s="643"/>
      <c r="AQ133" s="643"/>
      <c r="AR133" s="643"/>
      <c r="AS133" s="643"/>
      <c r="AT133" s="643"/>
      <c r="AU133" s="643"/>
      <c r="AV133" s="643"/>
      <c r="AW133" s="643"/>
      <c r="AX133" s="643"/>
      <c r="AY133" s="643"/>
      <c r="AZ133" s="643"/>
      <c r="BA133" s="643"/>
      <c r="BB133" s="643"/>
      <c r="BC133" s="643"/>
      <c r="BD133" s="643"/>
      <c r="BE133" s="643"/>
      <c r="BF133" s="643"/>
      <c r="BG133" s="643"/>
      <c r="BH133" s="643"/>
      <c r="BI133" s="643"/>
      <c r="BJ133" s="643"/>
      <c r="BK133" s="643"/>
      <c r="BL133" s="643"/>
      <c r="BM133" s="643"/>
      <c r="BN133" s="643"/>
      <c r="BO133" s="643"/>
      <c r="BP133" s="643"/>
      <c r="BQ133" s="643"/>
      <c r="BR133" s="643"/>
      <c r="BS133" s="643"/>
      <c r="BT133" s="643"/>
      <c r="BU133" s="643"/>
      <c r="BV133" s="643"/>
      <c r="BW133" s="643"/>
      <c r="BX133" s="643"/>
      <c r="BY133" s="643"/>
      <c r="BZ133" s="643"/>
      <c r="CA133" s="643"/>
      <c r="CB133" s="643"/>
      <c r="CC133" s="643"/>
      <c r="CD133" s="643"/>
      <c r="CE133" s="643"/>
      <c r="CF133" s="643"/>
      <c r="CG133" s="643"/>
      <c r="CH133" s="643"/>
      <c r="CI133" s="643"/>
      <c r="CJ133" s="643"/>
      <c r="CK133" s="643"/>
      <c r="CL133" s="643"/>
      <c r="CM133" s="643"/>
      <c r="CN133" s="643"/>
      <c r="CO133" s="643"/>
      <c r="CP133" s="643"/>
      <c r="CQ133" s="643"/>
      <c r="CR133" s="643"/>
      <c r="CS133" s="643"/>
      <c r="CT133" s="643"/>
      <c r="CU133" s="643"/>
      <c r="CV133" s="643"/>
      <c r="CW133" s="643"/>
      <c r="CX133" s="643"/>
      <c r="CY133" s="643"/>
      <c r="CZ133" s="643"/>
      <c r="DA133" s="643"/>
      <c r="DB133" s="643"/>
      <c r="DC133" s="643"/>
      <c r="DD133" s="643"/>
      <c r="DE133" s="643"/>
      <c r="DF133" s="643"/>
      <c r="DG133" s="643"/>
      <c r="DH133" s="643"/>
      <c r="DI133" s="643"/>
      <c r="DJ133" s="643"/>
      <c r="DK133" s="643"/>
      <c r="DL133" s="643"/>
      <c r="DM133" s="643"/>
      <c r="DN133" s="643"/>
      <c r="DO133" s="643"/>
      <c r="DP133" s="643"/>
      <c r="DQ133" s="643"/>
      <c r="DR133" s="643"/>
      <c r="DS133" s="643"/>
      <c r="DT133" s="643"/>
      <c r="DU133" s="643"/>
      <c r="DV133" s="643"/>
      <c r="DW133" s="643"/>
      <c r="DX133" s="643"/>
      <c r="DY133" s="643"/>
      <c r="DZ133" s="643"/>
      <c r="EA133" s="643"/>
      <c r="EB133" s="643"/>
      <c r="EC133" s="643"/>
      <c r="ED133" s="643"/>
      <c r="EE133" s="643"/>
      <c r="EF133" s="643"/>
      <c r="EG133" s="643"/>
      <c r="EH133" s="643"/>
      <c r="EI133" s="643"/>
      <c r="EJ133" s="643"/>
      <c r="EK133" s="643"/>
      <c r="EL133" s="643"/>
      <c r="EM133" s="643"/>
      <c r="EN133" s="643"/>
      <c r="EO133" s="643"/>
      <c r="EP133" s="643"/>
      <c r="EQ133" s="643"/>
      <c r="ER133" s="643"/>
      <c r="ES133" s="643"/>
      <c r="ET133" s="643"/>
      <c r="EU133" s="643"/>
      <c r="EV133" s="643"/>
      <c r="EW133" s="643"/>
      <c r="EX133" s="643"/>
      <c r="EY133" s="643"/>
      <c r="EZ133" s="643"/>
      <c r="FA133" s="643"/>
      <c r="FB133" s="643"/>
      <c r="FC133" s="643"/>
      <c r="FD133" s="643"/>
      <c r="FE133" s="643"/>
      <c r="FF133" s="643"/>
      <c r="FG133" s="643"/>
      <c r="FH133" s="643"/>
      <c r="FI133" s="643"/>
      <c r="FJ133" s="643"/>
      <c r="FK133" s="643"/>
      <c r="FL133" s="643"/>
      <c r="FM133" s="643"/>
      <c r="FN133" s="643"/>
      <c r="FO133" s="643"/>
      <c r="FP133" s="643"/>
      <c r="FQ133" s="643"/>
      <c r="FR133" s="643"/>
      <c r="FS133" s="643"/>
      <c r="FT133" s="643"/>
      <c r="FU133" s="643"/>
      <c r="FV133" s="643"/>
      <c r="FW133" s="643"/>
      <c r="FX133" s="643"/>
      <c r="FY133" s="643"/>
      <c r="FZ133" s="643"/>
      <c r="GA133" s="643"/>
      <c r="GB133" s="643"/>
      <c r="GC133" s="643"/>
      <c r="GD133" s="643"/>
      <c r="GE133" s="643"/>
      <c r="GF133" s="643"/>
      <c r="GG133" s="643"/>
      <c r="GH133" s="643"/>
      <c r="GI133" s="643"/>
      <c r="GJ133" s="643"/>
      <c r="GK133" s="643"/>
      <c r="GL133" s="643"/>
      <c r="GM133" s="643"/>
      <c r="GN133" s="643"/>
      <c r="GO133" s="643"/>
      <c r="GP133" s="643"/>
      <c r="GQ133" s="643"/>
      <c r="GR133" s="643"/>
      <c r="GS133" s="643"/>
      <c r="GT133" s="643"/>
      <c r="GU133" s="643"/>
      <c r="GV133" s="643"/>
      <c r="GW133" s="643"/>
      <c r="GX133" s="643"/>
      <c r="GY133" s="643"/>
      <c r="GZ133" s="643"/>
      <c r="HA133" s="643"/>
      <c r="HB133" s="643"/>
      <c r="HC133" s="643"/>
      <c r="HD133" s="643"/>
      <c r="HE133" s="643"/>
      <c r="HF133" s="643"/>
      <c r="HG133" s="643"/>
      <c r="HH133" s="643"/>
      <c r="HI133" s="643"/>
      <c r="HJ133" s="643"/>
      <c r="HK133" s="643"/>
      <c r="HL133" s="643"/>
      <c r="HM133" s="643"/>
      <c r="HN133" s="643"/>
      <c r="HO133" s="643"/>
      <c r="HP133" s="644"/>
      <c r="HR133" s="644"/>
      <c r="HS133" s="644"/>
      <c r="HT133" s="644"/>
      <c r="HU133" s="644"/>
      <c r="HV133" s="644"/>
      <c r="HW133" s="644"/>
      <c r="HX133" s="644"/>
    </row>
    <row r="134" spans="1:236" s="509" customFormat="1" hidden="1" outlineLevel="1">
      <c r="L134" s="523"/>
      <c r="M134" s="523"/>
      <c r="N134" s="523"/>
      <c r="O134" s="523"/>
      <c r="P134" s="524"/>
      <c r="Q134" s="619"/>
      <c r="R134" s="619"/>
      <c r="S134" s="619"/>
      <c r="T134" s="619"/>
      <c r="U134" s="541"/>
      <c r="V134" s="619"/>
      <c r="W134" s="619"/>
      <c r="X134" s="619"/>
      <c r="Y134" s="619"/>
      <c r="Z134" s="541"/>
      <c r="AA134" s="619"/>
      <c r="AB134" s="619"/>
      <c r="AC134" s="619"/>
      <c r="AD134" s="619"/>
      <c r="AE134" s="541"/>
      <c r="AF134" s="523"/>
      <c r="AG134" s="523"/>
      <c r="AH134" s="523"/>
      <c r="AI134" s="523"/>
      <c r="AJ134" s="541"/>
      <c r="AK134" s="523"/>
      <c r="AL134" s="523"/>
      <c r="AM134" s="523"/>
      <c r="AN134" s="523"/>
      <c r="AO134" s="541"/>
      <c r="AP134" s="523"/>
      <c r="AQ134" s="523"/>
      <c r="AR134" s="523"/>
      <c r="AS134" s="523"/>
      <c r="AT134" s="541"/>
      <c r="AU134" s="523"/>
      <c r="AV134" s="523"/>
      <c r="AW134" s="523"/>
      <c r="AX134" s="523"/>
      <c r="AY134" s="541"/>
      <c r="AZ134" s="523"/>
      <c r="BA134" s="523"/>
      <c r="BB134" s="523"/>
      <c r="BC134" s="523"/>
      <c r="BD134" s="541"/>
      <c r="BE134" s="523"/>
      <c r="BF134" s="523"/>
      <c r="BG134" s="523"/>
      <c r="BH134" s="523"/>
      <c r="BI134" s="541"/>
      <c r="BJ134" s="523"/>
      <c r="BK134" s="523"/>
      <c r="BL134" s="523"/>
      <c r="BM134" s="523"/>
      <c r="BN134" s="541"/>
      <c r="BO134" s="523"/>
      <c r="BP134" s="523"/>
      <c r="BQ134" s="523"/>
      <c r="BR134" s="523"/>
      <c r="BS134" s="541"/>
      <c r="BT134" s="523"/>
      <c r="BU134" s="523"/>
      <c r="BV134" s="523"/>
      <c r="BW134" s="523"/>
      <c r="BX134" s="591"/>
      <c r="BY134" s="523"/>
      <c r="BZ134" s="523"/>
      <c r="CA134" s="523"/>
      <c r="CB134" s="523"/>
      <c r="CC134" s="591"/>
      <c r="CD134" s="523"/>
      <c r="CE134" s="523"/>
      <c r="CF134" s="523"/>
      <c r="CG134" s="523"/>
      <c r="CH134" s="591"/>
      <c r="CI134" s="539"/>
      <c r="CJ134" s="539"/>
      <c r="CK134" s="539"/>
      <c r="CL134" s="539"/>
      <c r="CM134" s="542"/>
      <c r="CN134" s="539"/>
      <c r="CO134" s="539"/>
      <c r="CP134" s="539"/>
      <c r="CQ134" s="539"/>
      <c r="CR134" s="542"/>
      <c r="CS134" s="539"/>
      <c r="CT134" s="539"/>
      <c r="CU134" s="539"/>
      <c r="CV134" s="539"/>
      <c r="CW134" s="542"/>
      <c r="CX134" s="539"/>
      <c r="CY134" s="539"/>
      <c r="CZ134" s="539"/>
      <c r="DA134" s="539"/>
      <c r="DB134" s="542"/>
      <c r="DC134" s="539"/>
      <c r="DD134" s="539"/>
      <c r="DE134" s="539"/>
      <c r="DF134" s="539"/>
      <c r="DG134" s="542"/>
      <c r="DH134" s="539"/>
      <c r="DI134" s="539"/>
      <c r="DJ134" s="539"/>
      <c r="DK134" s="539"/>
      <c r="DL134" s="542"/>
      <c r="DM134" s="539"/>
      <c r="DN134" s="539"/>
      <c r="DO134" s="539"/>
      <c r="DP134" s="539"/>
      <c r="DQ134" s="542"/>
      <c r="DR134" s="539"/>
      <c r="DS134" s="539"/>
      <c r="DT134" s="539"/>
      <c r="DU134" s="539"/>
      <c r="DV134" s="542"/>
      <c r="DW134" s="539"/>
      <c r="DX134" s="539"/>
      <c r="DY134" s="539"/>
      <c r="DZ134" s="539"/>
      <c r="EA134" s="542"/>
      <c r="EB134" s="539"/>
      <c r="EC134" s="539"/>
      <c r="ED134" s="539"/>
      <c r="EE134" s="539"/>
      <c r="EF134" s="542"/>
      <c r="EG134" s="539"/>
      <c r="EH134" s="539"/>
      <c r="EI134" s="539"/>
      <c r="EJ134" s="539"/>
      <c r="EK134" s="542"/>
      <c r="EL134" s="539"/>
      <c r="EM134" s="539"/>
      <c r="EN134" s="539"/>
      <c r="EO134" s="539"/>
      <c r="EP134" s="542"/>
      <c r="EQ134" s="539"/>
      <c r="ER134" s="539"/>
      <c r="ES134" s="539"/>
      <c r="ET134" s="539"/>
      <c r="EU134" s="542"/>
      <c r="EV134" s="539"/>
      <c r="EW134" s="539"/>
      <c r="EX134" s="539"/>
      <c r="EY134" s="539"/>
      <c r="EZ134" s="542"/>
      <c r="FA134" s="539"/>
      <c r="FB134" s="539"/>
      <c r="FC134" s="539"/>
      <c r="FD134" s="539"/>
      <c r="FE134" s="542"/>
      <c r="FF134" s="539"/>
      <c r="FG134" s="539"/>
      <c r="FH134" s="539"/>
      <c r="FI134" s="539"/>
      <c r="FJ134" s="542"/>
      <c r="FK134" s="539"/>
      <c r="FL134" s="539"/>
      <c r="FM134" s="539"/>
      <c r="FN134" s="539"/>
      <c r="FO134" s="542"/>
      <c r="FP134" s="539"/>
      <c r="FQ134" s="539"/>
      <c r="FR134" s="539"/>
      <c r="FS134" s="539"/>
      <c r="FT134" s="542"/>
      <c r="FU134" s="539"/>
      <c r="FV134" s="539"/>
      <c r="FW134" s="539"/>
      <c r="FX134" s="539"/>
      <c r="FY134" s="542"/>
      <c r="FZ134" s="539"/>
      <c r="GA134" s="539"/>
      <c r="GB134" s="539"/>
      <c r="GC134" s="539"/>
      <c r="GD134" s="542"/>
      <c r="GE134" s="539"/>
      <c r="GF134" s="539"/>
      <c r="GG134" s="539"/>
      <c r="GH134" s="539"/>
      <c r="GI134" s="542"/>
      <c r="GJ134" s="539"/>
      <c r="GK134" s="539"/>
      <c r="GL134" s="539"/>
      <c r="GM134" s="539"/>
      <c r="GN134" s="542"/>
      <c r="GO134" s="539"/>
      <c r="GP134" s="539"/>
      <c r="GQ134" s="539"/>
      <c r="GR134" s="539"/>
      <c r="GS134" s="542"/>
      <c r="GT134" s="539"/>
      <c r="GU134" s="539"/>
      <c r="GV134" s="539"/>
      <c r="GW134" s="539"/>
      <c r="GX134" s="542"/>
      <c r="GY134" s="539"/>
      <c r="GZ134" s="539"/>
      <c r="HA134" s="539"/>
      <c r="HB134" s="539"/>
      <c r="HC134" s="542"/>
      <c r="HD134" s="539"/>
      <c r="HE134" s="539"/>
      <c r="HF134" s="539"/>
      <c r="HG134" s="539"/>
      <c r="HH134" s="542"/>
      <c r="HI134" s="539"/>
      <c r="HJ134" s="539"/>
      <c r="HK134" s="539"/>
      <c r="HL134" s="539"/>
      <c r="HM134" s="542"/>
      <c r="HN134" s="542"/>
      <c r="HO134" s="542"/>
      <c r="HP134" s="563"/>
      <c r="HR134" s="563"/>
      <c r="HS134" s="563"/>
      <c r="HT134" s="563"/>
      <c r="HU134" s="563"/>
      <c r="HV134" s="563"/>
      <c r="HW134" s="563"/>
      <c r="HX134" s="563"/>
    </row>
    <row r="135" spans="1:236" s="509" customFormat="1" hidden="1" outlineLevel="1">
      <c r="A135" s="509" t="s">
        <v>448</v>
      </c>
      <c r="L135" s="523"/>
      <c r="M135" s="523"/>
      <c r="N135" s="523"/>
      <c r="O135" s="523"/>
      <c r="P135" s="524"/>
      <c r="Q135" s="619"/>
      <c r="R135" s="619"/>
      <c r="S135" s="619"/>
      <c r="T135" s="619"/>
      <c r="U135" s="541"/>
      <c r="V135" s="619"/>
      <c r="W135" s="619"/>
      <c r="X135" s="619"/>
      <c r="Y135" s="619"/>
      <c r="Z135" s="541"/>
      <c r="AA135" s="619"/>
      <c r="AB135" s="619"/>
      <c r="AC135" s="619"/>
      <c r="AD135" s="619"/>
      <c r="AE135" s="541"/>
      <c r="AF135" s="523"/>
      <c r="AG135" s="523"/>
      <c r="AH135" s="523"/>
      <c r="AI135" s="523"/>
      <c r="AJ135" s="541"/>
      <c r="AK135" s="523"/>
      <c r="AL135" s="523"/>
      <c r="AM135" s="523"/>
      <c r="AN135" s="523"/>
      <c r="AO135" s="541"/>
      <c r="AP135" s="523"/>
      <c r="AQ135" s="523"/>
      <c r="AR135" s="523"/>
      <c r="AS135" s="523"/>
      <c r="AT135" s="541"/>
      <c r="AU135" s="523"/>
      <c r="AV135" s="523"/>
      <c r="AW135" s="523"/>
      <c r="AX135" s="523"/>
      <c r="AY135" s="541"/>
      <c r="AZ135" s="523"/>
      <c r="BA135" s="523"/>
      <c r="BB135" s="523"/>
      <c r="BC135" s="523"/>
      <c r="BD135" s="541"/>
      <c r="BE135" s="523"/>
      <c r="BF135" s="523"/>
      <c r="BG135" s="523"/>
      <c r="BH135" s="523"/>
      <c r="BI135" s="541"/>
      <c r="BJ135" s="523"/>
      <c r="BK135" s="523"/>
      <c r="BL135" s="523"/>
      <c r="BM135" s="523"/>
      <c r="BN135" s="541"/>
      <c r="BO135" s="523"/>
      <c r="BP135" s="523"/>
      <c r="BQ135" s="523"/>
      <c r="BR135" s="523"/>
      <c r="BS135" s="541"/>
      <c r="BT135" s="523"/>
      <c r="BU135" s="523"/>
      <c r="BV135" s="523"/>
      <c r="BW135" s="523"/>
      <c r="BX135" s="591"/>
      <c r="BY135" s="523"/>
      <c r="BZ135" s="523"/>
      <c r="CA135" s="523"/>
      <c r="CB135" s="523"/>
      <c r="CC135" s="591"/>
      <c r="CD135" s="523"/>
      <c r="CE135" s="523"/>
      <c r="CF135" s="523"/>
      <c r="CG135" s="523"/>
      <c r="CH135" s="591"/>
      <c r="CI135" s="539"/>
      <c r="CJ135" s="539"/>
      <c r="CK135" s="539"/>
      <c r="CL135" s="539"/>
      <c r="CM135" s="542"/>
      <c r="CN135" s="539"/>
      <c r="CO135" s="539"/>
      <c r="CP135" s="539"/>
      <c r="CQ135" s="539"/>
      <c r="CR135" s="542"/>
      <c r="CS135" s="539"/>
      <c r="CT135" s="539"/>
      <c r="CU135" s="539"/>
      <c r="CV135" s="539"/>
      <c r="CW135" s="542"/>
      <c r="CX135" s="539"/>
      <c r="CY135" s="539"/>
      <c r="CZ135" s="539"/>
      <c r="DA135" s="539"/>
      <c r="DB135" s="542"/>
      <c r="DC135" s="539"/>
      <c r="DD135" s="539"/>
      <c r="DE135" s="539"/>
      <c r="DF135" s="539"/>
      <c r="DG135" s="542"/>
      <c r="DH135" s="539"/>
      <c r="DI135" s="539"/>
      <c r="DJ135" s="539"/>
      <c r="DK135" s="539"/>
      <c r="DL135" s="542"/>
      <c r="DM135" s="539"/>
      <c r="DN135" s="539"/>
      <c r="DO135" s="539"/>
      <c r="DP135" s="539"/>
      <c r="DQ135" s="542"/>
      <c r="DR135" s="539"/>
      <c r="DS135" s="539"/>
      <c r="DT135" s="539"/>
      <c r="DU135" s="539"/>
      <c r="DV135" s="542"/>
      <c r="DW135" s="539"/>
      <c r="DX135" s="539"/>
      <c r="DY135" s="539"/>
      <c r="DZ135" s="539"/>
      <c r="EA135" s="542"/>
      <c r="EB135" s="539"/>
      <c r="EC135" s="539"/>
      <c r="ED135" s="539"/>
      <c r="EE135" s="539"/>
      <c r="EF135" s="542"/>
      <c r="EG135" s="539"/>
      <c r="EH135" s="539"/>
      <c r="EI135" s="539"/>
      <c r="EJ135" s="539"/>
      <c r="EK135" s="542"/>
      <c r="EL135" s="539"/>
      <c r="EM135" s="539"/>
      <c r="EN135" s="539"/>
      <c r="EO135" s="539"/>
      <c r="EP135" s="542"/>
      <c r="EQ135" s="539"/>
      <c r="ER135" s="539"/>
      <c r="ES135" s="539"/>
      <c r="ET135" s="539"/>
      <c r="EU135" s="542"/>
      <c r="EV135" s="539"/>
      <c r="EW135" s="539"/>
      <c r="EX135" s="539"/>
      <c r="EY135" s="539"/>
      <c r="EZ135" s="542"/>
      <c r="FA135" s="539"/>
      <c r="FB135" s="539"/>
      <c r="FC135" s="539"/>
      <c r="FD135" s="539"/>
      <c r="FE135" s="542"/>
      <c r="FF135" s="539"/>
      <c r="FG135" s="539"/>
      <c r="FH135" s="539"/>
      <c r="FI135" s="539"/>
      <c r="FJ135" s="542"/>
      <c r="FK135" s="539"/>
      <c r="FL135" s="539"/>
      <c r="FM135" s="539"/>
      <c r="FN135" s="539"/>
      <c r="FO135" s="542"/>
      <c r="FP135" s="539"/>
      <c r="FQ135" s="539"/>
      <c r="FR135" s="539"/>
      <c r="FS135" s="539"/>
      <c r="FT135" s="542"/>
      <c r="FU135" s="539"/>
      <c r="FV135" s="539"/>
      <c r="FW135" s="539"/>
      <c r="FX135" s="539"/>
      <c r="FY135" s="542"/>
      <c r="FZ135" s="539"/>
      <c r="GA135" s="539"/>
      <c r="GB135" s="539"/>
      <c r="GC135" s="539"/>
      <c r="GD135" s="542"/>
      <c r="GE135" s="539"/>
      <c r="GF135" s="539"/>
      <c r="GG135" s="539"/>
      <c r="GH135" s="539"/>
      <c r="GI135" s="542"/>
      <c r="GJ135" s="539"/>
      <c r="GK135" s="539"/>
      <c r="GL135" s="539"/>
      <c r="GM135" s="539"/>
      <c r="GN135" s="542"/>
      <c r="GO135" s="539"/>
      <c r="GP135" s="539"/>
      <c r="GQ135" s="539"/>
      <c r="GR135" s="539"/>
      <c r="GS135" s="542"/>
      <c r="GT135" s="539"/>
      <c r="GU135" s="539"/>
      <c r="GV135" s="539"/>
      <c r="GW135" s="539"/>
      <c r="GX135" s="542"/>
      <c r="GY135" s="539"/>
      <c r="GZ135" s="539"/>
      <c r="HA135" s="539"/>
      <c r="HB135" s="539"/>
      <c r="HC135" s="542"/>
      <c r="HD135" s="539"/>
      <c r="HE135" s="539"/>
      <c r="HF135" s="539"/>
      <c r="HG135" s="539"/>
      <c r="HH135" s="542"/>
      <c r="HI135" s="539"/>
      <c r="HJ135" s="539"/>
      <c r="HK135" s="539"/>
      <c r="HL135" s="539"/>
      <c r="HM135" s="542"/>
      <c r="HN135" s="542"/>
      <c r="HO135" s="542"/>
      <c r="HP135" s="563"/>
      <c r="HR135" s="563"/>
      <c r="HS135" s="563"/>
      <c r="HT135" s="563"/>
      <c r="HU135" s="563"/>
      <c r="HV135" s="563"/>
      <c r="HW135" s="563"/>
      <c r="HX135" s="563"/>
    </row>
    <row r="136" spans="1:236" s="509" customFormat="1" hidden="1" outlineLevel="1">
      <c r="A136" s="509" t="s">
        <v>449</v>
      </c>
      <c r="L136" s="523"/>
      <c r="M136" s="523"/>
      <c r="N136" s="523"/>
      <c r="O136" s="523"/>
      <c r="P136" s="524"/>
      <c r="Q136" s="619"/>
      <c r="R136" s="619"/>
      <c r="S136" s="619"/>
      <c r="T136" s="619"/>
      <c r="U136" s="541"/>
      <c r="V136" s="619"/>
      <c r="W136" s="619"/>
      <c r="X136" s="619"/>
      <c r="Y136" s="619"/>
      <c r="Z136" s="541"/>
      <c r="AA136" s="619"/>
      <c r="AB136" s="619"/>
      <c r="AC136" s="619"/>
      <c r="AD136" s="619"/>
      <c r="AE136" s="541"/>
      <c r="AF136" s="523"/>
      <c r="AG136" s="523"/>
      <c r="AH136" s="523"/>
      <c r="AI136" s="523"/>
      <c r="AJ136" s="541"/>
      <c r="AK136" s="523"/>
      <c r="AL136" s="523"/>
      <c r="AM136" s="523"/>
      <c r="AN136" s="523"/>
      <c r="AO136" s="541"/>
      <c r="AP136" s="523"/>
      <c r="AQ136" s="523"/>
      <c r="AR136" s="523"/>
      <c r="AS136" s="523"/>
      <c r="AT136" s="541"/>
      <c r="AU136" s="523"/>
      <c r="AV136" s="523"/>
      <c r="AW136" s="523"/>
      <c r="AX136" s="523"/>
      <c r="AY136" s="541"/>
      <c r="AZ136" s="523"/>
      <c r="BA136" s="523"/>
      <c r="BB136" s="523"/>
      <c r="BC136" s="523"/>
      <c r="BD136" s="541"/>
      <c r="BE136" s="523"/>
      <c r="BF136" s="523"/>
      <c r="BG136" s="523"/>
      <c r="BH136" s="523"/>
      <c r="BI136" s="541"/>
      <c r="BJ136" s="336">
        <v>0.5446228821408724</v>
      </c>
      <c r="BK136" s="336">
        <v>0.50501336729909985</v>
      </c>
      <c r="BL136" s="336">
        <v>0.48041353565129141</v>
      </c>
      <c r="BM136" s="336">
        <v>0.39969960049963349</v>
      </c>
      <c r="BN136" s="648" t="s">
        <v>199</v>
      </c>
      <c r="BO136" s="336">
        <v>0.29056188068265587</v>
      </c>
      <c r="BP136" s="336">
        <v>0.30193679796520451</v>
      </c>
      <c r="BQ136" s="336">
        <v>0.32076525694356384</v>
      </c>
      <c r="BR136" s="336">
        <v>0.40621202683522073</v>
      </c>
      <c r="BS136" s="649" t="s">
        <v>199</v>
      </c>
      <c r="BT136" s="336">
        <v>0.31719701500823977</v>
      </c>
      <c r="BU136" s="336">
        <v>0.31931137238344237</v>
      </c>
      <c r="BV136" s="336">
        <v>0.4818885711674305</v>
      </c>
      <c r="BW136" s="336">
        <v>0.32041039088197687</v>
      </c>
      <c r="BX136" s="649" t="s">
        <v>199</v>
      </c>
      <c r="BY136" s="336">
        <v>0.42512634786763381</v>
      </c>
      <c r="BZ136" s="336">
        <v>0.59360585308321356</v>
      </c>
      <c r="CA136" s="336">
        <v>0.69964012144179677</v>
      </c>
      <c r="CB136" s="336">
        <v>0.51343618431595361</v>
      </c>
      <c r="CC136" s="649" t="s">
        <v>199</v>
      </c>
      <c r="CD136" s="336">
        <v>0.5413733022650461</v>
      </c>
      <c r="CE136" s="336">
        <v>0.13575863100357841</v>
      </c>
      <c r="CF136" s="336">
        <v>8.8052904350050698E-2</v>
      </c>
      <c r="CG136" s="336">
        <v>0.10215221886656607</v>
      </c>
      <c r="CH136" s="649" t="s">
        <v>199</v>
      </c>
      <c r="CI136" s="336">
        <v>0.10088031458235101</v>
      </c>
      <c r="CJ136" s="336">
        <v>0.10706691910286352</v>
      </c>
      <c r="CK136" s="336">
        <v>0.12120368644707086</v>
      </c>
      <c r="CL136" s="336">
        <v>0.12960352328785338</v>
      </c>
      <c r="CM136" s="649" t="s">
        <v>199</v>
      </c>
      <c r="CN136" s="336">
        <v>0.14482732336127987</v>
      </c>
      <c r="CO136" s="336">
        <v>0.15026255676956757</v>
      </c>
      <c r="CP136" s="336">
        <v>0.15459660286782836</v>
      </c>
      <c r="CQ136" s="336">
        <v>0.11639084664109196</v>
      </c>
      <c r="CR136" s="649" t="s">
        <v>199</v>
      </c>
      <c r="CS136" s="336">
        <v>0.15898639650852225</v>
      </c>
      <c r="CT136" s="336">
        <v>0.14519754317570271</v>
      </c>
      <c r="CU136" s="336">
        <v>0.16972997585156016</v>
      </c>
      <c r="CV136" s="336">
        <v>0.18866328257191201</v>
      </c>
      <c r="CW136" s="649" t="s">
        <v>199</v>
      </c>
      <c r="CX136" s="336">
        <v>0.27615571776155717</v>
      </c>
      <c r="CY136" s="336">
        <f>AVERAGE(CT136,CO136,CJ136,CE136)</f>
        <v>0.13457141251292806</v>
      </c>
      <c r="CZ136" s="336">
        <f>AVERAGE(CU136,CP136,CK136,CF136)</f>
        <v>0.13339579237912752</v>
      </c>
      <c r="DA136" s="336">
        <f>AVERAGE(CV136,CQ136,CL136,CG136)</f>
        <v>0.13420246784185585</v>
      </c>
      <c r="DB136" s="649" t="s">
        <v>199</v>
      </c>
      <c r="DC136" s="336">
        <v>0.2</v>
      </c>
      <c r="DD136" s="336">
        <f>AVERAGE(CY136,CT136,CO136,CJ136)</f>
        <v>0.13427460789026546</v>
      </c>
      <c r="DE136" s="336">
        <f>AVERAGE(CZ136,CU136,CP136,CK136)</f>
        <v>0.14473151438639675</v>
      </c>
      <c r="DF136" s="336">
        <f>AVERAGE(DA136,CV136,CQ136,CL136)</f>
        <v>0.14221503008567829</v>
      </c>
      <c r="DG136" s="649" t="s">
        <v>199</v>
      </c>
      <c r="DH136" s="336">
        <v>0.42225998300764656</v>
      </c>
      <c r="DI136" s="336">
        <v>0.48226351351351349</v>
      </c>
      <c r="DJ136" s="336">
        <v>0.42191977077363896</v>
      </c>
      <c r="DK136" s="336">
        <v>0.39307411907654921</v>
      </c>
      <c r="DL136" s="649" t="s">
        <v>199</v>
      </c>
      <c r="DM136" s="336">
        <v>0.4</v>
      </c>
      <c r="DN136" s="336">
        <v>0.4</v>
      </c>
      <c r="DO136" s="336">
        <v>0.4</v>
      </c>
      <c r="DP136" s="336">
        <v>0.4</v>
      </c>
      <c r="DQ136" s="649" t="s">
        <v>199</v>
      </c>
      <c r="DR136" s="336">
        <v>0.4</v>
      </c>
      <c r="DS136" s="336">
        <v>0.4</v>
      </c>
      <c r="DT136" s="336">
        <v>0.4</v>
      </c>
      <c r="DU136" s="336">
        <v>0.4</v>
      </c>
      <c r="DV136" s="649" t="s">
        <v>199</v>
      </c>
      <c r="DW136" s="336">
        <v>0.4</v>
      </c>
      <c r="DX136" s="336">
        <v>0.4</v>
      </c>
      <c r="DY136" s="336">
        <v>0.4</v>
      </c>
      <c r="DZ136" s="336">
        <v>0.4</v>
      </c>
      <c r="EA136" s="649" t="s">
        <v>199</v>
      </c>
      <c r="EB136" s="336">
        <v>0.4</v>
      </c>
      <c r="EC136" s="336">
        <v>0.4</v>
      </c>
      <c r="ED136" s="336">
        <v>0.4</v>
      </c>
      <c r="EE136" s="336">
        <v>0.4</v>
      </c>
      <c r="EF136" s="649" t="s">
        <v>199</v>
      </c>
      <c r="EG136" s="336">
        <f>+EG137/EG9</f>
        <v>0.34574087329992842</v>
      </c>
      <c r="EH136" s="336">
        <f>+EH137/EH9</f>
        <v>0.35461485079805688</v>
      </c>
      <c r="EI136" s="337">
        <f>+EI137/EI9</f>
        <v>0.34849545136459065</v>
      </c>
      <c r="EJ136" s="336">
        <v>0.35</v>
      </c>
      <c r="EK136" s="649" t="s">
        <v>199</v>
      </c>
      <c r="EL136" s="336">
        <v>0.35</v>
      </c>
      <c r="EM136" s="336">
        <v>0.35</v>
      </c>
      <c r="EN136" s="336">
        <v>0.35</v>
      </c>
      <c r="EO136" s="336">
        <v>0.35</v>
      </c>
      <c r="EP136" s="649" t="s">
        <v>199</v>
      </c>
      <c r="EQ136" s="336">
        <v>0.35</v>
      </c>
      <c r="ER136" s="336">
        <v>0.35</v>
      </c>
      <c r="ES136" s="336">
        <v>0.35</v>
      </c>
      <c r="ET136" s="336">
        <v>0.35</v>
      </c>
      <c r="EU136" s="649" t="s">
        <v>199</v>
      </c>
      <c r="EV136" s="336">
        <v>0.35</v>
      </c>
      <c r="EW136" s="336">
        <v>0.35</v>
      </c>
      <c r="EX136" s="336">
        <v>0.35</v>
      </c>
      <c r="EY136" s="336">
        <v>0.35</v>
      </c>
      <c r="EZ136" s="649" t="s">
        <v>199</v>
      </c>
      <c r="FA136" s="336">
        <v>0.35</v>
      </c>
      <c r="FB136" s="336">
        <v>0.35</v>
      </c>
      <c r="FC136" s="336">
        <v>0.35</v>
      </c>
      <c r="FD136" s="336">
        <v>0.35</v>
      </c>
      <c r="FE136" s="649" t="s">
        <v>199</v>
      </c>
      <c r="FF136" s="336">
        <v>0.35</v>
      </c>
      <c r="FG136" s="336">
        <v>0.35</v>
      </c>
      <c r="FH136" s="336">
        <v>0.35</v>
      </c>
      <c r="FI136" s="336">
        <v>0.35</v>
      </c>
      <c r="FJ136" s="649" t="s">
        <v>199</v>
      </c>
      <c r="FK136" s="336">
        <v>0.35</v>
      </c>
      <c r="FL136" s="336">
        <v>0.35</v>
      </c>
      <c r="FM136" s="336">
        <v>0.35</v>
      </c>
      <c r="FN136" s="336">
        <v>0.35</v>
      </c>
      <c r="FO136" s="649" t="s">
        <v>199</v>
      </c>
      <c r="FP136" s="336">
        <v>0.35</v>
      </c>
      <c r="FQ136" s="336">
        <v>0.35</v>
      </c>
      <c r="FR136" s="336">
        <v>0.35</v>
      </c>
      <c r="FS136" s="338">
        <v>0.35</v>
      </c>
      <c r="FT136" s="649" t="s">
        <v>199</v>
      </c>
      <c r="FU136" s="336">
        <v>0.35</v>
      </c>
      <c r="FV136" s="336">
        <v>0.35</v>
      </c>
      <c r="FW136" s="336">
        <v>0.35</v>
      </c>
      <c r="FX136" s="336">
        <v>0.35</v>
      </c>
      <c r="FY136" s="649" t="s">
        <v>199</v>
      </c>
      <c r="FZ136" s="336">
        <v>0.35</v>
      </c>
      <c r="GA136" s="336">
        <v>0.35</v>
      </c>
      <c r="GB136" s="336">
        <v>0.35</v>
      </c>
      <c r="GC136" s="336">
        <v>0.35</v>
      </c>
      <c r="GD136" s="649" t="s">
        <v>199</v>
      </c>
      <c r="GE136" s="336">
        <v>0.35</v>
      </c>
      <c r="GF136" s="336">
        <v>0.35</v>
      </c>
      <c r="GG136" s="336">
        <v>0.35</v>
      </c>
      <c r="GH136" s="336">
        <v>0.35</v>
      </c>
      <c r="GI136" s="649" t="s">
        <v>199</v>
      </c>
      <c r="GJ136" s="336">
        <v>0.35</v>
      </c>
      <c r="GK136" s="336">
        <v>0.35</v>
      </c>
      <c r="GL136" s="336">
        <v>0.35</v>
      </c>
      <c r="GM136" s="336">
        <v>0.35</v>
      </c>
      <c r="GN136" s="649" t="s">
        <v>199</v>
      </c>
      <c r="GO136" s="336">
        <v>0.35</v>
      </c>
      <c r="GP136" s="336">
        <v>0.35</v>
      </c>
      <c r="GQ136" s="336">
        <v>0.35</v>
      </c>
      <c r="GR136" s="336">
        <v>0.35</v>
      </c>
      <c r="GS136" s="649" t="s">
        <v>199</v>
      </c>
      <c r="GT136" s="336">
        <v>0.35</v>
      </c>
      <c r="GU136" s="336">
        <v>0.35</v>
      </c>
      <c r="GV136" s="336">
        <v>0.35</v>
      </c>
      <c r="GW136" s="336">
        <v>0.35</v>
      </c>
      <c r="GX136" s="649" t="s">
        <v>199</v>
      </c>
      <c r="GY136" s="336">
        <v>0.35</v>
      </c>
      <c r="GZ136" s="336">
        <v>0.35</v>
      </c>
      <c r="HA136" s="336">
        <v>0.35</v>
      </c>
      <c r="HB136" s="336">
        <v>0.35</v>
      </c>
      <c r="HC136" s="649" t="s">
        <v>199</v>
      </c>
      <c r="HD136" s="336">
        <v>0.35</v>
      </c>
      <c r="HE136" s="336">
        <v>0.35</v>
      </c>
      <c r="HF136" s="336">
        <v>0.35</v>
      </c>
      <c r="HG136" s="336">
        <v>0.35</v>
      </c>
      <c r="HH136" s="649" t="s">
        <v>199</v>
      </c>
      <c r="HI136" s="336">
        <v>0.35</v>
      </c>
      <c r="HJ136" s="336">
        <v>0.35</v>
      </c>
      <c r="HK136" s="336">
        <v>0.35</v>
      </c>
      <c r="HL136" s="336">
        <v>0.35</v>
      </c>
      <c r="HM136" s="649" t="s">
        <v>199</v>
      </c>
      <c r="HN136" s="649"/>
      <c r="HO136" s="649"/>
      <c r="HP136" s="563"/>
      <c r="HR136" s="563"/>
      <c r="HS136" s="563"/>
      <c r="HT136" s="563"/>
      <c r="HU136" s="563"/>
      <c r="HV136" s="563"/>
      <c r="HW136" s="563"/>
      <c r="HX136" s="563"/>
    </row>
    <row r="137" spans="1:236" s="509" customFormat="1" hidden="1" outlineLevel="1">
      <c r="A137" s="509" t="s">
        <v>450</v>
      </c>
      <c r="L137" s="523"/>
      <c r="M137" s="523"/>
      <c r="N137" s="523"/>
      <c r="O137" s="523"/>
      <c r="P137" s="524"/>
      <c r="Q137" s="619"/>
      <c r="R137" s="619"/>
      <c r="S137" s="619"/>
      <c r="T137" s="619"/>
      <c r="U137" s="541"/>
      <c r="V137" s="619"/>
      <c r="W137" s="619"/>
      <c r="X137" s="619"/>
      <c r="Y137" s="619"/>
      <c r="Z137" s="541"/>
      <c r="AA137" s="619"/>
      <c r="AB137" s="619"/>
      <c r="AC137" s="619"/>
      <c r="AD137" s="619"/>
      <c r="AE137" s="541"/>
      <c r="AF137" s="523"/>
      <c r="AG137" s="523"/>
      <c r="AH137" s="523"/>
      <c r="AI137" s="523"/>
      <c r="AJ137" s="541"/>
      <c r="AK137" s="523"/>
      <c r="AL137" s="523"/>
      <c r="AM137" s="523"/>
      <c r="AN137" s="523"/>
      <c r="AO137" s="541"/>
      <c r="AP137" s="523"/>
      <c r="AQ137" s="523"/>
      <c r="AR137" s="523"/>
      <c r="AS137" s="523"/>
      <c r="AT137" s="541"/>
      <c r="AU137" s="523"/>
      <c r="AV137" s="523"/>
      <c r="AW137" s="523"/>
      <c r="AX137" s="523"/>
      <c r="AY137" s="541"/>
      <c r="AZ137" s="523"/>
      <c r="BA137" s="523"/>
      <c r="BB137" s="523"/>
      <c r="BC137" s="523"/>
      <c r="BD137" s="541"/>
      <c r="BE137" s="523"/>
      <c r="BF137" s="523"/>
      <c r="BG137" s="523"/>
      <c r="BH137" s="523"/>
      <c r="BI137" s="541"/>
      <c r="BJ137" s="523"/>
      <c r="BK137" s="523"/>
      <c r="BL137" s="523"/>
      <c r="BM137" s="523"/>
      <c r="BN137" s="541"/>
      <c r="BO137" s="523"/>
      <c r="BP137" s="523"/>
      <c r="BQ137" s="523"/>
      <c r="BR137" s="523"/>
      <c r="BS137" s="541"/>
      <c r="BT137" s="523"/>
      <c r="BU137" s="523"/>
      <c r="BV137" s="523"/>
      <c r="BW137" s="523"/>
      <c r="BX137" s="591"/>
      <c r="BY137" s="523"/>
      <c r="BZ137" s="523"/>
      <c r="CA137" s="523"/>
      <c r="CB137" s="523"/>
      <c r="CC137" s="591"/>
      <c r="CD137" s="523"/>
      <c r="CE137" s="523"/>
      <c r="CF137" s="523"/>
      <c r="CG137" s="523"/>
      <c r="CH137" s="591"/>
      <c r="CI137" s="539"/>
      <c r="CJ137" s="539"/>
      <c r="CK137" s="539"/>
      <c r="CL137" s="539"/>
      <c r="CM137" s="542"/>
      <c r="CN137" s="539">
        <v>710.59699999999998</v>
      </c>
      <c r="CO137" s="539">
        <f>CO136*CO$9</f>
        <v>189.31850000000003</v>
      </c>
      <c r="CP137" s="539">
        <f>CP136*CP$9</f>
        <v>235.41274999999999</v>
      </c>
      <c r="CQ137" s="539">
        <f>CQ136*CQ$9</f>
        <v>213.95849999999999</v>
      </c>
      <c r="CR137" s="649" t="s">
        <v>199</v>
      </c>
      <c r="CS137" s="539">
        <f>CS136*CS$9</f>
        <v>211.79499999999999</v>
      </c>
      <c r="CT137" s="539">
        <f>CT136*CT$9</f>
        <v>176.61349999999999</v>
      </c>
      <c r="CU137" s="539">
        <f>CU136*CU$9</f>
        <v>225.33725000000001</v>
      </c>
      <c r="CV137" s="539">
        <f>CV136*CV$9</f>
        <v>334.5</v>
      </c>
      <c r="CW137" s="542"/>
      <c r="CX137" s="539">
        <f>CX136*CX$9</f>
        <v>340.5</v>
      </c>
      <c r="CY137" s="539">
        <f>CY136*CY$9</f>
        <v>185.43940644281486</v>
      </c>
      <c r="CZ137" s="539">
        <f>CZ136*CZ$9</f>
        <v>217.70193316273611</v>
      </c>
      <c r="DA137" s="539">
        <f>DA136*DA$9</f>
        <v>237.53836808008487</v>
      </c>
      <c r="DB137" s="542"/>
      <c r="DC137" s="539">
        <f>DC136*DC$9</f>
        <v>301</v>
      </c>
      <c r="DD137" s="539">
        <f>DD136*DD$9</f>
        <v>181.13644604396811</v>
      </c>
      <c r="DE137" s="539">
        <f>DE136*DE$9</f>
        <v>232.43881210455319</v>
      </c>
      <c r="DF137" s="539">
        <f>DF136*DF$9</f>
        <v>165.25386495955817</v>
      </c>
      <c r="DG137" s="542"/>
      <c r="DH137" s="539">
        <f>DH136*DH$9</f>
        <v>497</v>
      </c>
      <c r="DI137" s="539">
        <f>DI136*DI$9</f>
        <v>571</v>
      </c>
      <c r="DJ137" s="539">
        <f>DJ136*DJ$9</f>
        <v>589</v>
      </c>
      <c r="DK137" s="539">
        <f>DK136*DK$9</f>
        <v>647</v>
      </c>
      <c r="DL137" s="542"/>
      <c r="DM137" s="539">
        <f>DM136*DM$9</f>
        <v>629.6</v>
      </c>
      <c r="DN137" s="539">
        <f>DN136*DN$9</f>
        <v>661.2</v>
      </c>
      <c r="DO137" s="539">
        <f>DO136*DO$9</f>
        <v>647.20000000000005</v>
      </c>
      <c r="DP137" s="539">
        <f>DP136*DP$9</f>
        <v>659.6</v>
      </c>
      <c r="DQ137" s="542"/>
      <c r="DR137" s="539">
        <f>DR136*DR$9</f>
        <v>645.20000000000005</v>
      </c>
      <c r="DS137" s="539">
        <f>DS136*DS$9</f>
        <v>629.6</v>
      </c>
      <c r="DT137" s="539">
        <f>DT136*DT$9</f>
        <v>676</v>
      </c>
      <c r="DU137" s="539">
        <f>DU136*DU$9</f>
        <v>676.40000000000009</v>
      </c>
      <c r="DV137" s="542"/>
      <c r="DW137" s="539">
        <f>DW136*DW$9</f>
        <v>634</v>
      </c>
      <c r="DX137" s="539">
        <f>DX136*DX$9</f>
        <v>565.20000000000005</v>
      </c>
      <c r="DY137" s="539">
        <f>DY136*DY$9</f>
        <v>507.6</v>
      </c>
      <c r="DZ137" s="539">
        <f>DZ136*DZ$9</f>
        <v>462</v>
      </c>
      <c r="EA137" s="542"/>
      <c r="EB137" s="539">
        <f>EB136*EB$9</f>
        <v>435.20000000000005</v>
      </c>
      <c r="EC137" s="539">
        <f>EC136*EC$9</f>
        <v>464.40000000000003</v>
      </c>
      <c r="ED137" s="539">
        <f>ED136*ED$9</f>
        <v>584.4</v>
      </c>
      <c r="EE137" s="539">
        <f>EE136*EE$9</f>
        <v>635.6</v>
      </c>
      <c r="EF137" s="542"/>
      <c r="EG137" s="539">
        <v>483</v>
      </c>
      <c r="EH137" s="539">
        <v>511</v>
      </c>
      <c r="EI137" s="539">
        <v>498</v>
      </c>
      <c r="EJ137" s="539">
        <f>EJ136*EJ$9</f>
        <v>433.65</v>
      </c>
      <c r="EK137" s="542"/>
      <c r="EL137" s="539">
        <f>EL136*EL$9</f>
        <v>360.5</v>
      </c>
      <c r="EM137" s="539">
        <f>EM136*EM$9</f>
        <v>329.7</v>
      </c>
      <c r="EN137" s="539">
        <f>EN136*EN$9</f>
        <v>371.34999999999997</v>
      </c>
      <c r="EO137" s="539">
        <f>EO136*EO$9</f>
        <v>335.29999999999995</v>
      </c>
      <c r="EP137" s="542"/>
      <c r="EQ137" s="539">
        <f>EQ136*EQ$9</f>
        <v>291.2</v>
      </c>
      <c r="ER137" s="539">
        <f>ER136*ER$9</f>
        <v>359.45</v>
      </c>
      <c r="ES137" s="539">
        <f>ES136*ES$9</f>
        <v>457.45</v>
      </c>
      <c r="ET137" s="539">
        <f>ET136*ET$9</f>
        <v>387.09999999999997</v>
      </c>
      <c r="EU137" s="542"/>
      <c r="EV137" s="539">
        <f>EV136*EV$9</f>
        <v>344.4</v>
      </c>
      <c r="EW137" s="539">
        <f>EW136*EW$9</f>
        <v>427.7</v>
      </c>
      <c r="EX137" s="539">
        <f>EX136*EX$9</f>
        <v>575.04999999999995</v>
      </c>
      <c r="EY137" s="539">
        <f>EY136*EY$9</f>
        <v>518</v>
      </c>
      <c r="EZ137" s="542"/>
      <c r="FA137" s="539">
        <f>FA136*FA$9</f>
        <v>576.44999999999993</v>
      </c>
      <c r="FB137" s="539">
        <f>FB136*FB$9</f>
        <v>614.59999999999991</v>
      </c>
      <c r="FC137" s="539">
        <f>FC136*FC$9</f>
        <v>578.54999999999995</v>
      </c>
      <c r="FD137" s="539">
        <f>FD136*FD$9</f>
        <v>496.65</v>
      </c>
      <c r="FE137" s="542"/>
      <c r="FF137" s="539">
        <f>FF136*FF$9</f>
        <v>445.2</v>
      </c>
      <c r="FG137" s="539">
        <f>FG136*FG$9</f>
        <v>535.85</v>
      </c>
      <c r="FH137" s="539">
        <f>FH136*FH$9</f>
        <v>630.34999999999991</v>
      </c>
      <c r="FI137" s="539">
        <f>FI136*FI$9</f>
        <v>744.44999999999993</v>
      </c>
      <c r="FJ137" s="542"/>
      <c r="FK137" s="539">
        <f>FK136*FK$9</f>
        <v>625.09999999999991</v>
      </c>
      <c r="FL137" s="539">
        <f>FL136*FL$9</f>
        <v>676.19999999999993</v>
      </c>
      <c r="FM137" s="539">
        <f>FM136*FM$9</f>
        <v>980.34999999999991</v>
      </c>
      <c r="FN137" s="539">
        <f>FN136*FN$9</f>
        <v>1135.3999999999999</v>
      </c>
      <c r="FO137" s="542"/>
      <c r="FP137" s="539">
        <f>FP136*FP$9</f>
        <v>1205.75</v>
      </c>
      <c r="FQ137" s="539">
        <f>FQ136*FQ$9</f>
        <v>1347.5</v>
      </c>
      <c r="FR137" s="539">
        <f>FR136*FR$9</f>
        <v>1509.55</v>
      </c>
      <c r="FS137" s="539">
        <f>FS136*FS$9</f>
        <v>1689.1</v>
      </c>
      <c r="FT137" s="542"/>
      <c r="FU137" s="539">
        <f>FU136*FU$9</f>
        <v>2060.4499999999998</v>
      </c>
      <c r="FV137" s="539">
        <f>FV136*FV$9</f>
        <v>2292.5</v>
      </c>
      <c r="FW137" s="539">
        <f>FW136*FW$9</f>
        <v>1947.7499999999998</v>
      </c>
      <c r="FX137" s="539">
        <f>FX136*FX$9</f>
        <v>1959.6499999999999</v>
      </c>
      <c r="FY137" s="542"/>
      <c r="FZ137" s="539">
        <f>FZ136*FZ$9</f>
        <v>1873.55</v>
      </c>
      <c r="GA137" s="539">
        <f>GA136*GA$9</f>
        <v>1875.6499999999999</v>
      </c>
      <c r="GB137" s="539">
        <f>GB136*GB$9</f>
        <v>2029.9999999999998</v>
      </c>
      <c r="GC137" s="539">
        <f>GC136*GC$9</f>
        <v>2158.7999999999997</v>
      </c>
      <c r="GD137" s="542"/>
      <c r="GE137" s="539">
        <f>GE136*GE$9</f>
        <v>1915.55</v>
      </c>
      <c r="GF137" s="539">
        <f>GF136*GF$9</f>
        <v>2042.2499999999998</v>
      </c>
      <c r="GG137" s="539">
        <f>GG136*GG$9</f>
        <v>2386.6499999999996</v>
      </c>
      <c r="GH137" s="539">
        <f>GH136*GH$9</f>
        <v>2680.2999999999997</v>
      </c>
      <c r="GI137" s="542"/>
      <c r="GJ137" s="539">
        <f>GJ136*GJ$9</f>
        <v>2603.2999999999997</v>
      </c>
      <c r="GK137" s="539">
        <f>GK136*GK$9</f>
        <v>2689.75</v>
      </c>
      <c r="GL137" s="539">
        <f>GL136*GL$9</f>
        <v>3236.1</v>
      </c>
      <c r="GM137" s="539">
        <f>GM136*GM$9</f>
        <v>3594.4999999999995</v>
      </c>
      <c r="GN137" s="542"/>
      <c r="GO137" s="539">
        <f>GO136*GO$9</f>
        <v>3588.5499999999997</v>
      </c>
      <c r="GP137" s="539">
        <f>GP136*GP$9</f>
        <v>3927.880008278386</v>
      </c>
      <c r="GQ137" s="539">
        <f>GQ136*GQ$9</f>
        <v>4197.7670119013173</v>
      </c>
      <c r="GR137" s="539">
        <f>GR136*GR$9</f>
        <v>5667.0514793722814</v>
      </c>
      <c r="GS137" s="542"/>
      <c r="GT137" s="539">
        <f>GT136*GT$9</f>
        <v>6102.1923052634093</v>
      </c>
      <c r="GU137" s="539">
        <f>GU136*GU$9</f>
        <v>6724.0318016303017</v>
      </c>
      <c r="GV137" s="539">
        <f>GV136*GV$9</f>
        <v>7747.5409142219087</v>
      </c>
      <c r="GW137" s="539">
        <f>GW136*GW$9</f>
        <v>8581.477749769585</v>
      </c>
      <c r="GX137" s="542"/>
      <c r="GY137" s="539">
        <f>GY136*GY$9</f>
        <v>8379.5138419174364</v>
      </c>
      <c r="GZ137" s="539">
        <f>GZ136*GZ$9</f>
        <v>8761.5806686530414</v>
      </c>
      <c r="HA137" s="539">
        <f>HA136*HA$9</f>
        <v>9405.1752571946599</v>
      </c>
      <c r="HB137" s="539">
        <f>HB136*HB$9</f>
        <v>10063.229770853284</v>
      </c>
      <c r="HC137" s="542"/>
      <c r="HD137" s="539">
        <f>HD136*HD$9</f>
        <v>9861.7976591117003</v>
      </c>
      <c r="HE137" s="539">
        <f>HE136*HE$9</f>
        <v>10282.398303445236</v>
      </c>
      <c r="HF137" s="539">
        <f>HF136*HF$9</f>
        <v>11100.644998477104</v>
      </c>
      <c r="HG137" s="539">
        <f>HG136*HG$9</f>
        <v>11589.979389168439</v>
      </c>
      <c r="HH137" s="542"/>
      <c r="HI137" s="539">
        <f>HI136*HI$9</f>
        <v>11099.760489002594</v>
      </c>
      <c r="HJ137" s="539">
        <f>HJ136*HJ$9</f>
        <v>11569.228374783463</v>
      </c>
      <c r="HK137" s="539">
        <f>HK136*HK$9</f>
        <v>12712.546017608131</v>
      </c>
      <c r="HL137" s="539">
        <f>HL136*HL$9</f>
        <v>13299.023038572919</v>
      </c>
      <c r="HM137" s="542"/>
      <c r="HN137" s="542"/>
      <c r="HO137" s="542"/>
      <c r="HP137" s="563"/>
      <c r="HR137" s="563"/>
      <c r="HS137" s="563"/>
      <c r="HT137" s="563"/>
      <c r="HU137" s="563"/>
      <c r="HV137" s="563"/>
      <c r="HW137" s="563"/>
      <c r="HX137" s="563"/>
    </row>
    <row r="138" spans="1:236" s="509" customFormat="1" hidden="1" outlineLevel="1">
      <c r="L138" s="523"/>
      <c r="M138" s="523"/>
      <c r="N138" s="523"/>
      <c r="O138" s="523"/>
      <c r="P138" s="524"/>
      <c r="Q138" s="619"/>
      <c r="R138" s="619"/>
      <c r="S138" s="619"/>
      <c r="T138" s="619"/>
      <c r="U138" s="541"/>
      <c r="V138" s="619"/>
      <c r="W138" s="619"/>
      <c r="X138" s="619"/>
      <c r="Y138" s="619"/>
      <c r="Z138" s="541"/>
      <c r="AA138" s="619"/>
      <c r="AB138" s="619"/>
      <c r="AC138" s="619"/>
      <c r="AD138" s="619"/>
      <c r="AE138" s="541"/>
      <c r="AF138" s="523"/>
      <c r="AG138" s="523"/>
      <c r="AH138" s="523"/>
      <c r="AI138" s="523"/>
      <c r="AJ138" s="541"/>
      <c r="AK138" s="523"/>
      <c r="AL138" s="523"/>
      <c r="AM138" s="523"/>
      <c r="AN138" s="523"/>
      <c r="AO138" s="541"/>
      <c r="AP138" s="523"/>
      <c r="AQ138" s="523"/>
      <c r="AR138" s="523"/>
      <c r="AS138" s="523"/>
      <c r="AT138" s="541"/>
      <c r="AU138" s="523"/>
      <c r="AV138" s="523"/>
      <c r="AW138" s="523"/>
      <c r="AX138" s="523"/>
      <c r="AY138" s="541"/>
      <c r="AZ138" s="523"/>
      <c r="BA138" s="523"/>
      <c r="BB138" s="523"/>
      <c r="BC138" s="523"/>
      <c r="BD138" s="541"/>
      <c r="BE138" s="523"/>
      <c r="BF138" s="523"/>
      <c r="BG138" s="523"/>
      <c r="BH138" s="523"/>
      <c r="BI138" s="541"/>
      <c r="BJ138" s="523"/>
      <c r="BK138" s="523"/>
      <c r="BL138" s="523"/>
      <c r="BM138" s="523"/>
      <c r="BN138" s="541"/>
      <c r="BO138" s="523"/>
      <c r="BP138" s="523"/>
      <c r="BQ138" s="523"/>
      <c r="BR138" s="523"/>
      <c r="BS138" s="541"/>
      <c r="BT138" s="523"/>
      <c r="BU138" s="523"/>
      <c r="BV138" s="523"/>
      <c r="BW138" s="523"/>
      <c r="BX138" s="591"/>
      <c r="BY138" s="523"/>
      <c r="BZ138" s="523"/>
      <c r="CA138" s="523"/>
      <c r="CB138" s="523"/>
      <c r="CC138" s="591"/>
      <c r="CD138" s="523"/>
      <c r="CE138" s="523"/>
      <c r="CF138" s="523"/>
      <c r="CG138" s="523"/>
      <c r="CH138" s="591"/>
      <c r="CI138" s="539"/>
      <c r="CJ138" s="539"/>
      <c r="CK138" s="539"/>
      <c r="CL138" s="539"/>
      <c r="CM138" s="542"/>
      <c r="CN138" s="539"/>
      <c r="CO138" s="539"/>
      <c r="CP138" s="539"/>
      <c r="CQ138" s="539"/>
      <c r="CR138" s="542"/>
      <c r="CS138" s="539"/>
      <c r="CT138" s="539"/>
      <c r="CU138" s="539"/>
      <c r="CV138" s="539"/>
      <c r="CW138" s="542"/>
      <c r="CX138" s="539"/>
      <c r="CY138" s="539"/>
      <c r="CZ138" s="539"/>
      <c r="DA138" s="539"/>
      <c r="DB138" s="542"/>
      <c r="DC138" s="539"/>
      <c r="DD138" s="539"/>
      <c r="DE138" s="539"/>
      <c r="DF138" s="539"/>
      <c r="DG138" s="542"/>
      <c r="DH138" s="539"/>
      <c r="DI138" s="539"/>
      <c r="DJ138" s="539"/>
      <c r="DK138" s="539"/>
      <c r="DL138" s="542"/>
      <c r="DM138" s="539"/>
      <c r="DN138" s="539"/>
      <c r="DO138" s="539"/>
      <c r="DP138" s="539"/>
      <c r="DQ138" s="542"/>
      <c r="DR138" s="539"/>
      <c r="DS138" s="539"/>
      <c r="DT138" s="539"/>
      <c r="DU138" s="539"/>
      <c r="DV138" s="542"/>
      <c r="DW138" s="539"/>
      <c r="DX138" s="539"/>
      <c r="DY138" s="539"/>
      <c r="DZ138" s="539"/>
      <c r="EA138" s="542"/>
      <c r="EB138" s="539"/>
      <c r="EC138" s="539"/>
      <c r="ED138" s="539"/>
      <c r="EE138" s="539"/>
      <c r="EF138" s="542"/>
      <c r="EG138" s="539"/>
      <c r="EH138" s="539"/>
      <c r="EI138" s="539"/>
      <c r="EJ138" s="539"/>
      <c r="EK138" s="542"/>
      <c r="EL138" s="539"/>
      <c r="EM138" s="539"/>
      <c r="EN138" s="539"/>
      <c r="EO138" s="539"/>
      <c r="EP138" s="542"/>
      <c r="EQ138" s="539"/>
      <c r="ER138" s="539"/>
      <c r="ES138" s="539"/>
      <c r="ET138" s="539"/>
      <c r="EU138" s="542"/>
      <c r="EV138" s="539"/>
      <c r="EW138" s="539"/>
      <c r="EX138" s="539"/>
      <c r="EY138" s="539"/>
      <c r="EZ138" s="542"/>
      <c r="FA138" s="539"/>
      <c r="FB138" s="539"/>
      <c r="FC138" s="539"/>
      <c r="FD138" s="539"/>
      <c r="FE138" s="542"/>
      <c r="FF138" s="539"/>
      <c r="FG138" s="539"/>
      <c r="FH138" s="539"/>
      <c r="FI138" s="539"/>
      <c r="FJ138" s="542"/>
      <c r="FK138" s="539"/>
      <c r="FL138" s="539"/>
      <c r="FM138" s="539"/>
      <c r="FN138" s="539"/>
      <c r="FO138" s="542"/>
      <c r="FP138" s="539"/>
      <c r="FQ138" s="539"/>
      <c r="FR138" s="539"/>
      <c r="FS138" s="539"/>
      <c r="FT138" s="542"/>
      <c r="FU138" s="539"/>
      <c r="FV138" s="539"/>
      <c r="FW138" s="539"/>
      <c r="FX138" s="539"/>
      <c r="FY138" s="542"/>
      <c r="FZ138" s="539"/>
      <c r="GA138" s="539"/>
      <c r="GB138" s="539"/>
      <c r="GC138" s="539"/>
      <c r="GD138" s="542"/>
      <c r="GE138" s="539"/>
      <c r="GF138" s="539"/>
      <c r="GG138" s="539"/>
      <c r="GH138" s="539"/>
      <c r="GI138" s="542"/>
      <c r="GJ138" s="539"/>
      <c r="GK138" s="539"/>
      <c r="GL138" s="539"/>
      <c r="GM138" s="539"/>
      <c r="GN138" s="542"/>
      <c r="GO138" s="539"/>
      <c r="GP138" s="539"/>
      <c r="GQ138" s="539"/>
      <c r="GR138" s="539"/>
      <c r="GS138" s="542"/>
      <c r="GT138" s="539"/>
      <c r="GU138" s="539"/>
      <c r="GV138" s="539"/>
      <c r="GW138" s="539"/>
      <c r="GX138" s="542"/>
      <c r="GY138" s="539"/>
      <c r="GZ138" s="539"/>
      <c r="HA138" s="539"/>
      <c r="HB138" s="539"/>
      <c r="HC138" s="542"/>
      <c r="HD138" s="539"/>
      <c r="HE138" s="539"/>
      <c r="HF138" s="539"/>
      <c r="HG138" s="539"/>
      <c r="HH138" s="542"/>
      <c r="HI138" s="539"/>
      <c r="HJ138" s="539"/>
      <c r="HK138" s="539"/>
      <c r="HL138" s="539"/>
      <c r="HM138" s="542"/>
      <c r="HN138" s="542"/>
      <c r="HO138" s="542"/>
      <c r="HP138" s="563"/>
      <c r="HR138" s="563"/>
      <c r="HS138" s="563"/>
      <c r="HT138" s="563"/>
      <c r="HU138" s="563"/>
      <c r="HV138" s="563"/>
      <c r="HW138" s="563"/>
      <c r="HX138" s="563"/>
    </row>
    <row r="139" spans="1:236" s="509" customFormat="1" collapsed="1">
      <c r="A139" s="538"/>
      <c r="L139" s="523"/>
      <c r="M139" s="523"/>
      <c r="N139" s="523"/>
      <c r="O139" s="523"/>
      <c r="P139" s="524"/>
      <c r="Q139" s="619"/>
      <c r="R139" s="619"/>
      <c r="S139" s="619"/>
      <c r="T139" s="619"/>
      <c r="U139" s="541"/>
      <c r="V139" s="619"/>
      <c r="W139" s="619"/>
      <c r="X139" s="619"/>
      <c r="Y139" s="619"/>
      <c r="Z139" s="541"/>
      <c r="AA139" s="619"/>
      <c r="AB139" s="619"/>
      <c r="AC139" s="619"/>
      <c r="AD139" s="619"/>
      <c r="AE139" s="541"/>
      <c r="AF139" s="523"/>
      <c r="AG139" s="523"/>
      <c r="AH139" s="523"/>
      <c r="AI139" s="523"/>
      <c r="AJ139" s="541"/>
      <c r="AK139" s="523"/>
      <c r="AL139" s="523"/>
      <c r="AM139" s="523"/>
      <c r="AN139" s="523"/>
      <c r="AO139" s="541"/>
      <c r="AP139" s="523"/>
      <c r="AQ139" s="523"/>
      <c r="AR139" s="523"/>
      <c r="AS139" s="523"/>
      <c r="AT139" s="541"/>
      <c r="AU139" s="523"/>
      <c r="AV139" s="523"/>
      <c r="AW139" s="523"/>
      <c r="AX139" s="523"/>
      <c r="AY139" s="541"/>
      <c r="AZ139" s="523"/>
      <c r="BA139" s="523"/>
      <c r="BB139" s="523"/>
      <c r="BC139" s="523"/>
      <c r="BD139" s="541"/>
      <c r="BE139" s="523"/>
      <c r="BF139" s="523"/>
      <c r="BG139" s="523"/>
      <c r="BH139" s="523"/>
      <c r="BI139" s="541"/>
      <c r="BJ139" s="523"/>
      <c r="BK139" s="523"/>
      <c r="BL139" s="523"/>
      <c r="BM139" s="523"/>
      <c r="BN139" s="541"/>
      <c r="BO139" s="523"/>
      <c r="BP139" s="523"/>
      <c r="BQ139" s="523"/>
      <c r="BR139" s="523"/>
      <c r="BS139" s="541"/>
      <c r="BT139" s="523"/>
      <c r="BU139" s="523"/>
      <c r="BV139" s="523"/>
      <c r="BW139" s="523"/>
      <c r="BX139" s="591"/>
      <c r="BY139" s="523"/>
      <c r="BZ139" s="523"/>
      <c r="CA139" s="523"/>
      <c r="CB139" s="523"/>
      <c r="CC139" s="591"/>
      <c r="CD139" s="523"/>
      <c r="CE139" s="523"/>
      <c r="CF139" s="523"/>
      <c r="CG139" s="523"/>
      <c r="CH139" s="591"/>
      <c r="CI139" s="539"/>
      <c r="CJ139" s="539"/>
      <c r="CK139" s="539"/>
      <c r="CL139" s="539"/>
      <c r="CM139" s="542"/>
      <c r="CN139" s="539"/>
      <c r="CO139" s="539"/>
      <c r="CP139" s="539"/>
      <c r="CQ139" s="539"/>
      <c r="CR139" s="542"/>
      <c r="CS139" s="539"/>
      <c r="CT139" s="539"/>
      <c r="CU139" s="539"/>
      <c r="CV139" s="539"/>
      <c r="CW139" s="542"/>
      <c r="CX139" s="539"/>
      <c r="CY139" s="539"/>
      <c r="CZ139" s="539"/>
      <c r="DA139" s="539"/>
      <c r="DB139" s="542"/>
      <c r="DC139" s="539"/>
      <c r="DD139" s="539"/>
      <c r="DE139" s="539"/>
      <c r="DF139" s="539"/>
      <c r="DG139" s="542"/>
      <c r="DH139" s="539"/>
      <c r="DI139" s="539"/>
      <c r="DJ139" s="539"/>
      <c r="DK139" s="539"/>
      <c r="DL139" s="542"/>
      <c r="DM139" s="539"/>
      <c r="DN139" s="539"/>
      <c r="DO139" s="539"/>
      <c r="DP139" s="539"/>
      <c r="DQ139" s="542"/>
      <c r="DR139" s="539"/>
      <c r="DS139" s="539"/>
      <c r="DT139" s="539"/>
      <c r="DU139" s="539"/>
      <c r="DV139" s="542"/>
      <c r="DW139" s="539"/>
      <c r="DX139" s="539"/>
      <c r="DY139" s="539"/>
      <c r="DZ139" s="539"/>
      <c r="EA139" s="542"/>
      <c r="EB139" s="539"/>
      <c r="EC139" s="539"/>
      <c r="ED139" s="539"/>
      <c r="EE139" s="539"/>
      <c r="EF139" s="542"/>
      <c r="EG139" s="539"/>
      <c r="EH139" s="539"/>
      <c r="EI139" s="539"/>
      <c r="EJ139" s="539"/>
      <c r="EK139" s="542"/>
      <c r="EL139" s="539"/>
      <c r="EM139" s="539"/>
      <c r="EN139" s="539"/>
      <c r="EO139" s="539"/>
      <c r="EP139" s="542"/>
      <c r="EQ139" s="539"/>
      <c r="ER139" s="539"/>
      <c r="ES139" s="539"/>
      <c r="ET139" s="539"/>
      <c r="EU139" s="542"/>
      <c r="EV139" s="539"/>
      <c r="EW139" s="539"/>
      <c r="EX139" s="539"/>
      <c r="EY139" s="539"/>
      <c r="EZ139" s="542"/>
      <c r="FA139" s="539"/>
      <c r="FB139" s="539"/>
      <c r="FC139" s="539"/>
      <c r="FD139" s="539"/>
      <c r="FE139" s="542"/>
      <c r="FF139" s="539"/>
      <c r="FG139" s="539"/>
      <c r="FH139" s="539"/>
      <c r="FI139" s="539"/>
      <c r="FJ139" s="542"/>
      <c r="FK139" s="539"/>
      <c r="FL139" s="539"/>
      <c r="FM139" s="539"/>
      <c r="FN139" s="539"/>
      <c r="FO139" s="542"/>
      <c r="FP139" s="539"/>
      <c r="FQ139" s="539"/>
      <c r="FR139" s="539"/>
      <c r="FS139" s="539"/>
      <c r="FT139" s="542"/>
      <c r="FU139" s="539"/>
      <c r="FV139" s="539"/>
      <c r="FW139" s="539"/>
      <c r="FX139" s="539"/>
      <c r="FY139" s="542"/>
      <c r="FZ139" s="539"/>
      <c r="GA139" s="539"/>
      <c r="GB139" s="539"/>
      <c r="GC139" s="539"/>
      <c r="GD139" s="542"/>
      <c r="GE139" s="539"/>
      <c r="GF139" s="539"/>
      <c r="GG139" s="539"/>
      <c r="GH139" s="539"/>
      <c r="GI139" s="542"/>
      <c r="GJ139" s="539"/>
      <c r="GK139" s="539"/>
      <c r="GL139" s="539"/>
      <c r="GM139" s="539"/>
      <c r="GN139" s="542"/>
      <c r="GO139" s="539"/>
      <c r="GP139" s="539"/>
      <c r="GQ139" s="539"/>
      <c r="GR139" s="539"/>
      <c r="GS139" s="542"/>
      <c r="GT139" s="539"/>
      <c r="GU139" s="539"/>
      <c r="GV139" s="539"/>
      <c r="GW139" s="539"/>
      <c r="GX139" s="542"/>
      <c r="GY139" s="539"/>
      <c r="GZ139" s="539"/>
      <c r="HA139" s="539"/>
      <c r="HB139" s="539"/>
      <c r="HC139" s="542"/>
      <c r="HD139" s="539"/>
      <c r="HE139" s="539"/>
      <c r="HF139" s="539"/>
      <c r="HG139" s="539"/>
      <c r="HH139" s="542"/>
      <c r="HI139" s="539"/>
      <c r="HJ139" s="539"/>
      <c r="HK139" s="539"/>
      <c r="HL139" s="539"/>
      <c r="HM139" s="542"/>
      <c r="HN139" s="542"/>
      <c r="HO139" s="542"/>
      <c r="HP139" s="563"/>
      <c r="HR139" s="563"/>
      <c r="HS139" s="563"/>
      <c r="HT139" s="563"/>
      <c r="HU139" s="563"/>
      <c r="HV139" s="563"/>
      <c r="HW139" s="563"/>
      <c r="HX139" s="563"/>
    </row>
    <row r="140" spans="1:236" s="509" customFormat="1">
      <c r="A140" s="538"/>
      <c r="L140" s="523"/>
      <c r="M140" s="523"/>
      <c r="N140" s="523"/>
      <c r="O140" s="523"/>
      <c r="P140" s="524"/>
      <c r="Q140" s="619"/>
      <c r="R140" s="619"/>
      <c r="S140" s="619"/>
      <c r="T140" s="619"/>
      <c r="U140" s="541"/>
      <c r="V140" s="619"/>
      <c r="W140" s="619"/>
      <c r="X140" s="619"/>
      <c r="Y140" s="619"/>
      <c r="Z140" s="541"/>
      <c r="AA140" s="619"/>
      <c r="AB140" s="619"/>
      <c r="AC140" s="619"/>
      <c r="AD140" s="619"/>
      <c r="AE140" s="541"/>
      <c r="AF140" s="523"/>
      <c r="AG140" s="523"/>
      <c r="AH140" s="523"/>
      <c r="AI140" s="523"/>
      <c r="AJ140" s="541"/>
      <c r="AK140" s="523"/>
      <c r="AL140" s="523"/>
      <c r="AM140" s="523"/>
      <c r="AN140" s="523"/>
      <c r="AO140" s="541"/>
      <c r="AP140" s="523"/>
      <c r="AQ140" s="523"/>
      <c r="AR140" s="523"/>
      <c r="AS140" s="523"/>
      <c r="AT140" s="541"/>
      <c r="AU140" s="523"/>
      <c r="AV140" s="523"/>
      <c r="AW140" s="523"/>
      <c r="AX140" s="523"/>
      <c r="AY140" s="541"/>
      <c r="AZ140" s="523"/>
      <c r="BA140" s="523"/>
      <c r="BB140" s="523"/>
      <c r="BC140" s="523"/>
      <c r="BD140" s="541"/>
      <c r="BE140" s="523"/>
      <c r="BF140" s="523"/>
      <c r="BG140" s="523"/>
      <c r="BH140" s="523"/>
      <c r="BI140" s="541"/>
      <c r="BJ140" s="523"/>
      <c r="BK140" s="523"/>
      <c r="BL140" s="523"/>
      <c r="BM140" s="523"/>
      <c r="BN140" s="541"/>
      <c r="BO140" s="523"/>
      <c r="BP140" s="523"/>
      <c r="BQ140" s="523"/>
      <c r="BR140" s="523"/>
      <c r="BS140" s="541"/>
      <c r="BT140" s="523"/>
      <c r="BU140" s="523"/>
      <c r="BV140" s="523"/>
      <c r="BW140" s="523"/>
      <c r="BX140" s="591"/>
      <c r="BY140" s="523"/>
      <c r="BZ140" s="523"/>
      <c r="CA140" s="523"/>
      <c r="CB140" s="523"/>
      <c r="CC140" s="591"/>
      <c r="CD140" s="523"/>
      <c r="CE140" s="523"/>
      <c r="CF140" s="523"/>
      <c r="CG140" s="523"/>
      <c r="CH140" s="591"/>
      <c r="CI140" s="539"/>
      <c r="CJ140" s="539"/>
      <c r="CK140" s="539"/>
      <c r="CL140" s="539"/>
      <c r="CM140" s="542"/>
      <c r="CN140" s="539"/>
      <c r="CO140" s="539"/>
      <c r="CP140" s="539"/>
      <c r="CQ140" s="539"/>
      <c r="CR140" s="542"/>
      <c r="CS140" s="539"/>
      <c r="CT140" s="539"/>
      <c r="CU140" s="539"/>
      <c r="CV140" s="539"/>
      <c r="CW140" s="542"/>
      <c r="CX140" s="539"/>
      <c r="CY140" s="539"/>
      <c r="CZ140" s="539"/>
      <c r="DA140" s="539"/>
      <c r="DB140" s="542"/>
      <c r="DC140" s="539"/>
      <c r="DD140" s="539"/>
      <c r="DE140" s="539"/>
      <c r="DF140" s="539"/>
      <c r="DG140" s="542"/>
      <c r="DH140" s="539"/>
      <c r="DI140" s="539"/>
      <c r="DJ140" s="539"/>
      <c r="DK140" s="539"/>
      <c r="DL140" s="542"/>
      <c r="DM140" s="539"/>
      <c r="DN140" s="539"/>
      <c r="DO140" s="539"/>
      <c r="DP140" s="539"/>
      <c r="DQ140" s="542"/>
      <c r="DR140" s="539"/>
      <c r="DS140" s="539"/>
      <c r="DT140" s="539"/>
      <c r="DU140" s="539"/>
      <c r="DV140" s="542"/>
      <c r="DW140" s="539"/>
      <c r="DX140" s="539"/>
      <c r="DY140" s="539"/>
      <c r="DZ140" s="539"/>
      <c r="EA140" s="542"/>
      <c r="EB140" s="539"/>
      <c r="EC140" s="539"/>
      <c r="ED140" s="539"/>
      <c r="EE140" s="539"/>
      <c r="EF140" s="542"/>
      <c r="EG140" s="539"/>
      <c r="EH140" s="539"/>
      <c r="EI140" s="539"/>
      <c r="EJ140" s="539"/>
      <c r="EK140" s="542"/>
      <c r="EL140" s="539"/>
      <c r="EM140" s="539"/>
      <c r="EN140" s="539"/>
      <c r="EO140" s="539"/>
      <c r="EP140" s="542"/>
      <c r="EQ140" s="539"/>
      <c r="ER140" s="539"/>
      <c r="ES140" s="539"/>
      <c r="ET140" s="539"/>
      <c r="EU140" s="542"/>
      <c r="EV140" s="539"/>
      <c r="EW140" s="539"/>
      <c r="EX140" s="539"/>
      <c r="EY140" s="539"/>
      <c r="EZ140" s="542"/>
      <c r="FA140" s="539"/>
      <c r="FB140" s="539"/>
      <c r="FC140" s="539"/>
      <c r="FD140" s="539"/>
      <c r="FE140" s="542"/>
      <c r="FF140" s="539"/>
      <c r="FG140" s="539"/>
      <c r="FH140" s="539"/>
      <c r="FI140" s="539"/>
      <c r="FJ140" s="542"/>
      <c r="FK140" s="539"/>
      <c r="FL140" s="539"/>
      <c r="FM140" s="539"/>
      <c r="FN140" s="539"/>
      <c r="FO140" s="542"/>
      <c r="FP140" s="539"/>
      <c r="FQ140" s="539"/>
      <c r="FR140" s="539"/>
      <c r="FS140" s="539"/>
      <c r="FT140" s="542"/>
      <c r="FU140" s="539"/>
      <c r="FV140" s="539"/>
      <c r="FW140" s="539"/>
      <c r="FX140" s="539"/>
      <c r="FY140" s="542"/>
      <c r="FZ140" s="539"/>
      <c r="GA140" s="539"/>
      <c r="GB140" s="539"/>
      <c r="GC140" s="539"/>
      <c r="GD140" s="542"/>
      <c r="GE140" s="539"/>
      <c r="GF140" s="539"/>
      <c r="GG140" s="539"/>
      <c r="GH140" s="539"/>
      <c r="GI140" s="542"/>
      <c r="GJ140" s="539"/>
      <c r="GK140" s="539"/>
      <c r="GL140" s="539"/>
      <c r="GM140" s="539"/>
      <c r="GN140" s="542"/>
      <c r="GO140" s="539"/>
      <c r="GP140" s="539"/>
      <c r="GQ140" s="539"/>
      <c r="GR140" s="539"/>
      <c r="GS140" s="542"/>
      <c r="GT140" s="539"/>
      <c r="GU140" s="539"/>
      <c r="GV140" s="539"/>
      <c r="GW140" s="539"/>
      <c r="GX140" s="542"/>
      <c r="GY140" s="539"/>
      <c r="GZ140" s="539"/>
      <c r="HA140" s="539"/>
      <c r="HB140" s="539"/>
      <c r="HC140" s="542"/>
      <c r="HD140" s="539"/>
      <c r="HE140" s="539"/>
      <c r="HF140" s="539"/>
      <c r="HG140" s="539"/>
      <c r="HH140" s="542"/>
      <c r="HI140" s="539"/>
      <c r="HJ140" s="539"/>
      <c r="HK140" s="539"/>
      <c r="HL140" s="539"/>
      <c r="HM140" s="542"/>
      <c r="HN140" s="542"/>
      <c r="HO140" s="542"/>
      <c r="HP140" s="563"/>
      <c r="HR140" s="563"/>
      <c r="HS140" s="563"/>
      <c r="HT140" s="563"/>
      <c r="HU140" s="563"/>
      <c r="HV140" s="563"/>
      <c r="HW140" s="563"/>
      <c r="HX140" s="563"/>
    </row>
    <row r="141" spans="1:236" s="509" customFormat="1">
      <c r="A141" s="538"/>
      <c r="L141" s="523"/>
      <c r="M141" s="523"/>
      <c r="N141" s="523"/>
      <c r="O141" s="523"/>
      <c r="P141" s="524"/>
      <c r="Q141" s="619"/>
      <c r="R141" s="619"/>
      <c r="S141" s="619"/>
      <c r="T141" s="619"/>
      <c r="U141" s="541"/>
      <c r="V141" s="619"/>
      <c r="W141" s="619"/>
      <c r="X141" s="619"/>
      <c r="Y141" s="619"/>
      <c r="Z141" s="541"/>
      <c r="AA141" s="619"/>
      <c r="AB141" s="619"/>
      <c r="AC141" s="619"/>
      <c r="AD141" s="619"/>
      <c r="AE141" s="541"/>
      <c r="AF141" s="523"/>
      <c r="AG141" s="523"/>
      <c r="AH141" s="523"/>
      <c r="AI141" s="523"/>
      <c r="AJ141" s="541"/>
      <c r="AK141" s="523"/>
      <c r="AL141" s="523"/>
      <c r="AM141" s="523"/>
      <c r="AN141" s="523"/>
      <c r="AO141" s="541"/>
      <c r="AP141" s="523"/>
      <c r="AQ141" s="523"/>
      <c r="AR141" s="523"/>
      <c r="AS141" s="523"/>
      <c r="AT141" s="541"/>
      <c r="AU141" s="523"/>
      <c r="AV141" s="523"/>
      <c r="AW141" s="523"/>
      <c r="AX141" s="523"/>
      <c r="AY141" s="541"/>
      <c r="AZ141" s="523"/>
      <c r="BA141" s="523"/>
      <c r="BB141" s="523"/>
      <c r="BC141" s="523"/>
      <c r="BD141" s="541"/>
      <c r="BE141" s="523"/>
      <c r="BF141" s="523"/>
      <c r="BG141" s="523"/>
      <c r="BH141" s="523"/>
      <c r="BI141" s="541"/>
      <c r="BJ141" s="523"/>
      <c r="BK141" s="523"/>
      <c r="BL141" s="523"/>
      <c r="BM141" s="523"/>
      <c r="BN141" s="541"/>
      <c r="BO141" s="523"/>
      <c r="BP141" s="523"/>
      <c r="BQ141" s="523"/>
      <c r="BR141" s="523"/>
      <c r="BS141" s="541"/>
      <c r="BT141" s="523"/>
      <c r="BU141" s="523"/>
      <c r="BV141" s="523"/>
      <c r="BW141" s="523"/>
      <c r="BX141" s="591"/>
      <c r="BY141" s="523"/>
      <c r="BZ141" s="523"/>
      <c r="CA141" s="523"/>
      <c r="CB141" s="523"/>
      <c r="CC141" s="591"/>
      <c r="CD141" s="523"/>
      <c r="CE141" s="523"/>
      <c r="CF141" s="523"/>
      <c r="CG141" s="523"/>
      <c r="CH141" s="591"/>
      <c r="CI141" s="539"/>
      <c r="CJ141" s="539"/>
      <c r="CK141" s="539"/>
      <c r="CL141" s="539"/>
      <c r="CM141" s="542"/>
      <c r="CN141" s="539"/>
      <c r="CO141" s="539"/>
      <c r="CP141" s="539"/>
      <c r="CQ141" s="539"/>
      <c r="CR141" s="542"/>
      <c r="CS141" s="539"/>
      <c r="CT141" s="539"/>
      <c r="CU141" s="539"/>
      <c r="CV141" s="539"/>
      <c r="CW141" s="542"/>
      <c r="CX141" s="539"/>
      <c r="CY141" s="539"/>
      <c r="CZ141" s="539"/>
      <c r="DA141" s="539"/>
      <c r="DB141" s="542"/>
      <c r="DC141" s="539"/>
      <c r="DD141" s="539"/>
      <c r="DE141" s="539"/>
      <c r="DF141" s="539"/>
      <c r="DG141" s="542"/>
      <c r="DH141" s="539"/>
      <c r="DI141" s="539"/>
      <c r="DJ141" s="539"/>
      <c r="DK141" s="539"/>
      <c r="DL141" s="542"/>
      <c r="DM141" s="539"/>
      <c r="DN141" s="539"/>
      <c r="DO141" s="539"/>
      <c r="DP141" s="539"/>
      <c r="DQ141" s="542"/>
      <c r="DR141" s="539"/>
      <c r="DS141" s="539"/>
      <c r="DT141" s="539"/>
      <c r="DU141" s="539"/>
      <c r="DV141" s="542"/>
      <c r="DW141" s="539"/>
      <c r="DX141" s="539"/>
      <c r="DY141" s="539"/>
      <c r="DZ141" s="539"/>
      <c r="EA141" s="542"/>
      <c r="EB141" s="539"/>
      <c r="EC141" s="539"/>
      <c r="ED141" s="539"/>
      <c r="EE141" s="539"/>
      <c r="EF141" s="542"/>
      <c r="EG141" s="539"/>
      <c r="EH141" s="539"/>
      <c r="EI141" s="539"/>
      <c r="EJ141" s="539"/>
      <c r="EK141" s="542"/>
      <c r="EL141" s="539"/>
      <c r="EM141" s="539"/>
      <c r="EN141" s="539"/>
      <c r="EO141" s="539"/>
      <c r="EP141" s="542"/>
      <c r="EQ141" s="539"/>
      <c r="ER141" s="539"/>
      <c r="ES141" s="539"/>
      <c r="ET141" s="539"/>
      <c r="EU141" s="542"/>
      <c r="EV141" s="539"/>
      <c r="EW141" s="539"/>
      <c r="EX141" s="539"/>
      <c r="EY141" s="539"/>
      <c r="EZ141" s="542"/>
      <c r="FA141" s="539"/>
      <c r="FB141" s="539"/>
      <c r="FC141" s="539"/>
      <c r="FD141" s="539"/>
      <c r="FE141" s="542"/>
      <c r="FF141" s="539"/>
      <c r="FG141" s="539"/>
      <c r="FH141" s="539"/>
      <c r="FI141" s="539"/>
      <c r="FJ141" s="542"/>
      <c r="FK141" s="539"/>
      <c r="FL141" s="539"/>
      <c r="FM141" s="539"/>
      <c r="FN141" s="539"/>
      <c r="FO141" s="542"/>
      <c r="FP141" s="539"/>
      <c r="FQ141" s="539"/>
      <c r="FR141" s="539"/>
      <c r="FS141" s="539"/>
      <c r="FT141" s="542"/>
      <c r="FU141" s="539"/>
      <c r="FV141" s="539"/>
      <c r="FW141" s="539"/>
      <c r="FX141" s="539"/>
      <c r="FY141" s="542"/>
      <c r="FZ141" s="539"/>
      <c r="GA141" s="539"/>
      <c r="GB141" s="539"/>
      <c r="GC141" s="539"/>
      <c r="GD141" s="542"/>
      <c r="GE141" s="539"/>
      <c r="GF141" s="539"/>
      <c r="GG141" s="539"/>
      <c r="GH141" s="539"/>
      <c r="GI141" s="542"/>
      <c r="GJ141" s="539"/>
      <c r="GK141" s="539"/>
      <c r="GL141" s="539"/>
      <c r="GM141" s="539"/>
      <c r="GN141" s="542"/>
      <c r="GO141" s="539"/>
      <c r="GP141" s="539"/>
      <c r="GQ141" s="539"/>
      <c r="GR141" s="539"/>
      <c r="GS141" s="542"/>
      <c r="GT141" s="539"/>
      <c r="GU141" s="539"/>
      <c r="GV141" s="539"/>
      <c r="GW141" s="539"/>
      <c r="GX141" s="542"/>
      <c r="GY141" s="539"/>
      <c r="GZ141" s="539"/>
      <c r="HA141" s="539"/>
      <c r="HB141" s="539"/>
      <c r="HC141" s="542"/>
      <c r="HD141" s="539"/>
      <c r="HE141" s="539"/>
      <c r="HF141" s="539"/>
      <c r="HG141" s="539"/>
      <c r="HH141" s="542"/>
      <c r="HI141" s="539"/>
      <c r="HJ141" s="539"/>
      <c r="HK141" s="539"/>
      <c r="HL141" s="539"/>
      <c r="HM141" s="542"/>
      <c r="HN141" s="542"/>
      <c r="HO141" s="542"/>
      <c r="HP141" s="563"/>
      <c r="HR141" s="563"/>
      <c r="HS141" s="563"/>
      <c r="HT141" s="563"/>
      <c r="HU141" s="563"/>
      <c r="HV141" s="563"/>
      <c r="HW141" s="563"/>
      <c r="HX141" s="563"/>
    </row>
    <row r="142" spans="1:236" s="509" customFormat="1" ht="11.25" hidden="1" customHeight="1" outlineLevel="1">
      <c r="A142" s="621" t="s">
        <v>451</v>
      </c>
      <c r="L142" s="523"/>
      <c r="M142" s="523"/>
      <c r="N142" s="523"/>
      <c r="O142" s="523"/>
      <c r="P142" s="524"/>
      <c r="Q142" s="523"/>
      <c r="R142" s="523"/>
      <c r="S142" s="523"/>
      <c r="T142" s="523"/>
      <c r="U142" s="524"/>
      <c r="V142" s="523"/>
      <c r="W142" s="523"/>
      <c r="X142" s="523"/>
      <c r="Y142" s="523"/>
      <c r="Z142" s="524"/>
      <c r="AA142" s="523"/>
      <c r="AB142" s="523"/>
      <c r="AC142" s="523"/>
      <c r="AD142" s="523"/>
      <c r="AE142" s="524"/>
      <c r="AF142" s="523"/>
      <c r="AG142" s="523"/>
      <c r="AH142" s="523"/>
      <c r="AI142" s="523"/>
      <c r="AJ142" s="524"/>
      <c r="AK142" s="523"/>
      <c r="AL142" s="523"/>
      <c r="AM142" s="523"/>
      <c r="AN142" s="523"/>
      <c r="AO142" s="524"/>
      <c r="AP142" s="523"/>
      <c r="AQ142" s="523"/>
      <c r="AR142" s="589"/>
      <c r="AS142" s="589"/>
      <c r="AT142" s="524"/>
      <c r="AU142" s="523"/>
      <c r="AV142" s="523"/>
      <c r="AW142" s="589"/>
      <c r="AX142" s="589"/>
      <c r="AY142" s="524"/>
      <c r="AZ142" s="523"/>
      <c r="BA142" s="523"/>
      <c r="BB142" s="589"/>
      <c r="BC142" s="589"/>
      <c r="BD142" s="524"/>
      <c r="BE142" s="523"/>
      <c r="BF142" s="523"/>
      <c r="BG142" s="589"/>
      <c r="BH142" s="589"/>
      <c r="BI142" s="524"/>
      <c r="BJ142" s="523"/>
      <c r="BK142" s="523"/>
      <c r="BL142" s="589"/>
      <c r="BM142" s="589"/>
      <c r="BN142" s="524"/>
      <c r="BO142" s="523"/>
      <c r="BP142" s="523"/>
      <c r="BQ142" s="589"/>
      <c r="BR142" s="589"/>
      <c r="BS142" s="524"/>
      <c r="BX142" s="538"/>
      <c r="CC142" s="538"/>
      <c r="CH142" s="538"/>
      <c r="CM142" s="538"/>
      <c r="CR142" s="538"/>
      <c r="CW142" s="538"/>
      <c r="DB142" s="538"/>
      <c r="DG142" s="538"/>
      <c r="DL142" s="538"/>
      <c r="DQ142" s="538"/>
      <c r="DV142" s="538"/>
      <c r="EA142" s="538"/>
      <c r="EF142" s="538"/>
      <c r="EK142" s="538"/>
      <c r="EP142" s="538"/>
      <c r="EU142" s="538"/>
      <c r="EZ142" s="538"/>
      <c r="FE142" s="538"/>
      <c r="FJ142" s="538"/>
      <c r="FO142" s="538"/>
      <c r="FT142" s="538"/>
      <c r="FY142" s="538"/>
      <c r="GD142" s="538"/>
      <c r="GI142" s="538"/>
      <c r="GN142" s="538"/>
      <c r="GS142" s="538"/>
      <c r="GX142" s="538"/>
      <c r="HC142" s="538"/>
      <c r="HH142" s="538"/>
      <c r="HM142" s="538"/>
      <c r="HN142" s="538"/>
      <c r="HO142" s="538"/>
      <c r="HP142" s="563"/>
      <c r="HR142" s="563"/>
      <c r="HS142" s="563"/>
      <c r="HT142" s="563"/>
      <c r="HU142" s="563"/>
      <c r="HV142" s="563"/>
      <c r="HW142" s="563"/>
      <c r="HX142" s="563"/>
    </row>
    <row r="143" spans="1:236" s="563" customFormat="1" ht="11.25" hidden="1" customHeight="1" outlineLevel="1">
      <c r="A143" s="532" t="s">
        <v>452</v>
      </c>
      <c r="B143" s="509"/>
      <c r="C143" s="509"/>
      <c r="D143" s="509"/>
      <c r="E143" s="509"/>
      <c r="F143" s="509"/>
      <c r="G143" s="509"/>
      <c r="H143" s="509"/>
      <c r="I143" s="509"/>
      <c r="J143" s="509"/>
      <c r="K143" s="509"/>
      <c r="L143" s="558"/>
      <c r="M143" s="558"/>
      <c r="N143" s="558"/>
      <c r="O143" s="558"/>
      <c r="P143" s="559"/>
      <c r="Q143" s="558"/>
      <c r="R143" s="558"/>
      <c r="S143" s="558"/>
      <c r="T143" s="558"/>
      <c r="U143" s="559"/>
      <c r="V143" s="558"/>
      <c r="W143" s="558"/>
      <c r="X143" s="558"/>
      <c r="Y143" s="558"/>
      <c r="Z143" s="559"/>
      <c r="AA143" s="558"/>
      <c r="AB143" s="558"/>
      <c r="AC143" s="558"/>
      <c r="AD143" s="558"/>
      <c r="AE143" s="559"/>
      <c r="AF143" s="558"/>
      <c r="AG143" s="558"/>
      <c r="AH143" s="558"/>
      <c r="AI143" s="558"/>
      <c r="AJ143" s="559"/>
      <c r="AK143" s="558">
        <f>AK97/AK58</f>
        <v>6.9578228995852225</v>
      </c>
      <c r="AL143" s="558">
        <f>AL97/AL58</f>
        <v>7.4765129641531338</v>
      </c>
      <c r="AM143" s="558">
        <f>AM97/AM58</f>
        <v>7.9327990311999388</v>
      </c>
      <c r="AN143" s="558">
        <f>AN97/AN58</f>
        <v>9.0432248182487793</v>
      </c>
      <c r="AO143" s="559">
        <f t="shared" ref="AO143:AO163" si="161">AN143</f>
        <v>9.0432248182487793</v>
      </c>
      <c r="AP143" s="558">
        <f>AP97/AP58</f>
        <v>8.6322563415388363</v>
      </c>
      <c r="AQ143" s="558">
        <f>AQ97/AQ58</f>
        <v>9.0793475526234868</v>
      </c>
      <c r="AR143" s="558">
        <f>AR97/AR58</f>
        <v>9.4133145109440068</v>
      </c>
      <c r="AS143" s="558">
        <f>AS97/AS58</f>
        <v>9.8321519864418203</v>
      </c>
      <c r="AT143" s="559">
        <f t="shared" ref="AT143:AT163" si="162">AS143</f>
        <v>9.8321519864418203</v>
      </c>
      <c r="AU143" s="558">
        <f>AU97/AU58</f>
        <v>7.6660525003793376</v>
      </c>
      <c r="AV143" s="558">
        <f>AV97/AV58</f>
        <v>7.6565988496739763</v>
      </c>
      <c r="AW143" s="558">
        <f>AW97/AW58</f>
        <v>7.4832013050954576</v>
      </c>
      <c r="AX143" s="558">
        <f>AX97/AX58</f>
        <v>7.344858651980906</v>
      </c>
      <c r="AY143" s="559">
        <f t="shared" ref="AY143:AY163" si="163">AX143</f>
        <v>7.344858651980906</v>
      </c>
      <c r="AZ143" s="558">
        <f>AZ97/AZ58</f>
        <v>6.936360489268405</v>
      </c>
      <c r="BA143" s="558">
        <f>BA97/BA58</f>
        <v>7.0665262745151054</v>
      </c>
      <c r="BB143" s="558">
        <f>BB97/BB58</f>
        <v>7.2095427926338811</v>
      </c>
      <c r="BC143" s="558">
        <f>BC97/BC58</f>
        <v>7.1518687142766524</v>
      </c>
      <c r="BD143" s="559">
        <f t="shared" ref="BD143:BD163" si="164">BC143</f>
        <v>7.1518687142766524</v>
      </c>
      <c r="BE143" s="558">
        <f>BE97/BE58</f>
        <v>6.897086377128903</v>
      </c>
      <c r="BF143" s="558">
        <f>BF97/BF58</f>
        <v>6.6862688377410056</v>
      </c>
      <c r="BG143" s="558">
        <f>BG97/BG58</f>
        <v>6.5796156626341702</v>
      </c>
      <c r="BH143" s="558">
        <f>BH97/BH58</f>
        <v>6.6857698284083238</v>
      </c>
      <c r="BI143" s="559">
        <f t="shared" ref="BI143:BI163" si="165">BH143</f>
        <v>6.6857698284083238</v>
      </c>
      <c r="BJ143" s="558">
        <f>BJ97/BJ58</f>
        <v>6.4207622559266397</v>
      </c>
      <c r="BK143" s="558">
        <f>BK97/BK58</f>
        <v>6.560656011769427</v>
      </c>
      <c r="BL143" s="558">
        <f>BL97/BL58</f>
        <v>6.5092307379162486</v>
      </c>
      <c r="BM143" s="558">
        <f>BM97/BM58</f>
        <v>6.4787986906710309</v>
      </c>
      <c r="BN143" s="559">
        <f t="shared" ref="BN143:BN164" si="166">BM143</f>
        <v>6.4787986906710309</v>
      </c>
      <c r="BO143" s="558">
        <f>BO97/BO58</f>
        <v>6.3927719812494903</v>
      </c>
      <c r="BP143" s="558">
        <f>BP97/BP58</f>
        <v>6.9322401797773221</v>
      </c>
      <c r="BQ143" s="558">
        <f>BQ97/BQ58</f>
        <v>8.2212285310278173</v>
      </c>
      <c r="BR143" s="558">
        <f>BR97/BR58</f>
        <v>9.0675535047543896</v>
      </c>
      <c r="BS143" s="559">
        <f t="shared" ref="BS143:BS164" si="167">BR143</f>
        <v>9.0675535047543896</v>
      </c>
      <c r="BT143" s="558">
        <f>BT97/BT58</f>
        <v>9.3143141407393717</v>
      </c>
      <c r="BU143" s="558">
        <f>BU97/BU58</f>
        <v>11.159872905122265</v>
      </c>
      <c r="BV143" s="558">
        <f>BV97/BV58</f>
        <v>10.522681165300657</v>
      </c>
      <c r="BW143" s="558">
        <f>BW97/BW58</f>
        <v>10.452385782623141</v>
      </c>
      <c r="BX143" s="559">
        <f t="shared" ref="BX143:BX164" si="168">BW143</f>
        <v>10.452385782623141</v>
      </c>
      <c r="BY143" s="558">
        <f>BY97/BY58</f>
        <v>10.297949566615612</v>
      </c>
      <c r="BZ143" s="558">
        <f>BZ97/BZ58</f>
        <v>10.276749506995687</v>
      </c>
      <c r="CA143" s="558">
        <f>CA97/CA58</f>
        <v>9.4553124453001942</v>
      </c>
      <c r="CB143" s="558">
        <f>CB97/CB58</f>
        <v>7.1733454669151522</v>
      </c>
      <c r="CC143" s="559">
        <f t="shared" ref="CC143:CC164" si="169">CB143</f>
        <v>7.1733454669151522</v>
      </c>
      <c r="CD143" s="558">
        <f>CD97/CD58</f>
        <v>6.8458024648418023</v>
      </c>
      <c r="CE143" s="558">
        <f>CE97/CE58</f>
        <v>6.5929775929775936</v>
      </c>
      <c r="CF143" s="558">
        <f>CF97/CF58</f>
        <v>6.5723021644872084</v>
      </c>
      <c r="CG143" s="558">
        <f>CG97/CG58</f>
        <v>5.8586462913573127</v>
      </c>
      <c r="CH143" s="559">
        <f t="shared" ref="CH143:CH164" si="170">CG143</f>
        <v>5.8586462913573127</v>
      </c>
      <c r="CI143" s="558">
        <f>CI97/CI58</f>
        <v>5.8658186579472105</v>
      </c>
      <c r="CJ143" s="558">
        <f>CJ97/CJ58</f>
        <v>5.9988763322723564</v>
      </c>
      <c r="CK143" s="558">
        <f>CK97/CK58</f>
        <v>6.1580215338046242</v>
      </c>
      <c r="CL143" s="558">
        <f>CL97/CL58</f>
        <v>8.0202207253775573</v>
      </c>
      <c r="CM143" s="559">
        <f t="shared" ref="CM143:CM164" si="171">CL143</f>
        <v>8.0202207253775573</v>
      </c>
      <c r="CN143" s="558">
        <f>CN97/CN58</f>
        <v>7.4659570516718095</v>
      </c>
      <c r="CO143" s="558">
        <f>CO97/CO58</f>
        <v>7.0158624140149213</v>
      </c>
      <c r="CP143" s="558">
        <f>CP97/CP58</f>
        <v>6.7035663010135664</v>
      </c>
      <c r="CQ143" s="558">
        <f>CQ97/CQ58</f>
        <v>7.4102731897338856</v>
      </c>
      <c r="CR143" s="559">
        <f t="shared" ref="CR143:CR164" si="172">CQ143</f>
        <v>7.4102731897338856</v>
      </c>
      <c r="CS143" s="558">
        <f>CS97/CS58</f>
        <v>9.5087296043413829</v>
      </c>
      <c r="CT143" s="558">
        <f>CT97/CT58</f>
        <v>9.7017649787274891</v>
      </c>
      <c r="CU143" s="558">
        <f>CU97/CU58</f>
        <v>10.090129878495567</v>
      </c>
      <c r="CV143" s="558">
        <f>CV97/CV58</f>
        <v>10.896421845574388</v>
      </c>
      <c r="CW143" s="559">
        <f t="shared" ref="CW143:CW164" si="173">CV143</f>
        <v>10.896421845574388</v>
      </c>
      <c r="CX143" s="558">
        <f>CX97/CX58</f>
        <v>9.4808743169398912</v>
      </c>
      <c r="CY143" s="558">
        <f>CY97/CY58</f>
        <v>8.1014492753623184</v>
      </c>
      <c r="CZ143" s="558">
        <f>CZ97/CZ58</f>
        <v>7.4458483754512637</v>
      </c>
      <c r="DA143" s="558">
        <f>DA97/DA58</f>
        <v>5.1640759930915374</v>
      </c>
      <c r="DB143" s="559">
        <f t="shared" ref="DB143:DB164" si="174">DA143</f>
        <v>5.1640759930915374</v>
      </c>
      <c r="DC143" s="558">
        <f>DC97/DC58</f>
        <v>4.3514851485148514</v>
      </c>
      <c r="DD143" s="558">
        <f>DD97/DD58</f>
        <v>2.4283360790774298</v>
      </c>
      <c r="DE143" s="558">
        <f>DE97/DE58</f>
        <v>2.2861842105263159</v>
      </c>
      <c r="DF143" s="558">
        <f>DF97/DF58</f>
        <v>-0.13464696223316913</v>
      </c>
      <c r="DG143" s="559">
        <f t="shared" ref="DG143:DG163" si="175">DF143</f>
        <v>-0.13464696223316913</v>
      </c>
      <c r="DH143" s="558">
        <f>DH97/DH58</f>
        <v>-0.26038338658146964</v>
      </c>
      <c r="DI143" s="558">
        <f>DI97/DI58</f>
        <v>-0.69715142428785604</v>
      </c>
      <c r="DJ143" s="558">
        <f>DJ97/DJ58</f>
        <v>-0.81988472622478381</v>
      </c>
      <c r="DK143" s="558">
        <f>DK97/DK58</f>
        <v>0.81921618204804048</v>
      </c>
      <c r="DL143" s="559">
        <f t="shared" ref="DL143:DL163" si="176">DK143</f>
        <v>0.81921618204804048</v>
      </c>
      <c r="DM143" s="558">
        <f>DM97/DM58</f>
        <v>1.0557029177718833</v>
      </c>
      <c r="DN143" s="558">
        <f>DN97/DN58</f>
        <v>1.0606488011283497</v>
      </c>
      <c r="DO143" s="558">
        <f>DO97/DO58</f>
        <v>0.86115007012622724</v>
      </c>
      <c r="DP143" s="558">
        <f>DP97/DP58</f>
        <v>1.3364116094986807</v>
      </c>
      <c r="DQ143" s="559">
        <f t="shared" ref="DQ143:DQ163" si="177">DP143</f>
        <v>1.3364116094986807</v>
      </c>
      <c r="DR143" s="558">
        <f>DR97/DR58</f>
        <v>2.0392670157068062</v>
      </c>
      <c r="DS143" s="558">
        <f>DS97/DS58</f>
        <v>2.208613728129206</v>
      </c>
      <c r="DT143" s="558">
        <f>DT97/DT58</f>
        <v>2.3535762483130904</v>
      </c>
      <c r="DU143" s="558">
        <f>DU97/DU58</f>
        <v>2.1721311475409837</v>
      </c>
      <c r="DV143" s="559">
        <f t="shared" ref="DV143:DV163" si="178">DU143</f>
        <v>2.1721311475409837</v>
      </c>
      <c r="DW143" s="558">
        <f>DW97/DW58</f>
        <v>1.4332425068119892</v>
      </c>
      <c r="DX143" s="558">
        <f>DX97/DX58</f>
        <v>1.4794701986754968</v>
      </c>
      <c r="DY143" s="558">
        <f>DY97/DY58</f>
        <v>1.32751677852349</v>
      </c>
      <c r="DZ143" s="558">
        <f>DZ97/DZ58</f>
        <v>0.72021419009370813</v>
      </c>
      <c r="EA143" s="559">
        <f t="shared" ref="EA143:EA163" si="179">DZ143</f>
        <v>0.72021419009370813</v>
      </c>
      <c r="EB143" s="558">
        <f>EB97/EB58</f>
        <v>0.55407209612817088</v>
      </c>
      <c r="EC143" s="558">
        <f>EC97/EC58</f>
        <v>0.47739361702127658</v>
      </c>
      <c r="ED143" s="558">
        <f>ED97/ED58</f>
        <v>0.56806282722513091</v>
      </c>
      <c r="EE143" s="558">
        <f>EE97/EE58</f>
        <v>0.71018276762402088</v>
      </c>
      <c r="EF143" s="559">
        <f t="shared" ref="EF143:EF163" si="180">EE143</f>
        <v>0.71018276762402088</v>
      </c>
      <c r="EG143" s="558">
        <f>EG97/EG58</f>
        <v>0.67148488830486197</v>
      </c>
      <c r="EH143" s="558">
        <f>EH97/EH58</f>
        <v>0.65575916230366493</v>
      </c>
      <c r="EI143" s="558">
        <f>EI97/EI58</f>
        <v>0.68152866242038213</v>
      </c>
      <c r="EJ143" s="558">
        <f>EJ97/EJ58</f>
        <v>0.23943661971830985</v>
      </c>
      <c r="EK143" s="559">
        <f t="shared" ref="EK143:EK163" si="181">EJ143</f>
        <v>0.23943661971830985</v>
      </c>
      <c r="EL143" s="558">
        <f>EL97/EL58</f>
        <v>2.1879021879021878E-2</v>
      </c>
      <c r="EM143" s="558">
        <f>EM97/EM58</f>
        <v>-0.18123393316195371</v>
      </c>
      <c r="EN143" s="558">
        <f>EN97/EN58</f>
        <v>-0.42802547770700639</v>
      </c>
      <c r="EO143" s="558">
        <f>EO97/EO58</f>
        <v>-0.52085967130214916</v>
      </c>
      <c r="EP143" s="559">
        <f t="shared" ref="EP143:EP163" si="182">EO143</f>
        <v>-0.52085967130214916</v>
      </c>
      <c r="EQ143" s="558">
        <f>EQ97/EQ58</f>
        <v>-0.6343001261034048</v>
      </c>
      <c r="ER143" s="558">
        <f>ER97/ER58</f>
        <v>-0.50304506699147378</v>
      </c>
      <c r="ES143" s="558">
        <f>ES97/ES58</f>
        <v>0.47239263803680981</v>
      </c>
      <c r="ET143" s="558">
        <f>ET97/ET58</f>
        <v>0.44683136412459723</v>
      </c>
      <c r="EU143" s="559">
        <f>ET143</f>
        <v>0.44683136412459723</v>
      </c>
      <c r="EV143" s="558">
        <f>EV97/EV58</f>
        <v>0.43556975505857293</v>
      </c>
      <c r="EW143" s="558">
        <f>EW97/EW58</f>
        <v>0.44126984126984126</v>
      </c>
      <c r="EX143" s="558">
        <f>EX97/EX58</f>
        <v>0.5433646812957158</v>
      </c>
      <c r="EY143" s="558">
        <f>EY97/EY58</f>
        <v>0.63316062176165799</v>
      </c>
      <c r="EZ143" s="559">
        <f>EY143</f>
        <v>0.63316062176165799</v>
      </c>
      <c r="FA143" s="558">
        <f>FA97/FA58</f>
        <v>0.73863636363636365</v>
      </c>
      <c r="FB143" s="558">
        <f>FB97/FB58</f>
        <v>0.90432098765432101</v>
      </c>
      <c r="FC143" s="558">
        <f>FC97/FC58</f>
        <v>1.1398176291793314</v>
      </c>
      <c r="FD143" s="558">
        <f>FD97/FD58</f>
        <v>1.2634730538922156</v>
      </c>
      <c r="FE143" s="559">
        <f>FD143</f>
        <v>1.2634730538922156</v>
      </c>
      <c r="FF143" s="558">
        <f>FF97/FF58</f>
        <v>1.7126436781609196</v>
      </c>
      <c r="FG143" s="558">
        <f>FG97/FG58</f>
        <v>1.753690036900369</v>
      </c>
      <c r="FH143" s="558">
        <f>FH97/FH58</f>
        <v>1.9835916134913401</v>
      </c>
      <c r="FI143" s="558">
        <f>FI97/FI58</f>
        <v>2.4798245614035088</v>
      </c>
      <c r="FJ143" s="559">
        <f>FI143</f>
        <v>2.4798245614035088</v>
      </c>
      <c r="FK143" s="558">
        <f>FK97/FK58</f>
        <v>2.5957264957264958</v>
      </c>
      <c r="FL143" s="558">
        <f>FL97/FL58</f>
        <v>2.8151618398637139</v>
      </c>
      <c r="FM143" s="558">
        <f>FM97/FM58</f>
        <v>3.2660472972972974</v>
      </c>
      <c r="FN143" s="558">
        <f>FN97/FN58</f>
        <v>4.8439834024896262</v>
      </c>
      <c r="FO143" s="559">
        <f>FN143</f>
        <v>4.8439834024896262</v>
      </c>
      <c r="FP143" s="558">
        <f>FP97/FP58</f>
        <v>5.3396537510305029</v>
      </c>
      <c r="FQ143" s="558">
        <f>FQ97/FQ58</f>
        <v>5.8100328947368425</v>
      </c>
      <c r="FR143" s="558">
        <f>FR97/FR58</f>
        <v>5.8780889621087313</v>
      </c>
      <c r="FS143" s="558">
        <f>FS97/FS58</f>
        <v>6.2061258278145699</v>
      </c>
      <c r="FT143" s="559">
        <f>FS143</f>
        <v>6.2061258278145699</v>
      </c>
      <c r="FU143" s="558">
        <f>FU97/FU58</f>
        <v>39.722182340272795</v>
      </c>
      <c r="FV143" s="558">
        <f>FV97/FV58</f>
        <v>34.097033374536466</v>
      </c>
      <c r="FW143" s="558">
        <f>FW97/FW58</f>
        <v>33.77213622291022</v>
      </c>
      <c r="FX143" s="558">
        <f>FX97/FX58</f>
        <v>33.942963422194666</v>
      </c>
      <c r="FY143" s="559">
        <f>FX143</f>
        <v>33.942963422194666</v>
      </c>
      <c r="FZ143" s="558">
        <f>FZ97/FZ58</f>
        <v>33.950341402855372</v>
      </c>
      <c r="GA143" s="558">
        <f>GA97/GA58</f>
        <v>34.203473945409428</v>
      </c>
      <c r="GB143" s="558">
        <f>GB97/GB58</f>
        <v>34.01608910891089</v>
      </c>
      <c r="GC143" s="558">
        <f>GC97/GC58</f>
        <v>34.586633663366335</v>
      </c>
      <c r="GD143" s="559">
        <f>GC143</f>
        <v>34.586633663366335</v>
      </c>
      <c r="GE143" s="558">
        <f>GE97/GE58</f>
        <v>34.754483611626469</v>
      </c>
      <c r="GF143" s="558">
        <f>GF97/GF58</f>
        <v>34.943139678615573</v>
      </c>
      <c r="GG143" s="558">
        <f>GG97/GG58</f>
        <v>35.175925925925924</v>
      </c>
      <c r="GH143" s="558">
        <f>GH97/GH58</f>
        <v>35.470117067159578</v>
      </c>
      <c r="GI143" s="559">
        <f>GH143</f>
        <v>35.470117067159578</v>
      </c>
      <c r="GJ143" s="558">
        <f>GJ97/GJ58</f>
        <v>35.72901234567901</v>
      </c>
      <c r="GK143" s="558">
        <f>GK97/GK58</f>
        <v>36.762168823166974</v>
      </c>
      <c r="GL143" s="558">
        <f>GL97/GL58</f>
        <v>37.386223862238623</v>
      </c>
      <c r="GM143" s="558">
        <f>GM97/GM58</f>
        <v>38.649693251533741</v>
      </c>
      <c r="GN143" s="559">
        <f>GM143</f>
        <v>38.649693251533741</v>
      </c>
      <c r="GO143" s="558">
        <f>GO97/GO58</f>
        <v>39.522992029429801</v>
      </c>
      <c r="GP143" s="558">
        <f>GP97/GP58</f>
        <v>40.675087440044678</v>
      </c>
      <c r="GQ143" s="558">
        <f>GQ97/GQ58</f>
        <v>42.164940844171582</v>
      </c>
      <c r="GR143" s="558">
        <f>GR97/GR58</f>
        <v>45.834906779247135</v>
      </c>
      <c r="GS143" s="559">
        <f>GR143</f>
        <v>45.834906779247135</v>
      </c>
      <c r="GT143" s="558">
        <f>GT97/GT58</f>
        <v>50.010345936903576</v>
      </c>
      <c r="GU143" s="558">
        <f>GU97/GU58</f>
        <v>54.593656332708917</v>
      </c>
      <c r="GV143" s="558">
        <f>GV97/GV58</f>
        <v>60.100282571967547</v>
      </c>
      <c r="GW143" s="558">
        <f>GW97/GW58</f>
        <v>66.140202260380889</v>
      </c>
      <c r="GX143" s="559">
        <f>GW143</f>
        <v>66.140202260380889</v>
      </c>
      <c r="GY143" s="558">
        <f>GY97/GY58</f>
        <v>71.905444630135918</v>
      </c>
      <c r="GZ143" s="558">
        <f>GZ97/GZ58</f>
        <v>77.995057281993255</v>
      </c>
      <c r="HA143" s="558">
        <f>HA97/HA58</f>
        <v>84.518597403647547</v>
      </c>
      <c r="HB143" s="558">
        <f>HB97/HB58</f>
        <v>91.665727132400249</v>
      </c>
      <c r="HC143" s="559">
        <f>HB143</f>
        <v>91.665727132400249</v>
      </c>
      <c r="HD143" s="558">
        <f>HD97/HD58</f>
        <v>98.87007013269421</v>
      </c>
      <c r="HE143" s="558">
        <f>HE97/HE58</f>
        <v>106.15847143390287</v>
      </c>
      <c r="HF143" s="558">
        <f>HF97/HF58</f>
        <v>114.02400022125057</v>
      </c>
      <c r="HG143" s="558">
        <f>HG97/HG58</f>
        <v>122.0408911269918</v>
      </c>
      <c r="HH143" s="559">
        <f>HG143</f>
        <v>122.0408911269918</v>
      </c>
      <c r="HI143" s="558">
        <f>HI97/HI58</f>
        <v>130.12612010162587</v>
      </c>
      <c r="HJ143" s="558">
        <f>HJ97/HJ58</f>
        <v>138.27079318108028</v>
      </c>
      <c r="HK143" s="558">
        <f>HK97/HK58</f>
        <v>146.97108043713138</v>
      </c>
      <c r="HL143" s="558">
        <f>HL97/HL58</f>
        <v>156.06588294787718</v>
      </c>
      <c r="HM143" s="559">
        <f>HL143</f>
        <v>156.06588294787718</v>
      </c>
      <c r="HN143" s="559"/>
      <c r="HO143" s="559"/>
      <c r="HQ143" s="509"/>
      <c r="HY143" s="509"/>
      <c r="HZ143" s="509"/>
      <c r="IA143" s="509"/>
      <c r="IB143" s="509"/>
    </row>
    <row r="144" spans="1:236" s="563" customFormat="1" ht="11.25" hidden="1" customHeight="1" outlineLevel="1">
      <c r="A144" s="532" t="s">
        <v>453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09"/>
      <c r="L144" s="558"/>
      <c r="M144" s="558"/>
      <c r="N144" s="558"/>
      <c r="O144" s="558"/>
      <c r="P144" s="559"/>
      <c r="Q144" s="558"/>
      <c r="R144" s="558"/>
      <c r="S144" s="558"/>
      <c r="T144" s="558"/>
      <c r="U144" s="559"/>
      <c r="V144" s="558"/>
      <c r="W144" s="558"/>
      <c r="X144" s="558"/>
      <c r="Y144" s="558"/>
      <c r="Z144" s="559"/>
      <c r="AA144" s="558"/>
      <c r="AB144" s="558"/>
      <c r="AC144" s="558"/>
      <c r="AD144" s="558"/>
      <c r="AE144" s="559"/>
      <c r="AF144" s="558"/>
      <c r="AG144" s="558"/>
      <c r="AH144" s="558"/>
      <c r="AI144" s="558"/>
      <c r="AJ144" s="559"/>
      <c r="AK144" s="558">
        <f>AK77/AK58</f>
        <v>2.6173772547506511</v>
      </c>
      <c r="AL144" s="558">
        <f>AL77/AL58</f>
        <v>2.7402133353797158</v>
      </c>
      <c r="AM144" s="558">
        <f>AM77/AM58</f>
        <v>2.6364758944236786</v>
      </c>
      <c r="AN144" s="558">
        <f>AN77/AN58</f>
        <v>1.9691624452026486</v>
      </c>
      <c r="AO144" s="559">
        <f t="shared" si="161"/>
        <v>1.9691624452026486</v>
      </c>
      <c r="AP144" s="558">
        <f>AP77/AP58</f>
        <v>2.2842096385767965</v>
      </c>
      <c r="AQ144" s="558">
        <f>AQ77/AQ58</f>
        <v>2.5576086247542373</v>
      </c>
      <c r="AR144" s="558">
        <f>AR77/AR58</f>
        <v>2.2965318349965989</v>
      </c>
      <c r="AS144" s="558">
        <f>AS77/AS58</f>
        <v>2.2970580248878734</v>
      </c>
      <c r="AT144" s="559">
        <f t="shared" si="162"/>
        <v>2.2970580248878734</v>
      </c>
      <c r="AU144" s="558">
        <f>AU77/AU58</f>
        <v>1.4786920425725618</v>
      </c>
      <c r="AV144" s="558">
        <f>AV77/AV58</f>
        <v>1.0411263732201737</v>
      </c>
      <c r="AW144" s="558">
        <f>AW77/AW58</f>
        <v>1.3276700812745257</v>
      </c>
      <c r="AX144" s="558">
        <f>AX77/AX58</f>
        <v>1.4029381207361284</v>
      </c>
      <c r="AY144" s="559">
        <f t="shared" si="163"/>
        <v>1.4029381207361284</v>
      </c>
      <c r="AZ144" s="558">
        <f>AZ77/AZ58</f>
        <v>2.1343960847667014</v>
      </c>
      <c r="BA144" s="558">
        <f>BA77/BA58</f>
        <v>1.83551470737363</v>
      </c>
      <c r="BB144" s="558">
        <f>BB77/BB58</f>
        <v>1.5558103436110915</v>
      </c>
      <c r="BC144" s="558">
        <f>BC77/BC58</f>
        <v>1.6457653517890745</v>
      </c>
      <c r="BD144" s="559">
        <f t="shared" si="164"/>
        <v>1.6457653517890745</v>
      </c>
      <c r="BE144" s="558">
        <f>BE77/BE58</f>
        <v>1.0753492908921216</v>
      </c>
      <c r="BF144" s="558">
        <f>BF77/BF58</f>
        <v>2.4133324504049853</v>
      </c>
      <c r="BG144" s="558">
        <f>BG77/BG58</f>
        <v>1.9793442533517001</v>
      </c>
      <c r="BH144" s="558">
        <f>BH77/BH58</f>
        <v>2.324206897011651</v>
      </c>
      <c r="BI144" s="559">
        <f t="shared" si="165"/>
        <v>2.324206897011651</v>
      </c>
      <c r="BJ144" s="558">
        <f>BJ77/BJ58</f>
        <v>1.6761988636753045</v>
      </c>
      <c r="BK144" s="558">
        <f>BK77/BK58</f>
        <v>2.1761067272970447</v>
      </c>
      <c r="BL144" s="558">
        <f>BL77/BL58</f>
        <v>1.2790559611365917</v>
      </c>
      <c r="BM144" s="558">
        <f>BM77/BM58</f>
        <v>1.952572831423895</v>
      </c>
      <c r="BN144" s="559">
        <f t="shared" si="166"/>
        <v>1.952572831423895</v>
      </c>
      <c r="BO144" s="558">
        <f>BO77/BO58</f>
        <v>2.6729449465517439</v>
      </c>
      <c r="BP144" s="558">
        <f>BP77/BP58</f>
        <v>3.0640825568330139</v>
      </c>
      <c r="BQ144" s="558">
        <f>BQ77/BQ58</f>
        <v>3.4953852867583088</v>
      </c>
      <c r="BR144" s="558">
        <f>BR77/BR58</f>
        <v>3.697059883012848</v>
      </c>
      <c r="BS144" s="559">
        <f t="shared" si="167"/>
        <v>3.697059883012848</v>
      </c>
      <c r="BT144" s="558">
        <f>BT77/BT58</f>
        <v>4.5355998692383128</v>
      </c>
      <c r="BU144" s="558">
        <f>BU77/BU58</f>
        <v>3.1044362807716137</v>
      </c>
      <c r="BV144" s="558">
        <f>BV77/BV58</f>
        <v>2.6186051633994505</v>
      </c>
      <c r="BW144" s="558">
        <f>BW77/BW58</f>
        <v>2.557919434080425</v>
      </c>
      <c r="BX144" s="559">
        <f t="shared" si="168"/>
        <v>2.557919434080425</v>
      </c>
      <c r="BY144" s="558">
        <f>BY77/BY58</f>
        <v>3.7461869802761689</v>
      </c>
      <c r="BZ144" s="558">
        <f>BZ77/BZ58</f>
        <v>3.2182590072034221</v>
      </c>
      <c r="CA144" s="558">
        <f>CA77/CA58</f>
        <v>2.525888324873097</v>
      </c>
      <c r="CB144" s="558">
        <f>CB77/CB58</f>
        <v>3.0170315948003914</v>
      </c>
      <c r="CC144" s="559">
        <f t="shared" si="169"/>
        <v>3.0170315948003914</v>
      </c>
      <c r="CD144" s="558">
        <f>CD77/CD58</f>
        <v>2.318786013240119</v>
      </c>
      <c r="CE144" s="558">
        <f>CE77/CE58</f>
        <v>2.1332900207900209</v>
      </c>
      <c r="CF144" s="558">
        <f>CF77/CF58</f>
        <v>3.0977071061283947</v>
      </c>
      <c r="CG144" s="558">
        <f>CG77/CG58</f>
        <v>3.1556909104014994</v>
      </c>
      <c r="CH144" s="559">
        <f t="shared" si="170"/>
        <v>3.1556909104014994</v>
      </c>
      <c r="CI144" s="558">
        <f>CI77/CI58</f>
        <v>3.1318139710792963</v>
      </c>
      <c r="CJ144" s="558">
        <f>CJ77/CJ58</f>
        <v>2.7193568430650417</v>
      </c>
      <c r="CK144" s="558">
        <f>CK77/CK58</f>
        <v>2.8382306454393929</v>
      </c>
      <c r="CL144" s="558">
        <f>CL77/CL58</f>
        <v>3.1855409423726644</v>
      </c>
      <c r="CM144" s="559">
        <f t="shared" si="171"/>
        <v>3.1855409423726644</v>
      </c>
      <c r="CN144" s="558">
        <f>CN77/CN58</f>
        <v>2.759787522546473</v>
      </c>
      <c r="CO144" s="558">
        <f>CO77/CO58</f>
        <v>3.0070168260877068</v>
      </c>
      <c r="CP144" s="558">
        <f>CP77/CP58</f>
        <v>3.0250720675440235</v>
      </c>
      <c r="CQ144" s="558">
        <f>CQ77/CQ58</f>
        <v>3.9678857807363324</v>
      </c>
      <c r="CR144" s="559">
        <f t="shared" si="172"/>
        <v>3.9678857807363324</v>
      </c>
      <c r="CS144" s="558">
        <f>CS77/CS58</f>
        <v>5.3150107202125465</v>
      </c>
      <c r="CT144" s="558">
        <f>CT77/CT58</f>
        <v>5.0583434631009885</v>
      </c>
      <c r="CU144" s="558">
        <f>CU77/CU58</f>
        <v>4.7444360793281435</v>
      </c>
      <c r="CV144" s="558">
        <f>CV77/CV58</f>
        <v>2.9020715630885121</v>
      </c>
      <c r="CW144" s="559">
        <f t="shared" si="173"/>
        <v>2.9020715630885121</v>
      </c>
      <c r="CX144" s="558">
        <f>CX77/CX58</f>
        <v>2.1256830601092895</v>
      </c>
      <c r="CY144" s="558">
        <f>CY77/CY58</f>
        <v>2.88768115942029</v>
      </c>
      <c r="CZ144" s="558">
        <f>CZ77/CZ58</f>
        <v>2.7581227436823106</v>
      </c>
      <c r="DA144" s="558">
        <f>DA77/DA58</f>
        <v>3.2625215889464596</v>
      </c>
      <c r="DB144" s="559">
        <f t="shared" si="174"/>
        <v>3.2625215889464596</v>
      </c>
      <c r="DC144" s="558">
        <f>DC77/DC58</f>
        <v>2.8927392739273929</v>
      </c>
      <c r="DD144" s="558">
        <f>DD77/DD58</f>
        <v>2.5815485996705108</v>
      </c>
      <c r="DE144" s="558">
        <f>DE77/DE58</f>
        <v>2.205592105263158</v>
      </c>
      <c r="DF144" s="558">
        <f>DF77/DF58</f>
        <v>1.7996715927750411</v>
      </c>
      <c r="DG144" s="559">
        <f t="shared" si="175"/>
        <v>1.7996715927750411</v>
      </c>
      <c r="DH144" s="558">
        <f>DH77/DH58</f>
        <v>4.3434504792332271</v>
      </c>
      <c r="DI144" s="558">
        <f>DI77/DI58</f>
        <v>3.7691154422788604</v>
      </c>
      <c r="DJ144" s="558">
        <f>DJ77/DJ58</f>
        <v>3.6181556195965419</v>
      </c>
      <c r="DK144" s="558">
        <f>DK77/DK58</f>
        <v>3.3830594184576483</v>
      </c>
      <c r="DL144" s="559">
        <f t="shared" si="176"/>
        <v>3.3830594184576483</v>
      </c>
      <c r="DM144" s="558">
        <f>DM77/DM58</f>
        <v>2.5623342175066313</v>
      </c>
      <c r="DN144" s="558">
        <f>DN77/DN58</f>
        <v>2.6741889985895626</v>
      </c>
      <c r="DO144" s="558">
        <f>DO77/DO58</f>
        <v>2.4207573632538568</v>
      </c>
      <c r="DP144" s="558">
        <f>DP77/DP58</f>
        <v>2.3601583113456464</v>
      </c>
      <c r="DQ144" s="559">
        <f t="shared" si="177"/>
        <v>2.3601583113456464</v>
      </c>
      <c r="DR144" s="558">
        <f>DR77/DR58</f>
        <v>2.2840314136125652</v>
      </c>
      <c r="DS144" s="558">
        <f>DS77/DS58</f>
        <v>2.5047106325706596</v>
      </c>
      <c r="DT144" s="558">
        <f>DT77/DT58</f>
        <v>2.4385964912280702</v>
      </c>
      <c r="DU144" s="558">
        <f>DU77/DU58</f>
        <v>2.4112021857923498</v>
      </c>
      <c r="DV144" s="559">
        <f t="shared" si="178"/>
        <v>2.4112021857923498</v>
      </c>
      <c r="DW144" s="558">
        <f>DW77/DW58</f>
        <v>2.103542234332425</v>
      </c>
      <c r="DX144" s="558">
        <f>DX77/DX58</f>
        <v>2.0913907284768212</v>
      </c>
      <c r="DY144" s="558">
        <f>DY77/DY58</f>
        <v>1.7449664429530201</v>
      </c>
      <c r="DZ144" s="558">
        <f>DZ77/DZ58</f>
        <v>1.3413654618473896</v>
      </c>
      <c r="EA144" s="559">
        <f t="shared" si="179"/>
        <v>1.3413654618473896</v>
      </c>
      <c r="EB144" s="558">
        <f>EB77/EB58</f>
        <v>1.3391188251001336</v>
      </c>
      <c r="EC144" s="558">
        <f>EC77/EC58</f>
        <v>1.2872340425531914</v>
      </c>
      <c r="ED144" s="558">
        <f>ED77/ED58</f>
        <v>1.5458115183246073</v>
      </c>
      <c r="EE144" s="558">
        <f>EE77/EE58</f>
        <v>1.5496083550913837</v>
      </c>
      <c r="EF144" s="559">
        <f t="shared" si="180"/>
        <v>1.5496083550913837</v>
      </c>
      <c r="EG144" s="558">
        <f>EG77/EG58</f>
        <v>1.1852825229960577</v>
      </c>
      <c r="EH144" s="558">
        <f>EH77/EH58</f>
        <v>1.2408376963350785</v>
      </c>
      <c r="EI144" s="558">
        <f>EI77/EI58</f>
        <v>1.1949044585987261</v>
      </c>
      <c r="EJ144" s="558">
        <f>EJ77/EJ58</f>
        <v>1.3316261203585147</v>
      </c>
      <c r="EK144" s="559">
        <f t="shared" si="181"/>
        <v>1.3316261203585147</v>
      </c>
      <c r="EL144" s="558">
        <f>EL77/EL58</f>
        <v>1.1660231660231659</v>
      </c>
      <c r="EM144" s="558">
        <f>EM77/EM58</f>
        <v>1.0655526992287918</v>
      </c>
      <c r="EN144" s="558">
        <f>EN77/EN58</f>
        <v>0.96178343949044587</v>
      </c>
      <c r="EO144" s="558">
        <f>EO77/EO58</f>
        <v>0.9924146649810367</v>
      </c>
      <c r="EP144" s="559">
        <f t="shared" si="182"/>
        <v>0.9924146649810367</v>
      </c>
      <c r="EQ144" s="558">
        <f>EQ77/EQ58</f>
        <v>0.90290037831021441</v>
      </c>
      <c r="ER144" s="558">
        <f>ER77/ER58</f>
        <v>1.1656516443361753</v>
      </c>
      <c r="ES144" s="558">
        <f>ES77/ES58</f>
        <v>1.5435582822085889</v>
      </c>
      <c r="ET144" s="558">
        <f>ET77/ET58</f>
        <v>1.3576799140708915</v>
      </c>
      <c r="EU144" s="559">
        <f>ET144</f>
        <v>1.3576799140708915</v>
      </c>
      <c r="EV144" s="558">
        <f>EV77/EV58</f>
        <v>1.0042598509052183</v>
      </c>
      <c r="EW144" s="558">
        <f>EW77/EW58</f>
        <v>0.89312169312169309</v>
      </c>
      <c r="EX144" s="558">
        <f>EX77/EX58</f>
        <v>0.91849529780564265</v>
      </c>
      <c r="EY144" s="558">
        <f>EY77/EY58</f>
        <v>1.2279792746113989</v>
      </c>
      <c r="EZ144" s="559">
        <f>EY144</f>
        <v>1.2279792746113989</v>
      </c>
      <c r="FA144" s="558">
        <f>FA77/FA58</f>
        <v>1.0795454545454546</v>
      </c>
      <c r="FB144" s="558">
        <f>FB77/FB58</f>
        <v>1.0113168724279835</v>
      </c>
      <c r="FC144" s="558">
        <f>FC77/FC58</f>
        <v>1.0699088145896656</v>
      </c>
      <c r="FD144" s="558">
        <f>FD77/FD58</f>
        <v>1.1536926147704591</v>
      </c>
      <c r="FE144" s="559">
        <f>FD144</f>
        <v>1.1536926147704591</v>
      </c>
      <c r="FF144" s="558">
        <f>FF77/FF58</f>
        <v>1.1436781609195403</v>
      </c>
      <c r="FG144" s="558">
        <f>FG77/FG58</f>
        <v>1.0405904059040589</v>
      </c>
      <c r="FH144" s="558">
        <f>FH77/FH58</f>
        <v>1.1020966271649955</v>
      </c>
      <c r="FI144" s="558">
        <f>FI77/FI58</f>
        <v>1.3184210526315789</v>
      </c>
      <c r="FJ144" s="559">
        <f>FI144</f>
        <v>1.3184210526315789</v>
      </c>
      <c r="FK144" s="558">
        <f>FK77/FK58</f>
        <v>1.1837606837606838</v>
      </c>
      <c r="FL144" s="558">
        <f>FL77/FL58</f>
        <v>1.5119250425894377</v>
      </c>
      <c r="FM144" s="558">
        <f>FM77/FM58</f>
        <v>1.495777027027027</v>
      </c>
      <c r="FN144" s="558">
        <f>FN77/FN58</f>
        <v>1.900414937759336</v>
      </c>
      <c r="FO144" s="559">
        <f>FN144</f>
        <v>1.900414937759336</v>
      </c>
      <c r="FP144" s="558">
        <f>FP77/FP58</f>
        <v>2.5688375927452598</v>
      </c>
      <c r="FQ144" s="558">
        <f>FQ77/FQ58</f>
        <v>3.1192434210526314</v>
      </c>
      <c r="FR144" s="558">
        <f>FR77/FR58</f>
        <v>2.9719934102141679</v>
      </c>
      <c r="FS144" s="558">
        <f>FS77/FS58</f>
        <v>2.9867549668874172</v>
      </c>
      <c r="FT144" s="559">
        <f>FS144</f>
        <v>2.9867549668874172</v>
      </c>
      <c r="FU144" s="558">
        <f>FU77/FU58</f>
        <v>4.6891600861450105</v>
      </c>
      <c r="FV144" s="558">
        <f>FV77/FV58</f>
        <v>3.7033374536464772</v>
      </c>
      <c r="FW144" s="558">
        <f>FW77/FW58</f>
        <v>3.461919504643963</v>
      </c>
      <c r="FX144" s="558">
        <f>FX77/FX58</f>
        <v>3.6298822070675758</v>
      </c>
      <c r="FY144" s="559">
        <f>FX144</f>
        <v>3.6298822070675758</v>
      </c>
      <c r="FZ144" s="558">
        <f>FZ77/FZ58</f>
        <v>3.6865301055245188</v>
      </c>
      <c r="GA144" s="558">
        <f>GA77/GA58</f>
        <v>3.8988833746898264</v>
      </c>
      <c r="GB144" s="558">
        <f>GB77/GB58</f>
        <v>3.5798267326732671</v>
      </c>
      <c r="GC144" s="558">
        <f>GC77/GC58</f>
        <v>3.5724009900990099</v>
      </c>
      <c r="GD144" s="559">
        <f>GC144</f>
        <v>3.5724009900990099</v>
      </c>
      <c r="GE144" s="558">
        <f>GE77/GE58</f>
        <v>3.7322201607915892</v>
      </c>
      <c r="GF144" s="558">
        <f>GF77/GF58</f>
        <v>3.3003708281829418</v>
      </c>
      <c r="GG144" s="558">
        <f>GG77/GG58</f>
        <v>2.8049382716049385</v>
      </c>
      <c r="GH144" s="558">
        <f>GH77/GH58</f>
        <v>3.162045594577942</v>
      </c>
      <c r="GI144" s="559">
        <f>GH144</f>
        <v>3.162045594577942</v>
      </c>
      <c r="GJ144" s="558">
        <f>GJ77/GJ58</f>
        <v>4.5123456790123457</v>
      </c>
      <c r="GK144" s="558">
        <f>GK77/GK58</f>
        <v>3.6216882316697472</v>
      </c>
      <c r="GL144" s="558">
        <f>GL77/GL58</f>
        <v>4.4649446494464948</v>
      </c>
      <c r="GM144" s="558">
        <f>GM77/GM58</f>
        <v>6.4736196319018404</v>
      </c>
      <c r="GN144" s="559">
        <f>GM144</f>
        <v>6.4736196319018404</v>
      </c>
      <c r="GO144" s="558">
        <f>GO77/GO58</f>
        <v>7.570202329858982</v>
      </c>
      <c r="GP144" s="558">
        <f>GP77/GP58</f>
        <v>7.3034060091002528</v>
      </c>
      <c r="GQ144" s="558">
        <f>GQ77/GQ58</f>
        <v>8.3420261492796204</v>
      </c>
      <c r="GR144" s="558">
        <f>GR77/GR58</f>
        <v>9.0689304050660802</v>
      </c>
      <c r="GS144" s="559">
        <f>GR144</f>
        <v>9.0689304050660802</v>
      </c>
      <c r="GT144" s="558">
        <f>GT77/GT58</f>
        <v>11.913930112510673</v>
      </c>
      <c r="GU144" s="558">
        <f>GU77/GU58</f>
        <v>14.042739350044279</v>
      </c>
      <c r="GV144" s="558">
        <f>GV77/GV58</f>
        <v>16.323041815420051</v>
      </c>
      <c r="GW144" s="558">
        <f>GW77/GW58</f>
        <v>19.836894960774615</v>
      </c>
      <c r="GX144" s="559">
        <f>GW144</f>
        <v>19.836894960774615</v>
      </c>
      <c r="GY144" s="558">
        <f>GY77/GY58</f>
        <v>26.566204548738735</v>
      </c>
      <c r="GZ144" s="558">
        <f>GZ77/GZ58</f>
        <v>32.048201369037237</v>
      </c>
      <c r="HA144" s="558">
        <f>HA77/HA58</f>
        <v>36.597428847385657</v>
      </c>
      <c r="HB144" s="558">
        <f>HB77/HB58</f>
        <v>41.618388062994356</v>
      </c>
      <c r="HC144" s="559">
        <f>HB144</f>
        <v>41.618388062994356</v>
      </c>
      <c r="HD144" s="558">
        <f>HD77/HD58</f>
        <v>49.671085393420711</v>
      </c>
      <c r="HE144" s="558">
        <f>HE77/HE58</f>
        <v>56.294521035375595</v>
      </c>
      <c r="HF144" s="558">
        <f>HF77/HF58</f>
        <v>62.668291062099279</v>
      </c>
      <c r="HG144" s="558">
        <f>HG77/HG58</f>
        <v>69.993873500234187</v>
      </c>
      <c r="HH144" s="559">
        <f>HG144</f>
        <v>69.993873500234187</v>
      </c>
      <c r="HI144" s="558">
        <f>HI77/HI58</f>
        <v>79.909020139419638</v>
      </c>
      <c r="HJ144" s="558">
        <f>HJ77/HJ58</f>
        <v>87.516094470794599</v>
      </c>
      <c r="HK144" s="558">
        <f>HK77/HK58</f>
        <v>94.209000322805821</v>
      </c>
      <c r="HL144" s="558">
        <f>HL77/HL58</f>
        <v>102.67145309985175</v>
      </c>
      <c r="HM144" s="559">
        <f>HL144</f>
        <v>102.67145309985175</v>
      </c>
      <c r="HN144" s="559"/>
      <c r="HO144" s="559"/>
      <c r="HQ144" s="509"/>
      <c r="HY144" s="509"/>
      <c r="HZ144" s="509"/>
      <c r="IA144" s="509"/>
      <c r="IB144" s="509"/>
    </row>
    <row r="145" spans="1:236" s="563" customFormat="1" ht="11.25" hidden="1" customHeight="1" outlineLevel="1">
      <c r="A145" s="532" t="s">
        <v>454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09"/>
      <c r="L145" s="558"/>
      <c r="M145" s="558"/>
      <c r="N145" s="558"/>
      <c r="O145" s="558"/>
      <c r="P145" s="559"/>
      <c r="Q145" s="558"/>
      <c r="R145" s="558"/>
      <c r="S145" s="558"/>
      <c r="T145" s="558"/>
      <c r="U145" s="559"/>
      <c r="V145" s="558"/>
      <c r="W145" s="558"/>
      <c r="X145" s="558"/>
      <c r="Y145" s="558"/>
      <c r="Z145" s="559"/>
      <c r="AA145" s="558"/>
      <c r="AB145" s="558"/>
      <c r="AC145" s="558"/>
      <c r="AD145" s="558"/>
      <c r="AE145" s="559"/>
      <c r="AF145" s="558"/>
      <c r="AG145" s="558"/>
      <c r="AH145" s="558"/>
      <c r="AI145" s="558"/>
      <c r="AJ145" s="559"/>
      <c r="AK145" s="558">
        <f>(AK110+AK113)/AK58</f>
        <v>0.286326806212019</v>
      </c>
      <c r="AL145" s="558">
        <f>(AL110+AL113)/AL58</f>
        <v>0.28908670586768248</v>
      </c>
      <c r="AM145" s="558">
        <f>(AM110+AM113)/AM58</f>
        <v>-6.0201960485162777E-2</v>
      </c>
      <c r="AN145" s="558">
        <f>(AN110+AN113)/AN58</f>
        <v>-0.43037612996599256</v>
      </c>
      <c r="AO145" s="559">
        <f>SUM(AK145:AN145)</f>
        <v>8.4835421628546126E-2</v>
      </c>
      <c r="AP145" s="558">
        <f>(AP110+AP113)/AP58</f>
        <v>-8.6237431711910964E-2</v>
      </c>
      <c r="AQ145" s="558">
        <f>(AQ110+AQ113)/AQ58</f>
        <v>0.31235848265451616</v>
      </c>
      <c r="AR145" s="558">
        <f>(AR110+AR113)/AR58</f>
        <v>-0.25923182288318003</v>
      </c>
      <c r="AS145" s="558">
        <f>(AS110+AS113)/AS58</f>
        <v>-8.9607580595329975E-3</v>
      </c>
      <c r="AT145" s="559">
        <f>SUM(AP145:AS145)</f>
        <v>-4.2071530000107819E-2</v>
      </c>
      <c r="AU145" s="558">
        <f>(AU110+AU113)/AU58</f>
        <v>-0.4330594874240421</v>
      </c>
      <c r="AV145" s="558">
        <f>(AV110+AV113)/AV58</f>
        <v>-0.5020330312125737</v>
      </c>
      <c r="AW145" s="558">
        <f>(AW110+AW113)/AW58</f>
        <v>-0.62311326994018323</v>
      </c>
      <c r="AX145" s="558">
        <f>(AX110+AX113)/AX58</f>
        <v>4.9019536613895763E-2</v>
      </c>
      <c r="AY145" s="559">
        <f>SUM(AU145:AX145)</f>
        <v>-1.5091862519629033</v>
      </c>
      <c r="AZ145" s="558">
        <f>(AZ110+AZ113)/AZ58</f>
        <v>-0.12148898331545863</v>
      </c>
      <c r="BA145" s="558">
        <f>(BA110+BA113)/BA58</f>
        <v>-0.32825059661030709</v>
      </c>
      <c r="BB145" s="558">
        <f>(BB110+BB113)/BB58</f>
        <v>-0.47246172299442596</v>
      </c>
      <c r="BC145" s="558">
        <f>(BC110+BC113)/BC58</f>
        <v>-6.8560635426283781E-2</v>
      </c>
      <c r="BD145" s="559">
        <f>SUM(AZ145:BC145)</f>
        <v>-0.99076193834647541</v>
      </c>
      <c r="BE145" s="558">
        <f>(BE110+BE113)/BE58</f>
        <v>-0.71159203665887738</v>
      </c>
      <c r="BF145" s="558">
        <f>(BF110+BF113)/BF58</f>
        <v>-0.75324476167905086</v>
      </c>
      <c r="BG145" s="558">
        <f>(BG110+BG113)/BG58</f>
        <v>-1.2428260662020429</v>
      </c>
      <c r="BH145" s="558">
        <f>(BH110+BH113)/BH58</f>
        <v>-0.22782412686980213</v>
      </c>
      <c r="BI145" s="559">
        <f>SUM(BE145:BH145)</f>
        <v>-2.9354869914097734</v>
      </c>
      <c r="BJ145" s="558">
        <f>(BJ110+BJ113)/BJ58</f>
        <v>-0.60970193750899526</v>
      </c>
      <c r="BK145" s="558">
        <f>(BK110+BK113)/BK58</f>
        <v>-0.62615353751504577</v>
      </c>
      <c r="BL145" s="558">
        <f>(BL110+BL113)/BL58</f>
        <v>-0.70979998371644892</v>
      </c>
      <c r="BM145" s="558">
        <f>(BM110+BM113)/BM58</f>
        <v>0.70236333878887036</v>
      </c>
      <c r="BN145" s="559">
        <f>SUM(BJ145:BM145)</f>
        <v>-1.2432921199516196</v>
      </c>
      <c r="BO145" s="558">
        <f>(BO110+BO113)/BO58</f>
        <v>0.74948529155180199</v>
      </c>
      <c r="BP145" s="558">
        <f>(BP110+BP113)/BP58</f>
        <v>0.34125344743442748</v>
      </c>
      <c r="BQ145" s="558">
        <f>(BQ110+BQ113)/BQ58</f>
        <v>-3.8538593851400883E-4</v>
      </c>
      <c r="BR145" s="558">
        <f>(BR110+BR113)/BR58</f>
        <v>6.3490974378327319E-2</v>
      </c>
      <c r="BS145" s="559">
        <f>SUM(BO145:BR145)</f>
        <v>1.1538443274260428</v>
      </c>
      <c r="BT145" s="558">
        <f>(BT110+BT113)/BT58</f>
        <v>-4.5360092101709909E-2</v>
      </c>
      <c r="BU145" s="558">
        <f>(BU110+BU113)/BU58</f>
        <v>-1.1128789280334064</v>
      </c>
      <c r="BV145" s="558">
        <f>(BV110+BV113)/BV58</f>
        <v>-0.26339829123242126</v>
      </c>
      <c r="BW145" s="558">
        <f>(BW110+BW113)/BW58</f>
        <v>-7.4700325474319512E-2</v>
      </c>
      <c r="BX145" s="559">
        <f>SUM(BT145:BW145)</f>
        <v>-1.4963376368418571</v>
      </c>
      <c r="BY145" s="558">
        <f>(BY110+BY113)/BY58</f>
        <v>3.3596826346953872E-2</v>
      </c>
      <c r="BZ145" s="558">
        <f>(BZ110+BZ113)/BZ58</f>
        <v>-0.81948727551480205</v>
      </c>
      <c r="CA145" s="558">
        <f>(CA110+CA113)/CA58</f>
        <v>-0.84423828694789682</v>
      </c>
      <c r="CB145" s="558">
        <f>(CB110+CB113)/CB58</f>
        <v>-0.68624418155017208</v>
      </c>
      <c r="CC145" s="559">
        <f>SUM(BY145:CB145)</f>
        <v>-2.3163729176659169</v>
      </c>
      <c r="CD145" s="558">
        <f>(CD110+CD113)/CD58</f>
        <v>-0.75115648151368664</v>
      </c>
      <c r="CE145" s="558">
        <f>(CE110+CE113)/CE58</f>
        <v>-0.33906502656502663</v>
      </c>
      <c r="CF145" s="558">
        <f>(CF110+CF113)/CF58</f>
        <v>-0.35688415185383521</v>
      </c>
      <c r="CG145" s="558">
        <f>(CG110+CG113)/CG58</f>
        <v>0.54256709675869175</v>
      </c>
      <c r="CH145" s="559">
        <f>SUM(CD145:CG145)</f>
        <v>-0.90453856317385672</v>
      </c>
      <c r="CI145" s="558">
        <f>(CI110+CI113)/CI58</f>
        <v>1.0084665228849769E-2</v>
      </c>
      <c r="CJ145" s="558">
        <f>(CJ110+CJ113)/CJ58</f>
        <v>-0.25302759413693005</v>
      </c>
      <c r="CK145" s="558">
        <f>(CK110+CK113)/CK58</f>
        <v>-0.34329798647431831</v>
      </c>
      <c r="CL145" s="558">
        <f>(CL110+CL113)/CL58</f>
        <v>-0.28827256546623048</v>
      </c>
      <c r="CM145" s="559">
        <f>SUM(CI145:CL145)</f>
        <v>-0.87451348084862912</v>
      </c>
      <c r="CN145" s="558">
        <f>(CN110+CN113)/CN58</f>
        <v>-0.67962511161935213</v>
      </c>
      <c r="CO145" s="558">
        <f>(CO110+CO113)/CO58</f>
        <v>-9.3907659850297795E-2</v>
      </c>
      <c r="CP145" s="558">
        <f>(CP110+CP113)/CP58</f>
        <v>0.15053608335718738</v>
      </c>
      <c r="CQ145" s="558">
        <f>(CQ110+CQ113)/CQ58</f>
        <v>0.46015568520725164</v>
      </c>
      <c r="CR145" s="559">
        <f>SUM(CN145:CQ145)</f>
        <v>-0.16284100290521092</v>
      </c>
      <c r="CS145" s="558">
        <f>(CS110+CS113)/CS58</f>
        <v>0.51687777342598595</v>
      </c>
      <c r="CT145" s="558">
        <f>(CT110+CT113)/CT58</f>
        <v>-0.47286155273343783</v>
      </c>
      <c r="CU145" s="558">
        <f>(CU110+CU113)/CU58</f>
        <v>-0.39194439300121592</v>
      </c>
      <c r="CV145" s="558">
        <f>(CV110+CV113)/CV58</f>
        <v>-0.74116572504708111</v>
      </c>
      <c r="CW145" s="559">
        <f>SUM(CS145:CV145)</f>
        <v>-1.0890938973557489</v>
      </c>
      <c r="CX145" s="558">
        <f>(CX110+CX113)/CX58</f>
        <v>-0.9927140255009107</v>
      </c>
      <c r="CY145" s="558">
        <f>(CY110+CY113)/CY58</f>
        <v>-1.9003623188405796</v>
      </c>
      <c r="CZ145" s="558">
        <f>(CZ110+CZ113)/CZ58</f>
        <v>-0.35379061371841153</v>
      </c>
      <c r="DA145" s="558">
        <f>(DA110+DA113)/DA58</f>
        <v>-0.3540587219343696</v>
      </c>
      <c r="DB145" s="559">
        <f>SUM(CX145:DA145)</f>
        <v>-3.6009256799942717</v>
      </c>
      <c r="DC145" s="558">
        <f>(DC110+DC113)/DC58</f>
        <v>-0.50660066006600657</v>
      </c>
      <c r="DD145" s="558">
        <f>(DD110+DD113)/DD58</f>
        <v>-0.5733113673805601</v>
      </c>
      <c r="DE145" s="558">
        <f>(DE110+DE113)/DE58</f>
        <v>-0.49013157894736842</v>
      </c>
      <c r="DF145" s="558">
        <f>(DF110+DF113)/DF58</f>
        <v>-0.59605911330049266</v>
      </c>
      <c r="DG145" s="559">
        <f>SUM(DC145:DF145)</f>
        <v>-2.1661027196944276</v>
      </c>
      <c r="DH145" s="558"/>
      <c r="DI145" s="558"/>
      <c r="DJ145" s="558"/>
      <c r="DK145" s="558"/>
      <c r="DL145" s="559"/>
      <c r="DM145" s="558"/>
      <c r="DN145" s="558"/>
      <c r="DO145" s="558"/>
      <c r="DP145" s="558"/>
      <c r="DQ145" s="559"/>
      <c r="DR145" s="558"/>
      <c r="DS145" s="558"/>
      <c r="DT145" s="558"/>
      <c r="DU145" s="558"/>
      <c r="DV145" s="559"/>
      <c r="DW145" s="558"/>
      <c r="DX145" s="558"/>
      <c r="DY145" s="558"/>
      <c r="DZ145" s="558"/>
      <c r="EA145" s="559"/>
      <c r="EB145" s="558"/>
      <c r="EC145" s="558"/>
      <c r="ED145" s="558"/>
      <c r="EE145" s="558"/>
      <c r="EF145" s="559"/>
      <c r="EG145" s="558"/>
      <c r="EH145" s="558"/>
      <c r="EI145" s="558"/>
      <c r="EJ145" s="558"/>
      <c r="EK145" s="559"/>
      <c r="EL145" s="558"/>
      <c r="EM145" s="558"/>
      <c r="EN145" s="558"/>
      <c r="EO145" s="558"/>
      <c r="EP145" s="559"/>
      <c r="EQ145" s="558"/>
      <c r="ER145" s="558"/>
      <c r="ES145" s="558"/>
      <c r="ET145" s="558"/>
      <c r="EU145" s="559"/>
      <c r="EV145" s="558"/>
      <c r="EW145" s="558"/>
      <c r="EX145" s="558"/>
      <c r="EY145" s="558"/>
      <c r="EZ145" s="559"/>
      <c r="FA145" s="558"/>
      <c r="FB145" s="558"/>
      <c r="FC145" s="558"/>
      <c r="FD145" s="558"/>
      <c r="FE145" s="559"/>
      <c r="FF145" s="558"/>
      <c r="FG145" s="558"/>
      <c r="FH145" s="558"/>
      <c r="FI145" s="558"/>
      <c r="FJ145" s="559"/>
      <c r="FK145" s="558"/>
      <c r="FL145" s="558"/>
      <c r="FM145" s="558"/>
      <c r="FN145" s="558"/>
      <c r="FO145" s="559"/>
      <c r="FP145" s="558"/>
      <c r="FQ145" s="558"/>
      <c r="FR145" s="558"/>
      <c r="FS145" s="558"/>
      <c r="FT145" s="559"/>
      <c r="FU145" s="558"/>
      <c r="FV145" s="558"/>
      <c r="FW145" s="558"/>
      <c r="FX145" s="558"/>
      <c r="FY145" s="559"/>
      <c r="FZ145" s="558"/>
      <c r="GA145" s="558"/>
      <c r="GB145" s="558"/>
      <c r="GC145" s="558"/>
      <c r="GD145" s="559"/>
      <c r="GE145" s="558"/>
      <c r="GF145" s="558"/>
      <c r="GG145" s="558"/>
      <c r="GH145" s="558"/>
      <c r="GI145" s="559"/>
      <c r="GJ145" s="558"/>
      <c r="GK145" s="558"/>
      <c r="GL145" s="558"/>
      <c r="GM145" s="558"/>
      <c r="GN145" s="559"/>
      <c r="GO145" s="558"/>
      <c r="GP145" s="558"/>
      <c r="GQ145" s="558"/>
      <c r="GR145" s="558"/>
      <c r="GS145" s="559"/>
      <c r="GT145" s="558"/>
      <c r="GU145" s="558"/>
      <c r="GV145" s="558"/>
      <c r="GW145" s="558"/>
      <c r="GX145" s="559"/>
      <c r="GY145" s="558"/>
      <c r="GZ145" s="558"/>
      <c r="HA145" s="558"/>
      <c r="HB145" s="558"/>
      <c r="HC145" s="559"/>
      <c r="HD145" s="558"/>
      <c r="HE145" s="558"/>
      <c r="HF145" s="558"/>
      <c r="HG145" s="558"/>
      <c r="HH145" s="559"/>
      <c r="HI145" s="558"/>
      <c r="HJ145" s="558"/>
      <c r="HK145" s="558"/>
      <c r="HL145" s="558"/>
      <c r="HM145" s="559"/>
      <c r="HN145" s="559"/>
      <c r="HO145" s="559"/>
      <c r="HQ145" s="509"/>
      <c r="HY145" s="509"/>
      <c r="HZ145" s="509"/>
      <c r="IA145" s="509"/>
      <c r="IB145" s="509"/>
    </row>
    <row r="146" spans="1:236" s="563" customFormat="1" ht="11.25" hidden="1" customHeight="1" outlineLevel="1">
      <c r="A146" s="636" t="s">
        <v>455</v>
      </c>
      <c r="B146" s="509"/>
      <c r="C146" s="509"/>
      <c r="D146" s="509"/>
      <c r="E146" s="509"/>
      <c r="F146" s="509"/>
      <c r="G146" s="509"/>
      <c r="H146" s="509"/>
      <c r="I146" s="509"/>
      <c r="J146" s="509"/>
      <c r="K146" s="509"/>
      <c r="L146" s="523"/>
      <c r="M146" s="523"/>
      <c r="N146" s="523"/>
      <c r="O146" s="523"/>
      <c r="P146" s="524"/>
      <c r="Q146" s="523"/>
      <c r="R146" s="523"/>
      <c r="S146" s="523"/>
      <c r="T146" s="523"/>
      <c r="U146" s="524"/>
      <c r="V146" s="523"/>
      <c r="W146" s="523"/>
      <c r="X146" s="523"/>
      <c r="Y146" s="523"/>
      <c r="Z146" s="524"/>
      <c r="AA146" s="523"/>
      <c r="AB146" s="523"/>
      <c r="AC146" s="523"/>
      <c r="AD146" s="523"/>
      <c r="AE146" s="524"/>
      <c r="AF146" s="523"/>
      <c r="AG146" s="523"/>
      <c r="AH146" s="523"/>
      <c r="AI146" s="523"/>
      <c r="AJ146" s="524"/>
      <c r="AK146" s="523">
        <f>AK87-AK94</f>
        <v>580.8689999999998</v>
      </c>
      <c r="AL146" s="523">
        <f>AL87-AL94</f>
        <v>627.73299999999995</v>
      </c>
      <c r="AM146" s="523">
        <f>AM87-AM94</f>
        <v>597.77599999999995</v>
      </c>
      <c r="AN146" s="523">
        <f>AN87-AN94</f>
        <v>394.45200000000011</v>
      </c>
      <c r="AO146" s="524">
        <f t="shared" si="161"/>
        <v>394.45200000000011</v>
      </c>
      <c r="AP146" s="523">
        <f>AP87-AP94</f>
        <v>484.19400000000007</v>
      </c>
      <c r="AQ146" s="523">
        <f>AQ87-AQ94</f>
        <v>507.03500000000008</v>
      </c>
      <c r="AR146" s="523">
        <f>AR87-AR94</f>
        <v>441.60599999999999</v>
      </c>
      <c r="AS146" s="523">
        <f>AS87-AS94</f>
        <v>475.03200000000004</v>
      </c>
      <c r="AT146" s="524">
        <f t="shared" si="162"/>
        <v>475.03200000000004</v>
      </c>
      <c r="AU146" s="523">
        <f>AU87-AU94</f>
        <v>480.21399999999983</v>
      </c>
      <c r="AV146" s="523">
        <f>AV87-AV94</f>
        <v>404.57000000000011</v>
      </c>
      <c r="AW146" s="523">
        <f>AW87-AW94</f>
        <v>529.21300000000008</v>
      </c>
      <c r="AX146" s="523">
        <f>AX87-AX94</f>
        <v>445.60399999999993</v>
      </c>
      <c r="AY146" s="524">
        <f t="shared" si="163"/>
        <v>445.60399999999993</v>
      </c>
      <c r="AZ146" s="523">
        <f>AZ87-AZ94</f>
        <v>651.57699999999988</v>
      </c>
      <c r="BA146" s="523">
        <f>BA87-BA94</f>
        <v>609.65399999999988</v>
      </c>
      <c r="BB146" s="523">
        <f>BB87-BB94</f>
        <v>511.66099999999994</v>
      </c>
      <c r="BC146" s="523">
        <f>BC87-BC94</f>
        <v>448.49700000000007</v>
      </c>
      <c r="BD146" s="524">
        <f t="shared" si="164"/>
        <v>448.49700000000007</v>
      </c>
      <c r="BE146" s="523">
        <f>BE87-BE94</f>
        <v>256.72699999999986</v>
      </c>
      <c r="BF146" s="523">
        <f>BF87-BF94</f>
        <v>535.54999999999995</v>
      </c>
      <c r="BG146" s="523">
        <f>BG87-BG94</f>
        <v>545.75</v>
      </c>
      <c r="BH146" s="523">
        <f>BH87-BH94</f>
        <v>721.30799999999999</v>
      </c>
      <c r="BI146" s="524">
        <f t="shared" si="165"/>
        <v>721.30799999999999</v>
      </c>
      <c r="BJ146" s="523">
        <f>BJ87-BJ94</f>
        <v>465.00500000000011</v>
      </c>
      <c r="BK146" s="523">
        <f>BK87-BK94</f>
        <v>514.70299999999997</v>
      </c>
      <c r="BL146" s="523">
        <f>BL87-BL94</f>
        <v>407.32799999999997</v>
      </c>
      <c r="BM146" s="523">
        <f>BM87-BM94</f>
        <v>499.22599999999989</v>
      </c>
      <c r="BN146" s="524">
        <f t="shared" si="166"/>
        <v>499.22599999999989</v>
      </c>
      <c r="BO146" s="523">
        <f>BO87-BO94</f>
        <v>822.79300000000001</v>
      </c>
      <c r="BP146" s="523">
        <f>BP87-BP94</f>
        <v>1122.654</v>
      </c>
      <c r="BQ146" s="523">
        <f>BQ87-BQ94</f>
        <v>1388.5229999999997</v>
      </c>
      <c r="BR146" s="523">
        <f>BR87-BR94</f>
        <v>1433.5800000000004</v>
      </c>
      <c r="BS146" s="524">
        <f t="shared" si="167"/>
        <v>1433.5800000000004</v>
      </c>
      <c r="BT146" s="523">
        <f>BT87-BT94</f>
        <v>1719.366</v>
      </c>
      <c r="BU146" s="523">
        <f>BU87-BU94</f>
        <v>1473.1080000000004</v>
      </c>
      <c r="BV146" s="523">
        <f>BV87-BV94</f>
        <v>1227.1969999999999</v>
      </c>
      <c r="BW146" s="523">
        <f>BW87-BW94</f>
        <v>1039.1720000000003</v>
      </c>
      <c r="BX146" s="524">
        <f t="shared" si="168"/>
        <v>1039.1720000000003</v>
      </c>
      <c r="BY146" s="523">
        <f>BY87-BY94</f>
        <v>1432.873</v>
      </c>
      <c r="BZ146" s="523">
        <f>BZ87-BZ94</f>
        <v>1243.9290000000001</v>
      </c>
      <c r="CA146" s="523">
        <f>CA87-CA94</f>
        <v>851.78700000000003</v>
      </c>
      <c r="CB146" s="523">
        <f>CB87-CB94</f>
        <v>647.59899999999993</v>
      </c>
      <c r="CC146" s="524">
        <f t="shared" si="169"/>
        <v>647.59899999999993</v>
      </c>
      <c r="CD146" s="523">
        <f>CD87-CD94</f>
        <v>525.10800000000017</v>
      </c>
      <c r="CE146" s="523">
        <f>CE87-CE94</f>
        <v>651.04800000000023</v>
      </c>
      <c r="CF146" s="523">
        <f>CF87-CF94</f>
        <v>1248.9409999999996</v>
      </c>
      <c r="CG146" s="523">
        <f>CG87-CG94</f>
        <v>1448.0080000000003</v>
      </c>
      <c r="CH146" s="524">
        <f t="shared" si="170"/>
        <v>1448.0080000000003</v>
      </c>
      <c r="CI146" s="523">
        <f>CI87-CI94</f>
        <v>1464.6399999999999</v>
      </c>
      <c r="CJ146" s="523">
        <f>CJ87-CJ94</f>
        <v>1366.1370000000002</v>
      </c>
      <c r="CK146" s="523">
        <f>CK87-CK94</f>
        <v>1467.3139999999996</v>
      </c>
      <c r="CL146" s="523">
        <f>CL87-CL94</f>
        <v>1381.6210000000003</v>
      </c>
      <c r="CM146" s="524">
        <f t="shared" si="171"/>
        <v>1381.6210000000003</v>
      </c>
      <c r="CN146" s="523">
        <f>CN87-CN94</f>
        <v>1224.0000000000002</v>
      </c>
      <c r="CO146" s="523">
        <f>CO87-CO94</f>
        <v>1250.3769999999997</v>
      </c>
      <c r="CP146" s="523">
        <f>CP87-CP94</f>
        <v>1250.0479999999998</v>
      </c>
      <c r="CQ146" s="523">
        <f>CQ87-CQ94</f>
        <v>1736.8730000000003</v>
      </c>
      <c r="CR146" s="524">
        <f t="shared" si="172"/>
        <v>1736.8730000000003</v>
      </c>
      <c r="CS146" s="523">
        <f>CS87-CS94</f>
        <v>2268.3290000000002</v>
      </c>
      <c r="CT146" s="523">
        <f>CT87-CT94</f>
        <v>2151.0430000000001</v>
      </c>
      <c r="CU146" s="523">
        <f>CU87-CU94</f>
        <v>2019.6500000000003</v>
      </c>
      <c r="CV146" s="523">
        <f>CV87-CV94</f>
        <v>1115</v>
      </c>
      <c r="CW146" s="524">
        <f t="shared" si="173"/>
        <v>1115</v>
      </c>
      <c r="CX146" s="523">
        <f>CX87-CX94</f>
        <v>275</v>
      </c>
      <c r="CY146" s="523">
        <f>CY87-CY94</f>
        <v>1122</v>
      </c>
      <c r="CZ146" s="523">
        <f>CZ87-CZ94</f>
        <v>841</v>
      </c>
      <c r="DA146" s="523">
        <f>DA87-DA94</f>
        <v>1191</v>
      </c>
      <c r="DB146" s="524">
        <f t="shared" si="174"/>
        <v>1191</v>
      </c>
      <c r="DC146" s="523">
        <f>DC87-DC94</f>
        <v>775</v>
      </c>
      <c r="DD146" s="523">
        <f>DD87-DD94</f>
        <v>963</v>
      </c>
      <c r="DE146" s="523">
        <f>DE87-DE94</f>
        <v>956</v>
      </c>
      <c r="DF146" s="523">
        <f>DF87-DF94</f>
        <v>153</v>
      </c>
      <c r="DG146" s="524">
        <f t="shared" si="175"/>
        <v>153</v>
      </c>
      <c r="DH146" s="523">
        <f>DH87-DH94</f>
        <v>1892</v>
      </c>
      <c r="DI146" s="523">
        <f>DI87-DI94</f>
        <v>1691</v>
      </c>
      <c r="DJ146" s="523">
        <f>DJ87-DJ94</f>
        <v>1842</v>
      </c>
      <c r="DK146" s="523">
        <f>DK87-DK94</f>
        <v>2065</v>
      </c>
      <c r="DL146" s="524">
        <f t="shared" si="176"/>
        <v>2065</v>
      </c>
      <c r="DM146" s="523">
        <f>DM87-DM94</f>
        <v>1686</v>
      </c>
      <c r="DN146" s="523">
        <f>DN87-DN94</f>
        <v>1683</v>
      </c>
      <c r="DO146" s="523">
        <f>DO87-DO94</f>
        <v>1547</v>
      </c>
      <c r="DP146" s="523">
        <f>DP87-DP94</f>
        <v>1920</v>
      </c>
      <c r="DQ146" s="524">
        <f t="shared" si="177"/>
        <v>1920</v>
      </c>
      <c r="DR146" s="523">
        <f>DR87-DR94</f>
        <v>2036</v>
      </c>
      <c r="DS146" s="523">
        <f>DS87-DS94</f>
        <v>2126</v>
      </c>
      <c r="DT146" s="523">
        <f>DT87-DT94</f>
        <v>1557</v>
      </c>
      <c r="DU146" s="523">
        <f>DU87-DU94</f>
        <v>1455</v>
      </c>
      <c r="DV146" s="524">
        <f t="shared" si="178"/>
        <v>1455</v>
      </c>
      <c r="DW146" s="523">
        <f>DW87-DW94</f>
        <v>848</v>
      </c>
      <c r="DX146" s="523">
        <f>DX87-DX94</f>
        <v>881</v>
      </c>
      <c r="DY146" s="523">
        <f>DY87-DY94</f>
        <v>1260</v>
      </c>
      <c r="DZ146" s="523">
        <f>DZ87-DZ94</f>
        <v>868</v>
      </c>
      <c r="EA146" s="524">
        <f t="shared" si="179"/>
        <v>868</v>
      </c>
      <c r="EB146" s="523">
        <f>EB87-EB94</f>
        <v>1017</v>
      </c>
      <c r="EC146" s="523">
        <f>EC87-EC94</f>
        <v>1007</v>
      </c>
      <c r="ED146" s="523">
        <f>ED87-ED94</f>
        <v>1298</v>
      </c>
      <c r="EE146" s="523">
        <f>EE87-EE94</f>
        <v>1356</v>
      </c>
      <c r="EF146" s="524">
        <f t="shared" si="180"/>
        <v>1356</v>
      </c>
      <c r="EG146" s="523">
        <f>EG87-EG94</f>
        <v>1306</v>
      </c>
      <c r="EH146" s="523">
        <f>EH87-EH94</f>
        <v>1427</v>
      </c>
      <c r="EI146" s="523">
        <f>EI87-EI94</f>
        <v>1454</v>
      </c>
      <c r="EJ146" s="523">
        <f>EJ87-EJ94</f>
        <v>1296</v>
      </c>
      <c r="EK146" s="524">
        <f t="shared" si="181"/>
        <v>1296</v>
      </c>
      <c r="EL146" s="523">
        <f>EL87-EL94</f>
        <v>1205</v>
      </c>
      <c r="EM146" s="523">
        <f>EM87-EM94</f>
        <v>1052</v>
      </c>
      <c r="EN146" s="523">
        <f>EN87-EN94</f>
        <v>980</v>
      </c>
      <c r="EO146" s="523">
        <f>EO87-EO94</f>
        <v>917</v>
      </c>
      <c r="EP146" s="524">
        <f t="shared" si="182"/>
        <v>917</v>
      </c>
      <c r="EQ146" s="523">
        <f>EQ87-EQ94</f>
        <v>898</v>
      </c>
      <c r="ER146" s="523">
        <f>ER87-ER94</f>
        <v>925</v>
      </c>
      <c r="ES146" s="523">
        <f>ES87-ES94</f>
        <v>1351</v>
      </c>
      <c r="ET146" s="523">
        <f>ET87-ET94</f>
        <v>1184</v>
      </c>
      <c r="EU146" s="524">
        <f t="shared" ref="EU146:EU163" si="183">ET146</f>
        <v>1184</v>
      </c>
      <c r="EV146" s="523">
        <f>EV87-EV94</f>
        <v>1126</v>
      </c>
      <c r="EW146" s="523">
        <f>EW87-EW94</f>
        <v>1062</v>
      </c>
      <c r="EX146" s="523">
        <f>EX87-EX94</f>
        <v>1108</v>
      </c>
      <c r="EY146" s="523">
        <f>EY87-EY94</f>
        <v>1136</v>
      </c>
      <c r="EZ146" s="524">
        <f t="shared" ref="EZ146:EZ163" si="184">EY146</f>
        <v>1136</v>
      </c>
      <c r="FA146" s="523">
        <f>FA87-FA94</f>
        <v>1054</v>
      </c>
      <c r="FB146" s="523">
        <f>FB87-FB94</f>
        <v>1231</v>
      </c>
      <c r="FC146" s="523">
        <f>FC87-FC94</f>
        <v>1436</v>
      </c>
      <c r="FD146" s="523">
        <f>FD87-FD94</f>
        <v>1556</v>
      </c>
      <c r="FE146" s="524">
        <f t="shared" ref="FE146:FE163" si="185">FD146</f>
        <v>1556</v>
      </c>
      <c r="FF146" s="523">
        <f>FF87-FF94</f>
        <v>1913</v>
      </c>
      <c r="FG146" s="523">
        <f>FG87-FG94</f>
        <v>1950</v>
      </c>
      <c r="FH146" s="523">
        <f>FH87-FH94</f>
        <v>2048</v>
      </c>
      <c r="FI146" s="523">
        <f>FI87-FI94</f>
        <v>2238</v>
      </c>
      <c r="FJ146" s="524">
        <f t="shared" ref="FJ146:FJ163" si="186">FI146</f>
        <v>2238</v>
      </c>
      <c r="FK146" s="523">
        <f>FK87-FK94</f>
        <v>2405</v>
      </c>
      <c r="FL146" s="523">
        <f>FL87-FL94</f>
        <v>2675</v>
      </c>
      <c r="FM146" s="523">
        <f>FM87-FM94</f>
        <v>3083</v>
      </c>
      <c r="FN146" s="523">
        <f>FN87-FN94</f>
        <v>3726</v>
      </c>
      <c r="FO146" s="524">
        <f t="shared" ref="FO146:FO163" si="187">FN146</f>
        <v>3726</v>
      </c>
      <c r="FP146" s="523">
        <f>FP87-FP94</f>
        <v>4333</v>
      </c>
      <c r="FQ146" s="523">
        <f>FQ87-FQ94</f>
        <v>4926</v>
      </c>
      <c r="FR146" s="523">
        <f>FR87-FR94</f>
        <v>4424</v>
      </c>
      <c r="FS146" s="523">
        <f>FS87-FS94</f>
        <v>4343</v>
      </c>
      <c r="FT146" s="524">
        <f t="shared" ref="FT146:FT163" si="188">FS146</f>
        <v>4343</v>
      </c>
      <c r="FU146" s="523">
        <f>FU87-FU94</f>
        <v>7788</v>
      </c>
      <c r="FV146" s="523">
        <f>FV87-FV94</f>
        <v>7939</v>
      </c>
      <c r="FW146" s="523">
        <f>FW87-FW94</f>
        <v>7729</v>
      </c>
      <c r="FX146" s="523">
        <f>FX87-FX94</f>
        <v>8650</v>
      </c>
      <c r="FY146" s="524">
        <f t="shared" ref="FY146:FY163" si="189">FX146</f>
        <v>8650</v>
      </c>
      <c r="FZ146" s="523">
        <f>FZ87-FZ94</f>
        <v>9081</v>
      </c>
      <c r="GA146" s="523">
        <f>GA87-GA94</f>
        <v>8933</v>
      </c>
      <c r="GB146" s="523">
        <f>GB87-GB94</f>
        <v>9061</v>
      </c>
      <c r="GC146" s="523">
        <f>GC87-GC94</f>
        <v>10079</v>
      </c>
      <c r="GD146" s="524">
        <f t="shared" ref="GD146:GD163" si="190">GC146</f>
        <v>10079</v>
      </c>
      <c r="GE146" s="523">
        <f>GE87-GE94</f>
        <v>10610</v>
      </c>
      <c r="GF146" s="523">
        <f>GF87-GF94</f>
        <v>11270</v>
      </c>
      <c r="GG146" s="523">
        <f>GG87-GG94</f>
        <v>11235</v>
      </c>
      <c r="GH146" s="523">
        <f>GH87-GH94</f>
        <v>11768</v>
      </c>
      <c r="GI146" s="524">
        <f t="shared" ref="GI146:GI163" si="191">GH146</f>
        <v>11768</v>
      </c>
      <c r="GJ146" s="523">
        <f>GJ87-GJ94</f>
        <v>13892</v>
      </c>
      <c r="GK146" s="523">
        <f>GK87-GK94</f>
        <v>14676</v>
      </c>
      <c r="GL146" s="523">
        <f>GL87-GL94</f>
        <v>15300</v>
      </c>
      <c r="GM146" s="523">
        <f>GM87-GM94</f>
        <v>17492</v>
      </c>
      <c r="GN146" s="524">
        <f t="shared" ref="GN146:GN163" si="192">GM146</f>
        <v>17492</v>
      </c>
      <c r="GO146" s="523">
        <f>GO87-GO94</f>
        <v>18122</v>
      </c>
      <c r="GP146" s="523">
        <f>GP87-GP94</f>
        <v>20224.818489113324</v>
      </c>
      <c r="GQ146" s="523">
        <f>GQ87-GQ94</f>
        <v>22504.940379484295</v>
      </c>
      <c r="GR146" s="523">
        <f>GR87-GR94</f>
        <v>28672.700837031072</v>
      </c>
      <c r="GS146" s="524">
        <f t="shared" ref="GS146:GS163" si="193">GR146</f>
        <v>28672.700837031072</v>
      </c>
      <c r="GT146" s="523">
        <f>GT87-GT94</f>
        <v>35814.904459973142</v>
      </c>
      <c r="GU146" s="523">
        <f>GU87-GU94</f>
        <v>43754.783454667231</v>
      </c>
      <c r="GV146" s="523">
        <f>GV87-GV94</f>
        <v>53494.465792305404</v>
      </c>
      <c r="GW146" s="523">
        <f>GW87-GW94</f>
        <v>64376.3892619135</v>
      </c>
      <c r="GX146" s="524">
        <f t="shared" ref="GX146:GX163" si="194">GW146</f>
        <v>64376.3892619135</v>
      </c>
      <c r="GY146" s="523">
        <f>GY87-GY94</f>
        <v>74881.134921189136</v>
      </c>
      <c r="GZ146" s="523">
        <f>GZ87-GZ94</f>
        <v>86147.727640398414</v>
      </c>
      <c r="HA146" s="523">
        <f>HA87-HA94</f>
        <v>98334.58593619852</v>
      </c>
      <c r="HB146" s="523">
        <f>HB87-HB94</f>
        <v>111948.64856464144</v>
      </c>
      <c r="HC146" s="524">
        <f t="shared" ref="HC146:HC163" si="195">HB146</f>
        <v>111948.64856464144</v>
      </c>
      <c r="HD146" s="523">
        <f>HD87-HD94</f>
        <v>126143.83430515787</v>
      </c>
      <c r="HE146" s="523">
        <f>HE87-HE94</f>
        <v>140751.01826565884</v>
      </c>
      <c r="HF146" s="523">
        <f>HF87-HF94</f>
        <v>156822.48163798414</v>
      </c>
      <c r="HG146" s="523">
        <f>HG87-HG94</f>
        <v>173563.73975548227</v>
      </c>
      <c r="HH146" s="524">
        <f t="shared" ref="HH146:HH163" si="196">HG146</f>
        <v>173563.73975548227</v>
      </c>
      <c r="HI146" s="523">
        <f>HI87-HI94</f>
        <v>191425.5451041511</v>
      </c>
      <c r="HJ146" s="523">
        <f>HJ87-HJ94</f>
        <v>209811.84194547278</v>
      </c>
      <c r="HK146" s="523">
        <f>HK87-HK94</f>
        <v>229670.97838822566</v>
      </c>
      <c r="HL146" s="523">
        <f>HL87-HL94</f>
        <v>251092.69904068176</v>
      </c>
      <c r="HM146" s="524">
        <f t="shared" ref="HM146:HM163" si="197">HL146</f>
        <v>251092.69904068176</v>
      </c>
      <c r="HN146" s="524"/>
      <c r="HO146" s="524"/>
      <c r="HQ146" s="509"/>
      <c r="HY146" s="509"/>
      <c r="HZ146" s="509"/>
      <c r="IA146" s="509"/>
      <c r="IB146" s="509"/>
    </row>
    <row r="147" spans="1:236" s="563" customFormat="1" ht="11.25" hidden="1" customHeight="1" outlineLevel="1">
      <c r="A147" s="532" t="s">
        <v>456</v>
      </c>
      <c r="B147" s="509"/>
      <c r="C147" s="509"/>
      <c r="D147" s="509"/>
      <c r="E147" s="509"/>
      <c r="F147" s="509"/>
      <c r="G147" s="509"/>
      <c r="H147" s="509"/>
      <c r="I147" s="509"/>
      <c r="J147" s="509"/>
      <c r="K147" s="509"/>
      <c r="L147" s="523"/>
      <c r="M147" s="523"/>
      <c r="N147" s="523"/>
      <c r="O147" s="523"/>
      <c r="P147" s="524"/>
      <c r="Q147" s="523"/>
      <c r="R147" s="523"/>
      <c r="S147" s="523"/>
      <c r="T147" s="523"/>
      <c r="U147" s="524"/>
      <c r="V147" s="523"/>
      <c r="W147" s="523"/>
      <c r="X147" s="523"/>
      <c r="Y147" s="523"/>
      <c r="Z147" s="524"/>
      <c r="AA147" s="523"/>
      <c r="AB147" s="523"/>
      <c r="AC147" s="523"/>
      <c r="AD147" s="523"/>
      <c r="AE147" s="524"/>
      <c r="AF147" s="523"/>
      <c r="AG147" s="523"/>
      <c r="AH147" s="523"/>
      <c r="AI147" s="523"/>
      <c r="AJ147" s="524"/>
      <c r="AK147" s="523">
        <f>AK87/AK94</f>
        <v>2.1815213942249012</v>
      </c>
      <c r="AL147" s="523">
        <f>AL87/AL94</f>
        <v>2.2879876891510644</v>
      </c>
      <c r="AM147" s="523">
        <f>AM87/AM94</f>
        <v>2.1184944437895616</v>
      </c>
      <c r="AN147" s="523">
        <f>AN87/AN94</f>
        <v>1.6661161462898137</v>
      </c>
      <c r="AO147" s="524">
        <f t="shared" si="161"/>
        <v>1.6661161462898137</v>
      </c>
      <c r="AP147" s="523">
        <f>AP87/AP94</f>
        <v>1.810814340974932</v>
      </c>
      <c r="AQ147" s="523">
        <f>AQ87/AQ94</f>
        <v>1.7384668040576461</v>
      </c>
      <c r="AR147" s="523">
        <f>AR87/AR94</f>
        <v>1.641816945132373</v>
      </c>
      <c r="AS147" s="523">
        <f>AS87/AS94</f>
        <v>1.7640413294388615</v>
      </c>
      <c r="AT147" s="524">
        <f t="shared" si="162"/>
        <v>1.7640413294388615</v>
      </c>
      <c r="AU147" s="523">
        <f>AU87/AU94</f>
        <v>1.9014108301297448</v>
      </c>
      <c r="AV147" s="523">
        <f>AV87/AV94</f>
        <v>1.8645748075077844</v>
      </c>
      <c r="AW147" s="523">
        <f>AW87/AW94</f>
        <v>2.1154523878778684</v>
      </c>
      <c r="AX147" s="523">
        <f>AX87/AX94</f>
        <v>1.7637097175019236</v>
      </c>
      <c r="AY147" s="524">
        <f t="shared" si="163"/>
        <v>1.7637097175019236</v>
      </c>
      <c r="AZ147" s="523">
        <f>AZ87/AZ94</f>
        <v>2.0838319369106371</v>
      </c>
      <c r="BA147" s="523">
        <f>BA87/BA94</f>
        <v>2.0170256636105215</v>
      </c>
      <c r="BB147" s="523">
        <f>BB87/BB94</f>
        <v>1.822536021850228</v>
      </c>
      <c r="BC147" s="523">
        <f>BC87/BC94</f>
        <v>1.6171099522544961</v>
      </c>
      <c r="BD147" s="524">
        <f t="shared" si="164"/>
        <v>1.6171099522544961</v>
      </c>
      <c r="BE147" s="523">
        <f>BE87/BE94</f>
        <v>1.3897148564870754</v>
      </c>
      <c r="BF147" s="523">
        <f>BF87/BF94</f>
        <v>1.6761107127346913</v>
      </c>
      <c r="BG147" s="523">
        <f>BG87/BG94</f>
        <v>1.6656681136740366</v>
      </c>
      <c r="BH147" s="523">
        <f>BH87/BH94</f>
        <v>1.8579656222828316</v>
      </c>
      <c r="BI147" s="524">
        <f t="shared" si="165"/>
        <v>1.8579656222828316</v>
      </c>
      <c r="BJ147" s="523">
        <f>BJ87/BJ94</f>
        <v>1.5384395379427895</v>
      </c>
      <c r="BK147" s="523">
        <f>BK87/BK94</f>
        <v>1.6572030154295607</v>
      </c>
      <c r="BL147" s="523">
        <f>BL87/BL94</f>
        <v>1.5406150085008621</v>
      </c>
      <c r="BM147" s="523">
        <f>BM87/BM94</f>
        <v>1.5482072185642812</v>
      </c>
      <c r="BN147" s="524">
        <f t="shared" si="166"/>
        <v>1.5482072185642812</v>
      </c>
      <c r="BO147" s="523">
        <f>BO87/BO94</f>
        <v>1.9040886515471167</v>
      </c>
      <c r="BP147" s="523">
        <f>BP87/BP94</f>
        <v>2.1984729972233401</v>
      </c>
      <c r="BQ147" s="523">
        <f>BQ87/BQ94</f>
        <v>2.3046031009296022</v>
      </c>
      <c r="BR147" s="523">
        <f>BR87/BR94</f>
        <v>2.1711211991742569</v>
      </c>
      <c r="BS147" s="524">
        <f t="shared" si="167"/>
        <v>2.1711211991742569</v>
      </c>
      <c r="BT147" s="523">
        <f>BT87/BT94</f>
        <v>2.4800009985082627</v>
      </c>
      <c r="BU147" s="523">
        <f>BU87/BU94</f>
        <v>2.3668643665191964</v>
      </c>
      <c r="BV147" s="523">
        <f>BV87/BV94</f>
        <v>2.0466088324040164</v>
      </c>
      <c r="BW147" s="523">
        <f>BW87/BW94</f>
        <v>1.7908841900334644</v>
      </c>
      <c r="BX147" s="524">
        <f t="shared" si="168"/>
        <v>1.7908841900334644</v>
      </c>
      <c r="BY147" s="523">
        <f>BY87/BY94</f>
        <v>2.1677789939258698</v>
      </c>
      <c r="BZ147" s="523">
        <f>BZ87/BZ94</f>
        <v>1.9780577055532316</v>
      </c>
      <c r="CA147" s="523">
        <f>CA87/CA94</f>
        <v>1.6583306218065492</v>
      </c>
      <c r="CB147" s="523">
        <f>CB87/CB94</f>
        <v>1.471983756037371</v>
      </c>
      <c r="CC147" s="524">
        <f t="shared" si="169"/>
        <v>1.471983756037371</v>
      </c>
      <c r="CD147" s="523">
        <f>CD87/CD94</f>
        <v>1.4135092866896295</v>
      </c>
      <c r="CE147" s="523">
        <f>CE87/CE94</f>
        <v>1.6118912436454003</v>
      </c>
      <c r="CF147" s="523">
        <f>CF87/CF94</f>
        <v>1.9841628192671774</v>
      </c>
      <c r="CG147" s="523">
        <f>CG87/CG94</f>
        <v>1.9970652840036633</v>
      </c>
      <c r="CH147" s="524">
        <f t="shared" si="170"/>
        <v>1.9970652840036633</v>
      </c>
      <c r="CI147" s="523">
        <f>CI87/CI94</f>
        <v>1.9902666331313097</v>
      </c>
      <c r="CJ147" s="523">
        <f>CJ87/CJ94</f>
        <v>1.9039422752446555</v>
      </c>
      <c r="CK147" s="523">
        <f>CK87/CK94</f>
        <v>1.9263778737137969</v>
      </c>
      <c r="CL147" s="523">
        <f>CL87/CL94</f>
        <v>1.7482879976776129</v>
      </c>
      <c r="CM147" s="524">
        <f t="shared" si="171"/>
        <v>1.7482879976776129</v>
      </c>
      <c r="CN147" s="523">
        <f>CN87/CN94</f>
        <v>1.6430347879718874</v>
      </c>
      <c r="CO147" s="523">
        <f>CO87/CO94</f>
        <v>1.6259133076102126</v>
      </c>
      <c r="CP147" s="523">
        <f>CP87/CP94</f>
        <v>1.5650304765736058</v>
      </c>
      <c r="CQ147" s="523">
        <f>CQ87/CQ94</f>
        <v>1.9532976245950111</v>
      </c>
      <c r="CR147" s="524">
        <f t="shared" si="172"/>
        <v>1.9532976245950111</v>
      </c>
      <c r="CS147" s="523">
        <f>CS87/CS94</f>
        <v>2.1641267954615904</v>
      </c>
      <c r="CT147" s="523">
        <f>CT87/CT94</f>
        <v>2.2260225056982406</v>
      </c>
      <c r="CU147" s="523">
        <f>CU87/CU94</f>
        <v>2.0673492543907632</v>
      </c>
      <c r="CV147" s="523">
        <f>CV87/CV94</f>
        <v>1.3910908453174324</v>
      </c>
      <c r="CW147" s="524">
        <f t="shared" si="173"/>
        <v>1.3910908453174324</v>
      </c>
      <c r="CX147" s="523">
        <f>CX87/CX94</f>
        <v>1.0944692545517005</v>
      </c>
      <c r="CY147" s="523">
        <f>CY87/CY94</f>
        <v>1.4531502423263327</v>
      </c>
      <c r="CZ147" s="523">
        <f>CZ87/CZ94</f>
        <v>1.3112509252405626</v>
      </c>
      <c r="DA147" s="523">
        <f>DA87/DA94</f>
        <v>1.4537142857142857</v>
      </c>
      <c r="DB147" s="524">
        <f t="shared" si="174"/>
        <v>1.4537142857142857</v>
      </c>
      <c r="DC147" s="523">
        <f>DC87/DC94</f>
        <v>1.2830533235938641</v>
      </c>
      <c r="DD147" s="523">
        <f>DD87/DD94</f>
        <v>1.3901944894651539</v>
      </c>
      <c r="DE147" s="523">
        <f>DE87/DE94</f>
        <v>1.3996655518394649</v>
      </c>
      <c r="DF147" s="523">
        <f>DF87/DF94</f>
        <v>1.068733153638814</v>
      </c>
      <c r="DG147" s="524">
        <f t="shared" si="175"/>
        <v>1.068733153638814</v>
      </c>
      <c r="DH147" s="523">
        <f>DH87/DH94</f>
        <v>1.91005291005291</v>
      </c>
      <c r="DI147" s="523">
        <f>DI87/DI94</f>
        <v>1.8363006923837784</v>
      </c>
      <c r="DJ147" s="523">
        <f>DJ87/DJ94</f>
        <v>1.8872832369942196</v>
      </c>
      <c r="DK147" s="523">
        <f>DK87/DK94</f>
        <v>1.9343891402714932</v>
      </c>
      <c r="DL147" s="524">
        <f t="shared" si="176"/>
        <v>1.9343891402714932</v>
      </c>
      <c r="DM147" s="523">
        <f>DM87/DM94</f>
        <v>2.0249240121580545</v>
      </c>
      <c r="DN147" s="523">
        <f>DN87/DN94</f>
        <v>2.0325153374233129</v>
      </c>
      <c r="DO147" s="523">
        <f>DO87/DO94</f>
        <v>1.929129129129129</v>
      </c>
      <c r="DP147" s="523">
        <f>DP87/DP94</f>
        <v>2.1469534050179213</v>
      </c>
      <c r="DQ147" s="524">
        <f t="shared" si="177"/>
        <v>2.1469534050179213</v>
      </c>
      <c r="DR147" s="523">
        <f>DR87/DR94</f>
        <v>2.4807272727272727</v>
      </c>
      <c r="DS147" s="523">
        <f>DS87/DS94</f>
        <v>2.6204268292682928</v>
      </c>
      <c r="DT147" s="523">
        <f>DT87/DT94</f>
        <v>1.8393530997304581</v>
      </c>
      <c r="DU147" s="523">
        <f>DU87/DU94</f>
        <v>1.8201803833145433</v>
      </c>
      <c r="DV147" s="524">
        <f t="shared" si="178"/>
        <v>1.8201803833145433</v>
      </c>
      <c r="DW147" s="523">
        <f>DW87/DW94</f>
        <v>1.3613123135918193</v>
      </c>
      <c r="DX147" s="523">
        <f>DX87/DX94</f>
        <v>1.3745748299319729</v>
      </c>
      <c r="DY147" s="523">
        <f>DY87/DY94</f>
        <v>1.810289389067524</v>
      </c>
      <c r="DZ147" s="523">
        <f>DZ87/DZ94</f>
        <v>1.6213314244810308</v>
      </c>
      <c r="EA147" s="524">
        <f t="shared" si="179"/>
        <v>1.6213314244810308</v>
      </c>
      <c r="EB147" s="523">
        <f>EB87/EB94</f>
        <v>1.7698713096139289</v>
      </c>
      <c r="EC147" s="523">
        <f>EC87/EC94</f>
        <v>1.6940041350792556</v>
      </c>
      <c r="ED147" s="523">
        <f>ED87/ED94</f>
        <v>1.7366628830874007</v>
      </c>
      <c r="EE147" s="523">
        <f>EE87/EE94</f>
        <v>1.838071693448702</v>
      </c>
      <c r="EF147" s="524">
        <f t="shared" si="180"/>
        <v>1.838071693448702</v>
      </c>
      <c r="EG147" s="523">
        <f>EG87/EG94</f>
        <v>1.9436416184971099</v>
      </c>
      <c r="EH147" s="523">
        <f>EH87/EH94</f>
        <v>1.9481727574750831</v>
      </c>
      <c r="EI147" s="523">
        <f>EI87/EI94</f>
        <v>1.9284802043422733</v>
      </c>
      <c r="EJ147" s="523">
        <f>EJ87/EJ94</f>
        <v>1.9</v>
      </c>
      <c r="EK147" s="524">
        <f t="shared" si="181"/>
        <v>1.9</v>
      </c>
      <c r="EL147" s="523">
        <f>EL87/EL94</f>
        <v>1.9326625386996905</v>
      </c>
      <c r="EM147" s="523">
        <f>EM87/EM94</f>
        <v>1.751965689778413</v>
      </c>
      <c r="EN147" s="523">
        <f>EN87/EN94</f>
        <v>1.6763285024154588</v>
      </c>
      <c r="EO147" s="523">
        <f>EO87/EO94</f>
        <v>1.6535994297933001</v>
      </c>
      <c r="EP147" s="524">
        <f t="shared" si="182"/>
        <v>1.6535994297933001</v>
      </c>
      <c r="EQ147" s="523">
        <f>EQ87/EQ94</f>
        <v>1.6762048192771084</v>
      </c>
      <c r="ER147" s="523">
        <f>ER87/ER94</f>
        <v>1.5850727387729284</v>
      </c>
      <c r="ES147" s="523">
        <f>ES87/ES94</f>
        <v>1.9171758316361167</v>
      </c>
      <c r="ET147" s="523">
        <f>ET87/ET94</f>
        <v>1.8796433878157504</v>
      </c>
      <c r="EU147" s="524">
        <f t="shared" si="183"/>
        <v>1.8796433878157504</v>
      </c>
      <c r="EV147" s="523">
        <f>EV87/EV94</f>
        <v>1.8206997084548104</v>
      </c>
      <c r="EW147" s="523">
        <f>EW87/EW94</f>
        <v>1.7329192546583851</v>
      </c>
      <c r="EX147" s="523">
        <f>EX87/EX94</f>
        <v>1.6964173475801383</v>
      </c>
      <c r="EY147" s="523">
        <f>EY87/EY94</f>
        <v>1.7644683714670255</v>
      </c>
      <c r="EZ147" s="524">
        <f t="shared" si="184"/>
        <v>1.7644683714670255</v>
      </c>
      <c r="FA147" s="523">
        <f>FA87/FA94</f>
        <v>1.6210960518562167</v>
      </c>
      <c r="FB147" s="523">
        <f>FB87/FB94</f>
        <v>1.6589935760171306</v>
      </c>
      <c r="FC147" s="523">
        <f>FC87/FC94</f>
        <v>1.7646432374866881</v>
      </c>
      <c r="FD147" s="523">
        <f>FD87/FD94</f>
        <v>1.784274193548387</v>
      </c>
      <c r="FE147" s="524">
        <f t="shared" si="185"/>
        <v>1.784274193548387</v>
      </c>
      <c r="FF147" s="523">
        <f>FF87/FF94</f>
        <v>2.0844671201814058</v>
      </c>
      <c r="FG147" s="523">
        <f>FG87/FG94</f>
        <v>2.0809312638580932</v>
      </c>
      <c r="FH147" s="523">
        <f>FH87/FH94</f>
        <v>2.0987124463519313</v>
      </c>
      <c r="FI147" s="523">
        <f>FI87/FI94</f>
        <v>1.9487070792708774</v>
      </c>
      <c r="FJ147" s="524">
        <f t="shared" si="186"/>
        <v>1.9487070792708774</v>
      </c>
      <c r="FK147" s="523">
        <f>FK87/FK94</f>
        <v>2.2115869017632241</v>
      </c>
      <c r="FL147" s="523">
        <f>FL87/FL94</f>
        <v>2.0990139687756777</v>
      </c>
      <c r="FM147" s="523">
        <f>FM87/FM94</f>
        <v>2.2755482002482417</v>
      </c>
      <c r="FN147" s="523">
        <f>FN87/FN94</f>
        <v>2.5415804716590813</v>
      </c>
      <c r="FO147" s="524">
        <f t="shared" si="187"/>
        <v>2.5415804716590813</v>
      </c>
      <c r="FP147" s="523">
        <f>FP87/FP94</f>
        <v>2.5129189944134076</v>
      </c>
      <c r="FQ147" s="523">
        <f>FQ87/FQ94</f>
        <v>2.703319502074689</v>
      </c>
      <c r="FR147" s="523">
        <f>FR87/FR94</f>
        <v>2.2413019079685745</v>
      </c>
      <c r="FS147" s="523">
        <f>FS87/FS94</f>
        <v>2.0242924528301889</v>
      </c>
      <c r="FT147" s="524">
        <f t="shared" si="188"/>
        <v>2.0242924528301889</v>
      </c>
      <c r="FU147" s="523">
        <f>FU87/FU94</f>
        <v>2.3954488442931376</v>
      </c>
      <c r="FV147" s="523">
        <f>FV87/FV94</f>
        <v>2.4374434184320117</v>
      </c>
      <c r="FW147" s="523">
        <f>FW87/FW94</f>
        <v>2.155133761769541</v>
      </c>
      <c r="FX147" s="523">
        <f>FX87/FX94</f>
        <v>2.358140995446695</v>
      </c>
      <c r="FY147" s="524">
        <f t="shared" si="189"/>
        <v>2.358140995446695</v>
      </c>
      <c r="FZ147" s="523">
        <f>FZ87/FZ94</f>
        <v>2.3807206933252241</v>
      </c>
      <c r="GA147" s="523">
        <f>GA87/GA94</f>
        <v>2.1797411516111991</v>
      </c>
      <c r="GB147" s="523">
        <f>GB87/GB94</f>
        <v>2.1880162580306806</v>
      </c>
      <c r="GC147" s="523">
        <f>GC87/GC94</f>
        <v>2.5068022125878309</v>
      </c>
      <c r="GD147" s="524">
        <f t="shared" si="190"/>
        <v>2.5068022125878309</v>
      </c>
      <c r="GE147" s="523">
        <f>GE87/GE94</f>
        <v>2.6388631448872411</v>
      </c>
      <c r="GF147" s="523">
        <f>GF87/GF94</f>
        <v>2.8192090395480225</v>
      </c>
      <c r="GG147" s="523">
        <f>GG87/GG94</f>
        <v>2.4980000000000002</v>
      </c>
      <c r="GH147" s="523">
        <f>GH87/GH94</f>
        <v>2.6162615025408598</v>
      </c>
      <c r="GI147" s="524">
        <f t="shared" si="191"/>
        <v>2.6162615025408598</v>
      </c>
      <c r="GJ147" s="523">
        <f>GJ87/GJ94</f>
        <v>2.8034532000519277</v>
      </c>
      <c r="GK147" s="523">
        <f>GK87/GK94</f>
        <v>2.4910088387686682</v>
      </c>
      <c r="GL147" s="523">
        <f>GL87/GL94</f>
        <v>2.3076923076923075</v>
      </c>
      <c r="GM147" s="523">
        <f>GM87/GM94</f>
        <v>2.8500264410364888</v>
      </c>
      <c r="GN147" s="524">
        <f t="shared" si="192"/>
        <v>2.8500264410364888</v>
      </c>
      <c r="GO147" s="523">
        <f>GO87/GO94</f>
        <v>2.7249190938511325</v>
      </c>
      <c r="GP147" s="523">
        <f>GP87/GP94</f>
        <v>2.8648412241651888</v>
      </c>
      <c r="GQ147" s="523">
        <f>GQ87/GQ94</f>
        <v>3.0246964459072405</v>
      </c>
      <c r="GR147" s="523">
        <f>GR87/GR94</f>
        <v>3.2784137205617205</v>
      </c>
      <c r="GS147" s="524">
        <f t="shared" si="193"/>
        <v>3.2784137205617205</v>
      </c>
      <c r="GT147" s="523">
        <f>GT87/GT94</f>
        <v>3.750836284150016</v>
      </c>
      <c r="GU147" s="523">
        <f>GU87/GU94</f>
        <v>4.2074802496483974</v>
      </c>
      <c r="GV147" s="523">
        <f>GV87/GV94</f>
        <v>4.6477667190660998</v>
      </c>
      <c r="GW147" s="523">
        <f>GW87/GW94</f>
        <v>5.1536027718350104</v>
      </c>
      <c r="GX147" s="524">
        <f t="shared" si="194"/>
        <v>5.1536027718350104</v>
      </c>
      <c r="GY147" s="523">
        <f>GY87/GY94</f>
        <v>5.8951632294505689</v>
      </c>
      <c r="GZ147" s="523">
        <f>GZ87/GZ94</f>
        <v>6.4944549482024341</v>
      </c>
      <c r="HA147" s="523">
        <f>HA87/HA94</f>
        <v>7.0244344513671146</v>
      </c>
      <c r="HB147" s="523">
        <f>HB87/HB94</f>
        <v>7.5927071280619289</v>
      </c>
      <c r="HC147" s="524">
        <f t="shared" si="195"/>
        <v>7.5927071280619289</v>
      </c>
      <c r="HD147" s="523">
        <f>HD87/HD94</f>
        <v>8.517848050633992</v>
      </c>
      <c r="HE147" s="523">
        <f>HE87/HE94</f>
        <v>9.1832709092827027</v>
      </c>
      <c r="HF147" s="523">
        <f>HF87/HF94</f>
        <v>9.7036105454676989</v>
      </c>
      <c r="HG147" s="523">
        <f>HG87/HG94</f>
        <v>10.378057649489737</v>
      </c>
      <c r="HH147" s="524">
        <f t="shared" si="196"/>
        <v>10.378057649489737</v>
      </c>
      <c r="HI147" s="523">
        <f>HI87/HI94</f>
        <v>11.624593924847247</v>
      </c>
      <c r="HJ147" s="523">
        <f>HJ87/HJ94</f>
        <v>12.34935317702417</v>
      </c>
      <c r="HK147" s="523">
        <f>HK87/HK94</f>
        <v>12.700001272654891</v>
      </c>
      <c r="HL147" s="523">
        <f>HL87/HL94</f>
        <v>13.42020299790167</v>
      </c>
      <c r="HM147" s="524">
        <f t="shared" si="197"/>
        <v>13.42020299790167</v>
      </c>
      <c r="HN147" s="524"/>
      <c r="HO147" s="524"/>
      <c r="HQ147" s="509"/>
      <c r="HY147" s="509"/>
      <c r="HZ147" s="509"/>
      <c r="IA147" s="509"/>
      <c r="IB147" s="509"/>
    </row>
    <row r="148" spans="1:236" s="563" customFormat="1" ht="11.25" hidden="1" customHeight="1" outlineLevel="1">
      <c r="A148" s="532" t="s">
        <v>457</v>
      </c>
      <c r="B148" s="509"/>
      <c r="C148" s="509"/>
      <c r="D148" s="509"/>
      <c r="E148" s="509"/>
      <c r="F148" s="509"/>
      <c r="G148" s="509"/>
      <c r="H148" s="509"/>
      <c r="I148" s="509"/>
      <c r="J148" s="509"/>
      <c r="K148" s="509"/>
      <c r="L148" s="523"/>
      <c r="M148" s="523"/>
      <c r="N148" s="523"/>
      <c r="O148" s="523"/>
      <c r="P148" s="524"/>
      <c r="Q148" s="523"/>
      <c r="R148" s="523"/>
      <c r="S148" s="523"/>
      <c r="T148" s="523"/>
      <c r="U148" s="524"/>
      <c r="V148" s="523"/>
      <c r="W148" s="523"/>
      <c r="X148" s="523"/>
      <c r="Y148" s="523"/>
      <c r="Z148" s="524"/>
      <c r="AA148" s="523"/>
      <c r="AB148" s="523"/>
      <c r="AC148" s="523"/>
      <c r="AD148" s="523"/>
      <c r="AE148" s="524"/>
      <c r="AF148" s="523"/>
      <c r="AG148" s="523"/>
      <c r="AH148" s="523"/>
      <c r="AI148" s="523"/>
      <c r="AJ148" s="524"/>
      <c r="AK148" s="523">
        <f>(AK87-AK84)/AK94</f>
        <v>1.9682869974859034</v>
      </c>
      <c r="AL148" s="523">
        <f>(AL87-AL84)/AL94</f>
        <v>2.056857655809182</v>
      </c>
      <c r="AM148" s="523">
        <f>(AM87-AM84)/AM94</f>
        <v>1.8937312773764281</v>
      </c>
      <c r="AN148" s="523">
        <f>(AN87-AN84)/AN94</f>
        <v>1.4487956944578135</v>
      </c>
      <c r="AO148" s="524">
        <f t="shared" si="161"/>
        <v>1.4487956944578135</v>
      </c>
      <c r="AP148" s="523">
        <f>(AP87-AP84)/AP94</f>
        <v>1.6010549759699921</v>
      </c>
      <c r="AQ148" s="523">
        <f>(AQ87-AQ84)/AQ94</f>
        <v>1.5444629736165629</v>
      </c>
      <c r="AR148" s="523">
        <f>(AR87-AR84)/AR94</f>
        <v>1.4221691257688327</v>
      </c>
      <c r="AS148" s="523">
        <f>(AS87-AS84)/AS94</f>
        <v>1.5152701468147254</v>
      </c>
      <c r="AT148" s="524">
        <f t="shared" si="162"/>
        <v>1.5152701468147254</v>
      </c>
      <c r="AU148" s="523">
        <f>(AU87-AU84)/AU94</f>
        <v>1.5857328958433441</v>
      </c>
      <c r="AV148" s="523">
        <f>(AV87-AV84)/AV94</f>
        <v>1.4888073496445067</v>
      </c>
      <c r="AW148" s="523">
        <f>(AW87-AW84)/AW94</f>
        <v>1.7708573090688353</v>
      </c>
      <c r="AX148" s="523">
        <f>(AX87-AX84)/AX94</f>
        <v>1.4997557727606932</v>
      </c>
      <c r="AY148" s="524">
        <f t="shared" si="163"/>
        <v>1.4997557727606932</v>
      </c>
      <c r="AZ148" s="523">
        <f>(AZ87-AZ84)/AZ94</f>
        <v>1.8356230008034209</v>
      </c>
      <c r="BA148" s="523">
        <f>(BA87-BA84)/BA94</f>
        <v>1.7457527592051352</v>
      </c>
      <c r="BB148" s="523">
        <f>(BB87-BB84)/BB94</f>
        <v>1.5598076048182388</v>
      </c>
      <c r="BC148" s="523">
        <f>(BC87-BC84)/BC94</f>
        <v>1.3852387963179549</v>
      </c>
      <c r="BD148" s="524">
        <f t="shared" si="164"/>
        <v>1.3852387963179549</v>
      </c>
      <c r="BE148" s="523">
        <f>(BE87-BE84)/BE94</f>
        <v>1.1500828834955581</v>
      </c>
      <c r="BF148" s="523">
        <f>(BF87-BF84)/BF94</f>
        <v>1.4594308323149485</v>
      </c>
      <c r="BG148" s="523">
        <f>(BG87-BG84)/BG94</f>
        <v>1.455592648926088</v>
      </c>
      <c r="BH148" s="523">
        <f>(BH87-BH84)/BH94</f>
        <v>1.649721250501059</v>
      </c>
      <c r="BI148" s="524">
        <f t="shared" si="165"/>
        <v>1.649721250501059</v>
      </c>
      <c r="BJ148" s="523">
        <f>(BJ87-BJ84)/BJ94</f>
        <v>1.3269219190010375</v>
      </c>
      <c r="BK148" s="523">
        <f>(BK87-BK84)/BK94</f>
        <v>1.3979291905226436</v>
      </c>
      <c r="BL148" s="523">
        <f>(BL87-BL84)/BL94</f>
        <v>1.2298988788949012</v>
      </c>
      <c r="BM148" s="523">
        <f>(BM87-BM84)/BM94</f>
        <v>1.3305466852321193</v>
      </c>
      <c r="BN148" s="524">
        <f t="shared" si="166"/>
        <v>1.3305466852321193</v>
      </c>
      <c r="BO148" s="523">
        <f>(BO87-BO84)/BO94</f>
        <v>1.6788721870604784</v>
      </c>
      <c r="BP148" s="523">
        <f>(BP87-BP84)/BP94</f>
        <v>1.925633342122709</v>
      </c>
      <c r="BQ148" s="523">
        <f>(BQ87-BQ84)/BQ94</f>
        <v>2.0317299398868389</v>
      </c>
      <c r="BR148" s="523">
        <f>(BR87-BR84)/BR94</f>
        <v>1.8904754396871524</v>
      </c>
      <c r="BS148" s="524">
        <f t="shared" si="167"/>
        <v>1.8904754396871524</v>
      </c>
      <c r="BT148" s="523">
        <f>(BT87-BT84)/BT94</f>
        <v>2.174741528389053</v>
      </c>
      <c r="BU148" s="523">
        <f>(BU87-BU84)/BU94</f>
        <v>1.9949254357314652</v>
      </c>
      <c r="BV148" s="523">
        <f>(BV87-BV84)/BV94</f>
        <v>1.6636149029547667</v>
      </c>
      <c r="BW148" s="523">
        <f>(BW87-BW84)/BW94</f>
        <v>1.5013162731546492</v>
      </c>
      <c r="BX148" s="524">
        <f t="shared" si="168"/>
        <v>1.5013162731546492</v>
      </c>
      <c r="BY148" s="523">
        <f>(BY87-BY84)/BY94</f>
        <v>1.860694356266916</v>
      </c>
      <c r="BZ148" s="523">
        <f>(BZ87-BZ84)/BZ94</f>
        <v>1.6792157164917489</v>
      </c>
      <c r="CA148" s="523">
        <f>(CA87-CA84)/CA94</f>
        <v>1.3335409808951362</v>
      </c>
      <c r="CB148" s="523">
        <f>(CB87-CB84)/CB94</f>
        <v>1.1566936014617233</v>
      </c>
      <c r="CC148" s="524">
        <f t="shared" si="169"/>
        <v>1.1566936014617233</v>
      </c>
      <c r="CD148" s="523">
        <f>(CD87-CD84)/CD94</f>
        <v>1.0669818140583143</v>
      </c>
      <c r="CE148" s="523">
        <f>(CE87-CE84)/CE94</f>
        <v>1.1726176769959955</v>
      </c>
      <c r="CF148" s="523">
        <f>(CF87-CF84)/CF94</f>
        <v>1.4385570498621394</v>
      </c>
      <c r="CG148" s="523">
        <f>(CG87-CG84)/CG94</f>
        <v>1.5166738967271929</v>
      </c>
      <c r="CH148" s="524">
        <f t="shared" si="170"/>
        <v>1.5166738967271929</v>
      </c>
      <c r="CI148" s="523">
        <f>(CI87-CI84)/CI94</f>
        <v>1.5219967600518174</v>
      </c>
      <c r="CJ148" s="523">
        <f>(CJ87-CJ84)/CJ94</f>
        <v>1.4234458846960585</v>
      </c>
      <c r="CK148" s="523">
        <f>(CK87-CK84)/CK94</f>
        <v>1.4167372718169911</v>
      </c>
      <c r="CL148" s="523">
        <f>(CL87-CL84)/CL94</f>
        <v>1.2745004267819775</v>
      </c>
      <c r="CM148" s="524">
        <f t="shared" si="171"/>
        <v>1.2745004267819775</v>
      </c>
      <c r="CN148" s="523">
        <f>(CN87-CN84)/CN94</f>
        <v>1.1985044187627465</v>
      </c>
      <c r="CO148" s="523">
        <f>(CO87-CO84)/CO94</f>
        <v>1.1698036326065582</v>
      </c>
      <c r="CP148" s="523">
        <f>(CP87-CP84)/CP94</f>
        <v>1.1438670556940453</v>
      </c>
      <c r="CQ148" s="523">
        <f>(CQ87-CQ84)/CQ94</f>
        <v>1.7399941711220264</v>
      </c>
      <c r="CR148" s="524">
        <f t="shared" si="172"/>
        <v>1.7399941711220264</v>
      </c>
      <c r="CS148" s="523">
        <f>(CS87-CS84)/CS94</f>
        <v>1.9910645185791915</v>
      </c>
      <c r="CT148" s="523">
        <f>(CT87-CT84)/CT94</f>
        <v>1.9950236222626647</v>
      </c>
      <c r="CU148" s="523">
        <f>(CU87-CU84)/CU94</f>
        <v>1.8212265968224477</v>
      </c>
      <c r="CV148" s="523">
        <f>(CV87-CV84)/CV94</f>
        <v>1.1055769905296386</v>
      </c>
      <c r="CW148" s="524">
        <f t="shared" si="173"/>
        <v>1.1055769905296386</v>
      </c>
      <c r="CX148" s="523">
        <f>(CX87-CX84)/CX94</f>
        <v>0.77258673995190652</v>
      </c>
      <c r="CY148" s="523">
        <f>(CY87-CY84)/CY94</f>
        <v>1.0928917609046849</v>
      </c>
      <c r="CZ148" s="523">
        <f>(CZ87-CZ84)/CZ94</f>
        <v>1.000740192450037</v>
      </c>
      <c r="DA148" s="523">
        <f>(DA87-DA84)/DA94</f>
        <v>1.1409523809523809</v>
      </c>
      <c r="DB148" s="524">
        <f t="shared" si="174"/>
        <v>1.1409523809523809</v>
      </c>
      <c r="DC148" s="523">
        <f>(DC87-DC84)/DC94</f>
        <v>0.99634769905040177</v>
      </c>
      <c r="DD148" s="523">
        <f>(DD87-DD84)/DD94</f>
        <v>1.0696920583468394</v>
      </c>
      <c r="DE148" s="523">
        <f>(DE87-DE84)/DE94</f>
        <v>1.0468227424749164</v>
      </c>
      <c r="DF148" s="523">
        <f>(DF87-DF84)/DF94</f>
        <v>0.77403414195867026</v>
      </c>
      <c r="DG148" s="524">
        <f t="shared" si="175"/>
        <v>0.77403414195867026</v>
      </c>
      <c r="DH148" s="523">
        <f>(DH87-DH84)/DH94</f>
        <v>1.6507936507936507</v>
      </c>
      <c r="DI148" s="523">
        <f>(DI87-DI84)/DI94</f>
        <v>1.5924826904055391</v>
      </c>
      <c r="DJ148" s="523">
        <f>(DJ87-DJ84)/DJ94</f>
        <v>1.6392100192678227</v>
      </c>
      <c r="DK148" s="523">
        <f>(DK87-DK84)/DK94</f>
        <v>1.6778280542986426</v>
      </c>
      <c r="DL148" s="524">
        <f t="shared" si="176"/>
        <v>1.6778280542986426</v>
      </c>
      <c r="DM148" s="523">
        <f>(DM87-DM84)/DM94</f>
        <v>1.6741641337386017</v>
      </c>
      <c r="DN148" s="523">
        <f>(DN87-DN84)/DN94</f>
        <v>1.6760736196319019</v>
      </c>
      <c r="DO148" s="523">
        <f>(DO87-DO84)/DO94</f>
        <v>1.5555555555555556</v>
      </c>
      <c r="DP148" s="523">
        <f>(DP87-DP84)/DP94</f>
        <v>1.7694145758661888</v>
      </c>
      <c r="DQ148" s="524">
        <f t="shared" si="177"/>
        <v>1.7694145758661888</v>
      </c>
      <c r="DR148" s="523">
        <f>(DR87-DR84)/DR94</f>
        <v>2.0094545454545454</v>
      </c>
      <c r="DS148" s="523">
        <f>(DS87-DS84)/DS94</f>
        <v>2.1310975609756095</v>
      </c>
      <c r="DT148" s="523">
        <f>(DT87-DT84)/DT94</f>
        <v>1.5482479784366576</v>
      </c>
      <c r="DU148" s="523">
        <f>(DU87-DU84)/DU94</f>
        <v>1.5518602029312289</v>
      </c>
      <c r="DV148" s="524">
        <f t="shared" si="178"/>
        <v>1.5518602029312289</v>
      </c>
      <c r="DW148" s="523">
        <f>(DW87-DW84)/DW94</f>
        <v>1.112057946314444</v>
      </c>
      <c r="DX148" s="523">
        <f>(DX87-DX84)/DX94</f>
        <v>1.0204081632653061</v>
      </c>
      <c r="DY148" s="523">
        <f>(DY87-DY84)/DY94</f>
        <v>1.3318327974276527</v>
      </c>
      <c r="DZ148" s="523">
        <f>(DZ87-DZ84)/DZ94</f>
        <v>1.219040801717967</v>
      </c>
      <c r="EA148" s="524">
        <f t="shared" si="179"/>
        <v>1.219040801717967</v>
      </c>
      <c r="EB148" s="523">
        <f>(EB87-EB84)/EB94</f>
        <v>1.3058289174867526</v>
      </c>
      <c r="EC148" s="523">
        <f>(EC87-EC84)/EC94</f>
        <v>1.2039972432804962</v>
      </c>
      <c r="ED148" s="523">
        <f>(ED87-ED84)/ED94</f>
        <v>1.2133938706015892</v>
      </c>
      <c r="EE148" s="523">
        <f>(EE87-EE84)/EE94</f>
        <v>1.2917181705809642</v>
      </c>
      <c r="EF148" s="524">
        <f t="shared" si="180"/>
        <v>1.2917181705809642</v>
      </c>
      <c r="EG148" s="523">
        <f>(EG87-EG84)/EG94</f>
        <v>1.3157514450867052</v>
      </c>
      <c r="EH148" s="523">
        <f>(EH87-EH84)/EH94</f>
        <v>1.3102990033222592</v>
      </c>
      <c r="EI148" s="523">
        <f>(EI87-EI84)/EI94</f>
        <v>1.355683269476373</v>
      </c>
      <c r="EJ148" s="523">
        <f>(EJ87-EJ84)/EJ94</f>
        <v>1.4243055555555555</v>
      </c>
      <c r="EK148" s="524">
        <f t="shared" si="181"/>
        <v>1.4243055555555555</v>
      </c>
      <c r="EL148" s="523">
        <f>(EL87-EL84)/EL94</f>
        <v>1.4001547987616099</v>
      </c>
      <c r="EM148" s="523">
        <f>(EM87-EM84)/EM94</f>
        <v>1.18084345961401</v>
      </c>
      <c r="EN148" s="523">
        <f>(EN87-EN84)/EN94</f>
        <v>1.1511387163561078</v>
      </c>
      <c r="EO148" s="523">
        <f>(EO87-EO84)/EO94</f>
        <v>1.1703492516037064</v>
      </c>
      <c r="EP148" s="524">
        <f t="shared" si="182"/>
        <v>1.1703492516037064</v>
      </c>
      <c r="EQ148" s="523">
        <f>(EQ87-EQ84)/EQ94</f>
        <v>1.1679216867469879</v>
      </c>
      <c r="ER148" s="523">
        <f>(ER87-ER84)/ER94</f>
        <v>1.1151170145477547</v>
      </c>
      <c r="ES148" s="523">
        <f>(ES87-ES84)/ES94</f>
        <v>1.3930753564154785</v>
      </c>
      <c r="ET148" s="523">
        <f>(ET87-ET84)/ET94</f>
        <v>1.3216939078751857</v>
      </c>
      <c r="EU148" s="524">
        <f t="shared" si="183"/>
        <v>1.3216939078751857</v>
      </c>
      <c r="EV148" s="523">
        <f>(EV87-EV84)/EV94</f>
        <v>1.2091836734693877</v>
      </c>
      <c r="EW148" s="523">
        <f>(EW87-EW84)/EW94</f>
        <v>1.1580400276052449</v>
      </c>
      <c r="EX148" s="523">
        <f>(EX87-EX84)/EX94</f>
        <v>1.197360150848523</v>
      </c>
      <c r="EY148" s="523">
        <f>(EY87-EY84)/EY94</f>
        <v>1.2671601615074024</v>
      </c>
      <c r="EZ148" s="524">
        <f t="shared" si="184"/>
        <v>1.2671601615074024</v>
      </c>
      <c r="FA148" s="523">
        <f>(FA87-FA84)/FA94</f>
        <v>1.1997642899233942</v>
      </c>
      <c r="FB148" s="523">
        <f>(FB87-FB84)/FB94</f>
        <v>1.2574946466809422</v>
      </c>
      <c r="FC148" s="523">
        <f>(FC87-FC84)/FC94</f>
        <v>1.3716719914802982</v>
      </c>
      <c r="FD148" s="523">
        <f>(FD87-FD84)/FD94</f>
        <v>1.358366935483871</v>
      </c>
      <c r="FE148" s="524">
        <f t="shared" si="185"/>
        <v>1.358366935483871</v>
      </c>
      <c r="FF148" s="523">
        <f>(FF87-FF84)/FF94</f>
        <v>1.5430839002267573</v>
      </c>
      <c r="FG148" s="523">
        <f>(FG87-FG84)/FG94</f>
        <v>1.5182926829268293</v>
      </c>
      <c r="FH148" s="523">
        <f>(FH87-FH84)/FH94</f>
        <v>1.5407725321888412</v>
      </c>
      <c r="FI148" s="523">
        <f>(FI87-FI84)/FI94</f>
        <v>1.5324289953370072</v>
      </c>
      <c r="FJ148" s="524">
        <f t="shared" si="186"/>
        <v>1.5324289953370072</v>
      </c>
      <c r="FK148" s="523">
        <f>(FK87-FK84)/FK94</f>
        <v>1.6795969773299748</v>
      </c>
      <c r="FL148" s="523">
        <f>(FL87-FL84)/FL94</f>
        <v>1.5550534100246507</v>
      </c>
      <c r="FM148" s="523">
        <f>(FM87-FM84)/FM94</f>
        <v>1.7410012412081093</v>
      </c>
      <c r="FN148" s="523">
        <f>(FN87-FN84)/FN94</f>
        <v>1.9627637567232106</v>
      </c>
      <c r="FO148" s="524">
        <f t="shared" si="187"/>
        <v>1.9627637567232106</v>
      </c>
      <c r="FP148" s="523">
        <f>(FP87-FP84)/FP94</f>
        <v>1.9357541899441342</v>
      </c>
      <c r="FQ148" s="523">
        <f>(FQ87-FQ84)/FQ94</f>
        <v>2.0930152143845091</v>
      </c>
      <c r="FR148" s="523">
        <f>(FR87-FR84)/FR94</f>
        <v>1.707631874298541</v>
      </c>
      <c r="FS148" s="523">
        <f>(FS87-FS84)/FS94</f>
        <v>1.5632075471698113</v>
      </c>
      <c r="FT148" s="524">
        <f t="shared" si="188"/>
        <v>1.5632075471698113</v>
      </c>
      <c r="FU148" s="523">
        <f>(FU87-FU84)/FU94</f>
        <v>1.9598638236875112</v>
      </c>
      <c r="FV148" s="523">
        <f>(FV87-FV84)/FV94</f>
        <v>1.9579938439254028</v>
      </c>
      <c r="FW148" s="523">
        <f>(FW87-FW84)/FW94</f>
        <v>1.651621581228516</v>
      </c>
      <c r="FX148" s="523">
        <f>(FX87-FX84)/FX94</f>
        <v>1.7660543256398178</v>
      </c>
      <c r="FY148" s="524">
        <f t="shared" si="189"/>
        <v>1.7660543256398178</v>
      </c>
      <c r="FZ148" s="523">
        <f>(FZ87-FZ84)/FZ94</f>
        <v>1.7368100957883534</v>
      </c>
      <c r="GA148" s="523">
        <f>(GA87-GA84)/GA94</f>
        <v>1.5765979926043316</v>
      </c>
      <c r="GB148" s="523">
        <f>(GB87-GB84)/GB94</f>
        <v>1.6052183033958305</v>
      </c>
      <c r="GC148" s="523">
        <f>(GC87-GC84)/GC94</f>
        <v>1.8563312901779041</v>
      </c>
      <c r="GD148" s="524">
        <f t="shared" si="190"/>
        <v>1.8563312901779041</v>
      </c>
      <c r="GE148" s="523">
        <f>(GE87-GE84)/GE94</f>
        <v>1.9202965708989805</v>
      </c>
      <c r="GF148" s="523">
        <f>(GF87-GF84)/GF94</f>
        <v>2.0135593220338981</v>
      </c>
      <c r="GG148" s="523">
        <f>(GG87-GG84)/GG94</f>
        <v>1.7814666666666668</v>
      </c>
      <c r="GH148" s="523">
        <f>(GH87-GH84)/GH94</f>
        <v>1.8287323169894245</v>
      </c>
      <c r="GI148" s="524">
        <f t="shared" si="191"/>
        <v>1.8287323169894245</v>
      </c>
      <c r="GJ148" s="523">
        <f>(GJ87-GJ84)/GJ94</f>
        <v>1.9705309619628717</v>
      </c>
      <c r="GK148" s="523">
        <f>(GK87-GK84)/GK94</f>
        <v>1.812658742253378</v>
      </c>
      <c r="GL148" s="523">
        <f>(GL87-GL84)/GL94</f>
        <v>1.6826495726495727</v>
      </c>
      <c r="GM148" s="523">
        <f>(GM87-GM84)/GM94</f>
        <v>2.0123744050766792</v>
      </c>
      <c r="GN148" s="524">
        <f t="shared" si="192"/>
        <v>2.0123744050766792</v>
      </c>
      <c r="GO148" s="523">
        <f>(GO87-GO84)/GO94</f>
        <v>1.9591661907481439</v>
      </c>
      <c r="GP148" s="523">
        <f>(GP87-GP84)/GP94</f>
        <v>1.9902897586938368</v>
      </c>
      <c r="GQ148" s="523">
        <f>(GQ87-GQ84)/GQ94</f>
        <v>2.1413672174312897</v>
      </c>
      <c r="GR148" s="523">
        <f>(GR87-GR84)/GR94</f>
        <v>2.2112485963181769</v>
      </c>
      <c r="GS148" s="524">
        <f t="shared" si="193"/>
        <v>2.2112485963181769</v>
      </c>
      <c r="GT148" s="523">
        <f>(GT87-GT84)/GT94</f>
        <v>2.5687353157464043</v>
      </c>
      <c r="GU148" s="523">
        <f>(GU87-GU84)/GU94</f>
        <v>2.9609672033537837</v>
      </c>
      <c r="GV148" s="523">
        <f>(GV87-GV84)/GV94</f>
        <v>3.1807985292995276</v>
      </c>
      <c r="GW148" s="523">
        <f>(GW87-GW84)/GW94</f>
        <v>3.5266348205250813</v>
      </c>
      <c r="GX148" s="524">
        <f t="shared" si="194"/>
        <v>3.5266348205250813</v>
      </c>
      <c r="GY148" s="523">
        <f>(GY87-GY84)/GY94</f>
        <v>4.3115766926549925</v>
      </c>
      <c r="GZ148" s="523">
        <f>(GZ87-GZ84)/GZ94</f>
        <v>4.8844805186187887</v>
      </c>
      <c r="HA148" s="523">
        <f>(HA87-HA84)/HA94</f>
        <v>5.2884514125308053</v>
      </c>
      <c r="HB148" s="523">
        <f>(HB87-HB84)/HB94</f>
        <v>5.7189351173938556</v>
      </c>
      <c r="HC148" s="524">
        <f t="shared" si="195"/>
        <v>5.7189351173938556</v>
      </c>
      <c r="HD148" s="523">
        <f>(HD87-HD84)/HD94</f>
        <v>6.6537130818864902</v>
      </c>
      <c r="HE148" s="523">
        <f>(HE87-HE84)/HE94</f>
        <v>7.2840110207950088</v>
      </c>
      <c r="HF148" s="523">
        <f>(HF87-HF84)/HF94</f>
        <v>7.7518880171745179</v>
      </c>
      <c r="HG148" s="523">
        <f>(HG87-HG84)/HG94</f>
        <v>8.3953128938644372</v>
      </c>
      <c r="HH148" s="524">
        <f t="shared" si="196"/>
        <v>8.3953128938644372</v>
      </c>
      <c r="HI148" s="523">
        <f>(HI87-HI84)/HI94</f>
        <v>9.6799213706921119</v>
      </c>
      <c r="HJ148" s="523">
        <f>(HJ87-HJ84)/HJ94</f>
        <v>10.370710310958115</v>
      </c>
      <c r="HK148" s="523">
        <f>(HK87-HK84)/HK94</f>
        <v>10.655456040323219</v>
      </c>
      <c r="HL148" s="523">
        <f>(HL87-HL84)/HL94</f>
        <v>11.345898449757067</v>
      </c>
      <c r="HM148" s="524">
        <f t="shared" si="197"/>
        <v>11.345898449757067</v>
      </c>
      <c r="HN148" s="524"/>
      <c r="HO148" s="524"/>
      <c r="HQ148" s="509"/>
      <c r="HY148" s="509"/>
      <c r="HZ148" s="509"/>
      <c r="IA148" s="509"/>
      <c r="IB148" s="509"/>
    </row>
    <row r="149" spans="1:236" s="563" customFormat="1" ht="11.25" hidden="1" customHeight="1" outlineLevel="1">
      <c r="A149" s="532" t="s">
        <v>458</v>
      </c>
      <c r="B149" s="509"/>
      <c r="C149" s="509"/>
      <c r="D149" s="509"/>
      <c r="E149" s="509"/>
      <c r="F149" s="509"/>
      <c r="G149" s="509"/>
      <c r="H149" s="509"/>
      <c r="I149" s="509"/>
      <c r="J149" s="509"/>
      <c r="K149" s="509"/>
      <c r="L149" s="518"/>
      <c r="M149" s="518"/>
      <c r="N149" s="518"/>
      <c r="O149" s="518"/>
      <c r="P149" s="521"/>
      <c r="Q149" s="518"/>
      <c r="R149" s="518"/>
      <c r="S149" s="518"/>
      <c r="T149" s="518"/>
      <c r="U149" s="521"/>
      <c r="V149" s="518"/>
      <c r="W149" s="518"/>
      <c r="X149" s="518"/>
      <c r="Y149" s="518"/>
      <c r="Z149" s="521"/>
      <c r="AA149" s="518"/>
      <c r="AB149" s="518"/>
      <c r="AC149" s="518"/>
      <c r="AD149" s="518"/>
      <c r="AE149" s="521"/>
      <c r="AF149" s="518"/>
      <c r="AG149" s="518"/>
      <c r="AH149" s="518"/>
      <c r="AI149" s="518"/>
      <c r="AJ149" s="521"/>
      <c r="AK149" s="518">
        <f>AK77/AK94</f>
        <v>1.1038569812948</v>
      </c>
      <c r="AL149" s="518">
        <f>AL77/AL94</f>
        <v>1.1722575019235701</v>
      </c>
      <c r="AM149" s="518">
        <f>AM77/AM94</f>
        <v>1.0346863206267414</v>
      </c>
      <c r="AN149" s="518">
        <f>AN77/AN94</f>
        <v>0.63808689102905092</v>
      </c>
      <c r="AO149" s="521">
        <f t="shared" si="161"/>
        <v>0.63808689102905092</v>
      </c>
      <c r="AP149" s="518">
        <f>AP77/AP94</f>
        <v>0.81639734079072968</v>
      </c>
      <c r="AQ149" s="518">
        <f>AQ77/AQ94</f>
        <v>0.79952811296160098</v>
      </c>
      <c r="AR149" s="518">
        <f>AR77/AR94</f>
        <v>0.71639953724696825</v>
      </c>
      <c r="AS149" s="518">
        <f>AS77/AS94</f>
        <v>0.78915649085785611</v>
      </c>
      <c r="AT149" s="521">
        <f t="shared" si="162"/>
        <v>0.78915649085785611</v>
      </c>
      <c r="AU149" s="518">
        <f>AU77/AU94</f>
        <v>0.76829611665064856</v>
      </c>
      <c r="AV149" s="518">
        <f>AV77/AV94</f>
        <v>0.60190921505061545</v>
      </c>
      <c r="AW149" s="518">
        <f>AW77/AW94</f>
        <v>0.76162533355254003</v>
      </c>
      <c r="AX149" s="518">
        <f>AX77/AX94</f>
        <v>0.66189523765452718</v>
      </c>
      <c r="AY149" s="521">
        <f t="shared" si="163"/>
        <v>0.66189523765452718</v>
      </c>
      <c r="AZ149" s="518">
        <f>AZ77/AZ94</f>
        <v>1.0460894342616758</v>
      </c>
      <c r="BA149" s="518">
        <f>BA77/BA94</f>
        <v>0.90585838971854105</v>
      </c>
      <c r="BB149" s="518">
        <f>BB77/BB94</f>
        <v>0.70895888292476683</v>
      </c>
      <c r="BC149" s="518">
        <f>BC77/BC94</f>
        <v>0.6426132063789094</v>
      </c>
      <c r="BD149" s="521">
        <f t="shared" si="164"/>
        <v>0.6426132063789094</v>
      </c>
      <c r="BE149" s="518">
        <f>BE77/BE94</f>
        <v>0.46524206231138687</v>
      </c>
      <c r="BF149" s="518">
        <f>BF77/BF94</f>
        <v>0.87418192560572849</v>
      </c>
      <c r="BG149" s="518">
        <f>BG77/BG94</f>
        <v>0.70806595816567108</v>
      </c>
      <c r="BH149" s="518">
        <f>BH77/BH94</f>
        <v>0.82908201194453801</v>
      </c>
      <c r="BI149" s="521">
        <f t="shared" si="165"/>
        <v>0.82908201194453801</v>
      </c>
      <c r="BJ149" s="518">
        <f>BJ77/BJ94</f>
        <v>0.56639177597450718</v>
      </c>
      <c r="BK149" s="518">
        <f>BK77/BK94</f>
        <v>0.83101796284851859</v>
      </c>
      <c r="BL149" s="518">
        <f>BL77/BL94</f>
        <v>0.50040944823366551</v>
      </c>
      <c r="BM149" s="518">
        <f>BM77/BM94</f>
        <v>0.65503726999995604</v>
      </c>
      <c r="BN149" s="521">
        <f t="shared" si="166"/>
        <v>0.65503726999995604</v>
      </c>
      <c r="BO149" s="518">
        <f>BO77/BO94</f>
        <v>1.0100024173699016</v>
      </c>
      <c r="BP149" s="518">
        <f>BP77/BP94</f>
        <v>1.152824111783777</v>
      </c>
      <c r="BQ149" s="518">
        <f>BQ77/BQ94</f>
        <v>1.1589466009474538</v>
      </c>
      <c r="BR149" s="518">
        <f>BR77/BR94</f>
        <v>1.056413276922235</v>
      </c>
      <c r="BS149" s="521">
        <f t="shared" si="167"/>
        <v>1.056413276922235</v>
      </c>
      <c r="BT149" s="518">
        <f>BT77/BT94</f>
        <v>1.3734274570835121</v>
      </c>
      <c r="BU149" s="518">
        <f>BU77/BU94</f>
        <v>0.98091819086077392</v>
      </c>
      <c r="BV149" s="518">
        <f>BV77/BV94</f>
        <v>0.77057445933890867</v>
      </c>
      <c r="BW149" s="518">
        <f>BW77/BW94</f>
        <v>0.66212991947102484</v>
      </c>
      <c r="BX149" s="521">
        <f t="shared" si="168"/>
        <v>0.66212991947102484</v>
      </c>
      <c r="BY149" s="518">
        <f>BY77/BY94</f>
        <v>1.0405181062536724</v>
      </c>
      <c r="BZ149" s="518">
        <f>BZ77/BZ94</f>
        <v>0.86484656826823569</v>
      </c>
      <c r="CA149" s="518">
        <f>CA77/CA94</f>
        <v>0.66917956284262814</v>
      </c>
      <c r="CB149" s="518">
        <f>CB77/CB94</f>
        <v>0.75630120423095171</v>
      </c>
      <c r="CC149" s="521">
        <f t="shared" si="169"/>
        <v>0.75630120423095171</v>
      </c>
      <c r="CD149" s="518">
        <f>CD77/CD94</f>
        <v>0.62998688067080244</v>
      </c>
      <c r="CE149" s="518">
        <f>CE77/CE94</f>
        <v>0.69436641030533108</v>
      </c>
      <c r="CF149" s="518">
        <f>CF77/CF94</f>
        <v>0.84783761570763383</v>
      </c>
      <c r="CG149" s="518">
        <f>CG77/CG94</f>
        <v>0.90435456216819188</v>
      </c>
      <c r="CH149" s="521">
        <f t="shared" si="170"/>
        <v>0.90435456216819188</v>
      </c>
      <c r="CI149" s="518">
        <f>CI77/CI94</f>
        <v>0.88460051006195928</v>
      </c>
      <c r="CJ149" s="518">
        <f>CJ77/CJ94</f>
        <v>0.75581713877364665</v>
      </c>
      <c r="CK149" s="518">
        <f>CK77/CK94</f>
        <v>0.74825275928294621</v>
      </c>
      <c r="CL149" s="518">
        <f>CL77/CL94</f>
        <v>0.64751654050962537</v>
      </c>
      <c r="CM149" s="521">
        <f t="shared" si="171"/>
        <v>0.64751654050962537</v>
      </c>
      <c r="CN149" s="518">
        <f>CN77/CN94</f>
        <v>0.56991006969362334</v>
      </c>
      <c r="CO149" s="518">
        <f>CO77/CO94</f>
        <v>0.61073923603532898</v>
      </c>
      <c r="CP149" s="518">
        <f>CP77/CP94</f>
        <v>0.60666891163488679</v>
      </c>
      <c r="CQ149" s="518">
        <f>CQ77/CQ94</f>
        <v>0.98507269357281135</v>
      </c>
      <c r="CR149" s="521">
        <f t="shared" si="172"/>
        <v>0.98507269357281135</v>
      </c>
      <c r="CS149" s="518">
        <f>CS77/CS94</f>
        <v>1.3511062732611967</v>
      </c>
      <c r="CT149" s="518">
        <f>CT77/CT94</f>
        <v>1.4420506483654214</v>
      </c>
      <c r="CU149" s="518">
        <f>CU77/CU94</f>
        <v>1.2455814917046779</v>
      </c>
      <c r="CV149" s="518">
        <f>CV77/CV94</f>
        <v>0.54051210101718694</v>
      </c>
      <c r="CW149" s="521">
        <f t="shared" si="173"/>
        <v>0.54051210101718694</v>
      </c>
      <c r="CX149" s="518">
        <f>CX77/CX94</f>
        <v>0.4008931638612161</v>
      </c>
      <c r="CY149" s="518">
        <f>CY77/CY94</f>
        <v>0.64378029079159937</v>
      </c>
      <c r="CZ149" s="518">
        <f>CZ77/CZ94</f>
        <v>0.56550703182827533</v>
      </c>
      <c r="DA149" s="518">
        <f>DA77/DA94</f>
        <v>0.7196190476190476</v>
      </c>
      <c r="DB149" s="521">
        <f t="shared" si="174"/>
        <v>0.7196190476190476</v>
      </c>
      <c r="DC149" s="518">
        <f>DC77/DC94</f>
        <v>0.64024835646457268</v>
      </c>
      <c r="DD149" s="518">
        <f>DD77/DD94</f>
        <v>0.63492706645056729</v>
      </c>
      <c r="DE149" s="518">
        <f>DE77/DE94</f>
        <v>0.56061872909698995</v>
      </c>
      <c r="DF149" s="518">
        <f>DF77/DF94</f>
        <v>0.49236298292902064</v>
      </c>
      <c r="DG149" s="521">
        <f t="shared" si="175"/>
        <v>0.49236298292902064</v>
      </c>
      <c r="DH149" s="518">
        <f>DH77/DH94</f>
        <v>1.3078403078403078</v>
      </c>
      <c r="DI149" s="518">
        <f>DI77/DI94</f>
        <v>1.2433234421364985</v>
      </c>
      <c r="DJ149" s="518">
        <f>DJ77/DJ94</f>
        <v>1.2095375722543353</v>
      </c>
      <c r="DK149" s="518">
        <f>DK77/DK94</f>
        <v>1.2108597285067872</v>
      </c>
      <c r="DL149" s="521">
        <f t="shared" si="176"/>
        <v>1.2108597285067872</v>
      </c>
      <c r="DM149" s="518">
        <f>DM77/DM94</f>
        <v>1.1744680851063829</v>
      </c>
      <c r="DN149" s="518">
        <f>DN77/DN94</f>
        <v>1.1631901840490797</v>
      </c>
      <c r="DO149" s="518">
        <f>DO77/DO94</f>
        <v>1.0366366366366366</v>
      </c>
      <c r="DP149" s="518">
        <f>DP77/DP94</f>
        <v>1.0686977299880525</v>
      </c>
      <c r="DQ149" s="521">
        <f t="shared" si="177"/>
        <v>1.0686977299880525</v>
      </c>
      <c r="DR149" s="518">
        <f>DR77/DR94</f>
        <v>1.269090909090909</v>
      </c>
      <c r="DS149" s="518">
        <f>DS77/DS94</f>
        <v>1.4184451219512195</v>
      </c>
      <c r="DT149" s="518">
        <f>DT77/DT94</f>
        <v>0.97412398921832888</v>
      </c>
      <c r="DU149" s="518">
        <f>DU77/DU94</f>
        <v>0.99492671927846676</v>
      </c>
      <c r="DV149" s="521">
        <f t="shared" si="178"/>
        <v>0.99492671927846676</v>
      </c>
      <c r="DW149" s="518">
        <f>DW77/DW94</f>
        <v>0.65786109927567105</v>
      </c>
      <c r="DX149" s="518">
        <f>DX77/DX94</f>
        <v>0.671343537414966</v>
      </c>
      <c r="DY149" s="518">
        <f>DY77/DY94</f>
        <v>0.83601286173633438</v>
      </c>
      <c r="DZ149" s="518">
        <f>DZ77/DZ94</f>
        <v>0.71725125268432355</v>
      </c>
      <c r="EA149" s="521">
        <f t="shared" si="179"/>
        <v>0.71725125268432355</v>
      </c>
      <c r="EB149" s="518">
        <f>EB77/EB94</f>
        <v>0.75927327781983345</v>
      </c>
      <c r="EC149" s="518">
        <f>EC77/EC94</f>
        <v>0.66712611991729842</v>
      </c>
      <c r="ED149" s="518">
        <f>ED77/ED94</f>
        <v>0.67026106696935306</v>
      </c>
      <c r="EE149" s="518">
        <f>EE77/EE94</f>
        <v>0.73362175525339923</v>
      </c>
      <c r="EF149" s="521">
        <f t="shared" si="180"/>
        <v>0.73362175525339923</v>
      </c>
      <c r="EG149" s="518">
        <f>EG77/EG94</f>
        <v>0.65173410404624277</v>
      </c>
      <c r="EH149" s="518">
        <f>EH77/EH94</f>
        <v>0.62990033222591357</v>
      </c>
      <c r="EI149" s="518">
        <f>EI77/EI94</f>
        <v>0.59897828863346103</v>
      </c>
      <c r="EJ149" s="518">
        <f>EJ77/EJ94</f>
        <v>0.72222222222222221</v>
      </c>
      <c r="EK149" s="521">
        <f t="shared" si="181"/>
        <v>0.72222222222222221</v>
      </c>
      <c r="EL149" s="518">
        <f>EL77/EL94</f>
        <v>0.70123839009287925</v>
      </c>
      <c r="EM149" s="518">
        <f>EM77/EM94</f>
        <v>0.59256611865618303</v>
      </c>
      <c r="EN149" s="518">
        <f>EN77/EN94</f>
        <v>0.52104899930986892</v>
      </c>
      <c r="EO149" s="518">
        <f>EO77/EO94</f>
        <v>0.55951532430506057</v>
      </c>
      <c r="EP149" s="521">
        <f t="shared" si="182"/>
        <v>0.55951532430506057</v>
      </c>
      <c r="EQ149" s="518">
        <f>EQ77/EQ94</f>
        <v>0.53915662650602414</v>
      </c>
      <c r="ER149" s="518">
        <f>ER77/ER94</f>
        <v>0.60531309297912717</v>
      </c>
      <c r="ES149" s="518">
        <f>ES77/ES94</f>
        <v>0.85403937542430419</v>
      </c>
      <c r="ET149" s="518">
        <f>ET77/ET94</f>
        <v>0.93907875185735512</v>
      </c>
      <c r="EU149" s="521">
        <f t="shared" si="183"/>
        <v>0.93907875185735512</v>
      </c>
      <c r="EV149" s="518">
        <f>EV77/EV94</f>
        <v>0.68731778425655976</v>
      </c>
      <c r="EW149" s="518">
        <f>EW77/EW94</f>
        <v>0.58247066942719117</v>
      </c>
      <c r="EX149" s="518">
        <f>EX77/EX94</f>
        <v>0.55248271527341297</v>
      </c>
      <c r="EY149" s="518">
        <f>EY77/EY94</f>
        <v>0.79744279946164198</v>
      </c>
      <c r="EZ149" s="521">
        <f t="shared" si="184"/>
        <v>0.79744279946164198</v>
      </c>
      <c r="FA149" s="518">
        <f>FA77/FA94</f>
        <v>0.61579257513258689</v>
      </c>
      <c r="FB149" s="518">
        <f>FB77/FB94</f>
        <v>0.52623126338329762</v>
      </c>
      <c r="FC149" s="518">
        <f>FC77/FC94</f>
        <v>0.56230031948881787</v>
      </c>
      <c r="FD149" s="518">
        <f>FD77/FD94</f>
        <v>0.58266129032258063</v>
      </c>
      <c r="FE149" s="521">
        <f t="shared" si="185"/>
        <v>0.58266129032258063</v>
      </c>
      <c r="FF149" s="518">
        <f>FF77/FF94</f>
        <v>0.6768707482993197</v>
      </c>
      <c r="FG149" s="518">
        <f>FG77/FG94</f>
        <v>0.62527716186252769</v>
      </c>
      <c r="FH149" s="518">
        <f>FH77/FH94</f>
        <v>0.64860515021459231</v>
      </c>
      <c r="FI149" s="518">
        <f>FI77/FI94</f>
        <v>0.6371343789741416</v>
      </c>
      <c r="FJ149" s="521">
        <f t="shared" si="186"/>
        <v>0.6371343789741416</v>
      </c>
      <c r="FK149" s="518">
        <f>FK77/FK94</f>
        <v>0.69773299748110829</v>
      </c>
      <c r="FL149" s="518">
        <f>FL77/FL94</f>
        <v>0.72925225965488905</v>
      </c>
      <c r="FM149" s="518">
        <f>FM77/FM94</f>
        <v>0.73272652047993381</v>
      </c>
      <c r="FN149" s="518">
        <f>FN77/FN94</f>
        <v>0.94745552337608607</v>
      </c>
      <c r="FO149" s="521">
        <f t="shared" si="187"/>
        <v>0.94745552337608607</v>
      </c>
      <c r="FP149" s="518">
        <f>FP77/FP94</f>
        <v>1.0879888268156424</v>
      </c>
      <c r="FQ149" s="518">
        <f>FQ77/FQ94</f>
        <v>1.3115491009681881</v>
      </c>
      <c r="FR149" s="518">
        <f>FR77/FR94</f>
        <v>1.0123456790123457</v>
      </c>
      <c r="FS149" s="518">
        <f>FS77/FS94</f>
        <v>0.85094339622641513</v>
      </c>
      <c r="FT149" s="521">
        <f t="shared" si="188"/>
        <v>0.85094339622641513</v>
      </c>
      <c r="FU149" s="518">
        <f>FU77/FU94</f>
        <v>1.1703995699695395</v>
      </c>
      <c r="FV149" s="518">
        <f>FV77/FV94</f>
        <v>1.084917617237009</v>
      </c>
      <c r="FW149" s="518">
        <f>FW77/FW94</f>
        <v>0.83560005978179641</v>
      </c>
      <c r="FX149" s="518">
        <f>FX77/FX94</f>
        <v>0.91929659287172238</v>
      </c>
      <c r="FY149" s="521">
        <f t="shared" si="189"/>
        <v>0.91929659287172238</v>
      </c>
      <c r="FZ149" s="518">
        <f>FZ77/FZ94</f>
        <v>0.90299528660483508</v>
      </c>
      <c r="GA149" s="518">
        <f>GA77/GA94</f>
        <v>0.8300316957210776</v>
      </c>
      <c r="GB149" s="518">
        <f>GB77/GB94</f>
        <v>0.75848957650452342</v>
      </c>
      <c r="GC149" s="518">
        <f>GC77/GC94</f>
        <v>0.86305875317685754</v>
      </c>
      <c r="GD149" s="521">
        <f t="shared" si="190"/>
        <v>0.86305875317685754</v>
      </c>
      <c r="GE149" s="518">
        <f>GE77/GE94</f>
        <v>0.93219029966017919</v>
      </c>
      <c r="GF149" s="518">
        <f>GF77/GF94</f>
        <v>0.86198547215496368</v>
      </c>
      <c r="GG149" s="518">
        <f>GG77/GG94</f>
        <v>0.60586666666666666</v>
      </c>
      <c r="GH149" s="518">
        <f>GH77/GH94</f>
        <v>0.70484823513253669</v>
      </c>
      <c r="GI149" s="521">
        <f t="shared" si="191"/>
        <v>0.70484823513253669</v>
      </c>
      <c r="GJ149" s="518">
        <f>GJ77/GJ94</f>
        <v>0.94898091652602878</v>
      </c>
      <c r="GK149" s="518">
        <f>GK77/GK94</f>
        <v>0.59717565782789794</v>
      </c>
      <c r="GL149" s="518">
        <f>GL77/GL94</f>
        <v>0.62051282051282053</v>
      </c>
      <c r="GM149" s="518">
        <f>GM77/GM94</f>
        <v>1.1160232681121101</v>
      </c>
      <c r="GN149" s="521">
        <f t="shared" si="192"/>
        <v>1.1160232681121101</v>
      </c>
      <c r="GO149" s="518">
        <f>GO77/GO94</f>
        <v>1.175233200076147</v>
      </c>
      <c r="GP149" s="518">
        <f>GP77/GP94</f>
        <v>1.1050737277505882</v>
      </c>
      <c r="GQ149" s="518">
        <f>GQ77/GQ94</f>
        <v>1.2319039716595181</v>
      </c>
      <c r="GR149" s="518">
        <f>GR77/GR94</f>
        <v>1.1880245783092791</v>
      </c>
      <c r="GS149" s="521">
        <f t="shared" si="193"/>
        <v>1.1880245783092791</v>
      </c>
      <c r="GT149" s="518">
        <f>GT77/GT94</f>
        <v>1.5167482190682211</v>
      </c>
      <c r="GU149" s="518">
        <f>GU77/GU94</f>
        <v>1.7163009626462842</v>
      </c>
      <c r="GV149" s="518">
        <f>GV77/GV94</f>
        <v>1.8696103695992881</v>
      </c>
      <c r="GW149" s="518">
        <f>GW77/GW94</f>
        <v>2.1677414184219992</v>
      </c>
      <c r="GX149" s="521">
        <f t="shared" si="194"/>
        <v>2.1677414184219992</v>
      </c>
      <c r="GY149" s="518">
        <f>GY77/GY94</f>
        <v>2.9637592988671462</v>
      </c>
      <c r="GZ149" s="518">
        <f>GZ77/GZ94</f>
        <v>3.5159506838831409</v>
      </c>
      <c r="HA149" s="518">
        <f>HA77/HA94</f>
        <v>3.8872237000403822</v>
      </c>
      <c r="HB149" s="518">
        <f>HB77/HB94</f>
        <v>4.2868376492400309</v>
      </c>
      <c r="HC149" s="521">
        <f t="shared" si="195"/>
        <v>4.2868376492400309</v>
      </c>
      <c r="HD149" s="518">
        <f>HD77/HD94</f>
        <v>5.2308077732261724</v>
      </c>
      <c r="HE149" s="518">
        <f>HE77/HE94</f>
        <v>5.8421565839147727</v>
      </c>
      <c r="HF149" s="518">
        <f>HF77/HF94</f>
        <v>6.2757041044510569</v>
      </c>
      <c r="HG149" s="518">
        <f>HG77/HG94</f>
        <v>6.9000494733165452</v>
      </c>
      <c r="HH149" s="521">
        <f t="shared" si="196"/>
        <v>6.9000494733165452</v>
      </c>
      <c r="HI149" s="518">
        <f>HI77/HI94</f>
        <v>8.2037728839970345</v>
      </c>
      <c r="HJ149" s="518">
        <f>HJ77/HJ94</f>
        <v>8.8762354794675584</v>
      </c>
      <c r="HK149" s="518">
        <f>HK77/HK94</f>
        <v>9.1200170341143281</v>
      </c>
      <c r="HL149" s="518">
        <f>HL77/HL94</f>
        <v>9.7912443811255088</v>
      </c>
      <c r="HM149" s="521">
        <f t="shared" si="197"/>
        <v>9.7912443811255088</v>
      </c>
      <c r="HN149" s="521"/>
      <c r="HO149" s="521"/>
      <c r="HQ149" s="509"/>
      <c r="HY149" s="509"/>
      <c r="HZ149" s="509"/>
      <c r="IA149" s="509"/>
      <c r="IB149" s="509"/>
    </row>
    <row r="150" spans="1:236" s="563" customFormat="1" ht="11.25" hidden="1" customHeight="1" outlineLevel="1">
      <c r="A150" s="532" t="s">
        <v>459</v>
      </c>
      <c r="B150" s="509"/>
      <c r="C150" s="509"/>
      <c r="D150" s="509"/>
      <c r="E150" s="509"/>
      <c r="F150" s="509"/>
      <c r="G150" s="509"/>
      <c r="H150" s="509"/>
      <c r="I150" s="509"/>
      <c r="J150" s="509"/>
      <c r="K150" s="509"/>
      <c r="L150" s="518"/>
      <c r="M150" s="518"/>
      <c r="N150" s="518"/>
      <c r="O150" s="518"/>
      <c r="P150" s="521"/>
      <c r="Q150" s="518"/>
      <c r="R150" s="518"/>
      <c r="S150" s="518"/>
      <c r="T150" s="518"/>
      <c r="U150" s="521"/>
      <c r="V150" s="518"/>
      <c r="W150" s="518"/>
      <c r="X150" s="518"/>
      <c r="Y150" s="518"/>
      <c r="Z150" s="521"/>
      <c r="AA150" s="518"/>
      <c r="AB150" s="518"/>
      <c r="AC150" s="518"/>
      <c r="AD150" s="518"/>
      <c r="AE150" s="521"/>
      <c r="AF150" s="518"/>
      <c r="AG150" s="518"/>
      <c r="AH150" s="518"/>
      <c r="AI150" s="518"/>
      <c r="AJ150" s="521"/>
      <c r="AK150" s="518">
        <f>(AK94+AK95+AK96)/(AK97+AK96+AK95+AK94)</f>
        <v>0.29908201697787595</v>
      </c>
      <c r="AL150" s="518">
        <f>(AL94+AL95+AL96)/(AL97+AL96+AL95+AL94)</f>
        <v>0.28308356692643605</v>
      </c>
      <c r="AM150" s="518">
        <f>(AM94+AM95+AM96)/(AM97+AM96+AM95+AM94)</f>
        <v>0.28340249409423812</v>
      </c>
      <c r="AN150" s="518">
        <f>(AN94+AN95+AN96)/(AN97+AN96+AN95+AN94)</f>
        <v>0.29048387743069271</v>
      </c>
      <c r="AO150" s="521">
        <f t="shared" si="161"/>
        <v>0.29048387743069271</v>
      </c>
      <c r="AP150" s="518">
        <f>(AP94+AP95+AP96)/(AP97+AP96+AP95+AP94)</f>
        <v>0.31813119931784145</v>
      </c>
      <c r="AQ150" s="518">
        <f>(AQ94+AQ95+AQ96)/(AQ97+AQ96+AQ95+AQ94)</f>
        <v>0.32826850604887287</v>
      </c>
      <c r="AR150" s="518">
        <f>(AR94+AR95+AR96)/(AR97+AR96+AR95+AR94)</f>
        <v>0.31911766737761282</v>
      </c>
      <c r="AS150" s="518">
        <f>(AS94+AS95+AS96)/(AS97+AS96+AS95+AS94)</f>
        <v>0.30717838211599896</v>
      </c>
      <c r="AT150" s="521">
        <f t="shared" si="162"/>
        <v>0.30717838211599896</v>
      </c>
      <c r="AU150" s="518">
        <f>(AU94+AU95+AU96)/(AU97+AU96+AU95+AU94)</f>
        <v>0.28186627291307154</v>
      </c>
      <c r="AV150" s="518">
        <f>(AV94+AV95+AV96)/(AV97+AV96+AV95+AV94)</f>
        <v>0.27193785643359902</v>
      </c>
      <c r="AW150" s="518">
        <f>(AW94+AW95+AW96)/(AW97+AW96+AW95+AW94)</f>
        <v>0.33311613127997713</v>
      </c>
      <c r="AX150" s="518">
        <f>(AX94+AX95+AX96)/(AX97+AX96+AX95+AX94)</f>
        <v>0.35717135787145393</v>
      </c>
      <c r="AY150" s="521">
        <f t="shared" si="163"/>
        <v>0.35717135787145393</v>
      </c>
      <c r="AZ150" s="518">
        <f>(AZ94+AZ95+AZ96)/(AZ97+AZ96+AZ95+AZ94)</f>
        <v>0.40347873954431335</v>
      </c>
      <c r="BA150" s="518">
        <f>(BA94+BA95+BA96)/(BA97+BA96+BA95+BA94)</f>
        <v>0.39783727483494546</v>
      </c>
      <c r="BB150" s="518">
        <f>(BB94+BB95+BB96)/(BB97+BB96+BB95+BB94)</f>
        <v>0.40348826280390881</v>
      </c>
      <c r="BC150" s="518">
        <f>(BC94+BC95+BC96)/(BC97+BC96+BC95+BC94)</f>
        <v>0.42264963355599039</v>
      </c>
      <c r="BD150" s="521">
        <f t="shared" si="164"/>
        <v>0.42264963355599039</v>
      </c>
      <c r="BE150" s="518">
        <f>(BE94+BE95+BE96)/(BE97+BE96+BE95+BE94)</f>
        <v>0.41010489432843195</v>
      </c>
      <c r="BF150" s="518">
        <f>(BF94+BF95+BF96)/(BF97+BF96+BF95+BF94)</f>
        <v>0.50280957988733699</v>
      </c>
      <c r="BG150" s="518">
        <f>(BG94+BG95+BG96)/(BG97+BG96+BG95+BG94)</f>
        <v>0.53118545192338995</v>
      </c>
      <c r="BH150" s="518">
        <f>(BH94+BH95+BH96)/(BH97+BH96+BH95+BH94)</f>
        <v>0.52855300110417014</v>
      </c>
      <c r="BI150" s="521">
        <f t="shared" si="165"/>
        <v>0.52855300110417014</v>
      </c>
      <c r="BJ150" s="518">
        <f>(BJ94+BJ95+BJ96)/(BJ97+BJ96+BJ95+BJ94)</f>
        <v>0.56481313522051946</v>
      </c>
      <c r="BK150" s="518">
        <f>(BK94+BK95+BK96)/(BK97+BK96+BK95+BK94)</f>
        <v>0.53788110199483796</v>
      </c>
      <c r="BL150" s="518">
        <f>(BL94+BL95+BL96)/(BL97+BL96+BL95+BL94)</f>
        <v>0.5408342620274158</v>
      </c>
      <c r="BM150" s="518">
        <f>(BM94+BM95+BM96)/(BM97+BM96+BM95+BM94)</f>
        <v>0.54787356277203225</v>
      </c>
      <c r="BN150" s="521">
        <f t="shared" si="166"/>
        <v>0.54787356277203225</v>
      </c>
      <c r="BO150" s="518">
        <f>(BO94+BO95+BO96)/(BO97+BO96+BO95+BO94)</f>
        <v>0.52603182207339139</v>
      </c>
      <c r="BP150" s="518">
        <f>(BP94+BP95+BP96)/(BP97+BP96+BP95+BP94)</f>
        <v>0.50777194452133911</v>
      </c>
      <c r="BQ150" s="518">
        <f>(BQ94+BQ95+BQ96)/(BQ97+BQ96+BQ95+BQ94)</f>
        <v>0.45993702149965976</v>
      </c>
      <c r="BR150" s="518">
        <f>(BR94+BR95+BR96)/(BR97+BR96+BR95+BR94)</f>
        <v>0.45010181639759794</v>
      </c>
      <c r="BS150" s="521">
        <f t="shared" si="167"/>
        <v>0.45010181639759794</v>
      </c>
      <c r="BT150" s="518">
        <f>(BT94+BT95+BT96)/(BT97+BT96+BT95+BT94)</f>
        <v>0.4565573219911418</v>
      </c>
      <c r="BU150" s="518">
        <f>(BU94+BU95+BU96)/(BU97+BU96+BU95+BU94)</f>
        <v>0.34825319291717832</v>
      </c>
      <c r="BV150" s="518">
        <f>(BV94+BV95+BV96)/(BV97+BV96+BV95+BV94)</f>
        <v>0.36737091635513974</v>
      </c>
      <c r="BW150" s="518">
        <f>(BW94+BW95+BW96)/(BW97+BW96+BW95+BW94)</f>
        <v>0.37047943049014009</v>
      </c>
      <c r="BX150" s="521">
        <f t="shared" si="168"/>
        <v>0.37047943049014009</v>
      </c>
      <c r="BY150" s="518">
        <f>(BY94+BY95+BY96)/(BY97+BY96+BY95+BY94)</f>
        <v>0.41162831088718038</v>
      </c>
      <c r="BZ150" s="518">
        <f>(BZ94+BZ95+BZ96)/(BZ97+BZ96+BZ95+BZ94)</f>
        <v>0.41467105234652651</v>
      </c>
      <c r="CA150" s="518">
        <f>(CA94+CA95+CA96)/(CA97+CA96+CA95+CA94)</f>
        <v>0.43451065535929456</v>
      </c>
      <c r="CB150" s="518">
        <f>(CB94+CB95+CB96)/(CB97+CB96+CB95+CB94)</f>
        <v>0.56092088864907541</v>
      </c>
      <c r="CC150" s="521">
        <f t="shared" si="169"/>
        <v>0.56092088864907541</v>
      </c>
      <c r="CD150" s="518">
        <f>(CD94+CD95+CD96)/(CD97+CD96+CD95+CD94)</f>
        <v>0.5625170176642893</v>
      </c>
      <c r="CE150" s="518">
        <f>(CE94+CE95+CE96)/(CE97+CE96+CE95+CE94)</f>
        <v>0.56869661669538196</v>
      </c>
      <c r="CF150" s="518">
        <f>(CF94+CF95+CF96)/(CF97+CF96+CF95+CF94)</f>
        <v>0.65746413949416038</v>
      </c>
      <c r="CG150" s="518">
        <f>(CG94+CG95+CG96)/(CG97+CG96+CG95+CG94)</f>
        <v>0.65630230838787795</v>
      </c>
      <c r="CH150" s="521">
        <f t="shared" si="170"/>
        <v>0.65630230838787795</v>
      </c>
      <c r="CI150" s="518">
        <f>(CI94+CI95+CI96)/(CI97+CI96+CI95+CI94)</f>
        <v>0.65007314769265256</v>
      </c>
      <c r="CJ150" s="518">
        <f>(CJ94+CJ95+CJ96)/(CJ97+CJ96+CJ95+CJ94)</f>
        <v>0.6405079305658552</v>
      </c>
      <c r="CK150" s="518">
        <f>(CK94+CK95+CK96)/(CK97+CK96+CK95+CK94)</f>
        <v>0.64689824384385508</v>
      </c>
      <c r="CL150" s="518">
        <f>(CL94+CL95+CL96)/(CL97+CL96+CL95+CL94)</f>
        <v>0.61627072707130481</v>
      </c>
      <c r="CM150" s="521">
        <f t="shared" si="171"/>
        <v>0.61627072707130481</v>
      </c>
      <c r="CN150" s="518">
        <f>(CN94+CN95+CN96)/(CN97+CN96+CN95+CN94)</f>
        <v>0.6248042963143654</v>
      </c>
      <c r="CO150" s="518">
        <f>(CO94+CO95+CO96)/(CO97+CO96+CO95+CO94)</f>
        <v>0.63376181495882578</v>
      </c>
      <c r="CP150" s="518">
        <f>(CP94+CP95+CP96)/(CP97+CP96+CP95+CP94)</f>
        <v>0.63550722577425667</v>
      </c>
      <c r="CQ150" s="518">
        <f>(CQ94+CQ95+CQ96)/(CQ97+CQ96+CQ95+CQ94)</f>
        <v>0.54007434362727746</v>
      </c>
      <c r="CR150" s="521">
        <f t="shared" si="172"/>
        <v>0.54007434362727746</v>
      </c>
      <c r="CS150" s="518">
        <f>(CS94+CS95+CS96)/(CS97+CS96+CS95+CS94)</f>
        <v>0.41506524119028149</v>
      </c>
      <c r="CT150" s="518">
        <f>(CT94+CT95+CT96)/(CT97+CT96+CT95+CT94)</f>
        <v>0.39808320500329014</v>
      </c>
      <c r="CU150" s="518">
        <f>(CU94+CU95+CU96)/(CU97+CU96+CU95+CU94)</f>
        <v>0.40179631978688302</v>
      </c>
      <c r="CV150" s="518">
        <f>(CV94+CV95+CV96)/(CV97+CV96+CV95+CV94)</f>
        <v>0.55989959686620516</v>
      </c>
      <c r="CW150" s="521">
        <f t="shared" si="173"/>
        <v>0.55989959686620516</v>
      </c>
      <c r="CX150" s="518">
        <f>(CX94+CX95+CX96)/(CX97+CX96+CX95+CX94)</f>
        <v>0.59054436752674633</v>
      </c>
      <c r="CY150" s="518">
        <f>(CY94+CY95+CY96)/(CY97+CY96+CY95+CY94)</f>
        <v>0.66182698124621897</v>
      </c>
      <c r="CZ150" s="518">
        <f>(CZ94+CZ95+CZ96)/(CZ97+CZ96+CZ95+CZ94)</f>
        <v>0.68107314055976498</v>
      </c>
      <c r="DA150" s="518">
        <f>(DA94+DA95+DA96)/(DA97+DA96+DA95+DA94)</f>
        <v>0.74112554112554108</v>
      </c>
      <c r="DB150" s="521">
        <f t="shared" si="174"/>
        <v>0.74112554112554108</v>
      </c>
      <c r="DC150" s="518">
        <f>(DC94+DC95+DC96)/(DC97+DC96+DC95+DC94)</f>
        <v>0.76472162740899352</v>
      </c>
      <c r="DD150" s="518">
        <f>(DD94+DD95+DD96)/(DD97+DD96+DD95+DD94)</f>
        <v>0.84934587080948487</v>
      </c>
      <c r="DE150" s="518">
        <f>(DE94+DE95+DE96)/(DE97+DE96+DE95+DE94)</f>
        <v>0.85356089338390229</v>
      </c>
      <c r="DF150" s="518">
        <f>(DF94+DF95+DF96)/(DF97+DF96+DF95+DF94)</f>
        <v>1.0106840390879479</v>
      </c>
      <c r="DG150" s="521">
        <f t="shared" si="175"/>
        <v>1.0106840390879479</v>
      </c>
      <c r="DH150" s="518">
        <f>(DH94+DH95+DH96)/(DH97+DH96+DH95+DH94)</f>
        <v>1.0180070702607158</v>
      </c>
      <c r="DI150" s="518">
        <f>(DI94+DI95+DI96)/(DI97+DI96+DI95+DI94)</f>
        <v>1.0535529194978694</v>
      </c>
      <c r="DJ150" s="518">
        <f>(DJ94+DJ95+DJ96)/(DJ97+DJ96+DJ95+DJ94)</f>
        <v>1.0650508745855722</v>
      </c>
      <c r="DK150" s="518">
        <f>(DK94+DK95+DK96)/(DK97+DK96+DK95+DK94)</f>
        <v>0.92861863846662263</v>
      </c>
      <c r="DL150" s="521">
        <f t="shared" si="176"/>
        <v>0.92861863846662263</v>
      </c>
      <c r="DM150" s="518">
        <f>(DM94+DM95+DM96)/(DM97+DM96+DM95+DM94)</f>
        <v>0.84785932721712542</v>
      </c>
      <c r="DN150" s="518">
        <f>(DN94+DN95+DN96)/(DN97+DN96+DN95+DN94)</f>
        <v>0.84823410696266399</v>
      </c>
      <c r="DO150" s="518">
        <f>(DO94+DO95+DO96)/(DO97+DO96+DO95+DO94)</f>
        <v>0.86637649619151247</v>
      </c>
      <c r="DP150" s="518">
        <f>(DP94+DP95+DP96)/(DP97+DP96+DP95+DP94)</f>
        <v>0.79593070104754227</v>
      </c>
      <c r="DQ150" s="521">
        <f t="shared" si="177"/>
        <v>0.79593070104754227</v>
      </c>
      <c r="DR150" s="518">
        <f>(DR94+DR95+DR96)/(DR97+DR96+DR95+DR94)</f>
        <v>0.70090228450758307</v>
      </c>
      <c r="DS150" s="518">
        <f>(DS94+DS95+DS96)/(DS97+DS96+DS95+DS94)</f>
        <v>0.6858728943338438</v>
      </c>
      <c r="DT150" s="518">
        <f>(DT94+DT95+DT96)/(DT97+DT96+DT95+DT94)</f>
        <v>0.66692131398013754</v>
      </c>
      <c r="DU150" s="518">
        <f>(DU94+DU95+DU96)/(DU97+DU96+DU95+DU94)</f>
        <v>0.67904723455793303</v>
      </c>
      <c r="DV150" s="521">
        <f t="shared" si="178"/>
        <v>0.67904723455793303</v>
      </c>
      <c r="DW150" s="518">
        <f>(DW94+DW95+DW96)/(DW97+DW96+DW95+DW94)</f>
        <v>0.78909382518043303</v>
      </c>
      <c r="DX150" s="518">
        <f>(DX94+DX95+DX96)/(DX97+DX96+DX95+DX94)</f>
        <v>0.7784169807577862</v>
      </c>
      <c r="DY150" s="518">
        <f>(DY94+DY95+DY96)/(DY97+DY96+DY95+DY94)</f>
        <v>0.78555941023417175</v>
      </c>
      <c r="DZ150" s="518">
        <f>(DZ94+DZ95+DZ96)/(DZ97+DZ96+DZ95+DZ94)</f>
        <v>0.86550000000000005</v>
      </c>
      <c r="EA150" s="521">
        <f t="shared" si="179"/>
        <v>0.86550000000000005</v>
      </c>
      <c r="EB150" s="518">
        <f>(EB94+EB95+EB96)/(EB97+EB96+EB95+EB94)</f>
        <v>0.89070318672636295</v>
      </c>
      <c r="EC150" s="518">
        <f>(EC94+EC95+EC96)/(EC97+EC96+EC95+EC94)</f>
        <v>0.90787785476007188</v>
      </c>
      <c r="ED150" s="518">
        <f>(ED94+ED95+ED96)/(ED97+ED96+ED95+ED94)</f>
        <v>0.89946722260829282</v>
      </c>
      <c r="EE150" s="518">
        <f>(EE94+EE95+EE96)/(EE97+EE96+EE95+EE94)</f>
        <v>0.87456767350703246</v>
      </c>
      <c r="EF150" s="521">
        <f t="shared" si="180"/>
        <v>0.87456767350703246</v>
      </c>
      <c r="EG150" s="518">
        <f>(EG94+EG95+EG96)/(EG97+EG96+EG95+EG94)</f>
        <v>0.87560856864654335</v>
      </c>
      <c r="EH150" s="518">
        <f>(EH94+EH95+EH96)/(EH97+EH96+EH95+EH94)</f>
        <v>0.88200659444182761</v>
      </c>
      <c r="EI150" s="518">
        <f>(EI94+EI95+EI96)/(EI97+EI96+EI95+EI94)</f>
        <v>0.87630057803468209</v>
      </c>
      <c r="EJ150" s="518">
        <f>(EJ94+EJ95+EJ96)/(EJ97+EJ96+EJ95+EJ94)</f>
        <v>0.950358375365012</v>
      </c>
      <c r="EK150" s="521">
        <f t="shared" si="181"/>
        <v>0.950358375365012</v>
      </c>
      <c r="EL150" s="518">
        <f>(EL94+EL95+EL96)/(EL97+EL96+EL95+EL94)</f>
        <v>0.99504084014002336</v>
      </c>
      <c r="EM150" s="518">
        <f>(EM94+EM95+EM96)/(EM97+EM96+EM95+EM94)</f>
        <v>1.04170363797693</v>
      </c>
      <c r="EN150" s="518">
        <f>(EN94+EN95+EN96)/(EN97+EN96+EN95+EN94)</f>
        <v>1.1040569835862497</v>
      </c>
      <c r="EO150" s="518">
        <f>(EO94+EO95+EO96)/(EO97+EO96+EO95+EO94)</f>
        <v>1.1325184946928273</v>
      </c>
      <c r="EP150" s="521">
        <f t="shared" si="182"/>
        <v>1.1325184946928273</v>
      </c>
      <c r="EQ150" s="518">
        <f>(EQ94+EQ95+EQ96)/(EQ97+EQ96+EQ95+EQ94)</f>
        <v>1.1687353237168736</v>
      </c>
      <c r="ER150" s="518">
        <f>(ER94+ER95+ER96)/(ER97+ER96+ER95+ER94)</f>
        <v>1.1245476477683956</v>
      </c>
      <c r="ES150" s="518">
        <f>(ES94+ES95+ES96)/(ES97+ES96+ES95+ES94)</f>
        <v>0.8935287610619469</v>
      </c>
      <c r="ET150" s="518">
        <f>(ET94+ET95+ET96)/(ET97+ET96+ET95+ET94)</f>
        <v>0.87473652514302924</v>
      </c>
      <c r="EU150" s="521">
        <f t="shared" si="183"/>
        <v>0.87473652514302924</v>
      </c>
      <c r="EV150" s="518">
        <f>(EV94+EV95+EV96)/(EV97+EV96+EV95+EV94)</f>
        <v>0.87602303728402542</v>
      </c>
      <c r="EW150" s="518">
        <f>(EW94+EW95+EW96)/(EW97+EW96+EW95+EW94)</f>
        <v>0.87626112759643915</v>
      </c>
      <c r="EX150" s="518">
        <f>(EX94+EX95+EX96)/(EX97+EX96+EX95+EX94)</f>
        <v>0.85499163413273838</v>
      </c>
      <c r="EY150" s="518">
        <f>(EY94+EY95+EY96)/(EY97+EY96+EY95+EY94)</f>
        <v>0.82740112994350279</v>
      </c>
      <c r="EZ150" s="521">
        <f t="shared" si="184"/>
        <v>0.82740112994350279</v>
      </c>
      <c r="FA150" s="518">
        <f>(FA94+FA95+FA96)/(FA97+FA96+FA95+FA94)</f>
        <v>0.8099920276375232</v>
      </c>
      <c r="FB150" s="518">
        <f>(FB94+FB95+FB96)/(FB97+FB96+FB95+FB94)</f>
        <v>0.78576651230806727</v>
      </c>
      <c r="FC150" s="518">
        <f>(FC94+FC95+FC96)/(FC97+FC96+FC95+FC94)</f>
        <v>0.74120082815734989</v>
      </c>
      <c r="FD150" s="518">
        <f>(FD94+FD95+FD96)/(FD97+FD96+FD95+FD94)</f>
        <v>0.72212467076382791</v>
      </c>
      <c r="FE150" s="521">
        <f t="shared" si="185"/>
        <v>0.72212467076382791</v>
      </c>
      <c r="FF150" s="518">
        <f>(FF94+FF95+FF96)/(FF97+FF96+FF95+FF94)</f>
        <v>0.63739606570675322</v>
      </c>
      <c r="FG150" s="518">
        <f>(FG94+FG95+FG96)/(FG97+FG96+FG95+FG94)</f>
        <v>0.62740101920815361</v>
      </c>
      <c r="FH150" s="518">
        <f>(FH94+FH95+FH96)/(FH97+FH96+FH95+FH94)</f>
        <v>0.58576051779935279</v>
      </c>
      <c r="FI150" s="518">
        <f>(FI94+FI95+FI96)/(FI97+FI96+FI95+FI94)</f>
        <v>0.53102189781021902</v>
      </c>
      <c r="FJ150" s="521">
        <f t="shared" si="186"/>
        <v>0.53102189781021902</v>
      </c>
      <c r="FK150" s="518">
        <f>(FK94+FK95+FK96)/(FK97+FK96+FK95+FK94)</f>
        <v>0.48209413369713505</v>
      </c>
      <c r="FL150" s="518">
        <f>(FL94+FL95+FL96)/(FL97+FL96+FL95+FL94)</f>
        <v>0.49794926325383565</v>
      </c>
      <c r="FM150" s="518">
        <f>(FM94+FM95+FM96)/(FM97+FM96+FM95+FM94)</f>
        <v>0.4493806065783853</v>
      </c>
      <c r="FN150" s="518">
        <f>(FN94+FN95+FN96)/(FN97+FN96+FN95+FN94)</f>
        <v>0.34869448783753626</v>
      </c>
      <c r="FO150" s="521">
        <f t="shared" si="187"/>
        <v>0.34869448783753626</v>
      </c>
      <c r="FP150" s="518">
        <f>(FP94+FP95+FP96)/(FP97+FP96+FP95+FP94)</f>
        <v>0.35532994923857869</v>
      </c>
      <c r="FQ150" s="518">
        <f>(FQ94+FQ95+FQ96)/(FQ97+FQ96+FQ95+FQ94)</f>
        <v>0.33916378262089608</v>
      </c>
      <c r="FR150" s="518">
        <f>(FR94+FR95+FR96)/(FR97+FR96+FR95+FR94)</f>
        <v>0.36017215099076483</v>
      </c>
      <c r="FS150" s="518">
        <f>(FS94+FS95+FS96)/(FS97+FS96+FS95+FS94)</f>
        <v>0.39632820677993397</v>
      </c>
      <c r="FT150" s="521">
        <f t="shared" si="188"/>
        <v>0.39632820677993397</v>
      </c>
      <c r="FU150" s="518">
        <f>(FU94+FU95+FU96)/(FU97+FU96+FU95+FU94)</f>
        <v>0.17308525741612493</v>
      </c>
      <c r="FV150" s="518">
        <f>(FV94+FV95+FV96)/(FV97+FV96+FV95+FV94)</f>
        <v>0.18270569760895974</v>
      </c>
      <c r="FW150" s="518">
        <f>(FW94+FW95+FW96)/(FW97+FW96+FW95+FW94)</f>
        <v>0.19567621772278834</v>
      </c>
      <c r="FX150" s="518">
        <f>(FX94+FX95+FX96)/(FX97+FX96+FX95+FX94)</f>
        <v>0.18984906777153004</v>
      </c>
      <c r="FY150" s="521">
        <f t="shared" si="189"/>
        <v>0.18984906777153004</v>
      </c>
      <c r="FZ150" s="518">
        <f>(FZ94+FZ95+FZ96)/(FZ97+FZ96+FZ95+FZ94)</f>
        <v>0.19132389035100689</v>
      </c>
      <c r="GA150" s="518">
        <f>(GA94+GA95+GA96)/(GA97+GA96+GA95+GA94)</f>
        <v>0.18878279164888842</v>
      </c>
      <c r="GB150" s="518">
        <f>(GB94+GB95+GB96)/(GB97+GB96+GB95+GB94)</f>
        <v>0.18714695531304529</v>
      </c>
      <c r="GC150" s="518">
        <f>(GC94+GC95+GC96)/(GC97+GC96+GC95+GC94)</f>
        <v>0.17666642115342124</v>
      </c>
      <c r="GD150" s="521">
        <f t="shared" si="190"/>
        <v>0.17666642115342124</v>
      </c>
      <c r="GE150" s="518">
        <f>(GE94+GE95+GE96)/(GE97+GE96+GE95+GE94)</f>
        <v>0.17228072759407909</v>
      </c>
      <c r="GF150" s="518">
        <f>(GF94+GF95+GF96)/(GF97+GF96+GF95+GF94)</f>
        <v>0.1671625961170197</v>
      </c>
      <c r="GG150" s="518">
        <f>(GG94+GG95+GG96)/(GG97+GG96+GG95+GG94)</f>
        <v>0.18167327244528692</v>
      </c>
      <c r="GH150" s="518">
        <f>(GH94+GH95+GH96)/(GH97+GH96+GH95+GH94)</f>
        <v>0.16840493456215871</v>
      </c>
      <c r="GI150" s="521">
        <f t="shared" si="191"/>
        <v>0.16840493456215871</v>
      </c>
      <c r="GJ150" s="518">
        <f>(GJ94+GJ95+GJ96)/(GJ97+GJ96+GJ95+GJ94)</f>
        <v>0.19104122990915443</v>
      </c>
      <c r="GK150" s="518">
        <f>(GK94+GK95+GK96)/(GK97+GK96+GK95+GK94)</f>
        <v>0.20255279337075649</v>
      </c>
      <c r="GL150" s="518">
        <f>(GL94+GL95+GL96)/(GL97+GL96+GL95+GL94)</f>
        <v>0.20940031993341224</v>
      </c>
      <c r="GM150" s="518">
        <f>(GM94+GM95+GM96)/(GM97+GM96+GM95+GM94)</f>
        <v>0.1810441203234277</v>
      </c>
      <c r="GN150" s="521">
        <f t="shared" si="192"/>
        <v>0.1810441203234277</v>
      </c>
      <c r="GO150" s="518">
        <f>(GO94+GO95+GO96)/(GO97+GO96+GO95+GO94)</f>
        <v>0.19060294819316442</v>
      </c>
      <c r="GP150" s="518">
        <f>(GP94+GP95+GP96)/(GP97+GP96+GP95+GP94)</f>
        <v>0.18864553216853544</v>
      </c>
      <c r="GQ150" s="518">
        <f>(GQ94+GQ95+GQ96)/(GQ97+GQ96+GQ95+GQ94)</f>
        <v>0.18575515030165682</v>
      </c>
      <c r="GR150" s="518">
        <f>(GR94+GR95+GR96)/(GR97+GR96+GR95+GR94)</f>
        <v>0.18593475395088996</v>
      </c>
      <c r="GS150" s="521">
        <f t="shared" si="193"/>
        <v>0.18593475395088996</v>
      </c>
      <c r="GT150" s="518">
        <f>(GT94+GT95+GT96)/(GT97+GT96+GT95+GT94)</f>
        <v>0.17590465995973992</v>
      </c>
      <c r="GU150" s="518">
        <f>(GU94+GU95+GU96)/(GU97+GU96+GU95+GU94)</f>
        <v>0.16751362638069442</v>
      </c>
      <c r="GV150" s="518">
        <f>(GV94+GV95+GV96)/(GV97+GV96+GV95+GV94)</f>
        <v>0.16077045689385436</v>
      </c>
      <c r="GW150" s="518">
        <f>(GW94+GW95+GW96)/(GW97+GW96+GW95+GW94)</f>
        <v>0.15260056714833467</v>
      </c>
      <c r="GX150" s="521">
        <f t="shared" si="194"/>
        <v>0.15260056714833467</v>
      </c>
      <c r="GY150" s="518">
        <f>(GY94+GY95+GY96)/(GY97+GY96+GY95+GY94)</f>
        <v>0.13996923219013913</v>
      </c>
      <c r="GZ150" s="518">
        <f>(GZ94+GZ95+GZ96)/(GZ97+GZ96+GZ95+GZ94)</f>
        <v>0.13172309632093618</v>
      </c>
      <c r="HA150" s="518">
        <f>(HA94+HA95+HA96)/(HA97+HA96+HA95+HA94)</f>
        <v>0.1253318775842257</v>
      </c>
      <c r="HB150" s="518">
        <f>(HB94+HB95+HB96)/(HB97+HB96+HB95+HB94)</f>
        <v>0.11899200315167852</v>
      </c>
      <c r="HC150" s="521">
        <f t="shared" si="195"/>
        <v>0.11899200315167852</v>
      </c>
      <c r="HD150" s="518">
        <f>(HD94+HD95+HD96)/(HD97+HD96+HD95+HD94)</f>
        <v>0.10936769370896053</v>
      </c>
      <c r="HE150" s="518">
        <f>(HE94+HE95+HE96)/(HE97+HE96+HE95+HE94)</f>
        <v>0.10348906205448184</v>
      </c>
      <c r="HF150" s="518">
        <f>(HF94+HF95+HF96)/(HF97+HF96+HF95+HF94)</f>
        <v>9.933826134873229E-2</v>
      </c>
      <c r="HG150" s="518">
        <f>(HG94+HG95+HG96)/(HG97+HG96+HG95+HG94)</f>
        <v>9.42939507482492E-2</v>
      </c>
      <c r="HH150" s="521">
        <f t="shared" si="196"/>
        <v>9.42939507482492E-2</v>
      </c>
      <c r="HI150" s="518">
        <f>(HI94+HI95+HI96)/(HI97+HI96+HI95+HI94)</f>
        <v>8.6151349131251775E-2</v>
      </c>
      <c r="HJ150" s="518">
        <f>(HJ94+HJ95+HJ96)/(HJ97+HJ96+HJ95+HJ94)</f>
        <v>8.2008645740248992E-2</v>
      </c>
      <c r="HK150" s="518">
        <f>(HK94+HK95+HK96)/(HK97+HK96+HK95+HK94)</f>
        <v>8.0054276654118975E-2</v>
      </c>
      <c r="HL150" s="518">
        <f>(HL94+HL95+HL96)/(HL97+HL96+HL95+HL94)</f>
        <v>7.6403602141035587E-2</v>
      </c>
      <c r="HM150" s="521">
        <f t="shared" si="197"/>
        <v>7.6403602141035587E-2</v>
      </c>
      <c r="HN150" s="521"/>
      <c r="HO150" s="521"/>
      <c r="HQ150" s="509"/>
      <c r="HY150" s="509"/>
      <c r="HZ150" s="509"/>
      <c r="IA150" s="509"/>
      <c r="IB150" s="509"/>
    </row>
    <row r="151" spans="1:236" s="563" customFormat="1" ht="11.25" hidden="1" customHeight="1" outlineLevel="1">
      <c r="A151" s="532" t="s">
        <v>460</v>
      </c>
      <c r="B151" s="509"/>
      <c r="C151" s="509"/>
      <c r="D151" s="509"/>
      <c r="E151" s="509"/>
      <c r="F151" s="509"/>
      <c r="G151" s="509"/>
      <c r="H151" s="509"/>
      <c r="I151" s="509"/>
      <c r="J151" s="509"/>
      <c r="K151" s="509"/>
      <c r="L151" s="518"/>
      <c r="M151" s="518"/>
      <c r="N151" s="518"/>
      <c r="O151" s="518"/>
      <c r="P151" s="521"/>
      <c r="Q151" s="518"/>
      <c r="R151" s="518"/>
      <c r="S151" s="518"/>
      <c r="T151" s="518"/>
      <c r="U151" s="521"/>
      <c r="V151" s="518"/>
      <c r="W151" s="518"/>
      <c r="X151" s="518"/>
      <c r="Y151" s="518"/>
      <c r="Z151" s="521"/>
      <c r="AA151" s="518"/>
      <c r="AB151" s="518"/>
      <c r="AC151" s="518"/>
      <c r="AD151" s="518"/>
      <c r="AE151" s="521"/>
      <c r="AF151" s="518"/>
      <c r="AG151" s="518"/>
      <c r="AH151" s="518"/>
      <c r="AI151" s="518"/>
      <c r="AJ151" s="521"/>
      <c r="AK151" s="518">
        <f>(AK94+AK95+AK96)/AK97</f>
        <v>0.42670044744512653</v>
      </c>
      <c r="AL151" s="518">
        <f>(AL94+AL95+AL96)/AL97</f>
        <v>0.39486271184048632</v>
      </c>
      <c r="AM151" s="518">
        <f>(AM94+AM95+AM96)/AM97</f>
        <v>0.39548350609457428</v>
      </c>
      <c r="AN151" s="518">
        <f>(AN94+AN95+AN96)/AN97</f>
        <v>0.40941124266322432</v>
      </c>
      <c r="AO151" s="521">
        <f t="shared" si="161"/>
        <v>0.40941124266322432</v>
      </c>
      <c r="AP151" s="518">
        <f>(AP94+AP95+AP96)/AP97</f>
        <v>0.46655778794919939</v>
      </c>
      <c r="AQ151" s="518">
        <f>(AQ94+AQ95+AQ96)/AQ97</f>
        <v>0.48869006292677497</v>
      </c>
      <c r="AR151" s="518">
        <f>(AR94+AR95+AR96)/AR97</f>
        <v>0.46868254922777297</v>
      </c>
      <c r="AS151" s="518">
        <f>(AS94+AS95+AS96)/AS97</f>
        <v>0.44337297536150172</v>
      </c>
      <c r="AT151" s="521">
        <f t="shared" si="162"/>
        <v>0.44337297536150172</v>
      </c>
      <c r="AU151" s="518">
        <f>(AU94+AU95+AU96)/AU97</f>
        <v>0.39249830815835268</v>
      </c>
      <c r="AV151" s="518">
        <f>(AV94+AV95+AV96)/AV97</f>
        <v>0.37350912808282499</v>
      </c>
      <c r="AW151" s="518">
        <f>(AW94+AW95+AW96)/AW97</f>
        <v>0.49951145454956108</v>
      </c>
      <c r="AX151" s="518">
        <f>(AX94+AX95+AX96)/AX97</f>
        <v>0.55562452333919266</v>
      </c>
      <c r="AY151" s="521">
        <f t="shared" si="163"/>
        <v>0.55562452333919266</v>
      </c>
      <c r="AZ151" s="518">
        <f>(AZ94+AZ95+AZ96)/AZ97</f>
        <v>0.6763861848546574</v>
      </c>
      <c r="BA151" s="518">
        <f>(BA94+BA95+BA96)/BA97</f>
        <v>0.66068067352707205</v>
      </c>
      <c r="BB151" s="518">
        <f>(BB94+BB95+BB96)/BB97</f>
        <v>0.67641294821877096</v>
      </c>
      <c r="BC151" s="518">
        <f>(BC94+BC95+BC96)/BC97</f>
        <v>0.73205051580577485</v>
      </c>
      <c r="BD151" s="521">
        <f t="shared" si="164"/>
        <v>0.73205051580577485</v>
      </c>
      <c r="BE151" s="518">
        <f>(BE94+BE95+BE96)/BE97</f>
        <v>0.69521664171386333</v>
      </c>
      <c r="BF151" s="518">
        <f>(BF94+BF95+BF96)/BF97</f>
        <v>1.0113018263171694</v>
      </c>
      <c r="BG151" s="518">
        <f>(BG94+BG95+BG96)/BG97</f>
        <v>1.133039608311361</v>
      </c>
      <c r="BH151" s="518">
        <f>(BH94+BH95+BH96)/BH97</f>
        <v>1.1211292093110945</v>
      </c>
      <c r="BI151" s="521">
        <f t="shared" si="165"/>
        <v>1.1211292093110945</v>
      </c>
      <c r="BJ151" s="518">
        <f>(BJ94+BJ95+BJ96)/BJ97</f>
        <v>1.2978634718369171</v>
      </c>
      <c r="BK151" s="518">
        <f>(BK94+BK95+BK96)/BK97</f>
        <v>1.1639452623918221</v>
      </c>
      <c r="BL151" s="518">
        <f>(BL94+BL95+BL96)/BL97</f>
        <v>1.1778628440689713</v>
      </c>
      <c r="BM151" s="518">
        <f>(BM94+BM95+BM96)/BM97</f>
        <v>1.2117706854991708</v>
      </c>
      <c r="BN151" s="521">
        <f t="shared" si="166"/>
        <v>1.2117706854991708</v>
      </c>
      <c r="BO151" s="518">
        <f>(BO94+BO95+BO96)/BO97</f>
        <v>1.1098462862518264</v>
      </c>
      <c r="BP151" s="518">
        <f>(BP94+BP95+BP96)/BP97</f>
        <v>1.0315786328505043</v>
      </c>
      <c r="BQ151" s="518">
        <f>(BQ94+BQ95+BQ96)/BQ97</f>
        <v>0.85163590138473078</v>
      </c>
      <c r="BR151" s="518">
        <f>(BR94+BR95+BR96)/BR97</f>
        <v>0.81851846363442315</v>
      </c>
      <c r="BS151" s="521">
        <f t="shared" si="167"/>
        <v>0.81851846363442315</v>
      </c>
      <c r="BT151" s="518">
        <f>(BT94+BT95+BT96)/BT97</f>
        <v>0.84012047722115002</v>
      </c>
      <c r="BU151" s="518">
        <f>(BU94+BU95+BU96)/BU97</f>
        <v>0.53433816496307518</v>
      </c>
      <c r="BV151" s="518">
        <f>(BV94+BV95+BV96)/BV97</f>
        <v>0.58070507008395966</v>
      </c>
      <c r="BW151" s="518">
        <f>(BW94+BW95+BW96)/BW97</f>
        <v>0.58851044498608307</v>
      </c>
      <c r="BX151" s="521">
        <f t="shared" si="168"/>
        <v>0.58851044498608307</v>
      </c>
      <c r="BY151" s="518">
        <f>(BY94+BY95+BY96)/BY97</f>
        <v>0.69960590984222426</v>
      </c>
      <c r="BZ151" s="518">
        <f>(BZ94+BZ95+BZ96)/BZ97</f>
        <v>0.70844104671211328</v>
      </c>
      <c r="CA151" s="518">
        <f>(CA94+CA95+CA96)/CA97</f>
        <v>0.76837991639854719</v>
      </c>
      <c r="CB151" s="518">
        <f>(CB94+CB95+CB96)/CB97</f>
        <v>1.2774939051946184</v>
      </c>
      <c r="CC151" s="521">
        <f t="shared" si="169"/>
        <v>1.2774939051946184</v>
      </c>
      <c r="CD151" s="518">
        <f>(CD94+CD95+CD96)/CD97</f>
        <v>1.2858031977861741</v>
      </c>
      <c r="CE151" s="518">
        <f>(CE94+CE95+CE96)/CE97</f>
        <v>1.3185535720542376</v>
      </c>
      <c r="CF151" s="518">
        <f>(CF94+CF95+CF96)/CF97</f>
        <v>1.9194023613272215</v>
      </c>
      <c r="CG151" s="518">
        <f>(CG94+CG95+CG96)/CG97</f>
        <v>1.9095336524067898</v>
      </c>
      <c r="CH151" s="521">
        <f t="shared" si="170"/>
        <v>1.9095336524067898</v>
      </c>
      <c r="CI151" s="518">
        <f>(CI94+CI95+CI96)/CI97</f>
        <v>1.8577401059855816</v>
      </c>
      <c r="CJ151" s="518">
        <f>(CJ94+CJ95+CJ96)/CJ97</f>
        <v>1.7817025326150884</v>
      </c>
      <c r="CK151" s="518">
        <f>(CK94+CK95+CK96)/CK97</f>
        <v>1.8320448215437097</v>
      </c>
      <c r="CL151" s="518">
        <f>(CL94+CL95+CL96)/CL97</f>
        <v>1.6060039474387993</v>
      </c>
      <c r="CM151" s="521">
        <f t="shared" si="171"/>
        <v>1.6060039474387993</v>
      </c>
      <c r="CN151" s="518">
        <f>(CN94+CN95+CN96)/CN97</f>
        <v>1.6652757219146377</v>
      </c>
      <c r="CO151" s="518">
        <f>(CO94+CO95+CO96)/CO97</f>
        <v>1.7304635093895933</v>
      </c>
      <c r="CP151" s="518">
        <f>(CP94+CP95+CP96)/CP97</f>
        <v>1.7435386123201015</v>
      </c>
      <c r="CQ151" s="518">
        <f>(CQ94+CQ95+CQ96)/CQ97</f>
        <v>1.1742644406634333</v>
      </c>
      <c r="CR151" s="521">
        <f t="shared" si="172"/>
        <v>1.1742644406634333</v>
      </c>
      <c r="CS151" s="518">
        <f>(CS94+CS95+CS96)/CS97</f>
        <v>0.70959236895905475</v>
      </c>
      <c r="CT151" s="518">
        <f>(CT94+CT95+CT96)/CT97</f>
        <v>0.66135919168938639</v>
      </c>
      <c r="CU151" s="518">
        <f>(CU94+CU95+CU96)/CU97</f>
        <v>0.67167142743712016</v>
      </c>
      <c r="CV151" s="518">
        <f>(CV94+CV95+CV96)/CV97</f>
        <v>1.2722087798133426</v>
      </c>
      <c r="CW151" s="521">
        <f t="shared" si="173"/>
        <v>1.2722087798133426</v>
      </c>
      <c r="CX151" s="518">
        <f>(CX94+CX95+CX96)/CX97</f>
        <v>1.4422670509125841</v>
      </c>
      <c r="CY151" s="518">
        <f>(CY94+CY95+CY96)/CY97</f>
        <v>1.9570661896243291</v>
      </c>
      <c r="CZ151" s="518">
        <f>(CZ94+CZ95+CZ96)/CZ97</f>
        <v>2.1355151515151514</v>
      </c>
      <c r="DA151" s="518">
        <f>(DA94+DA95+DA96)/DA97</f>
        <v>2.8628762541806019</v>
      </c>
      <c r="DB151" s="521">
        <f t="shared" si="174"/>
        <v>2.8628762541806019</v>
      </c>
      <c r="DC151" s="518">
        <f>(DC94+DC95+DC96)/DC97</f>
        <v>3.2502844141069396</v>
      </c>
      <c r="DD151" s="518">
        <f>(DD94+DD95+DD96)/DD97</f>
        <v>5.6377204884667576</v>
      </c>
      <c r="DE151" s="518">
        <f>(DE94+DE95+DE96)/DE97</f>
        <v>5.8287769784172658</v>
      </c>
      <c r="DF151" s="518">
        <f>(DF94+DF95+DF96)/DF97</f>
        <v>-94.597560975609753</v>
      </c>
      <c r="DG151" s="521">
        <f t="shared" si="175"/>
        <v>-94.597560975609753</v>
      </c>
      <c r="DH151" s="518">
        <f>(DH94+DH95+DH96)/DH97</f>
        <v>-56.533742331288344</v>
      </c>
      <c r="DI151" s="518">
        <f>(DI94+DI95+DI96)/DI97</f>
        <v>-19.673118279569891</v>
      </c>
      <c r="DJ151" s="518">
        <f>(DJ94+DJ95+DJ96)/DJ97</f>
        <v>-16.372583479789103</v>
      </c>
      <c r="DK151" s="518">
        <f>(DK94+DK95+DK96)/DK97</f>
        <v>13.00925925925926</v>
      </c>
      <c r="DL151" s="521">
        <f t="shared" si="176"/>
        <v>13.00925925925926</v>
      </c>
      <c r="DM151" s="518">
        <f>(DM94+DM95+DM96)/DM97</f>
        <v>5.5728643216080398</v>
      </c>
      <c r="DN151" s="518">
        <f>(DN94+DN95+DN96)/DN97</f>
        <v>5.5890957446808507</v>
      </c>
      <c r="DO151" s="518">
        <f>(DO94+DO95+DO96)/DO97</f>
        <v>6.4837133550488604</v>
      </c>
      <c r="DP151" s="518">
        <f>(DP94+DP95+DP96)/DP97</f>
        <v>3.9002961500493583</v>
      </c>
      <c r="DQ151" s="521">
        <f t="shared" si="177"/>
        <v>3.9002961500493583</v>
      </c>
      <c r="DR151" s="518">
        <f>(DR94+DR95+DR96)/DR97</f>
        <v>2.3433889602053917</v>
      </c>
      <c r="DS151" s="518">
        <f>(DS94+DS95+DS96)/DS97</f>
        <v>2.1834247410115784</v>
      </c>
      <c r="DT151" s="518">
        <f>(DT94+DT95+DT96)/DT97</f>
        <v>2.0022935779816513</v>
      </c>
      <c r="DU151" s="518">
        <f>(DU94+DU95+DU96)/DU97</f>
        <v>2.1157232704402515</v>
      </c>
      <c r="DV151" s="521">
        <f t="shared" si="178"/>
        <v>2.1157232704402515</v>
      </c>
      <c r="DW151" s="518">
        <f>(DW94+DW95+DW96)/DW97</f>
        <v>3.7414448669201521</v>
      </c>
      <c r="DX151" s="518">
        <f>(DX94+DX95+DX96)/DX97</f>
        <v>3.512981199641898</v>
      </c>
      <c r="DY151" s="518">
        <f>(DY94+DY95+DY96)/DY97</f>
        <v>3.6632962588473204</v>
      </c>
      <c r="DZ151" s="518">
        <f>(DZ94+DZ95+DZ96)/DZ97</f>
        <v>6.4349442379182156</v>
      </c>
      <c r="EA151" s="521">
        <f t="shared" si="179"/>
        <v>6.4349442379182156</v>
      </c>
      <c r="EB151" s="518">
        <f>(EB94+EB95+EB96)/EB97</f>
        <v>8.1493975903614455</v>
      </c>
      <c r="EC151" s="518">
        <f>(EC94+EC95+EC96)/EC97</f>
        <v>9.8551532033426188</v>
      </c>
      <c r="ED151" s="518">
        <f>(ED94+ED95+ED96)/ED97</f>
        <v>8.9470046082949306</v>
      </c>
      <c r="EE151" s="518">
        <f>(EE94+EE95+EE96)/EE97</f>
        <v>6.9724264705882355</v>
      </c>
      <c r="EF151" s="521">
        <f t="shared" si="180"/>
        <v>6.9724264705882355</v>
      </c>
      <c r="EG151" s="518">
        <f>(EG94+EG95+EG96)/EG97</f>
        <v>7.0391389432485321</v>
      </c>
      <c r="EH151" s="518">
        <f>(EH94+EH95+EH96)/EH97</f>
        <v>7.4750499001996005</v>
      </c>
      <c r="EI151" s="518">
        <f>(EI94+EI95+EI96)/EI97</f>
        <v>7.08411214953271</v>
      </c>
      <c r="EJ151" s="518">
        <f>(EJ94+EJ95+EJ96)/EJ97</f>
        <v>19.144385026737968</v>
      </c>
      <c r="EK151" s="521">
        <f t="shared" si="181"/>
        <v>19.144385026737968</v>
      </c>
      <c r="EL151" s="518">
        <f>(EL94+EL95+EL96)/EL97</f>
        <v>200.64705882352942</v>
      </c>
      <c r="EM151" s="518">
        <f>(EM94+EM95+EM96)/EM97</f>
        <v>-24.978723404255319</v>
      </c>
      <c r="EN151" s="518">
        <f>(EN94+EN95+EN96)/EN97</f>
        <v>-10.610119047619047</v>
      </c>
      <c r="EO151" s="518">
        <f>(EO94+EO95+EO96)/EO97</f>
        <v>-8.5461165048543695</v>
      </c>
      <c r="EP151" s="521">
        <f t="shared" si="182"/>
        <v>-8.5461165048543695</v>
      </c>
      <c r="EQ151" s="518">
        <f>(EQ94+EQ95+EQ96)/EQ97</f>
        <v>-6.9264413518886681</v>
      </c>
      <c r="ER151" s="518">
        <f>(ER94+ER95+ER96)/ER97</f>
        <v>-9.0290556900726386</v>
      </c>
      <c r="ES151" s="518">
        <f>(ES94+ES95+ES96)/ES97</f>
        <v>8.3922077922077918</v>
      </c>
      <c r="ET151" s="518">
        <f>(ET94+ET95+ET96)/ET97</f>
        <v>6.9831730769230766</v>
      </c>
      <c r="EU151" s="521">
        <f t="shared" si="183"/>
        <v>6.9831730769230766</v>
      </c>
      <c r="EV151" s="518">
        <f>(EV94+EV95+EV96)/EV97</f>
        <v>7.0660146699266502</v>
      </c>
      <c r="EW151" s="518">
        <f>(EW94+EW95+EW96)/EW97</f>
        <v>7.0815347721822546</v>
      </c>
      <c r="EX151" s="518">
        <f>(EX94+EX95+EX96)/EX97</f>
        <v>5.8961538461538465</v>
      </c>
      <c r="EY151" s="518">
        <f>(EY94+EY95+EY96)/EY97</f>
        <v>4.7937806873977085</v>
      </c>
      <c r="EZ151" s="521">
        <f t="shared" si="184"/>
        <v>4.7937806873977085</v>
      </c>
      <c r="FA151" s="518">
        <f>(FA94+FA95+FA96)/FA97</f>
        <v>4.2629370629370626</v>
      </c>
      <c r="FB151" s="518">
        <f>(FB94+FB95+FB96)/FB97</f>
        <v>3.6678043230944253</v>
      </c>
      <c r="FC151" s="518">
        <f>(FC94+FC95+FC96)/FC97</f>
        <v>2.8639999999999999</v>
      </c>
      <c r="FD151" s="518">
        <f>(FD94+FD95+FD96)/FD97</f>
        <v>2.5987361769352288</v>
      </c>
      <c r="FE151" s="521">
        <f t="shared" si="185"/>
        <v>2.5987361769352288</v>
      </c>
      <c r="FF151" s="518">
        <f>(FF94+FF95+FF96)/FF97</f>
        <v>1.7578299776286352</v>
      </c>
      <c r="FG151" s="518">
        <f>(FG94+FG95+FG96)/FG97</f>
        <v>1.6838506049447659</v>
      </c>
      <c r="FH151" s="518">
        <f>(FH94+FH95+FH96)/FH97</f>
        <v>1.4140625</v>
      </c>
      <c r="FI151" s="518">
        <f>(FI94+FI95+FI96)/FI97</f>
        <v>1.132295719844358</v>
      </c>
      <c r="FJ151" s="521">
        <f t="shared" si="186"/>
        <v>1.132295719844358</v>
      </c>
      <c r="FK151" s="518">
        <f>(FK94+FK95+FK96)/FK97</f>
        <v>0.93085281527823505</v>
      </c>
      <c r="FL151" s="518">
        <f>(FL94+FL95+FL96)/FL97</f>
        <v>0.99183055975794254</v>
      </c>
      <c r="FM151" s="518">
        <f>(FM94+FM95+FM96)/FM97</f>
        <v>0.81613653995345226</v>
      </c>
      <c r="FN151" s="518">
        <f>(FN94+FN95+FN96)/FN97</f>
        <v>0.53537776254925473</v>
      </c>
      <c r="FO151" s="521">
        <f t="shared" si="187"/>
        <v>0.53537776254925473</v>
      </c>
      <c r="FP151" s="518">
        <f>(FP94+FP95+FP96)/FP97</f>
        <v>0.55118110236220474</v>
      </c>
      <c r="FQ151" s="518">
        <f>(FQ94+FQ95+FQ96)/FQ97</f>
        <v>0.51323425336164186</v>
      </c>
      <c r="FR151" s="518">
        <f>(FR94+FR95+FR96)/FR97</f>
        <v>0.562920403587444</v>
      </c>
      <c r="FS151" s="518">
        <f>(FS94+FS95+FS96)/FS97</f>
        <v>0.65652927837801789</v>
      </c>
      <c r="FT151" s="521">
        <f t="shared" si="188"/>
        <v>0.65652927837801789</v>
      </c>
      <c r="FU151" s="518">
        <f>(FU94+FU95+FU96)/FU97</f>
        <v>0.20931451394285508</v>
      </c>
      <c r="FV151" s="518">
        <f>(FV94+FV95+FV96)/FV97</f>
        <v>0.22354945712265947</v>
      </c>
      <c r="FW151" s="518">
        <f>(FW94+FW95+FW96)/FW97</f>
        <v>0.24328040775915807</v>
      </c>
      <c r="FX151" s="518">
        <f>(FX94+FX95+FX96)/FX97</f>
        <v>0.234337899543379</v>
      </c>
      <c r="FY151" s="521">
        <f t="shared" si="189"/>
        <v>0.234337899543379</v>
      </c>
      <c r="FZ151" s="518">
        <f>(FZ94+FZ95+FZ96)/FZ97</f>
        <v>0.23658902256188979</v>
      </c>
      <c r="GA151" s="518">
        <f>(GA94+GA95+GA96)/GA97</f>
        <v>0.23271546720835751</v>
      </c>
      <c r="GB151" s="518">
        <f>(GB94+GB95+GB96)/GB97</f>
        <v>0.23023467345824997</v>
      </c>
      <c r="GC151" s="518">
        <f>(GC94+GC95+GC96)/GC97</f>
        <v>0.21457453660631218</v>
      </c>
      <c r="GD151" s="521">
        <f t="shared" si="190"/>
        <v>0.21457453660631218</v>
      </c>
      <c r="GE151" s="518">
        <f>(GE94+GE95+GE96)/GE97</f>
        <v>0.20813907968255099</v>
      </c>
      <c r="GF151" s="518">
        <f>(GF94+GF95+GF96)/GF97</f>
        <v>0.20071456365630197</v>
      </c>
      <c r="GG151" s="518">
        <f>(GG94+GG95+GG96)/GG97</f>
        <v>0.22200579099763096</v>
      </c>
      <c r="GH151" s="518">
        <f>(GH94+GH95+GH96)/GH97</f>
        <v>0.20250833796553641</v>
      </c>
      <c r="GI151" s="521">
        <f t="shared" si="191"/>
        <v>0.20250833796553641</v>
      </c>
      <c r="GJ151" s="518">
        <f>(GJ94+GJ95+GJ96)/GJ97</f>
        <v>0.23615694269276619</v>
      </c>
      <c r="GK151" s="518">
        <f>(GK94+GK95+GK96)/GK97</f>
        <v>0.25400150842202296</v>
      </c>
      <c r="GL151" s="518">
        <f>(GL94+GL95+GL96)/GL97</f>
        <v>0.26486264188188846</v>
      </c>
      <c r="GM151" s="518">
        <f>(GM94+GM95+GM96)/GM97</f>
        <v>0.22106700106350893</v>
      </c>
      <c r="GN151" s="521">
        <f t="shared" si="192"/>
        <v>0.22106700106350893</v>
      </c>
      <c r="GO151" s="518">
        <f>(GO94+GO95+GO96)/GO97</f>
        <v>0.23548757407464863</v>
      </c>
      <c r="GP151" s="518">
        <f>(GP94+GP95+GP96)/GP97</f>
        <v>0.23250692471409559</v>
      </c>
      <c r="GQ151" s="518">
        <f>(GQ94+GQ95+GQ96)/GQ97</f>
        <v>0.22813180871880778</v>
      </c>
      <c r="GR151" s="518">
        <f>(GR94+GR95+GR96)/GR97</f>
        <v>0.22840276605994933</v>
      </c>
      <c r="GS151" s="521">
        <f t="shared" si="193"/>
        <v>0.22840276605994933</v>
      </c>
      <c r="GT151" s="518">
        <f>(GT94+GT95+GT96)/GT97</f>
        <v>0.21345183186103966</v>
      </c>
      <c r="GU151" s="518">
        <f>(GU94+GU95+GU96)/GU97</f>
        <v>0.20122086281414389</v>
      </c>
      <c r="GV151" s="518">
        <f>(GV94+GV95+GV96)/GV97</f>
        <v>0.19156911028038026</v>
      </c>
      <c r="GW151" s="518">
        <f>(GW94+GW95+GW96)/GW97</f>
        <v>0.18008103526197067</v>
      </c>
      <c r="GX151" s="521">
        <f t="shared" si="194"/>
        <v>0.18008103526197067</v>
      </c>
      <c r="GY151" s="518">
        <f>(GY94+GY95+GY96)/GY97</f>
        <v>0.16274909855444161</v>
      </c>
      <c r="GZ151" s="518">
        <f>(GZ94+GZ95+GZ96)/GZ97</f>
        <v>0.15170632290551431</v>
      </c>
      <c r="HA151" s="518">
        <f>(HA94+HA95+HA96)/HA97</f>
        <v>0.14329078009390295</v>
      </c>
      <c r="HB151" s="518">
        <f>(HB94+HB95+HB96)/HB97</f>
        <v>0.13506347680992134</v>
      </c>
      <c r="HC151" s="521">
        <f t="shared" si="195"/>
        <v>0.13506347680992134</v>
      </c>
      <c r="HD151" s="518">
        <f>(HD94+HD95+HD96)/HD97</f>
        <v>0.12279780661046616</v>
      </c>
      <c r="HE151" s="518">
        <f>(HE94+HE95+HE96)/HE97</f>
        <v>0.11543535909516252</v>
      </c>
      <c r="HF151" s="518">
        <f>(HF94+HF95+HF96)/HF97</f>
        <v>0.11029475005509881</v>
      </c>
      <c r="HG151" s="518">
        <f>(HG94+HG95+HG96)/HG97</f>
        <v>0.104110987031775</v>
      </c>
      <c r="HH151" s="521">
        <f t="shared" si="196"/>
        <v>0.104110987031775</v>
      </c>
      <c r="HI151" s="518">
        <f>(HI94+HI95+HI96)/HI97</f>
        <v>9.4273104249103165E-2</v>
      </c>
      <c r="HJ151" s="518">
        <f>(HJ94+HJ95+HJ96)/HJ97</f>
        <v>8.9334878111547208E-2</v>
      </c>
      <c r="HK151" s="518">
        <f>(HK94+HK95+HK96)/HK97</f>
        <v>8.7020652004292418E-2</v>
      </c>
      <c r="HL151" s="518">
        <f>(HL94+HL95+HL96)/HL97</f>
        <v>8.2724014859900552E-2</v>
      </c>
      <c r="HM151" s="521">
        <f t="shared" si="197"/>
        <v>8.2724014859900552E-2</v>
      </c>
      <c r="HN151" s="521"/>
      <c r="HO151" s="521"/>
      <c r="HQ151" s="509"/>
      <c r="HY151" s="509"/>
      <c r="HZ151" s="509"/>
      <c r="IA151" s="509"/>
      <c r="IB151" s="509"/>
    </row>
    <row r="152" spans="1:236" s="563" customFormat="1" ht="11.25" hidden="1" customHeight="1" outlineLevel="1">
      <c r="A152" s="532" t="s">
        <v>461</v>
      </c>
      <c r="B152" s="509"/>
      <c r="C152" s="509"/>
      <c r="D152" s="509"/>
      <c r="E152" s="509"/>
      <c r="F152" s="509"/>
      <c r="G152" s="509"/>
      <c r="H152" s="509"/>
      <c r="I152" s="509"/>
      <c r="J152" s="509"/>
      <c r="K152" s="509"/>
      <c r="L152" s="518"/>
      <c r="M152" s="518"/>
      <c r="N152" s="518"/>
      <c r="O152" s="518"/>
      <c r="P152" s="521"/>
      <c r="Q152" s="518"/>
      <c r="R152" s="518"/>
      <c r="S152" s="518"/>
      <c r="T152" s="518"/>
      <c r="U152" s="521"/>
      <c r="V152" s="518"/>
      <c r="W152" s="518"/>
      <c r="X152" s="518"/>
      <c r="Y152" s="518"/>
      <c r="Z152" s="521"/>
      <c r="AA152" s="518"/>
      <c r="AB152" s="518"/>
      <c r="AC152" s="518"/>
      <c r="AD152" s="518"/>
      <c r="AE152" s="521"/>
      <c r="AF152" s="518"/>
      <c r="AG152" s="518"/>
      <c r="AH152" s="518"/>
      <c r="AI152" s="518"/>
      <c r="AJ152" s="521"/>
      <c r="AK152" s="518">
        <f>AK95/AK97</f>
        <v>5.6222121326600288E-2</v>
      </c>
      <c r="AL152" s="518">
        <f>AL95/AL97</f>
        <v>5.4729869300081217E-2</v>
      </c>
      <c r="AM152" s="518">
        <f>AM95/AM97</f>
        <v>4.8528208854486894E-2</v>
      </c>
      <c r="AN152" s="518">
        <f>AN95/AN97</f>
        <v>4.3654427421748257E-2</v>
      </c>
      <c r="AO152" s="521">
        <f t="shared" si="161"/>
        <v>4.3654427421748257E-2</v>
      </c>
      <c r="AP152" s="518">
        <f>AP95/AP97</f>
        <v>0.11935734418429705</v>
      </c>
      <c r="AQ152" s="518">
        <f>AQ95/AQ97</f>
        <v>0.1145454088290427</v>
      </c>
      <c r="AR152" s="518">
        <f>AR95/AR97</f>
        <v>0.10709369919151875</v>
      </c>
      <c r="AS152" s="518">
        <f>AS95/AS97</f>
        <v>0.1023580467476268</v>
      </c>
      <c r="AT152" s="521">
        <f t="shared" si="162"/>
        <v>0.1023580467476268</v>
      </c>
      <c r="AU152" s="518">
        <f>AU95/AU97</f>
        <v>9.7041963328036329E-2</v>
      </c>
      <c r="AV152" s="518">
        <f>AV95/AV97</f>
        <v>9.7483048535861788E-2</v>
      </c>
      <c r="AW152" s="518">
        <f>AW95/AW97</f>
        <v>0.21873530067394722</v>
      </c>
      <c r="AX152" s="518">
        <f>AX95/AX97</f>
        <v>0.22000832889026933</v>
      </c>
      <c r="AY152" s="521">
        <f t="shared" si="163"/>
        <v>0.22000832889026933</v>
      </c>
      <c r="AZ152" s="518">
        <f>AZ95/AZ97</f>
        <v>0.33390124168382052</v>
      </c>
      <c r="BA152" s="518">
        <f>BA95/BA97</f>
        <v>0.32493122613363867</v>
      </c>
      <c r="BB152" s="518">
        <f>BB95/BB97</f>
        <v>0.33148040948964513</v>
      </c>
      <c r="BC152" s="518">
        <f>BC95/BC97</f>
        <v>0.32652129075363268</v>
      </c>
      <c r="BD152" s="521">
        <f t="shared" si="164"/>
        <v>0.32652129075363268</v>
      </c>
      <c r="BE152" s="518">
        <f>BE95/BE97</f>
        <v>0.33894656946010882</v>
      </c>
      <c r="BF152" s="518">
        <f>BF95/BF97</f>
        <v>0.5955679868810827</v>
      </c>
      <c r="BG152" s="518">
        <f>BG95/BG97</f>
        <v>0.70696627862627071</v>
      </c>
      <c r="BH152" s="518">
        <f>BH95/BH97</f>
        <v>0.68448003016385139</v>
      </c>
      <c r="BI152" s="521">
        <f t="shared" si="165"/>
        <v>0.68448003016385139</v>
      </c>
      <c r="BJ152" s="518">
        <f>BJ95/BJ97</f>
        <v>0.82188286881422479</v>
      </c>
      <c r="BK152" s="518">
        <f>BK95/BK97</f>
        <v>0.73417166073528117</v>
      </c>
      <c r="BL152" s="518">
        <f>BL95/BL97</f>
        <v>0.75493976594319778</v>
      </c>
      <c r="BM152" s="518">
        <f>BM95/BM97</f>
        <v>0.72111426771344833</v>
      </c>
      <c r="BN152" s="521">
        <f t="shared" si="166"/>
        <v>0.72111426771344833</v>
      </c>
      <c r="BO152" s="518">
        <f>BO95/BO97</f>
        <v>0.66858520759907791</v>
      </c>
      <c r="BP152" s="518">
        <f>BP95/BP97</f>
        <v>0.60647617379217411</v>
      </c>
      <c r="BQ152" s="518">
        <f>BQ95/BQ97</f>
        <v>0.42171139391992463</v>
      </c>
      <c r="BR152" s="518">
        <f>BR95/BR97</f>
        <v>0.3682520895163332</v>
      </c>
      <c r="BS152" s="521">
        <f t="shared" si="167"/>
        <v>0.3682520895163332</v>
      </c>
      <c r="BT152" s="518">
        <f>BT95/BT97</f>
        <v>0.42512198486496516</v>
      </c>
      <c r="BU152" s="518">
        <f>BU95/BU97</f>
        <v>0.19859379707681354</v>
      </c>
      <c r="BV152" s="518">
        <f>BV95/BV97</f>
        <v>0.21924193866455435</v>
      </c>
      <c r="BW152" s="518">
        <f>BW95/BW97</f>
        <v>0.1892924300749215</v>
      </c>
      <c r="BX152" s="521">
        <f t="shared" si="168"/>
        <v>0.1892924300749215</v>
      </c>
      <c r="BY152" s="518">
        <f>BY95/BY97</f>
        <v>0.32017040103966177</v>
      </c>
      <c r="BZ152" s="518">
        <f>BZ95/BZ97</f>
        <v>0.32486544843309773</v>
      </c>
      <c r="CA152" s="518">
        <f>CA95/CA97</f>
        <v>0.36917526562035263</v>
      </c>
      <c r="CB152" s="518">
        <f>CB95/CB97</f>
        <v>0.72138055701353532</v>
      </c>
      <c r="CC152" s="521">
        <f t="shared" si="169"/>
        <v>0.72138055701353532</v>
      </c>
      <c r="CD152" s="518">
        <f>CD95/CD97</f>
        <v>0.74814681838735519</v>
      </c>
      <c r="CE152" s="518">
        <f>CE95/CE97</f>
        <v>0.69505667285659223</v>
      </c>
      <c r="CF152" s="518">
        <f>CF95/CF97</f>
        <v>0.82393209344379492</v>
      </c>
      <c r="CG152" s="518">
        <f>CG95/CG97</f>
        <v>0.77909453678982576</v>
      </c>
      <c r="CH152" s="521">
        <f t="shared" si="170"/>
        <v>0.77909453678982576</v>
      </c>
      <c r="CI152" s="518">
        <f>CI95/CI97</f>
        <v>0.73494626859093681</v>
      </c>
      <c r="CJ152" s="518">
        <f>CJ95/CJ97</f>
        <v>0.69371263164494967</v>
      </c>
      <c r="CK152" s="518">
        <f>CK95/CK97</f>
        <v>0.71050290070707411</v>
      </c>
      <c r="CL152" s="518">
        <f>CL95/CL97</f>
        <v>0.54094329900503413</v>
      </c>
      <c r="CM152" s="521">
        <f t="shared" si="171"/>
        <v>0.54094329900503413</v>
      </c>
      <c r="CN152" s="518">
        <f>CN95/CN97</f>
        <v>0.55271346674408528</v>
      </c>
      <c r="CO152" s="518">
        <f>CO95/CO97</f>
        <v>0.55911577599874096</v>
      </c>
      <c r="CP152" s="518">
        <f>CP95/CP97</f>
        <v>0.57455656813746014</v>
      </c>
      <c r="CQ152" s="518">
        <f>CQ95/CQ97</f>
        <v>0.39592140071250481</v>
      </c>
      <c r="CR152" s="521">
        <f t="shared" si="172"/>
        <v>0.39592140071250481</v>
      </c>
      <c r="CS152" s="518">
        <f>CS95/CS97</f>
        <v>0.13076100427162154</v>
      </c>
      <c r="CT152" s="518">
        <f>CT95/CT97</f>
        <v>0.13335332265862149</v>
      </c>
      <c r="CU152" s="518">
        <f>CU95/CU97</f>
        <v>0.12855017881318162</v>
      </c>
      <c r="CV152" s="518">
        <f>CV95/CV97</f>
        <v>0.63463532665053579</v>
      </c>
      <c r="CW152" s="521">
        <f t="shared" si="173"/>
        <v>0.63463532665053579</v>
      </c>
      <c r="CX152" s="518">
        <f>CX95/CX97</f>
        <v>0.70297790585975028</v>
      </c>
      <c r="CY152" s="518">
        <f>CY95/CY97</f>
        <v>1.1891771019677997</v>
      </c>
      <c r="CZ152" s="518">
        <f>CZ95/CZ97</f>
        <v>1.2404848484848485</v>
      </c>
      <c r="DA152" s="518">
        <f>DA95/DA97</f>
        <v>1.682608695652174</v>
      </c>
      <c r="DB152" s="521">
        <f t="shared" si="174"/>
        <v>1.682608695652174</v>
      </c>
      <c r="DC152" s="518">
        <f>DC95/DC97</f>
        <v>1.9055745164960183</v>
      </c>
      <c r="DD152" s="518">
        <f>DD95/DD97</f>
        <v>3.3616010854816825</v>
      </c>
      <c r="DE152" s="518">
        <f>DE95/DE97</f>
        <v>3.5064748201438847</v>
      </c>
      <c r="DF152" s="518">
        <f>DF95/DF97</f>
        <v>-57.341463414634148</v>
      </c>
      <c r="DG152" s="521">
        <f t="shared" si="175"/>
        <v>-57.341463414634148</v>
      </c>
      <c r="DH152" s="518">
        <f>DH95/DH97</f>
        <v>-32.404907975460119</v>
      </c>
      <c r="DI152" s="518">
        <f>DI95/DI97</f>
        <v>-11.275268817204301</v>
      </c>
      <c r="DJ152" s="518">
        <f>DJ95/DJ97</f>
        <v>-9.2706502636203858</v>
      </c>
      <c r="DK152" s="518">
        <f>DK95/DK97</f>
        <v>6.5617283950617287</v>
      </c>
      <c r="DL152" s="521">
        <f t="shared" si="176"/>
        <v>6.5617283950617287</v>
      </c>
      <c r="DM152" s="518">
        <f>DM95/DM97</f>
        <v>3.2675879396984926</v>
      </c>
      <c r="DN152" s="518">
        <f>DN95/DN97</f>
        <v>3.2154255319148937</v>
      </c>
      <c r="DO152" s="518">
        <f>DO95/DO97</f>
        <v>3.5586319218241043</v>
      </c>
      <c r="DP152" s="518">
        <f>DP95/DP97</f>
        <v>2.1599210266535045</v>
      </c>
      <c r="DQ152" s="521">
        <f t="shared" si="177"/>
        <v>2.1599210266535045</v>
      </c>
      <c r="DR152" s="518">
        <f>DR95/DR97</f>
        <v>1.4069319640564826</v>
      </c>
      <c r="DS152" s="518">
        <f>DS95/DS97</f>
        <v>1.3375990249847654</v>
      </c>
      <c r="DT152" s="518">
        <f>DT95/DT97</f>
        <v>0.90080275229357798</v>
      </c>
      <c r="DU152" s="518">
        <f>DU95/DU97</f>
        <v>0.96037735849056605</v>
      </c>
      <c r="DV152" s="521">
        <f t="shared" si="178"/>
        <v>0.96037735849056605</v>
      </c>
      <c r="DW152" s="518">
        <f>DW95/DW97</f>
        <v>1.4534220532319391</v>
      </c>
      <c r="DX152" s="518">
        <f>DX95/DX97</f>
        <v>1.3715308863025963</v>
      </c>
      <c r="DY152" s="518">
        <f>DY95/DY97</f>
        <v>2.0576339737108191</v>
      </c>
      <c r="DZ152" s="518">
        <f>DZ95/DZ97</f>
        <v>3.7862453531598512</v>
      </c>
      <c r="EA152" s="521">
        <f t="shared" si="179"/>
        <v>3.7862453531598512</v>
      </c>
      <c r="EB152" s="518">
        <f>EB95/EB97</f>
        <v>4.9132530120481928</v>
      </c>
      <c r="EC152" s="518">
        <f>EC95/EC97</f>
        <v>5.6880222841225629</v>
      </c>
      <c r="ED152" s="518">
        <f>ED95/ED97</f>
        <v>4.709677419354839</v>
      </c>
      <c r="EE152" s="518">
        <f>EE95/EE97</f>
        <v>3.6727941176470589</v>
      </c>
      <c r="EF152" s="521">
        <f t="shared" si="180"/>
        <v>3.6727941176470589</v>
      </c>
      <c r="EG152" s="518">
        <f>EG95/EG97</f>
        <v>4.0665362035225048</v>
      </c>
      <c r="EH152" s="518">
        <f>EH95/EH97</f>
        <v>4.2095808383233537</v>
      </c>
      <c r="EI152" s="518">
        <f>EI95/EI97</f>
        <v>3.9364485981308412</v>
      </c>
      <c r="EJ152" s="518">
        <f>EJ95/EJ97</f>
        <v>10.882352941176471</v>
      </c>
      <c r="EK152" s="521">
        <f t="shared" si="181"/>
        <v>10.882352941176471</v>
      </c>
      <c r="EL152" s="518">
        <f>EL95/EL97</f>
        <v>119.58823529411765</v>
      </c>
      <c r="EM152" s="518">
        <f>EM95/EM97</f>
        <v>-14.425531914893616</v>
      </c>
      <c r="EN152" s="518">
        <f>EN95/EN97</f>
        <v>-6.041666666666667</v>
      </c>
      <c r="EO152" s="518">
        <f>EO95/EO97</f>
        <v>-4.9320388349514559</v>
      </c>
      <c r="EP152" s="521">
        <f t="shared" si="182"/>
        <v>-4.9320388349514559</v>
      </c>
      <c r="EQ152" s="518">
        <f>EQ95/EQ97</f>
        <v>-3.9880715705765408</v>
      </c>
      <c r="ER152" s="518">
        <f>ER95/ER97</f>
        <v>-4.871670702179177</v>
      </c>
      <c r="ES152" s="518">
        <f>ES95/ES97</f>
        <v>4.2389610389610386</v>
      </c>
      <c r="ET152" s="518">
        <f>ET95/ET97</f>
        <v>3.4495192307692308</v>
      </c>
      <c r="EU152" s="521">
        <f t="shared" si="183"/>
        <v>3.4495192307692308</v>
      </c>
      <c r="EV152" s="518">
        <f>EV95/EV97</f>
        <v>3.4425427872860634</v>
      </c>
      <c r="EW152" s="518">
        <f>EW95/EW97</f>
        <v>3.2973621103117505</v>
      </c>
      <c r="EX152" s="518">
        <f>EX95/EX97</f>
        <v>2.6076923076923078</v>
      </c>
      <c r="EY152" s="518">
        <f>EY95/EY97</f>
        <v>2.1685761047463177</v>
      </c>
      <c r="EZ152" s="521">
        <f t="shared" si="184"/>
        <v>2.1685761047463177</v>
      </c>
      <c r="FA152" s="518">
        <f>FA95/FA97</f>
        <v>1.6293706293706294</v>
      </c>
      <c r="FB152" s="518">
        <f>FB95/FB97</f>
        <v>1.3310580204778157</v>
      </c>
      <c r="FC152" s="518">
        <f>FC95/FC97</f>
        <v>1.0373333333333334</v>
      </c>
      <c r="FD152" s="518">
        <f>FD95/FD97</f>
        <v>0.8799368088467614</v>
      </c>
      <c r="FE152" s="521">
        <f t="shared" si="185"/>
        <v>0.8799368088467614</v>
      </c>
      <c r="FF152" s="518">
        <f>FF95/FF97</f>
        <v>0.57270693512304249</v>
      </c>
      <c r="FG152" s="518">
        <f>FG95/FG97</f>
        <v>0.54234613361388739</v>
      </c>
      <c r="FH152" s="518">
        <f>FH95/FH97</f>
        <v>0.40073529411764708</v>
      </c>
      <c r="FI152" s="518">
        <f>FI95/FI97</f>
        <v>0.17191368942341706</v>
      </c>
      <c r="FJ152" s="521">
        <f t="shared" si="186"/>
        <v>0.17191368942341706</v>
      </c>
      <c r="FK152" s="518">
        <f>FK95/FK97</f>
        <v>0.16068488640105366</v>
      </c>
      <c r="FL152" s="518">
        <f>FL95/FL97</f>
        <v>0.14826021180030258</v>
      </c>
      <c r="FM152" s="518">
        <f>FM95/FM97</f>
        <v>9.6457201965347808E-2</v>
      </c>
      <c r="FN152" s="518">
        <f>FN95/FN97</f>
        <v>5.65358917252013E-2</v>
      </c>
      <c r="FO152" s="521">
        <f t="shared" si="187"/>
        <v>5.65358917252013E-2</v>
      </c>
      <c r="FP152" s="518">
        <f>FP95/FP97</f>
        <v>4.832484174772271E-2</v>
      </c>
      <c r="FQ152" s="518">
        <f>FQ95/FQ97</f>
        <v>4.4302901627742391E-2</v>
      </c>
      <c r="FR152" s="518">
        <f>FR95/FR97</f>
        <v>1.4013452914798206E-4</v>
      </c>
      <c r="FS152" s="518">
        <f>FS95/FS97</f>
        <v>1.3338668800853674E-4</v>
      </c>
      <c r="FT152" s="521">
        <f t="shared" si="188"/>
        <v>1.3338668800853674E-4</v>
      </c>
      <c r="FU152" s="518">
        <f>FU95/FU97</f>
        <v>2.665678708907885E-2</v>
      </c>
      <c r="FV152" s="518">
        <f>FV95/FV97</f>
        <v>4.4680889630045857E-2</v>
      </c>
      <c r="FW152" s="518">
        <f>FW95/FW97</f>
        <v>4.5212863481353817E-2</v>
      </c>
      <c r="FX152" s="518">
        <f>FX95/FX97</f>
        <v>4.5059360730593606E-2</v>
      </c>
      <c r="FY152" s="521">
        <f t="shared" si="189"/>
        <v>4.5059360730593606E-2</v>
      </c>
      <c r="FZ152" s="518">
        <f>FZ95/FZ97</f>
        <v>4.5105496032471569E-2</v>
      </c>
      <c r="GA152" s="518">
        <f>GA95/GA97</f>
        <v>3.108676726639582E-2</v>
      </c>
      <c r="GB152" s="518">
        <f>GB95/GB97</f>
        <v>3.1198835728579226E-2</v>
      </c>
      <c r="GC152" s="518">
        <f>GC95/GC97</f>
        <v>3.0719959922708078E-2</v>
      </c>
      <c r="GD152" s="521">
        <f t="shared" si="190"/>
        <v>3.0719959922708078E-2</v>
      </c>
      <c r="GE152" s="518">
        <f>GE95/GE97</f>
        <v>3.0570482935335777E-2</v>
      </c>
      <c r="GF152" s="518">
        <f>GF95/GF97</f>
        <v>3.040432983126393E-2</v>
      </c>
      <c r="GG152" s="518">
        <f>GG95/GG97</f>
        <v>3.0183381591646925E-2</v>
      </c>
      <c r="GH152" s="518">
        <f>GH95/GH97</f>
        <v>2.989508060033352E-2</v>
      </c>
      <c r="GI152" s="521">
        <f t="shared" si="191"/>
        <v>2.989508060033352E-2</v>
      </c>
      <c r="GJ152" s="518">
        <f>GJ95/GJ97</f>
        <v>5.557955114804513E-2</v>
      </c>
      <c r="GK152" s="518">
        <f>GK95/GK97</f>
        <v>5.3934467443224672E-2</v>
      </c>
      <c r="GL152" s="518">
        <f>GL95/GL97</f>
        <v>3.8608323737456818E-2</v>
      </c>
      <c r="GM152" s="518">
        <f>GM95/GM97</f>
        <v>3.7270432864013714E-2</v>
      </c>
      <c r="GN152" s="521">
        <f t="shared" si="192"/>
        <v>3.7270432864013714E-2</v>
      </c>
      <c r="GO152" s="518">
        <f>GO95/GO97</f>
        <v>3.6455586236852716E-2</v>
      </c>
      <c r="GP152" s="518">
        <f>GP95/GP97</f>
        <v>3.5207143142562618E-2</v>
      </c>
      <c r="GQ152" s="518">
        <f>GQ95/GQ97</f>
        <v>3.3954169487004894E-2</v>
      </c>
      <c r="GR152" s="518">
        <f>GR95/GR97</f>
        <v>3.1100411636688821E-2</v>
      </c>
      <c r="GS152" s="521">
        <f t="shared" si="193"/>
        <v>3.1100411636688821E-2</v>
      </c>
      <c r="GT152" s="518">
        <f>GT95/GT97</f>
        <v>2.8349833020204464E-2</v>
      </c>
      <c r="GU152" s="518">
        <f>GU95/GU97</f>
        <v>2.581799554796025E-2</v>
      </c>
      <c r="GV152" s="518">
        <f>GV95/GV97</f>
        <v>2.3278743506096045E-2</v>
      </c>
      <c r="GW152" s="518">
        <f>GW95/GW97</f>
        <v>2.0978136545919308E-2</v>
      </c>
      <c r="GX152" s="521">
        <f t="shared" si="194"/>
        <v>2.0978136545919308E-2</v>
      </c>
      <c r="GY152" s="518">
        <f>GY95/GY97</f>
        <v>1.9150822395471192E-2</v>
      </c>
      <c r="GZ152" s="518">
        <f>GZ95/GZ97</f>
        <v>1.7516303327594428E-2</v>
      </c>
      <c r="HA152" s="518">
        <f>HA95/HA97</f>
        <v>1.6037497888156456E-2</v>
      </c>
      <c r="HB152" s="518">
        <f>HB95/HB97</f>
        <v>1.4657301509973256E-2</v>
      </c>
      <c r="HC152" s="521">
        <f t="shared" si="195"/>
        <v>1.4657301509973256E-2</v>
      </c>
      <c r="HD152" s="518">
        <f>HD95/HD97</f>
        <v>1.3451336138937963E-2</v>
      </c>
      <c r="HE152" s="518">
        <f>HE95/HE97</f>
        <v>1.2401708657315005E-2</v>
      </c>
      <c r="HF152" s="518">
        <f>HF95/HF97</f>
        <v>1.1422156598889479E-2</v>
      </c>
      <c r="HG152" s="518">
        <f>HG95/HG97</f>
        <v>1.055417314512061E-2</v>
      </c>
      <c r="HH152" s="521">
        <f t="shared" si="196"/>
        <v>1.055417314512061E-2</v>
      </c>
      <c r="HI152" s="518">
        <f>HI95/HI97</f>
        <v>9.7633308321194989E-3</v>
      </c>
      <c r="HJ152" s="518">
        <f>HJ95/HJ97</f>
        <v>9.0643702297903295E-3</v>
      </c>
      <c r="HK152" s="518">
        <f>HK95/HK97</f>
        <v>8.4141937836859793E-3</v>
      </c>
      <c r="HL152" s="518">
        <f>HL95/HL97</f>
        <v>7.8102748236042411E-3</v>
      </c>
      <c r="HM152" s="521">
        <f t="shared" si="197"/>
        <v>7.8102748236042411E-3</v>
      </c>
      <c r="HN152" s="521"/>
      <c r="HO152" s="521"/>
      <c r="HQ152" s="509"/>
      <c r="HY152" s="509"/>
      <c r="HZ152" s="509"/>
      <c r="IA152" s="509"/>
      <c r="IB152" s="509"/>
    </row>
    <row r="153" spans="1:236" s="563" customFormat="1" ht="11.25" hidden="1" customHeight="1" outlineLevel="1">
      <c r="A153" s="522" t="s">
        <v>462</v>
      </c>
      <c r="B153" s="509"/>
      <c r="C153" s="509"/>
      <c r="D153" s="509"/>
      <c r="E153" s="509"/>
      <c r="F153" s="509"/>
      <c r="G153" s="509"/>
      <c r="H153" s="509"/>
      <c r="I153" s="509"/>
      <c r="J153" s="509"/>
      <c r="K153" s="509"/>
      <c r="L153" s="518"/>
      <c r="M153" s="518"/>
      <c r="N153" s="518"/>
      <c r="O153" s="518"/>
      <c r="P153" s="521"/>
      <c r="Q153" s="518"/>
      <c r="R153" s="518"/>
      <c r="S153" s="518"/>
      <c r="T153" s="518"/>
      <c r="U153" s="521"/>
      <c r="V153" s="518"/>
      <c r="W153" s="518"/>
      <c r="X153" s="518"/>
      <c r="Y153" s="518"/>
      <c r="Z153" s="521"/>
      <c r="AA153" s="518"/>
      <c r="AB153" s="518"/>
      <c r="AC153" s="518"/>
      <c r="AD153" s="518"/>
      <c r="AE153" s="521"/>
      <c r="AF153" s="518"/>
      <c r="AG153" s="518"/>
      <c r="AH153" s="518"/>
      <c r="AI153" s="518"/>
      <c r="AJ153" s="521"/>
      <c r="AK153" s="518">
        <f>(AG$9+AH$9+AI$9+AK$9)/AK92</f>
        <v>0.85214768129904983</v>
      </c>
      <c r="AL153" s="518">
        <f>(AH$9+AI$9+AK$9+AL$9)/AL92</f>
        <v>0.86374763785303421</v>
      </c>
      <c r="AM153" s="518">
        <f>(AI$9+AK$9+AL$9+AM$9)/AM92</f>
        <v>0.86260330356054615</v>
      </c>
      <c r="AN153" s="518">
        <f>(AL$9+AK$9+AM$9+AN$9)/AN92</f>
        <v>0.87282056440236799</v>
      </c>
      <c r="AO153" s="521">
        <f t="shared" si="161"/>
        <v>0.87282056440236799</v>
      </c>
      <c r="AP153" s="518">
        <f>(AL$9+AM$9+AN$9+AP$9)/AP92</f>
        <v>0.82963207773765546</v>
      </c>
      <c r="AQ153" s="518">
        <f>(AM$9+AN$9+AP$9+AQ$9)/AQ92</f>
        <v>0.80472121274584063</v>
      </c>
      <c r="AR153" s="518">
        <f>(AN$9+AP$9+AQ$9+AR$9)/AR92</f>
        <v>0.80321621956109235</v>
      </c>
      <c r="AS153" s="518">
        <f>(AQ$9+AP$9+AR$9+AS$9)/AS92</f>
        <v>0.80155367324829097</v>
      </c>
      <c r="AT153" s="521">
        <f t="shared" si="162"/>
        <v>0.80155367324829097</v>
      </c>
      <c r="AU153" s="518">
        <f>(AQ$9+AR$9+AS$9+AU$9)/AU92</f>
        <v>0.79661324979042647</v>
      </c>
      <c r="AV153" s="518">
        <f>(AR$9+AS$9+AU$9+AV$9)/AV92</f>
        <v>0.76719993673166298</v>
      </c>
      <c r="AW153" s="518">
        <f>(AS$9+AU$9+AV$9+AW$9)/AW92</f>
        <v>0.67098407592423293</v>
      </c>
      <c r="AX153" s="518">
        <f>(AV$9+AU$9+AW$9+AX$9)/AX92</f>
        <v>0.62093585855390432</v>
      </c>
      <c r="AY153" s="521">
        <f t="shared" si="163"/>
        <v>0.62093585855390432</v>
      </c>
      <c r="AZ153" s="518">
        <f>(AV$9+AW$9+AX$9+AZ$9)/AZ92</f>
        <v>0.57230995007188878</v>
      </c>
      <c r="BA153" s="518">
        <f>(AW$9+AX$9+AZ$9+BA$9)/BA92</f>
        <v>0.60496910618939082</v>
      </c>
      <c r="BB153" s="518">
        <f>(AX$9+AZ$9+BA$9+BB$9)/BB92</f>
        <v>0.65385502281705554</v>
      </c>
      <c r="BC153" s="518">
        <f>(BA$9+AZ$9+BB$9+BC$9)/BC92</f>
        <v>0.67032527506414152</v>
      </c>
      <c r="BD153" s="521">
        <f t="shared" si="164"/>
        <v>0.67032527506414152</v>
      </c>
      <c r="BE153" s="518">
        <f>(BA$9+BB$9+BC$9+BE$9)/BE92</f>
        <v>0.7038547315517516</v>
      </c>
      <c r="BF153" s="518">
        <f>(BB$9+BC$9+BE$9+BF$9)/BF92</f>
        <v>0.59016701463542065</v>
      </c>
      <c r="BG153" s="518">
        <f>(BC$9+BE$9+BF$9+BG$9)/BG92</f>
        <v>0.57493298297084772</v>
      </c>
      <c r="BH153" s="518">
        <f>(BF$9+BE$9+BG$9+BH$9)/BH92</f>
        <v>0.5977333946552148</v>
      </c>
      <c r="BI153" s="521">
        <f t="shared" si="165"/>
        <v>0.5977333946552148</v>
      </c>
      <c r="BJ153" s="518">
        <f>(BF$9+BG$9+BH$9+BJ$9)/BJ92</f>
        <v>0.61151603312326841</v>
      </c>
      <c r="BK153" s="518">
        <f>(BG$9+BH$9+BJ$9+BK$9)/BK92</f>
        <v>0.63623251858392205</v>
      </c>
      <c r="BL153" s="518">
        <f>(BH$9+BJ$9+BK$9+BL$9)/BL92</f>
        <v>0.64078431954383153</v>
      </c>
      <c r="BM153" s="518">
        <f>(BK$9+BJ$9+BL$9+BM$9)/BM92</f>
        <v>0.65276407828954863</v>
      </c>
      <c r="BN153" s="521">
        <f t="shared" si="166"/>
        <v>0.65276407828954863</v>
      </c>
      <c r="BO153" s="518">
        <f>(BK$9+BL$9+BM$9+BO$9)/BO92</f>
        <v>0.71536817840092759</v>
      </c>
      <c r="BP153" s="518">
        <f>(BL$9+BM$9+BO$9+BP$9)/BP92</f>
        <v>0.7844006661436479</v>
      </c>
      <c r="BQ153" s="518">
        <f>(BM$9+BO$9+BP$9+BQ$9)/BQ92</f>
        <v>0.8260855563448346</v>
      </c>
      <c r="BR153" s="518">
        <f>(BP$9+BO$9+BQ$9+BR$9)/BR92</f>
        <v>0.80520117515801248</v>
      </c>
      <c r="BS153" s="521">
        <f t="shared" si="167"/>
        <v>0.80520117515801248</v>
      </c>
      <c r="BT153" s="518">
        <f>(BP$9+BQ$9+BR$9+BT$9)/BT92</f>
        <v>0.78629732121162854</v>
      </c>
      <c r="BU153" s="518">
        <f>(BQ$9+BR$9+BT$9+BU$9)/BU92</f>
        <v>0.78130144420646164</v>
      </c>
      <c r="BV153" s="518">
        <f>(BR$9+BT$9+BU$9+BV$9)/BV92</f>
        <v>0.71700749494050131</v>
      </c>
      <c r="BW153" s="518">
        <f>(BU$9+BT$9+BV$9+BW$9)/BW92</f>
        <v>0.68914241677618904</v>
      </c>
      <c r="BX153" s="521">
        <f t="shared" si="168"/>
        <v>0.68914241677618904</v>
      </c>
      <c r="BY153" s="518">
        <f>(BU$9+BV$9+BW$9+BY$9)/BY92</f>
        <v>0.60437804759878644</v>
      </c>
      <c r="BZ153" s="518">
        <f>(BV$9+BW$9+BY$9+BZ$9)/BZ92</f>
        <v>0.53661947139203781</v>
      </c>
      <c r="CA153" s="518">
        <f>(BW$9+BY$9+BZ$9+CA$9)/CA92</f>
        <v>0.51687713579140604</v>
      </c>
      <c r="CB153" s="518">
        <f>(BZ$9+BY$9+CA$9+CB$9)/CB92</f>
        <v>0.47996834414125478</v>
      </c>
      <c r="CC153" s="521">
        <f t="shared" si="169"/>
        <v>0.47996834414125478</v>
      </c>
      <c r="CD153" s="518">
        <f>(BZ$9+CA$9+CB$9+CD$9)/CD92</f>
        <v>0.46482738207476387</v>
      </c>
      <c r="CE153" s="518">
        <f>(CA$9+CB$9+CD$9+CE$9)/CE92</f>
        <v>0.48253076602970174</v>
      </c>
      <c r="CF153" s="518">
        <f>(CB$9+CD$9+CE$9+CF$9)/CF92</f>
        <v>0.45015616641645539</v>
      </c>
      <c r="CG153" s="518">
        <f>(CE$9+CD$9+CF$9+CG$9)/CG92</f>
        <v>0.49605256017292643</v>
      </c>
      <c r="CH153" s="521">
        <f t="shared" si="170"/>
        <v>0.49605256017292643</v>
      </c>
      <c r="CI153" s="518">
        <f>(CE$9+CF$9+CG$9+CI$9)/CI92</f>
        <v>0.5770486887321139</v>
      </c>
      <c r="CJ153" s="518">
        <f>(CF$9+CG$9+CI$9+CJ$9)/CJ92</f>
        <v>0.6644763892007689</v>
      </c>
      <c r="CK153" s="518">
        <f>(CG$9+CI$9+CJ$9+CK$9)/CK92</f>
        <v>0.67880033049367128</v>
      </c>
      <c r="CL153" s="518">
        <f>(CJ$9+CI$9+CK$9+CL$9)/CL92</f>
        <v>0.63759575534056323</v>
      </c>
      <c r="CM153" s="521">
        <f t="shared" si="171"/>
        <v>0.63759575534056323</v>
      </c>
      <c r="CN153" s="518">
        <f>(CJ$9+CK$9+CL$9+CN$9)/CN92</f>
        <v>0.63817108497381791</v>
      </c>
      <c r="CO153" s="518">
        <f>(CK$9+CL$9+CN$9+CO$9)/CO92</f>
        <v>0.64196477300534882</v>
      </c>
      <c r="CP153" s="518">
        <f>(CL$9+CN$9+CO$9+CP$9)/CP92</f>
        <v>0.64620532267575959</v>
      </c>
      <c r="CQ153" s="518">
        <f>(CO$9+CN$9+CP$9+CQ$9)/CQ92</f>
        <v>0.802381109199235</v>
      </c>
      <c r="CR153" s="521">
        <f t="shared" si="172"/>
        <v>0.802381109199235</v>
      </c>
      <c r="CS153" s="518">
        <f>(CO$9+CP$9+CQ$9+CS$9)/CS92</f>
        <v>0.73932858050346217</v>
      </c>
      <c r="CT153" s="518">
        <f>(CP$9+CQ$9+CS$9+CT$9)/CT92</f>
        <v>0.73302319119760317</v>
      </c>
      <c r="CU153" s="518">
        <f>(CQ$9+CS$9+CT$9+CU$9)/CU92</f>
        <v>0.68197365800228016</v>
      </c>
      <c r="CV153" s="518">
        <f>(CT$9+CS$9+CU$9+CV$9)/CV92</f>
        <v>0.42969095611166047</v>
      </c>
      <c r="CW153" s="521">
        <f t="shared" si="173"/>
        <v>0.42969095611166047</v>
      </c>
      <c r="CX153" s="518">
        <f>(CT$9+CU$9+CV$9+CX$9)/CX92</f>
        <v>0.43659447765890491</v>
      </c>
      <c r="CY153" s="518">
        <f>(CU$9+CV$9+CX$9+CY$9)/CY92</f>
        <v>0.43191333938294013</v>
      </c>
      <c r="CZ153" s="518">
        <f>(CV$9+CX$9+CY$9+CZ$9)/CZ92</f>
        <v>0.46513066336786763</v>
      </c>
      <c r="DA153" s="518">
        <f>(CY$9+CX$9+CZ$9+DA$9)/DA92</f>
        <v>0.52060606060606063</v>
      </c>
      <c r="DB153" s="521">
        <f t="shared" si="174"/>
        <v>0.52060606060606063</v>
      </c>
      <c r="DC153" s="518">
        <f>(CY$9+CZ$9+DA$9+DC$9)/DC92</f>
        <v>0.56076017130620981</v>
      </c>
      <c r="DD153" s="518">
        <f>(CZ$9+DA$9+DC$9+DD$9)/DD92</f>
        <v>0.63941128372853639</v>
      </c>
      <c r="DE153" s="518">
        <f>(DA$9+DC$9+DD$9+DE$9)/DE92</f>
        <v>0.65634218289085544</v>
      </c>
      <c r="DF153" s="518">
        <f>(DD$9+DC$9+DE$9+DF$9)/DF92</f>
        <v>0.7325081433224756</v>
      </c>
      <c r="DG153" s="521">
        <f t="shared" si="175"/>
        <v>0.7325081433224756</v>
      </c>
      <c r="DH153" s="518">
        <f>(DD$9+DE$9+DF$9+DH$9)/DH92</f>
        <v>0.5848431285903668</v>
      </c>
      <c r="DI153" s="518">
        <f>(DE$9+DF$9+DH$9+DI$9)/DI92</f>
        <v>0.59069446043994012</v>
      </c>
      <c r="DJ153" s="518">
        <f>(DF$9+DH$9+DI$9+DJ$9)/DJ92</f>
        <v>0.56236423916771461</v>
      </c>
      <c r="DK153" s="518">
        <f>(DI$9+DH$9+DJ$9+DK$9)/DK92</f>
        <v>0.59517514871116983</v>
      </c>
      <c r="DL153" s="521">
        <f t="shared" si="176"/>
        <v>0.59517514871116983</v>
      </c>
      <c r="DM153" s="518">
        <f>(DI$9+DJ$9+DK$9+DM$9)/DM92</f>
        <v>1.1085626911314985</v>
      </c>
      <c r="DN153" s="518">
        <f>(DJ$9+DK$9+DM$9+DN$9)/DN92</f>
        <v>1.2651866801210898</v>
      </c>
      <c r="DO153" s="518">
        <f>(DK$9+DM$9+DN$9+DO$9)/DO92</f>
        <v>1.4126224156692058</v>
      </c>
      <c r="DP153" s="518">
        <f>(DN$9+DM$9+DO$9+DP$9)/DP92</f>
        <v>1.3082191780821917</v>
      </c>
      <c r="DQ153" s="521">
        <f t="shared" si="177"/>
        <v>1.3082191780821917</v>
      </c>
      <c r="DR153" s="518">
        <f>(DN$9+DO$9+DP$9+DR$9)/DR92</f>
        <v>1.2541754655404109</v>
      </c>
      <c r="DS153" s="518">
        <f>(DO$9+DP$9+DR$9+DS$9)/DS92</f>
        <v>1.2354517611026035</v>
      </c>
      <c r="DT153" s="518">
        <f>(DP$9+DR$9+DS$9+DT$9)/DT92</f>
        <v>1.2463712757830405</v>
      </c>
      <c r="DU153" s="518">
        <f>(DS$9+DR$9+DT$9+DU$9)/DU92</f>
        <v>1.3257973354864756</v>
      </c>
      <c r="DV153" s="521">
        <f t="shared" si="178"/>
        <v>1.3257973354864756</v>
      </c>
      <c r="DW153" s="518">
        <f>(DS$9+DT$9+DU$9+DW$9)/DW92</f>
        <v>1.3111467522052926</v>
      </c>
      <c r="DX153" s="518">
        <f>(DT$9+DU$9+DW$9+DX$9)/DX92</f>
        <v>1.2654235270779608</v>
      </c>
      <c r="DY153" s="518">
        <f>(DU$9+DW$9+DX$9+DY$9)/DY92</f>
        <v>1.2918473547267997</v>
      </c>
      <c r="DZ153" s="518">
        <f>(DX$9+DW$9+DY$9+DZ$9)/DZ92</f>
        <v>1.3554999999999999</v>
      </c>
      <c r="EA153" s="521">
        <f t="shared" si="179"/>
        <v>1.3554999999999999</v>
      </c>
      <c r="EB153" s="518">
        <f>(DX$9+DY$9+DZ$9+EB$9)/EB92</f>
        <v>1.2970766394521991</v>
      </c>
      <c r="EC153" s="518">
        <f>(DY$9+DZ$9+EB$9+EC$9)/EC92</f>
        <v>1.1991275340005132</v>
      </c>
      <c r="ED153" s="518">
        <f>(DZ$9+EB$9+EC$9+ED$9)/ED92</f>
        <v>1.1269400046328468</v>
      </c>
      <c r="EE153" s="518">
        <f>(EC$9+EB$9+ED$9+EE$9)/EE92</f>
        <v>1.2218123126585196</v>
      </c>
      <c r="EF153" s="521">
        <f t="shared" si="180"/>
        <v>1.2218123126585196</v>
      </c>
      <c r="EG153" s="518">
        <f>(EC$9+ED$9+EE$9+EG$9)/EG92</f>
        <v>1.365141187925998</v>
      </c>
      <c r="EH153" s="518">
        <f>(ED$9+EE$9+EG$9+EH$9)/EH92</f>
        <v>1.3867169100329721</v>
      </c>
      <c r="EI153" s="518">
        <f>(EE$9+EG$9+EH$9+EI$9)/EI92</f>
        <v>1.3539884393063584</v>
      </c>
      <c r="EJ153" s="518">
        <f>(EH$9+EG$9+EI$9+EJ$9)/EJ92</f>
        <v>1.4616405627820548</v>
      </c>
      <c r="EK153" s="521">
        <f t="shared" si="181"/>
        <v>1.4616405627820548</v>
      </c>
      <c r="EL153" s="518">
        <f>(EH$9+EI$9+EJ$9+EL$9)/EL92</f>
        <v>1.499124854142357</v>
      </c>
      <c r="EM153" s="518">
        <f>(EI$9+EJ$9+EL$9+EM$9)/EM92</f>
        <v>1.3723750369713104</v>
      </c>
      <c r="EN153" s="518">
        <f>(EJ$9+EL$9+EM$9+EN$9)/EN92</f>
        <v>1.3230102198823166</v>
      </c>
      <c r="EO153" s="518">
        <f>(EM$9+EL$9+EN$9+EO$9)/EO92</f>
        <v>1.2836925056288195</v>
      </c>
      <c r="EP153" s="521">
        <f t="shared" si="182"/>
        <v>1.2836925056288195</v>
      </c>
      <c r="EQ153" s="518">
        <f>(EM$9+EN$9+EO$9+EQ$9)/EQ92</f>
        <v>1.2723918148272393</v>
      </c>
      <c r="ER153" s="518">
        <f>(EN$9+EO$9+EQ$9+ER$9)/ER92</f>
        <v>1.1694813027744271</v>
      </c>
      <c r="ES153" s="518">
        <f>(EO$9+EQ$9+ER$9+ES$9)/ES92</f>
        <v>1.1404867256637168</v>
      </c>
      <c r="ET153" s="518">
        <f>(ER$9+EQ$9+ES$9+ET$9)/ET92</f>
        <v>1.2863595302619693</v>
      </c>
      <c r="EU153" s="521">
        <f t="shared" si="183"/>
        <v>1.2863595302619693</v>
      </c>
      <c r="EV153" s="518">
        <f>(ER$9+ES$9+ET$9+EV$9)/EV92</f>
        <v>1.3410124280084874</v>
      </c>
      <c r="EW153" s="518">
        <f>(ES$9+ET$9+EV$9+EW$9)/EW92</f>
        <v>1.3706231454005935</v>
      </c>
      <c r="EX153" s="518">
        <f>(ET$9+EV$9+EW$9+EX$9)/EX92</f>
        <v>1.3817624093697713</v>
      </c>
      <c r="EY153" s="518">
        <f>(EW$9+EV$9+EX$9+EY$9)/EY92</f>
        <v>1.5053672316384181</v>
      </c>
      <c r="EZ153" s="521">
        <f t="shared" si="184"/>
        <v>1.5053672316384181</v>
      </c>
      <c r="FA153" s="518">
        <f>(EW$9+EX$9+EY$9+FA$9)/FA92</f>
        <v>1.5923465320223227</v>
      </c>
      <c r="FB153" s="518">
        <f>(EX$9+EY$9+FA$9+FB$9)/FB92</f>
        <v>1.59054350475262</v>
      </c>
      <c r="FC153" s="518">
        <f>(EY$9+FA$9+FB$9+FC$9)/FC92</f>
        <v>1.5035656774787209</v>
      </c>
      <c r="FD153" s="518">
        <f>(FB$9+FA$9+FC$9+FD$9)/FD92</f>
        <v>1.4212028094820017</v>
      </c>
      <c r="FE153" s="521">
        <f t="shared" si="185"/>
        <v>1.4212028094820017</v>
      </c>
      <c r="FF153" s="518">
        <f>(FB$9+FC$9+FD$9+FF$9)/FF92</f>
        <v>1.2370715879132022</v>
      </c>
      <c r="FG153" s="518">
        <f>(FC$9+FD$9+FF$9+FG$9)/FG92</f>
        <v>1.1515092120736965</v>
      </c>
      <c r="FH153" s="518">
        <f>(FD$9+FF$9+FG$9+FH$9)/FH92</f>
        <v>1.1465829050066629</v>
      </c>
      <c r="FI153" s="518">
        <f>(FG$9+FF$9+FH$9+FI$9)/FI92</f>
        <v>1.1166224286662243</v>
      </c>
      <c r="FJ153" s="521">
        <f t="shared" si="186"/>
        <v>1.1166224286662243</v>
      </c>
      <c r="FK153" s="518">
        <f>(FG$9+FH$9+FI$9+FK$9)/FK92</f>
        <v>1.2355047748976808</v>
      </c>
      <c r="FL153" s="518">
        <f>(FH$9+FI$9+FK$9+FL$9)/FL92</f>
        <v>1.1614765304572383</v>
      </c>
      <c r="FM153" s="518">
        <f>(FI$9+FK$9+FL$9+FM$9)/FM92</f>
        <v>1.2310978214438275</v>
      </c>
      <c r="FN153" s="518">
        <f>(FL$9+FK$9+FM$9+FN$9)/FN92</f>
        <v>1.0893773711225172</v>
      </c>
      <c r="FO153" s="521">
        <f t="shared" si="187"/>
        <v>1.0893773711225172</v>
      </c>
      <c r="FP153" s="518">
        <f>(FL$9+FM$9+FN$9+FP$9)/FP92</f>
        <v>1.1368567731661192</v>
      </c>
      <c r="FQ153" s="518">
        <f>(FM$9+FN$9+FP$9+FQ$9)/FQ92</f>
        <v>1.2477785052848189</v>
      </c>
      <c r="FR153" s="518">
        <f>(FN$9+FP$9+FQ$9+FR$9)/FR92</f>
        <v>1.331659643145342</v>
      </c>
      <c r="FS153" s="518">
        <f>(FQ$9+FP$9+FR$9+FS$9)/FS92</f>
        <v>1.3232949512843224</v>
      </c>
      <c r="FT153" s="521">
        <f t="shared" si="188"/>
        <v>1.3232949512843224</v>
      </c>
      <c r="FU153" s="518">
        <f>(FQ$9+FR$9+FS$9+FU$9)/FU92</f>
        <v>0.28208921766420086</v>
      </c>
      <c r="FV153" s="518">
        <f>(FR$9+FS$9+FU$9+FV$9)/FV92</f>
        <v>0.31963497377855471</v>
      </c>
      <c r="FW153" s="518">
        <f>(FS$9+FU$9+FV$9+FW$9)/FW92</f>
        <v>0.33664154783147276</v>
      </c>
      <c r="FX153" s="518">
        <f>(FV$9+FU$9+FW$9+FX$9)/FX92</f>
        <v>0.34923054158034922</v>
      </c>
      <c r="FY153" s="521">
        <f t="shared" si="189"/>
        <v>0.34923054158034922</v>
      </c>
      <c r="FZ153" s="518">
        <f>(FV$9+FW$9+FX$9+FZ$9)/FZ92</f>
        <v>0.34105627347192241</v>
      </c>
      <c r="GA153" s="518">
        <f>(FW$9+FX$9+FZ$9+GA$9)/GA92</f>
        <v>0.32186208012712053</v>
      </c>
      <c r="GB153" s="518">
        <f>(FX$9+FZ$9+GA$9+GB$9)/GB92</f>
        <v>0.32696004495312453</v>
      </c>
      <c r="GC153" s="518">
        <f>(GA$9+FZ$9+GB$9+GC$9)/GC92</f>
        <v>0.33409442439419607</v>
      </c>
      <c r="GD153" s="521">
        <f t="shared" si="190"/>
        <v>0.33409442439419607</v>
      </c>
      <c r="GE153" s="518">
        <f>(GA$9+GB$9+GC$9+GE$9)/GE92</f>
        <v>0.33581265188894616</v>
      </c>
      <c r="GF153" s="518">
        <f>(GB$9+GC$9+GE$9+GF$9)/GF92</f>
        <v>0.34286892731932944</v>
      </c>
      <c r="GG153" s="518">
        <f>(GC$9+GD$9+GF$9+GG$9)/GG92</f>
        <v>0.59598483542995007</v>
      </c>
      <c r="GH153" s="518">
        <f>(GF$9+GE$9+GG$9+GH$9)/GH92</f>
        <v>0.3724756594343166</v>
      </c>
      <c r="GI153" s="521">
        <f t="shared" si="191"/>
        <v>0.3724756594343166</v>
      </c>
      <c r="GJ153" s="518">
        <f>(GF$9+GG$9+GH$9+GJ$9)/GJ92</f>
        <v>0.38784067085953877</v>
      </c>
      <c r="GK153" s="518">
        <f>(GG$9+GH$9+GJ$9+GK$9)/GK92</f>
        <v>0.39561614541566426</v>
      </c>
      <c r="GL153" s="518">
        <f>(GH$9+GJ$9+GK$9+GL$9)/GL92</f>
        <v>0.41652469079606197</v>
      </c>
      <c r="GM153" s="518">
        <f>(GK$9+GJ$9+GL$9+GM$9)/GM92</f>
        <v>0.45028988898421862</v>
      </c>
      <c r="GN153" s="521">
        <f t="shared" si="192"/>
        <v>0.45028988898421862</v>
      </c>
      <c r="GO153" s="518">
        <f>(GK$9+GL$9+GM$9+GO$9)/GO92</f>
        <v>0.47027950076592751</v>
      </c>
      <c r="GP153" s="518">
        <f>(GL$9+GM$9+GO$9+GP$9)/GP92</f>
        <v>0.49827318751258842</v>
      </c>
      <c r="GQ153" s="518">
        <f>(GM$9+GO$9+GP$9+GQ$9)/GQ92</f>
        <v>0.51457709827491849</v>
      </c>
      <c r="GR153" s="518">
        <f>(GP$9+GO$9+GQ$9+GR$9)/GR92</f>
        <v>0.53502048863713603</v>
      </c>
      <c r="GS153" s="521">
        <f t="shared" si="193"/>
        <v>0.53502048863713603</v>
      </c>
      <c r="GT153" s="518">
        <f>(GP$9+GQ$9+GR$9+GT$9)/GT92</f>
        <v>0.56511081237615979</v>
      </c>
      <c r="GU153" s="518">
        <f>(GQ$9+GR$9+GT$9+GU$9)/GU92</f>
        <v>0.59295017237267056</v>
      </c>
      <c r="GV153" s="518">
        <f>(GR$9+GT$9+GU$9+GV$9)/GV92</f>
        <v>0.62327791215218875</v>
      </c>
      <c r="GW153" s="518">
        <f>(GU$9+GT$9+GV$9+GW$9)/GW92</f>
        <v>0.63013823524455026</v>
      </c>
      <c r="GX153" s="521">
        <f t="shared" si="194"/>
        <v>0.63013823524455026</v>
      </c>
      <c r="GY153" s="518">
        <f>(GU$9+GV$9+GW$9+GY$9)/GY92</f>
        <v>0.62942693441179864</v>
      </c>
      <c r="GZ153" s="518">
        <f>(GV$9+GW$9+GY$9+GZ$9)/GZ92</f>
        <v>0.61890213422412632</v>
      </c>
      <c r="HA153" s="518">
        <f>(GW$9+GY$9+GZ$9+HA$9)/HA92</f>
        <v>0.59909308523196469</v>
      </c>
      <c r="HB153" s="518">
        <f>(GZ$9+GY$9+HA$9+HB$9)/HB92</f>
        <v>0.57476691024463977</v>
      </c>
      <c r="HC153" s="521">
        <f t="shared" si="195"/>
        <v>0.57476691024463977</v>
      </c>
      <c r="HD153" s="518">
        <f>(GZ$9+HA$9+HB$9+HD$9)/HD92</f>
        <v>0.5548291483593627</v>
      </c>
      <c r="HE153" s="518">
        <f>(HA$9+HB$9+HD$9+HE$9)/HE92</f>
        <v>0.53546929193857129</v>
      </c>
      <c r="HF153" s="518">
        <f>(HB$9+HD$9+HE$9+HF$9)/HF92</f>
        <v>0.51666474620995695</v>
      </c>
      <c r="HG153" s="518">
        <f>(HE$9+HD$9+HF$9+HG$9)/HG92</f>
        <v>0.49782021296992574</v>
      </c>
      <c r="HH153" s="521">
        <f t="shared" si="196"/>
        <v>0.49782021296992574</v>
      </c>
      <c r="HI153" s="518">
        <f>(HE$9+HF$9+HG$9+HI$9)/HI92</f>
        <v>0.47808690792717612</v>
      </c>
      <c r="HJ153" s="518">
        <f>(HF$9+HG$9+HI$9+HJ$9)/HJ92</f>
        <v>0.45889112990273251</v>
      </c>
      <c r="HK153" s="518">
        <f>(HG$9+HI$9+HJ$9+HK$9)/HK92</f>
        <v>0.44205200959595514</v>
      </c>
      <c r="HL153" s="518">
        <f>(HJ$9+HI$9+HK$9+HL$9)/HL92</f>
        <v>0.42694131819108627</v>
      </c>
      <c r="HM153" s="521">
        <f t="shared" si="197"/>
        <v>0.42694131819108627</v>
      </c>
      <c r="HN153" s="521"/>
      <c r="HO153" s="521"/>
      <c r="HQ153" s="509"/>
      <c r="HY153" s="509"/>
      <c r="HZ153" s="509"/>
      <c r="IA153" s="509"/>
      <c r="IB153" s="509"/>
    </row>
    <row r="154" spans="1:236" s="563" customFormat="1" ht="11.25" hidden="1" customHeight="1" outlineLevel="1">
      <c r="A154" s="532" t="s">
        <v>463</v>
      </c>
      <c r="B154" s="509"/>
      <c r="C154" s="509"/>
      <c r="D154" s="509"/>
      <c r="E154" s="509"/>
      <c r="F154" s="509"/>
      <c r="G154" s="509"/>
      <c r="H154" s="509"/>
      <c r="I154" s="509"/>
      <c r="J154" s="509"/>
      <c r="K154" s="509"/>
      <c r="L154" s="650"/>
      <c r="M154" s="650"/>
      <c r="N154" s="650"/>
      <c r="O154" s="650"/>
      <c r="P154" s="651"/>
      <c r="Q154" s="650"/>
      <c r="R154" s="650"/>
      <c r="S154" s="650"/>
      <c r="T154" s="650"/>
      <c r="U154" s="651"/>
      <c r="V154" s="650"/>
      <c r="W154" s="650"/>
      <c r="X154" s="650"/>
      <c r="Y154" s="650"/>
      <c r="Z154" s="651"/>
      <c r="AA154" s="650"/>
      <c r="AB154" s="650"/>
      <c r="AC154" s="650"/>
      <c r="AD154" s="650"/>
      <c r="AE154" s="651"/>
      <c r="AF154" s="650"/>
      <c r="AG154" s="650"/>
      <c r="AH154" s="650"/>
      <c r="AI154" s="650"/>
      <c r="AJ154" s="651"/>
      <c r="AK154" s="650">
        <f>(((AF78+AK78)/2)/(AG9+AH9+AI9+AK9))*365</f>
        <v>55.994246054710359</v>
      </c>
      <c r="AL154" s="650">
        <f>(((AG78+AL78)/2)/(AH9+AI9+AK9+AL9))*365</f>
        <v>53.582334734725784</v>
      </c>
      <c r="AM154" s="650">
        <f>(((AH78+AM78)/2)/(AI9+AK9+AL9+AM9))*365</f>
        <v>54.986041454993902</v>
      </c>
      <c r="AN154" s="650">
        <f>(((AI78+AN78)/2)/(AL9+AK9+AM9+AN9))*365</f>
        <v>51.35814666417447</v>
      </c>
      <c r="AO154" s="651">
        <f t="shared" si="161"/>
        <v>51.35814666417447</v>
      </c>
      <c r="AP154" s="650">
        <f>(((AK78+AP78)/2)/(AL9+AM9+AN9+AP9))*365</f>
        <v>53.166489343905774</v>
      </c>
      <c r="AQ154" s="650">
        <f>(((AL78+AQ78)/2)/(AM9+AN9+AP9+AQ9))*365</f>
        <v>53.243185533061016</v>
      </c>
      <c r="AR154" s="650">
        <f>(((AM78+AR78)/2)/(AN9+AP9+AQ9+AR9))*365</f>
        <v>51.830682537156839</v>
      </c>
      <c r="AS154" s="650">
        <f>(((AN78+AS78)/2)/(AQ9+AP9+AR9+AS9))*365</f>
        <v>46.031277626594623</v>
      </c>
      <c r="AT154" s="651">
        <f t="shared" si="162"/>
        <v>46.031277626594623</v>
      </c>
      <c r="AU154" s="650">
        <f>(((AP78+AU78)/2)/(AQ9+AR9+AS9+AU9))*365</f>
        <v>44.522404878836284</v>
      </c>
      <c r="AV154" s="650">
        <f>(((AQ78+AV78)/2)/(AR9+AS9+AU9+AV9))*365</f>
        <v>48.164649519426142</v>
      </c>
      <c r="AW154" s="650">
        <f>(((AR78+AW78)/2)/(AS9+AU9+AV9+AW9))*365</f>
        <v>51.502426580388253</v>
      </c>
      <c r="AX154" s="650">
        <f>(((AS78+AX78)/2)/(AV9+AU9+AW9+AX9))*365</f>
        <v>46.326422067578449</v>
      </c>
      <c r="AY154" s="651">
        <f t="shared" si="163"/>
        <v>46.326422067578449</v>
      </c>
      <c r="AZ154" s="650">
        <f>(((AU78+AZ78)/2)/(AV9+AW9+AX9+AZ9))*365</f>
        <v>48.18895520515543</v>
      </c>
      <c r="BA154" s="650">
        <f>(((AV78+BA78)/2)/(AW9+AX9+AZ9+BA9))*365</f>
        <v>45.513733817710893</v>
      </c>
      <c r="BB154" s="650">
        <f>(((AW78+BB78)/2)/(AX9+AZ9+BA9+BB9))*365</f>
        <v>44.270714289540692</v>
      </c>
      <c r="BC154" s="650">
        <f>(((AX78+BC78)/2)/(BA9+AZ9+BB9+BC9))*365</f>
        <v>42.530525701554296</v>
      </c>
      <c r="BD154" s="651">
        <f t="shared" si="164"/>
        <v>42.530525701554296</v>
      </c>
      <c r="BE154" s="650">
        <f>(((AZ78+BE78)/2)/(BA9+BB9+BC9+BE9))*365</f>
        <v>41.782996309107155</v>
      </c>
      <c r="BF154" s="650">
        <f>(((BA78+BF78)/2)/(BB9+BC9+BE9+BF9))*365</f>
        <v>44.374845479707837</v>
      </c>
      <c r="BG154" s="650">
        <f>(((BB78+BG78)/2)/(BC9+BE9+BF9+BG9))*365</f>
        <v>52.559714970513319</v>
      </c>
      <c r="BH154" s="650">
        <f>(((BC78+BH78)/2)/(BF9+BE9+BG9+BH9))*365</f>
        <v>53.459627141059443</v>
      </c>
      <c r="BI154" s="651">
        <f t="shared" si="165"/>
        <v>53.459627141059443</v>
      </c>
      <c r="BJ154" s="650">
        <f>(((BE78+BJ78)/2)/(BF9+BG9+BH9+BJ9))*365</f>
        <v>43.717880205615295</v>
      </c>
      <c r="BK154" s="650">
        <f>(((BF78+BK78)/2)/(BG9+BH9+BJ9+BK9))*365</f>
        <v>37.855666533034679</v>
      </c>
      <c r="BL154" s="650">
        <f>(((BG78+BL78)/2)/(BH9+BJ9+BK9+BL9))*365</f>
        <v>51.448346425346401</v>
      </c>
      <c r="BM154" s="650">
        <f>(((BH78+BM78)/2)/(BK9+BJ9+BL9+BM9))*365</f>
        <v>53.989039419037759</v>
      </c>
      <c r="BN154" s="651">
        <f t="shared" si="166"/>
        <v>53.989039419037759</v>
      </c>
      <c r="BO154" s="650">
        <f>(((BJ78+BO78)/2)/(BK9+BL9+BM9+BO9))*365</f>
        <v>43.149784209955278</v>
      </c>
      <c r="BP154" s="650">
        <f>(((BK78+BP78)/2)/(BL9+BM9+BO9+BP9))*365</f>
        <v>40.019737409872377</v>
      </c>
      <c r="BQ154" s="650">
        <f>(((BL78+BQ78)/2)/(BM9+BO9+BP9+BQ9))*365</f>
        <v>44.010393839185618</v>
      </c>
      <c r="BR154" s="650">
        <f>(((BM78+BR78)/2)/(BP9+BO9+BQ9+BR9))*365</f>
        <v>38.392972225278612</v>
      </c>
      <c r="BS154" s="651">
        <f t="shared" si="167"/>
        <v>38.392972225278612</v>
      </c>
      <c r="BT154" s="650">
        <f>(((BO78+BT78)/2)/(BP9+BQ9+BR9+BT9))*365</f>
        <v>38.887983939775218</v>
      </c>
      <c r="BU154" s="650">
        <f>(((BP78+BU78)/2)/(BQ9+BR9+BT9+BU9))*365</f>
        <v>50.529475285201144</v>
      </c>
      <c r="BV154" s="650">
        <f>(((BQ78+BV78)/2)/(BR9+BT9+BU9+BV9))*365</f>
        <v>56.601102707547149</v>
      </c>
      <c r="BW154" s="650">
        <f>(((BR78+BW78)/2)/(BU9+BT9+BV9+BW9))*365</f>
        <v>56.600288070623179</v>
      </c>
      <c r="BX154" s="651">
        <f t="shared" si="168"/>
        <v>56.600288070623179</v>
      </c>
      <c r="BY154" s="650">
        <f>(((BT78+BY78)/2)/(BU9+BV9+BW9+BY9))*365</f>
        <v>65.517919158520755</v>
      </c>
      <c r="BZ154" s="650">
        <f>(((BU78+BZ78)/2)/(BV9+BW9+BY9+BZ9))*365</f>
        <v>71.596670460527022</v>
      </c>
      <c r="CA154" s="650">
        <f>(((BV78+CA78)/2)/(BW9+BY9+BZ9+CA9))*365</f>
        <v>62.664531512871683</v>
      </c>
      <c r="CB154" s="650">
        <f>(((BW78+CB78)/2)/(BZ9+BY9+CA9+CB9))*365</f>
        <v>71.430083807033597</v>
      </c>
      <c r="CC154" s="651">
        <f t="shared" si="169"/>
        <v>71.430083807033597</v>
      </c>
      <c r="CD154" s="650">
        <f>(((BY78+CD78)/2)/(BZ9+CA9+CB9+CD9))*365</f>
        <v>77.378060905092667</v>
      </c>
      <c r="CE154" s="650">
        <f>(((BZ78+CE78)/2)/(CA9+CB9+CD9+CE9))*365</f>
        <v>63.353281674928645</v>
      </c>
      <c r="CF154" s="650">
        <f>(((CA78+CF78)/2)/(CB9+CD9+CE9+CF9))*365</f>
        <v>59.135802273662875</v>
      </c>
      <c r="CG154" s="650">
        <f>(((CB78+CG78)/2)/(CE9+CD9+CF9+CG9))*365</f>
        <v>52.132922469174531</v>
      </c>
      <c r="CH154" s="651">
        <f t="shared" si="170"/>
        <v>52.132922469174531</v>
      </c>
      <c r="CI154" s="650">
        <f>(((CD78+CI78)/2)/(CE9+CF9+CG9+CI9))*365</f>
        <v>47.022141049619322</v>
      </c>
      <c r="CJ154" s="650">
        <f>(((CE78+CJ78)/2)/(CF9+CG9+CI9+CJ9))*365</f>
        <v>42.959629398864926</v>
      </c>
      <c r="CK154" s="650">
        <f>(((CF78+CK78)/2)/(CG9+CI9+CJ9+CK9))*365</f>
        <v>49.256432212993609</v>
      </c>
      <c r="CL154" s="650">
        <f>(((CG78+CL78)/2)/(CJ9+CI9+CK9+CL9))*365</f>
        <v>48.495640251247892</v>
      </c>
      <c r="CM154" s="651">
        <f t="shared" si="171"/>
        <v>48.495640251247892</v>
      </c>
      <c r="CN154" s="650">
        <f>(((CI78+CN78)/2)/(CJ9+CK9+CL9+CN9))*365</f>
        <v>50.003478322712219</v>
      </c>
      <c r="CO154" s="650">
        <f>(((CJ78+CO78)/2)/(CK9+CL9+CN9+CO9))*365</f>
        <v>54.139986764764544</v>
      </c>
      <c r="CP154" s="650">
        <f>(((CK78+CP78)/2)/(CL9+CN9+CO9+CP9))*365</f>
        <v>57.195105657929147</v>
      </c>
      <c r="CQ154" s="650">
        <f>(((CL78+CQ78)/2)/(CO9+CN9+CP9+CQ9))*365</f>
        <v>47.597713976233237</v>
      </c>
      <c r="CR154" s="651">
        <f t="shared" si="172"/>
        <v>47.597713976233237</v>
      </c>
      <c r="CS154" s="650">
        <f>(((CN78+CS78)/2)/(CO9+CP9+CQ9+CS9))*365</f>
        <v>46.544511546659585</v>
      </c>
      <c r="CT154" s="650">
        <f>(((CO78+CT78)/2)/(CP9+CQ9+CS9+CT9))*365</f>
        <v>40.369994801639919</v>
      </c>
      <c r="CU154" s="650">
        <f>(((CP78+CU78)/2)/(CQ9+CS9+CT9+CU9))*365</f>
        <v>49.496250977570263</v>
      </c>
      <c r="CV154" s="650">
        <f>(((CQ78+CV78)/2)/(CT9+CS9+CU9+CV9))*365</f>
        <v>62.884167733641917</v>
      </c>
      <c r="CW154" s="651">
        <f t="shared" si="173"/>
        <v>62.884167733641917</v>
      </c>
      <c r="CX154" s="650">
        <f>(((CS78+CX78)/2)/(CT9+CU9+CV9+CX9))*365</f>
        <v>48.895727090630267</v>
      </c>
      <c r="CY154" s="650">
        <f>(((CT78+CY78)/2)/(CU9+CV9+CX9+CY9))*365</f>
        <v>38.967191368756545</v>
      </c>
      <c r="CZ154" s="650">
        <f>(((CU78+CZ78)/2)/(CV9+CX9+CY9+CZ9))*365</f>
        <v>41.773054770611701</v>
      </c>
      <c r="DA154" s="650">
        <f>(((CV78+DA78)/2)/(CY9+CX9+CZ9+DA9))*365</f>
        <v>54.054964244137707</v>
      </c>
      <c r="DB154" s="651">
        <f t="shared" si="174"/>
        <v>54.054964244137707</v>
      </c>
      <c r="DC154" s="650">
        <f>(((CX78+DC78)/2)/(CY9+CZ9+DA9+DC9))*365</f>
        <v>34.990055688146384</v>
      </c>
      <c r="DD154" s="650">
        <f>(((CY78+DD78)/2)/(CZ9+DA9+DC9+DD9))*365</f>
        <v>31.65161445012788</v>
      </c>
      <c r="DE154" s="650">
        <f>(((CZ78+DE78)/2)/(DA9+DC9+DD9+DE9))*365</f>
        <v>38.34550561797753</v>
      </c>
      <c r="DF154" s="650">
        <f>(((DA78+DF78)/2)/(DD9+DC9+DE9+DF9))*365</f>
        <v>31.163287086446104</v>
      </c>
      <c r="DG154" s="651">
        <f t="shared" si="175"/>
        <v>31.163287086446104</v>
      </c>
      <c r="DH154" s="650">
        <f>(((DC78+DH78)/2)/(DD9+DE9+DF9+DH9))*365</f>
        <v>32.818284850774461</v>
      </c>
      <c r="DI154" s="650">
        <f>(((DD78+DI78)/2)/(DE9+DF9+DH9+DI9))*365</f>
        <v>28.572333788262821</v>
      </c>
      <c r="DJ154" s="650">
        <f>(((DE78+DJ78)/2)/(DF9+DH9+DI9+DJ9))*365</f>
        <v>44.224435860947345</v>
      </c>
      <c r="DK154" s="650">
        <f>(((DF78+DK78)/2)/(DI9+DH9+DJ9+DK9))*365</f>
        <v>35.973070516379785</v>
      </c>
      <c r="DL154" s="651">
        <f t="shared" si="176"/>
        <v>35.973070516379785</v>
      </c>
      <c r="DM154" s="650">
        <f>(((DH78+DM78)/2)/(DI9+DJ9+DK9+DM9))*365</f>
        <v>34.265948275862073</v>
      </c>
      <c r="DN154" s="650">
        <f>(((DI78+DN78)/2)/(DJ9+DK9+DM9+DN9))*365</f>
        <v>31.760647631201149</v>
      </c>
      <c r="DO154" s="650">
        <f>(((DJ78+DO78)/2)/(DK9+DM9+DN9+DO9))*365</f>
        <v>37.590895085503007</v>
      </c>
      <c r="DP154" s="650">
        <f>(((DK78+DP78)/2)/(DN9+DM9+DO9+DP9))*365</f>
        <v>48.140206344317839</v>
      </c>
      <c r="DQ154" s="651">
        <f t="shared" si="177"/>
        <v>48.140206344317839</v>
      </c>
      <c r="DR154" s="650">
        <f>(((DM78+DR78)/2)/(DN9+DO9+DP9+DR9))*365</f>
        <v>41.120465329863769</v>
      </c>
      <c r="DS154" s="650">
        <f>(((DN78+DS78)/2)/(DO9+DP9+DR9+DS9))*365</f>
        <v>41.963123644251624</v>
      </c>
      <c r="DT154" s="650">
        <f>(((DO78+DT78)/2)/(DP9+DR9+DS9+DT9))*365</f>
        <v>46.785550107263255</v>
      </c>
      <c r="DU154" s="650">
        <f>(((DP78+DU78)/2)/(DS9+DR9+DT9+DU9))*365</f>
        <v>52.432627892813642</v>
      </c>
      <c r="DV154" s="651">
        <f t="shared" si="178"/>
        <v>52.432627892813642</v>
      </c>
      <c r="DW154" s="650">
        <f>(((DR78+DW78)/2)/(DS9+DT9+DU9+DW9))*365</f>
        <v>49.085244648318039</v>
      </c>
      <c r="DX154" s="650">
        <f>(((DS78+DX78)/2)/(DT9+DU9+DW9+DX9))*365</f>
        <v>43.000078382191568</v>
      </c>
      <c r="DY154" s="650">
        <f>(((DT78+DY78)/2)/(DU9+DW9+DX9+DY9))*365</f>
        <v>48.734055052030882</v>
      </c>
      <c r="DZ154" s="650">
        <f>(((DU78+DZ78)/2)/(DX9+DW9+DY9+DZ9))*365</f>
        <v>52.138048690520108</v>
      </c>
      <c r="EA154" s="651">
        <f t="shared" si="179"/>
        <v>52.138048690520108</v>
      </c>
      <c r="EB154" s="650">
        <f>(((DW78+EB78)/2)/(DX9+DY9+DZ9+EB9))*365</f>
        <v>59.548730964467012</v>
      </c>
      <c r="EC154" s="650">
        <f>(((DX78+EC78)/2)/(DY9+DZ9+EB9+EC9))*365</f>
        <v>55.222555103787712</v>
      </c>
      <c r="ED154" s="650">
        <f>(((DY78+ED78)/2)/(DZ9+EB9+EC9+ED9))*365</f>
        <v>58.369989722507711</v>
      </c>
      <c r="EE154" s="650">
        <f>(((DZ78+EE78)/2)/(EC9+EB9+ED9+EE9))*365</f>
        <v>50.351953198716735</v>
      </c>
      <c r="EF154" s="651">
        <f t="shared" si="180"/>
        <v>50.351953198716735</v>
      </c>
      <c r="EG154" s="650">
        <f>(((EB78+EG78)/2)/(EC9+ED9+EE9+EG9))*365</f>
        <v>48.326052068473608</v>
      </c>
      <c r="EH154" s="650">
        <f>(((EC78+EH78)/2)/(ED9+EE9+EG9+EH9))*365</f>
        <v>47.794667119565219</v>
      </c>
      <c r="EI154" s="650">
        <f>(((ED78+EI78)/2)/(EE9+EG9+EH9+EI9))*365</f>
        <v>57.529883879781423</v>
      </c>
      <c r="EJ154" s="650">
        <f>(((EE78+EJ78)/2)/(EH9+EG9+EI9+EJ9))*365</f>
        <v>54.690337813294583</v>
      </c>
      <c r="EK154" s="651">
        <f t="shared" si="181"/>
        <v>54.690337813294583</v>
      </c>
      <c r="EL154" s="650">
        <f>(((EG78+EL78)/2)/(EH9+EI9+EJ9+EL9))*365</f>
        <v>57.211033274956215</v>
      </c>
      <c r="EM154" s="650">
        <f>(((EH78+EM78)/2)/(EI9+EJ9+EL9+EM9))*365</f>
        <v>61.318426724137936</v>
      </c>
      <c r="EN154" s="650">
        <f>(((EI78+EN78)/2)/(EJ9+EL9+EM9+EN9))*365</f>
        <v>69.249180711610492</v>
      </c>
      <c r="EO154" s="650">
        <f>(((EJ78+EO78)/2)/(EM9+EL9+EN9+EO9))*365</f>
        <v>61.778376346780263</v>
      </c>
      <c r="EP154" s="651">
        <f t="shared" si="182"/>
        <v>61.778376346780263</v>
      </c>
      <c r="EQ154" s="650">
        <f>(((EL78+EQ78)/2)/(EM9+EN9+EO9+EQ9))*365</f>
        <v>61.539019245979439</v>
      </c>
      <c r="ER154" s="650">
        <f>(((EM78+ER78)/2)/(EN9+EO9+EQ9+ER9))*365</f>
        <v>63.907942238267147</v>
      </c>
      <c r="ES154" s="650">
        <f>(((EN78+ES78)/2)/(EO9+EQ9+ER9+ES9))*365</f>
        <v>56.998060135790496</v>
      </c>
      <c r="ET154" s="650">
        <f>(((EO78+ET78)/2)/(ER9+EQ9+ES9+ET9))*365</f>
        <v>36.055711610486895</v>
      </c>
      <c r="EU154" s="651">
        <f t="shared" si="183"/>
        <v>36.055711610486895</v>
      </c>
      <c r="EV154" s="650">
        <f>(((EQ78+EV78)/2)/(ER9+ES9+ET9+EV9))*365</f>
        <v>41.334764918625673</v>
      </c>
      <c r="EW154" s="650">
        <f>(((ER78+EW78)/2)/(ES9+ET9+EV9+EW9))*365</f>
        <v>50.771270837843694</v>
      </c>
      <c r="EX154" s="650">
        <f>(((ES78+EX78)/2)/(ET9+EV9+EW9+EX9))*365</f>
        <v>51.969223007063576</v>
      </c>
      <c r="EY154" s="650">
        <f>(((ET78+EY78)/2)/(EW9+EV9+EX9+EY9))*365</f>
        <v>24.349315068493148</v>
      </c>
      <c r="EZ154" s="651">
        <f t="shared" si="184"/>
        <v>24.349315068493148</v>
      </c>
      <c r="FA154" s="650">
        <f>(((EV78+FA78)/2)/(EW9+EX9+EY9+FA9))*365</f>
        <v>37.523364485981304</v>
      </c>
      <c r="FB154" s="650">
        <f>(((EW78+FB78)/2)/(EX9+EY9+FA9+FB9))*365</f>
        <v>48.435488813974871</v>
      </c>
      <c r="FC154" s="650">
        <f>(((EX78+FC78)/2)/(EY9+FA9+FB9+FC9))*365</f>
        <v>55.23026315789474</v>
      </c>
      <c r="FD154" s="650">
        <f>(((EY78+FD78)/2)/(FB9+FA9+FC9+FD9))*365</f>
        <v>46.083011583011583</v>
      </c>
      <c r="FE154" s="651">
        <f t="shared" si="185"/>
        <v>46.083011583011583</v>
      </c>
      <c r="FF154" s="650">
        <f>(((FA78+FF78)/2)/(FB9+FC9+FD9+FF9))*365</f>
        <v>59.207786885245902</v>
      </c>
      <c r="FG154" s="650">
        <f>(((FB78+FG78)/2)/(FC9+FD9+FF9+FG9))*365</f>
        <v>76.137446808510646</v>
      </c>
      <c r="FH154" s="650">
        <f>(((FC78+FH78)/2)/(FD9+FF9+FG9+FH9))*365</f>
        <v>78.781338203553048</v>
      </c>
      <c r="FI154" s="650">
        <f>(((FD78+FI78)/2)/(FG9+FF9+FH9+FI9))*365</f>
        <v>83.888723815183482</v>
      </c>
      <c r="FJ154" s="651">
        <f t="shared" si="186"/>
        <v>83.888723815183482</v>
      </c>
      <c r="FK154" s="650">
        <f>(((FF78+FK78)/2)/(FG9+FH9+FI9+FK9))*365</f>
        <v>73.856452726017949</v>
      </c>
      <c r="FL154" s="650">
        <f>(((FG78+FL78)/2)/(FH9+FI9+FK9+FL9))*365</f>
        <v>74.5180486528904</v>
      </c>
      <c r="FM154" s="650">
        <f>(((FH78+FM78)/2)/(FI9+FK9+FL9+FM9))*365</f>
        <v>74.448010640758739</v>
      </c>
      <c r="FN154" s="650">
        <f>(((FI78+FN78)/2)/(FL9+FK9+FM9+FN9))*365</f>
        <v>73.370121888763705</v>
      </c>
      <c r="FO154" s="651">
        <f t="shared" si="187"/>
        <v>73.370121888763705</v>
      </c>
      <c r="FP154" s="650">
        <f>(((FK78+FP78)/2)/(FL9+FM9+FN9+FP9))*365</f>
        <v>61.818639467693927</v>
      </c>
      <c r="FQ154" s="650">
        <f>(((FL78+FQ78)/2)/(FM9+FN9+FP9+FQ9))*365</f>
        <v>52.109632683658177</v>
      </c>
      <c r="FR154" s="650">
        <f>(((FM78+FR78)/2)/(FN9+FP9+FQ9+FR9))*365</f>
        <v>53.550700242391592</v>
      </c>
      <c r="FS154" s="650">
        <f>(((FN78+FS78)/2)/(FQ9+FP9+FR9+FS9))*365</f>
        <v>52.993184860654743</v>
      </c>
      <c r="FT154" s="651">
        <f t="shared" si="188"/>
        <v>52.993184860654743</v>
      </c>
      <c r="FU154" s="650">
        <f>(((FP78+FU78)/2)/(FQ9+FR9+FS9+FU9))*365</f>
        <v>56.608259165077349</v>
      </c>
      <c r="FV154" s="650">
        <f>(((FQ78+FV78)/2)/(FR9+FS9+FU9+FV9))*365</f>
        <v>51.34292732665925</v>
      </c>
      <c r="FW154" s="650">
        <f>(((FR78+FW78)/2)/(FS9+FU9+FV9+FW9))*365</f>
        <v>52.444366567373393</v>
      </c>
      <c r="FX154" s="650">
        <f>(((FS78+FX78)/2)/(FV9+FU9+FW9+FX9))*365</f>
        <v>52.829964831998645</v>
      </c>
      <c r="FY154" s="651">
        <f t="shared" si="189"/>
        <v>52.829964831998645</v>
      </c>
      <c r="FZ154" s="650">
        <f>(((FU78+FZ78)/2)/(FV9+FW9+FX9+FZ9))*365</f>
        <v>61.054861923960637</v>
      </c>
      <c r="GA154" s="650">
        <f>(((FV78+GA78)/2)/(FW9+FX9+FZ9+GA9))*365</f>
        <v>69.759782409946979</v>
      </c>
      <c r="GB154" s="650">
        <f>(((FW78+GB78)/2)/(FX9+FZ9+GA9+GB9))*365</f>
        <v>77.503278910949305</v>
      </c>
      <c r="GC154" s="650">
        <f>(((FX78+GC78)/2)/(GA9+FZ9+GB9+GC9))*365</f>
        <v>76.460097001763671</v>
      </c>
      <c r="GD154" s="651">
        <f t="shared" si="190"/>
        <v>76.460097001763671</v>
      </c>
      <c r="GE154" s="650">
        <f>(((FZ78+GE78)/2)/(GA9+GB9+GC9+GE9))*365</f>
        <v>72.663815789473688</v>
      </c>
      <c r="GF154" s="650">
        <f>(((GA78+GF78)/2)/(GB9+GC9+GE9+GF9))*365</f>
        <v>78.885225124591855</v>
      </c>
      <c r="GG154" s="650">
        <f>(((GB78+GG78)/2)/(GC9+GD9+GF9+GG9))*365</f>
        <v>54.065767914799288</v>
      </c>
      <c r="GH154" s="650">
        <f>(((GC78+GH78)/2)/(GF9+GE9+GG9+GH9))*365</f>
        <v>81.875509016870282</v>
      </c>
      <c r="GI154" s="651">
        <f t="shared" si="191"/>
        <v>81.875509016870282</v>
      </c>
      <c r="GJ154" s="650">
        <f>(((GE78+GJ78)/2)/(GF9+GG9+GH9+GJ9))*365</f>
        <v>68.929099099099105</v>
      </c>
      <c r="GK154" s="650">
        <f>(((GF78+GK78)/2)/(GG9+GH9+GJ9+GK9))*365</f>
        <v>66.982432432432432</v>
      </c>
      <c r="GL154" s="650">
        <f>(((GG78+GL78)/2)/(GH9+GJ9+GK9+GL9))*365</f>
        <v>76.596777718799757</v>
      </c>
      <c r="GM154" s="650">
        <f>(((GH78+GM78)/2)/(GK9+GJ9+GL9+GM9))*365</f>
        <v>65.894728485233401</v>
      </c>
      <c r="GN154" s="651">
        <f t="shared" si="192"/>
        <v>65.894728485233401</v>
      </c>
      <c r="GO154" s="650">
        <f>(((GJ78+GO78)/2)/(GK9+GL9+GM9+GO9))*365</f>
        <v>55.928205265125222</v>
      </c>
      <c r="GP154" s="650">
        <f>(((GK78+GP78)/2)/(GL9+GM9+GO9+GP9))*365</f>
        <v>55.716139927873662</v>
      </c>
      <c r="GQ154" s="650">
        <f>(((GL78+GQ78)/2)/(GM9+GO9+GP9+GQ9))*365</f>
        <v>58.868811269495751</v>
      </c>
      <c r="GR154" s="650">
        <f>(((GM78+GR78)/2)/(GP9+GO9+GQ9+GR9))*365</f>
        <v>62.439994531009177</v>
      </c>
      <c r="GS154" s="651">
        <f t="shared" si="193"/>
        <v>62.439994531009177</v>
      </c>
      <c r="GT154" s="650">
        <f>(((GO78+GT78)/2)/(GP9+GQ9+GR9+GT9))*365</f>
        <v>56.283818009675542</v>
      </c>
      <c r="GU154" s="650">
        <f>(((GP78+GU78)/2)/(GQ9+GR9+GT9+GU9))*365</f>
        <v>62.429530008059096</v>
      </c>
      <c r="GV154" s="650">
        <f>(((GQ78+GV78)/2)/(GR9+GT9+GU9+GV9))*365</f>
        <v>60.697481423752599</v>
      </c>
      <c r="GW154" s="650">
        <f>(((GR78+GW78)/2)/(GU9+GT9+GV9+GW9))*365</f>
        <v>64.709524266804578</v>
      </c>
      <c r="GX154" s="651">
        <f t="shared" si="194"/>
        <v>64.709524266804578</v>
      </c>
      <c r="GY154" s="650">
        <f>(((GT78+GY78)/2)/(GU9+GV9+GW9+GY9))*365</f>
        <v>60.785038010085749</v>
      </c>
      <c r="GZ154" s="650">
        <f>(((GU78+GZ78)/2)/(GV9+GW9+GY9+GZ9))*365</f>
        <v>64.951729899980592</v>
      </c>
      <c r="HA154" s="650">
        <f>(((GV78+HA78)/2)/(GW9+GY9+GZ9+HA9))*365</f>
        <v>68.549156512918941</v>
      </c>
      <c r="HB154" s="650">
        <f>(((GW78+HB78)/2)/(GZ9+GY9+HA9+HB9))*365</f>
        <v>71.495926664614146</v>
      </c>
      <c r="HC154" s="651">
        <f t="shared" si="195"/>
        <v>71.495926664614146</v>
      </c>
      <c r="HD154" s="650">
        <f>(((GY78+HD78)/2)/(GZ9+HA9+HB9+HD9))*365</f>
        <v>67.227083470014719</v>
      </c>
      <c r="HE154" s="650">
        <f>(((GZ78+HE78)/2)/(HA9+HB9+HD9+HE9))*365</f>
        <v>67.490687219069585</v>
      </c>
      <c r="HF154" s="650">
        <f>(((HA78+HF78)/2)/(HB9+HD9+HE9+HF9))*365</f>
        <v>69.688601736521022</v>
      </c>
      <c r="HG154" s="650">
        <f>(((HB78+HG78)/2)/(HE9+HD9+HF9+HG9))*365</f>
        <v>70.965103038138722</v>
      </c>
      <c r="HH154" s="651">
        <f t="shared" si="196"/>
        <v>70.965103038138722</v>
      </c>
      <c r="HI154" s="650">
        <f>(((HD78+HI78)/2)/(HE9+HF9+HG9+HI9))*365</f>
        <v>66.768650993986128</v>
      </c>
      <c r="HJ154" s="650">
        <f>(((HE78+HJ78)/2)/(HF9+HG9+HI9+HJ9))*365</f>
        <v>67.629152606465823</v>
      </c>
      <c r="HK154" s="650">
        <f>(((HF78+HK78)/2)/(HG9+HI9+HJ9+HK9))*365</f>
        <v>71.170915261903517</v>
      </c>
      <c r="HL154" s="650">
        <f>(((HG78+HL78)/2)/(HJ9+HI9+HK9+HL9))*365</f>
        <v>71.774712172969899</v>
      </c>
      <c r="HM154" s="651">
        <f t="shared" si="197"/>
        <v>71.774712172969899</v>
      </c>
      <c r="HN154" s="651"/>
      <c r="HO154" s="651"/>
      <c r="HQ154" s="509"/>
      <c r="HY154" s="509"/>
      <c r="HZ154" s="509"/>
      <c r="IA154" s="509"/>
      <c r="IB154" s="509"/>
    </row>
    <row r="155" spans="1:236" s="563" customFormat="1" ht="11.25" hidden="1" customHeight="1" outlineLevel="1">
      <c r="A155" s="532" t="s">
        <v>464</v>
      </c>
      <c r="B155" s="509"/>
      <c r="C155" s="509"/>
      <c r="D155" s="509"/>
      <c r="E155" s="509"/>
      <c r="F155" s="509"/>
      <c r="G155" s="509"/>
      <c r="H155" s="509"/>
      <c r="I155" s="509"/>
      <c r="J155" s="509"/>
      <c r="K155" s="509"/>
      <c r="L155" s="523"/>
      <c r="M155" s="523"/>
      <c r="N155" s="523"/>
      <c r="O155" s="523"/>
      <c r="P155" s="524"/>
      <c r="Q155" s="523"/>
      <c r="R155" s="523"/>
      <c r="S155" s="523"/>
      <c r="T155" s="523"/>
      <c r="U155" s="524"/>
      <c r="V155" s="523"/>
      <c r="W155" s="523"/>
      <c r="X155" s="523"/>
      <c r="Y155" s="523"/>
      <c r="Z155" s="524"/>
      <c r="AA155" s="523"/>
      <c r="AB155" s="523"/>
      <c r="AC155" s="523"/>
      <c r="AD155" s="523"/>
      <c r="AE155" s="524"/>
      <c r="AF155" s="523"/>
      <c r="AG155" s="523"/>
      <c r="AH155" s="523"/>
      <c r="AI155" s="523"/>
      <c r="AJ155" s="524"/>
      <c r="AK155" s="523">
        <f>(AG16+AH16+AI16+AK16)/((AF84+AK84)/2)</f>
        <v>8.857277675004692</v>
      </c>
      <c r="AL155" s="523">
        <f>(AH16+AI16+AK16+AL16)/((AG84+AL84)/2)</f>
        <v>8.9979166988163772</v>
      </c>
      <c r="AM155" s="523">
        <f>(AI16+AK16+AL16+AM16)/((AH84+AM84)/2)</f>
        <v>8.6776968585015162</v>
      </c>
      <c r="AN155" s="523">
        <f>(AL16+AK16+AM16+AN16)/((AI84+AN84)/2)</f>
        <v>8.4412305577038751</v>
      </c>
      <c r="AO155" s="524">
        <f t="shared" si="161"/>
        <v>8.4412305577038751</v>
      </c>
      <c r="AP155" s="523">
        <f>(AL16+AM16+AN16+AP16)/((AK84+AP84)/2)</f>
        <v>9.0627395759993732</v>
      </c>
      <c r="AQ155" s="523">
        <f>(AM16+AN16+AP16+AQ16)/((AL84+AQ84)/2)</f>
        <v>9.0134024266730677</v>
      </c>
      <c r="AR155" s="523">
        <f>(AN16+AP16+AQ16+AR16)/((AM84+AR84)/2)</f>
        <v>8.8471469545149564</v>
      </c>
      <c r="AS155" s="523">
        <f>(AQ16+AP16+AR16+AS16)/((AN84+AS84)/2)</f>
        <v>9.1676736307171094</v>
      </c>
      <c r="AT155" s="524">
        <f t="shared" si="162"/>
        <v>9.1676736307171094</v>
      </c>
      <c r="AU155" s="523">
        <f>(AQ16+AR16+AS16+AU16)/((AP84+AU84)/2)</f>
        <v>9.3842861281033265</v>
      </c>
      <c r="AV155" s="523">
        <f>(AR16+AS16+AU16+AV16)/((AQ84+AV84)/2)</f>
        <v>9.4204911322445888</v>
      </c>
      <c r="AW155" s="523">
        <f>(AS16+AU16+AV16+AW16)/((AR84+AW84)/2)</f>
        <v>9.2111855927327966</v>
      </c>
      <c r="AX155" s="523">
        <f>(AV16+AU16+AW16+AX16)/((AS84+AX84)/2)</f>
        <v>9.3354153168329699</v>
      </c>
      <c r="AY155" s="524">
        <f t="shared" si="163"/>
        <v>9.3354153168329699</v>
      </c>
      <c r="AZ155" s="523">
        <f>(AV16+AW16+AX16+AZ16)/((AU84+AZ84)/2)</f>
        <v>8.9553200941425573</v>
      </c>
      <c r="BA155" s="523">
        <f>(AW16+AX16+AZ16+BA16)/((AV84+BA84)/2)</f>
        <v>8.3536819214598275</v>
      </c>
      <c r="BB155" s="523">
        <f>(AX16+AZ16+BA16+BB16)/((AW84+BB84)/2)</f>
        <v>9.2022757861250479</v>
      </c>
      <c r="BC155" s="523">
        <f>(BA16+AZ16+BB16+BC16)/((AX84+BC84)/2)</f>
        <v>9.7879433349766085</v>
      </c>
      <c r="BD155" s="524">
        <f t="shared" si="164"/>
        <v>9.7879433349766085</v>
      </c>
      <c r="BE155" s="523">
        <f>(BA16+BB16+BC16+BE16)/((AZ84+BE84)/2)</f>
        <v>10.765723255079346</v>
      </c>
      <c r="BF155" s="523">
        <f>(BB16+BC16+BE16+BF16)/((BA84+BF84)/2)</f>
        <v>9.9975586916262529</v>
      </c>
      <c r="BG155" s="523">
        <f>(BC16+BE16+BF16+BG16)/((BB84+BG84)/2)</f>
        <v>9.9241022218779609</v>
      </c>
      <c r="BH155" s="523">
        <f>(BF16+BE16+BG16+BH16)/((BC84+BH84)/2)</f>
        <v>10.004324896970827</v>
      </c>
      <c r="BI155" s="524">
        <f t="shared" si="165"/>
        <v>10.004324896970827</v>
      </c>
      <c r="BJ155" s="523">
        <f>(BF16+BG16+BH16+BJ16)/((BE84+BJ84)/2)</f>
        <v>10.251949173198172</v>
      </c>
      <c r="BK155" s="523">
        <f>(BG16+BH16+BJ16+BK16)/((BF84+BK84)/2)</f>
        <v>9.68131970781101</v>
      </c>
      <c r="BL155" s="523">
        <f>(BH16+BJ16+BK16+BL16)/((BG84+BL84)/2)</f>
        <v>9.1788719326870769</v>
      </c>
      <c r="BM155" s="523">
        <f>(BK16+BJ16+BL16+BM16)/((BH84+BM84)/2)</f>
        <v>10.525031610981333</v>
      </c>
      <c r="BN155" s="524">
        <f t="shared" si="166"/>
        <v>10.525031610981333</v>
      </c>
      <c r="BO155" s="523">
        <f>(BK16+BL16+BM16+BO16)/((BJ84+BO84)/2)</f>
        <v>10.936886504056652</v>
      </c>
      <c r="BP155" s="523">
        <f>(BL16+BM16+BO16+BP16)/((BK84+BP84)/2)</f>
        <v>9.9163299791773429</v>
      </c>
      <c r="BQ155" s="523">
        <f>(BM16+BO16+BP16+BQ16)/((BL84+BQ84)/2)</f>
        <v>9.2991863284884158</v>
      </c>
      <c r="BR155" s="523">
        <f>(BP16+BO16+BQ16+BR16)/((BM84+BR84)/2)</f>
        <v>9.2833167821557385</v>
      </c>
      <c r="BS155" s="524">
        <f t="shared" si="167"/>
        <v>9.2833167821557385</v>
      </c>
      <c r="BT155" s="523">
        <f>(BP16+BQ16+BR16+BT16)/((BO84+BT84)/2)</f>
        <v>9.3771745637469959</v>
      </c>
      <c r="BU155" s="523">
        <f>(BQ16+BR16+BT16+BU16)/((BP84+BU84)/2)</f>
        <v>8.0659021248331886</v>
      </c>
      <c r="BV155" s="523">
        <f>(BR16+BT16+BU16+BV16)/((BQ84+BV84)/2)</f>
        <v>7.0195347151604333</v>
      </c>
      <c r="BW155" s="523">
        <f>(BU16+BT16+BV16+BW16)/((BR84+BW84)/2)</f>
        <v>7.1347858815079785</v>
      </c>
      <c r="BX155" s="524">
        <f t="shared" si="168"/>
        <v>7.1347858815079785</v>
      </c>
      <c r="BY155" s="523">
        <f>(BU16+BV16+BW16+BY16)/((BT84+BY84)/2)</f>
        <v>6.7126226202276378</v>
      </c>
      <c r="BZ155" s="523">
        <f>(BV16+BW16+BY16+BZ16)/((BU84+BZ84)/2)</f>
        <v>6.087588212470564</v>
      </c>
      <c r="CA155" s="523">
        <f>(BW16+BY16+BZ16+CA16)/((BV84+CA84)/2)</f>
        <v>5.1620480611059349</v>
      </c>
      <c r="CB155" s="523">
        <f>(BZ16+BY16+CA16+CB16)/((BW84+CB84)/2)</f>
        <v>5.1794873056303405</v>
      </c>
      <c r="CC155" s="524">
        <f t="shared" si="169"/>
        <v>5.1794873056303405</v>
      </c>
      <c r="CD155" s="523">
        <f>(BZ16+CA16+CB16+CD16)/((BY84+CD84)/2)</f>
        <v>4.9345505384136992</v>
      </c>
      <c r="CE155" s="523">
        <f>(CA16+CB16+CD16+CE16)/((BZ84+CE84)/2)</f>
        <v>4.4419077197561663</v>
      </c>
      <c r="CF155" s="523">
        <f>(CB16+CD16+CE16+CF16)/((CA84+CF84)/2)</f>
        <v>3.6942659130148741</v>
      </c>
      <c r="CG155" s="523">
        <f>(CE16+CD16+CF16+CG16)/((CB84+CG84)/2)</f>
        <v>4.1177480245713154</v>
      </c>
      <c r="CH155" s="524">
        <f t="shared" si="170"/>
        <v>4.1177480245713154</v>
      </c>
      <c r="CI155" s="523">
        <f>(CE16+CF16+CG16+CI16)/((CD84+CI84)/2)</f>
        <v>4.5898429947105743</v>
      </c>
      <c r="CJ155" s="523">
        <f>(CF16+CG16+CI16+CJ16)/((CE84+CJ84)/2)</f>
        <v>4.9554099783589134</v>
      </c>
      <c r="CK155" s="523">
        <f>(CG16+CI16+CJ16+CK16)/((CF84+CK84)/2)</f>
        <v>4.0922722168431109</v>
      </c>
      <c r="CL155" s="523">
        <f>(CJ16+CI16+CK16+CL16)/((CG84+CL84)/2)</f>
        <v>3.8571513970573275</v>
      </c>
      <c r="CM155" s="524">
        <f t="shared" si="171"/>
        <v>3.8571513970573275</v>
      </c>
      <c r="CN155" s="523">
        <f>(CJ16+CK16+CL16+CN16)/((CI84+CN84)/2)</f>
        <v>3.991829678828132</v>
      </c>
      <c r="CO155" s="523">
        <f>(CK16+CL16+CN16+CO16)/((CJ84+CO84)/2)</f>
        <v>3.730532778124545</v>
      </c>
      <c r="CP155" s="523">
        <f>(CL16+CN16+CO16+CP16)/((CK84+CP84)/2)</f>
        <v>3.6944466807284204</v>
      </c>
      <c r="CQ155" s="523">
        <f>(CO16+CN16+CP16+CQ16)/((CL84+CQ84)/2)</f>
        <v>5.4705628606774788</v>
      </c>
      <c r="CR155" s="524">
        <f t="shared" si="172"/>
        <v>5.4705628606774788</v>
      </c>
      <c r="CS155" s="523">
        <f>(CO16+CP16+CQ16+CS16)/((CN84+CS84)/2)</f>
        <v>5.4111704896532622</v>
      </c>
      <c r="CT155" s="523">
        <f>(CP16+CQ16+CS16+CT16)/((CO84+CT84)/2)</f>
        <v>4.499696152069812</v>
      </c>
      <c r="CU155" s="523">
        <f>(CQ16+CS16+CT16+CU16)/((CP84+CU84)/2)</f>
        <v>3.879573145642977</v>
      </c>
      <c r="CV155" s="523">
        <f>(CT16+CS16+CU16+CV16)/((CQ84+CV84)/2)</f>
        <v>4.6475818434748488</v>
      </c>
      <c r="CW155" s="524">
        <f t="shared" si="173"/>
        <v>4.6475818434748488</v>
      </c>
      <c r="CX155" s="523">
        <f>(CT16+CU16+CV16+CX16)/((CS84+CX84)/2)</f>
        <v>4.8631048425070791</v>
      </c>
      <c r="CY155" s="523">
        <f>(CU16+CV16+CX16+CY16)/((CT84+CY84)/2)</f>
        <v>5.3299991906173272</v>
      </c>
      <c r="CZ155" s="523">
        <f>(CV16+CX16+CY16+CZ16)/((CU84+CZ84)/2)</f>
        <v>5.7836341395368809</v>
      </c>
      <c r="DA155" s="523">
        <f>(CY16+CX16+CZ16+DA16)/((CV84+DA84)/2)</f>
        <v>4.5113149847094798</v>
      </c>
      <c r="DB155" s="524">
        <f t="shared" si="174"/>
        <v>4.5113149847094798</v>
      </c>
      <c r="DC155" s="523">
        <f>(CY16+CZ16+DA16+DC16)/((CX84+DC84)/2)</f>
        <v>4.3066202090592336</v>
      </c>
      <c r="DD155" s="523">
        <f>(CZ16+DA16+DC16+DD16)/((CY84+DD84)/2)</f>
        <v>4.3600713012477721</v>
      </c>
      <c r="DE155" s="523">
        <f>(DA16+DC16+DD16+DE16)/((CZ84+DE84)/2)</f>
        <v>4.2650029708853241</v>
      </c>
      <c r="DF155" s="523">
        <f>(DD16+DC16+DE16+DF16)/((DA84+DF84)/2)</f>
        <v>4.4238320920785377</v>
      </c>
      <c r="DG155" s="524">
        <f t="shared" si="175"/>
        <v>4.4238320920785377</v>
      </c>
      <c r="DH155" s="523">
        <f>(DD16+DE16+DF16+DH16)/((DC84+DH84)/2)</f>
        <v>4.7658610271903319</v>
      </c>
      <c r="DI155" s="523">
        <f>(DE16+DF16+DH16+DI16)/((DD84+DI84)/2)</f>
        <v>4.9376947040498447</v>
      </c>
      <c r="DJ155" s="523">
        <f>(DF16+DH16+DI16+DJ16)/((DE84+DJ84)/2)</f>
        <v>4.6475349521707141</v>
      </c>
      <c r="DK155" s="523">
        <f>(DI16+DH16+DJ16+DK16)/((DF84+DK84)/2)</f>
        <v>5.6614881439084215</v>
      </c>
      <c r="DL155" s="524">
        <f t="shared" si="176"/>
        <v>5.6614881439084215</v>
      </c>
      <c r="DM155" s="523">
        <f>(DI16+DJ16+DK16+DM16)/((DH84+DM84)/2)</f>
        <v>6.4498207885304657</v>
      </c>
      <c r="DN155" s="523">
        <f>(DJ16+DK16+DM16+DN16)/((DI84+DN84)/2)</f>
        <v>6.8026070763500934</v>
      </c>
      <c r="DO155" s="523">
        <f>(DK16+DM16+DN16+DO16)/((DJ84+DO84)/2)</f>
        <v>6.4432717678100264</v>
      </c>
      <c r="DP155" s="523">
        <f>(DN16+DM16+DO16+DP16)/((DK84+DP84)/2)</f>
        <v>6.0083402835696411</v>
      </c>
      <c r="DQ155" s="524">
        <f t="shared" si="177"/>
        <v>6.0083402835696411</v>
      </c>
      <c r="DR155" s="523">
        <f>(DN16+DO16+DP16+DR16)/((DM84+DR84)/2)</f>
        <v>5.866122448979592</v>
      </c>
      <c r="DS155" s="523">
        <f>(DO16+DP16+DR16+DS16)/((DN84+DS84)/2)</f>
        <v>5.7759607522485688</v>
      </c>
      <c r="DT155" s="523">
        <f>(DP16+DR16+DS16+DT16)/((DO84+DT84)/2)</f>
        <v>6.1738382099827884</v>
      </c>
      <c r="DU155" s="523">
        <f>(DS16+DR16+DT16+DU16)/((DP84+DU84)/2)</f>
        <v>6.4963898916967509</v>
      </c>
      <c r="DV155" s="524">
        <f t="shared" si="178"/>
        <v>6.4963898916967509</v>
      </c>
      <c r="DW155" s="523">
        <f>(DS16+DT16+DU16+DW16)/((DR84+DW84)/2)</f>
        <v>5.776155717761557</v>
      </c>
      <c r="DX155" s="523">
        <f>(DT16+DU16+DW16+DX16)/((DS84+DX84)/2)</f>
        <v>4.7145762711864405</v>
      </c>
      <c r="DY155" s="523">
        <f>(DU16+DW16+DX16+DY16)/((DT84+DY84)/2)</f>
        <v>5.3271028037383177</v>
      </c>
      <c r="DZ155" s="523">
        <f>(DX16+DW16+DY16+DZ16)/((DU84+DZ84)/2)</f>
        <v>6.1772639691714835</v>
      </c>
      <c r="EA155" s="524">
        <f t="shared" si="179"/>
        <v>6.1772639691714835</v>
      </c>
      <c r="EB155" s="523">
        <f>(DX16+DY16+DZ16+EB16)/((DW84+EB84)/2)</f>
        <v>4.9983305509181966</v>
      </c>
      <c r="EC155" s="523">
        <f>(DY16+DZ16+EB16+EC16)/((DX84+EC84)/2)</f>
        <v>3.7901554404145079</v>
      </c>
      <c r="ED155" s="523">
        <f>(DZ16+EB16+EC16+ED16)/((DY84+ED84)/2)</f>
        <v>3.5882352941176472</v>
      </c>
      <c r="EE155" s="523">
        <f>(EC16+EB16+ED16+EE16)/((DZ84+EE84)/2)</f>
        <v>4.5933609958506221</v>
      </c>
      <c r="EF155" s="524">
        <f t="shared" si="180"/>
        <v>4.5933609958506221</v>
      </c>
      <c r="EG155" s="523">
        <f>(EC16+ED16+EE16+EG16)/((EB84+EG84)/2)</f>
        <v>4.8421052631578947</v>
      </c>
      <c r="EH155" s="523">
        <f>(ED16+EE16+EG16+EH16)/((EC84+EH84)/2)</f>
        <v>4.5828845002992225</v>
      </c>
      <c r="EI155" s="523">
        <f>(EE16+EG16+EH16+EI16)/((ED84+EI84)/2)</f>
        <v>4.2045079714128644</v>
      </c>
      <c r="EJ155" s="523">
        <f>(EH16+EG16+EI16+EJ16)/((EE84+EJ84)/2)</f>
        <v>4.6003824091778203</v>
      </c>
      <c r="EK155" s="524">
        <f t="shared" si="181"/>
        <v>4.6003824091778203</v>
      </c>
      <c r="EL155" s="523">
        <f>(EH16+EI16+EJ16+EL16)/((EG84+EL84)/2)</f>
        <v>4.3712267180475273</v>
      </c>
      <c r="EM155" s="523">
        <f>(EI16+EJ16+EL16+EM16)/((EH84+EM84)/2)</f>
        <v>3.5667993177942012</v>
      </c>
      <c r="EN155" s="523">
        <f>(EJ16+EL16+EM16+EN16)/((EI84+EN84)/2)</f>
        <v>3.6477683956574185</v>
      </c>
      <c r="EO155" s="523">
        <f>(EM16+EL16+EN16+EO16)/((EJ84+EO84)/2)</f>
        <v>4.223037417461482</v>
      </c>
      <c r="EP155" s="524">
        <f t="shared" si="182"/>
        <v>4.223037417461482</v>
      </c>
      <c r="EQ155" s="523">
        <f>(EM16+EN16+EO16+EQ16)/((EL84+EQ84)/2)</f>
        <v>4.0161408657373441</v>
      </c>
      <c r="ER155" s="523">
        <f>(EN16+EO16+EQ16+ER16)/((EM84+ER84)/2)</f>
        <v>3.5901426718547342</v>
      </c>
      <c r="ES155" s="523">
        <f>(EO16+EQ16+ER16+ES16)/((EN84+ES84)/2)</f>
        <v>3.7234181343770385</v>
      </c>
      <c r="ET155" s="523">
        <f>(ER16+EQ16+ES16+ET16)/((EO84+ET84)/2)</f>
        <v>4.1063680895731283</v>
      </c>
      <c r="EU155" s="524">
        <f t="shared" si="183"/>
        <v>4.1063680895731283</v>
      </c>
      <c r="EV155" s="523">
        <f>(ER16+ES16+ET16+EV16)/((EQ84+EV84)/2)</f>
        <v>3.9947159841479523</v>
      </c>
      <c r="EW155" s="523">
        <f>(ES16+ET16+EV16+EW16)/((ER84+EW84)/2)</f>
        <v>3.9771573604060912</v>
      </c>
      <c r="EX155" s="523">
        <f>(ET16+EV16+EW16+EX16)/((ES84+EX84)/2)</f>
        <v>4.2094508301404856</v>
      </c>
      <c r="EY155" s="523">
        <f>(EW16+EV16+EX16+EY16)/((ET84+EY84)/2)</f>
        <v>4.706040268456376</v>
      </c>
      <c r="EZ155" s="524">
        <f t="shared" si="184"/>
        <v>4.706040268456376</v>
      </c>
      <c r="FA155" s="523">
        <f>(EW16+EX16+EY16+FA16)/((EV84+FA84)/2)</f>
        <v>5.0231660231660236</v>
      </c>
      <c r="FB155" s="523">
        <f>(EX16+EY16+FA16+FB16)/((EW84+FB84)/2)</f>
        <v>5.2924826279216681</v>
      </c>
      <c r="FC155" s="523">
        <f>(EY16+FA16+FB16+FC16)/((EX84+FC84)/2)</f>
        <v>5.3668407310704964</v>
      </c>
      <c r="FD155" s="523">
        <f>(FB16+FA16+FC16+FD16)/((EY84+FD84)/2)</f>
        <v>5.0858585858585856</v>
      </c>
      <c r="FE155" s="524">
        <f t="shared" si="185"/>
        <v>5.0858585858585856</v>
      </c>
      <c r="FF155" s="523">
        <f>(FB16+FC16+FD16+FF16)/((FA84+FF84)/2)</f>
        <v>4.4658682634730535</v>
      </c>
      <c r="FG155" s="523">
        <f>(FC16+FD16+FF16+FG16)/((FB84+FG84)/2)</f>
        <v>4.0056657223796037</v>
      </c>
      <c r="FH155" s="523">
        <f>(FD16+FF16+FG16+FH16)/((FC84+FH84)/2)</f>
        <v>4.0123734533183351</v>
      </c>
      <c r="FI155" s="523">
        <f>(FG16+FF16+FH16+FI16)/((FD84+FI84)/2)</f>
        <v>4.2287903667214009</v>
      </c>
      <c r="FJ155" s="524">
        <f t="shared" si="186"/>
        <v>4.2287903667214009</v>
      </c>
      <c r="FK155" s="523">
        <f>(FG16+FH16+FI16+FK16)/((FF84+FK84)/2)</f>
        <v>4.0576827449030333</v>
      </c>
      <c r="FL155" s="523">
        <f>(FH16+FI16+FK16+FL16)/((FG84+FL84)/2)</f>
        <v>3.6374519025224457</v>
      </c>
      <c r="FM155" s="523">
        <f>(FI16+FK16+FL16+FM16)/((FH84+FM84)/2)</f>
        <v>4.1174957118353346</v>
      </c>
      <c r="FN155" s="523">
        <f>(FL16+FK16+FM16+FN16)/((FI84+FN84)/2)</f>
        <v>4.5493490130197394</v>
      </c>
      <c r="FO155" s="524">
        <f t="shared" si="187"/>
        <v>4.5493490130197394</v>
      </c>
      <c r="FP155" s="523">
        <f>(FL16+FM16+FN16+FP16)/((FK84+FP84)/2)</f>
        <v>4.6555924695459581</v>
      </c>
      <c r="FQ155" s="523">
        <f>(FM16+FN16+FP16+FQ16)/((FL84+FQ84)/2)</f>
        <v>4.6888960828747166</v>
      </c>
      <c r="FR155" s="523">
        <f>(FN16+FP16+FQ16+FR16)/((FM84+FR84)/2)</f>
        <v>4.9455228553537882</v>
      </c>
      <c r="FS155" s="523">
        <f>(FQ16+FP16+FR16+FS16)/((FN84+FS84)/2)</f>
        <v>5.0715563506261176</v>
      </c>
      <c r="FT155" s="524">
        <f t="shared" si="188"/>
        <v>5.0715563506261176</v>
      </c>
      <c r="FU155" s="523">
        <f>(FQ16+FR16+FS16+FU16)/((FP84+FU84)/2)</f>
        <v>4.6219392752203721</v>
      </c>
      <c r="FV155" s="523">
        <f>(FR16+FS16+FU16+FV16)/((FQ84+FV84)/2)</f>
        <v>4.730568774076592</v>
      </c>
      <c r="FW155" s="523">
        <f>(FS16+FU16+FV16+FW16)/((FR84+FW84)/2)</f>
        <v>4.1768165433504079</v>
      </c>
      <c r="FX155" s="523">
        <f>(FV16+FU16+FW16+FX16)/((FS84+FX84)/2)</f>
        <v>3.9668180230527419</v>
      </c>
      <c r="FY155" s="524">
        <f t="shared" si="189"/>
        <v>3.9668180230527419</v>
      </c>
      <c r="FZ155" s="523">
        <f>(FV16+FW16+FX16+FZ16)/((FU84+FZ84)/2)</f>
        <v>3.3759375937593759</v>
      </c>
      <c r="GA155" s="523">
        <f>(FW16+FX16+FZ16+GA16)/((FV84+GA84)/2)</f>
        <v>3.0314622314622315</v>
      </c>
      <c r="GB155" s="523">
        <f>(FX16+FZ16+GA16+GB16)/((FW84+GB84)/2)</f>
        <v>2.8108523163552599</v>
      </c>
      <c r="GC155" s="523">
        <f>(GA16+FZ16+GB16+GC16)/((FX84+GC84)/2)</f>
        <v>2.7761635065254864</v>
      </c>
      <c r="GD155" s="524">
        <f t="shared" si="190"/>
        <v>2.7761635065254864</v>
      </c>
      <c r="GE155" s="523">
        <f>(GA16+GB16+GC16+GE16)/((FZ84+GE84)/2)</f>
        <v>2.5218859007539103</v>
      </c>
      <c r="GF155" s="523">
        <f>(GB16+GC16+GE16+GF16)/((GA84+GF84)/2)</f>
        <v>2.3521657250470809</v>
      </c>
      <c r="GG155" s="523">
        <f>(GC16+GD16+GF16+GG16)/((GB84+GG84)/2)</f>
        <v>4.1187493634789689</v>
      </c>
      <c r="GH155" s="523">
        <f>(GF16+GE16+GG16+GH16)/((GC84+GH84)/2)</f>
        <v>2.3892910262766485</v>
      </c>
      <c r="GI155" s="524">
        <f t="shared" si="191"/>
        <v>2.3892910262766485</v>
      </c>
      <c r="GJ155" s="523">
        <f>(GF16+GG16+GH16+GJ16)/((GE84+GJ84)/2)</f>
        <v>2.3276111311890135</v>
      </c>
      <c r="GK155" s="523">
        <f>(GG16+GH16+GJ16+GK16)/((GF84+GK84)/2)</f>
        <v>2.4866300994172095</v>
      </c>
      <c r="GL155" s="523">
        <f>(GH16+GJ16+GK16+GL16)/((GG84+GL84)/2)</f>
        <v>2.4593678568613542</v>
      </c>
      <c r="GM155" s="523">
        <f>(GK16+GJ16+GL16+GM16)/((GH84+GM84)/2)</f>
        <v>2.4168741760656216</v>
      </c>
      <c r="GN155" s="524">
        <f t="shared" si="192"/>
        <v>2.4168741760656216</v>
      </c>
      <c r="GO155" s="523">
        <f>(GK16+GL16+GM16+GO16)/((GJ84+GO84)/2)</f>
        <v>2.4375907613581358</v>
      </c>
      <c r="GP155" s="523">
        <f>(GL16+GM16+GO16+GP16)/((GK84+GP84)/2)</f>
        <v>2.2512463281130177</v>
      </c>
      <c r="GQ155" s="523">
        <f>(GM16+GO16+GP16+GQ16)/((GL84+GQ84)/2)</f>
        <v>2.2399605023733722</v>
      </c>
      <c r="GR155" s="523">
        <f>(GP16+GO16+GQ16+GR16)/((GM84+GR84)/2)</f>
        <v>2.0768899137429617</v>
      </c>
      <c r="GS155" s="524">
        <f t="shared" si="193"/>
        <v>2.0768899137429617</v>
      </c>
      <c r="GT155" s="523">
        <f>(GP16+GQ16+GR16+GT16)/((GO84+GT84)/2)</f>
        <v>2.184512621896415</v>
      </c>
      <c r="GU155" s="523">
        <f>(GQ16+GR16+GT16+GU16)/((GP84+GU84)/2)</f>
        <v>2.227916961592916</v>
      </c>
      <c r="GV155" s="523">
        <f>(GR16+GT16+GU16+GV16)/((GQ84+GV84)/2)</f>
        <v>2.2058103117507644</v>
      </c>
      <c r="GW155" s="523">
        <f>(GU16+GT16+GV16+GW16)/((GR84+GW84)/2)</f>
        <v>1.9987752105089263</v>
      </c>
      <c r="GX155" s="524">
        <f t="shared" si="194"/>
        <v>1.9987752105089263</v>
      </c>
      <c r="GY155" s="523">
        <f>(GU16+GV16+GW16+GY16)/((GT84+GY84)/2)</f>
        <v>2.1023162698556068</v>
      </c>
      <c r="GZ155" s="523">
        <f>(GV16+GW16+GY16+GZ16)/((GU84+GZ84)/2)</f>
        <v>2.0964490041430413</v>
      </c>
      <c r="HA155" s="523">
        <f>(GW16+GY16+GZ16+HA16)/((GV84+HA84)/2)</f>
        <v>1.8559971697203814</v>
      </c>
      <c r="HB155" s="523">
        <f>(GZ16+GY16+HA16+HB16)/((GW84+HB84)/2)</f>
        <v>1.6813544856284817</v>
      </c>
      <c r="HC155" s="524">
        <f t="shared" si="195"/>
        <v>1.6813544856284817</v>
      </c>
      <c r="HD155" s="523">
        <f>(GZ16+HA16+HB16+HD16)/((GY84+HD84)/2)</f>
        <v>1.7967881458964914</v>
      </c>
      <c r="HE155" s="523">
        <f>(HA16+HB16+HD16+HE16)/((GZ84+HE84)/2)</f>
        <v>1.7921032978652198</v>
      </c>
      <c r="HF155" s="523">
        <f>(HB16+HD16+HE16+HF16)/((HA84+HF84)/2)</f>
        <v>1.7056882678109369</v>
      </c>
      <c r="HG155" s="523">
        <f>(HE16+HD16+HF16+HG16)/((HB84+HG84)/2)</f>
        <v>1.6398232814482456</v>
      </c>
      <c r="HH155" s="524">
        <f t="shared" si="196"/>
        <v>1.6398232814482456</v>
      </c>
      <c r="HI155" s="523">
        <f>(HE16+HF16+HG16+HI16)/((HD84+HI84)/2)</f>
        <v>1.7410405352056872</v>
      </c>
      <c r="HJ155" s="523">
        <f>(HF16+HG16+HI16+HJ16)/((HE84+HJ84)/2)</f>
        <v>1.7141237836492536</v>
      </c>
      <c r="HK155" s="523">
        <f>(HG16+HI16+HJ16+HK16)/((HF84+HK84)/2)</f>
        <v>1.6308652402346926</v>
      </c>
      <c r="HL155" s="523">
        <f>(HJ16+HI16+HK16+HL16)/((HG84+HL84)/2)</f>
        <v>1.6169264121641767</v>
      </c>
      <c r="HM155" s="524">
        <f t="shared" si="197"/>
        <v>1.6169264121641767</v>
      </c>
      <c r="HN155" s="524"/>
      <c r="HO155" s="524"/>
      <c r="HQ155" s="509"/>
      <c r="HY155" s="509"/>
      <c r="HZ155" s="509"/>
      <c r="IA155" s="509"/>
      <c r="IB155" s="509"/>
    </row>
    <row r="156" spans="1:236" s="563" customFormat="1" ht="11.25" hidden="1" customHeight="1" outlineLevel="1">
      <c r="A156" s="522" t="s">
        <v>465</v>
      </c>
      <c r="B156" s="509"/>
      <c r="C156" s="509"/>
      <c r="D156" s="509"/>
      <c r="E156" s="509"/>
      <c r="F156" s="509"/>
      <c r="G156" s="509"/>
      <c r="H156" s="509"/>
      <c r="I156" s="509"/>
      <c r="J156" s="509"/>
      <c r="K156" s="509"/>
      <c r="L156" s="650"/>
      <c r="M156" s="650"/>
      <c r="N156" s="650"/>
      <c r="O156" s="650"/>
      <c r="P156" s="651"/>
      <c r="Q156" s="650"/>
      <c r="R156" s="650"/>
      <c r="S156" s="650"/>
      <c r="T156" s="650"/>
      <c r="U156" s="651"/>
      <c r="V156" s="650"/>
      <c r="W156" s="650"/>
      <c r="X156" s="650"/>
      <c r="Y156" s="650"/>
      <c r="Z156" s="651"/>
      <c r="AA156" s="650"/>
      <c r="AB156" s="650"/>
      <c r="AC156" s="650"/>
      <c r="AD156" s="650"/>
      <c r="AE156" s="651"/>
      <c r="AF156" s="650"/>
      <c r="AG156" s="650"/>
      <c r="AH156" s="650"/>
      <c r="AI156" s="650"/>
      <c r="AJ156" s="651"/>
      <c r="AK156" s="650">
        <f>(((AF84+AK84)/2)/(AG16+AH16+AI16+AK16))*365</f>
        <v>41.209050161093273</v>
      </c>
      <c r="AL156" s="650">
        <f>(((AG84+AL84)/2)/(AH16+AI16+AK16+AL16))*365</f>
        <v>40.56494544431753</v>
      </c>
      <c r="AM156" s="650">
        <f>(((AH84+AM84)/2)/(AI16+AK16+AL16+AM16))*365</f>
        <v>42.061851889007912</v>
      </c>
      <c r="AN156" s="650">
        <f>(((AI84+AN84)/2)/(AL16+AK16+AM16+AN16))*365</f>
        <v>43.240141055842066</v>
      </c>
      <c r="AO156" s="651">
        <f t="shared" si="161"/>
        <v>43.240141055842066</v>
      </c>
      <c r="AP156" s="650">
        <f>(((AK84+AP84)/2)/(AL16+AM16+AN16+AP16))*365</f>
        <v>40.274797365536173</v>
      </c>
      <c r="AQ156" s="650">
        <f>(((AL84+AQ84)/2)/(AM16+AN16+AP16+AQ16))*365</f>
        <v>40.495251706488489</v>
      </c>
      <c r="AR156" s="650">
        <f>(((AM84+AR84)/2)/(AN16+AP16+AQ16+AR16))*365</f>
        <v>41.25623795745021</v>
      </c>
      <c r="AS156" s="650">
        <f>(((AN84+AS84)/2)/(AQ16+AP16+AR16+AS16))*365</f>
        <v>39.813808246514675</v>
      </c>
      <c r="AT156" s="651">
        <f t="shared" si="162"/>
        <v>39.813808246514675</v>
      </c>
      <c r="AU156" s="650">
        <f>(((AP84+AU84)/2)/(AQ16+AR16+AS16+AU16))*365</f>
        <v>38.894807235994911</v>
      </c>
      <c r="AV156" s="650">
        <f>(((AQ84+AV84)/2)/(AR16+AS16+AU16+AV16))*365</f>
        <v>38.745326000114041</v>
      </c>
      <c r="AW156" s="650">
        <f>(((AR84+AW84)/2)/(AS16+AU16+AV16+AW16))*365</f>
        <v>39.625735072363348</v>
      </c>
      <c r="AX156" s="650">
        <f>(((AS84+AX84)/2)/(AV16+AU16+AW16+AX16))*365</f>
        <v>39.098421185596045</v>
      </c>
      <c r="AY156" s="651">
        <f t="shared" si="163"/>
        <v>39.098421185596045</v>
      </c>
      <c r="AZ156" s="650">
        <f>(((AU84+AZ84)/2)/(AV16+AW16+AX16+AZ16))*365</f>
        <v>40.757895436784779</v>
      </c>
      <c r="BA156" s="650">
        <f>(((AV84+BA84)/2)/(AW16+AX16+AZ16+BA16))*365</f>
        <v>43.693308343755476</v>
      </c>
      <c r="BB156" s="650">
        <f>(((AW84+BB84)/2)/(AX16+AZ16+BA16+BB16))*365</f>
        <v>39.664101411776585</v>
      </c>
      <c r="BC156" s="650">
        <f>(((AX84+BC84)/2)/(BA16+AZ16+BB16+BC16))*365</f>
        <v>37.29077575425832</v>
      </c>
      <c r="BD156" s="651">
        <f t="shared" si="164"/>
        <v>37.29077575425832</v>
      </c>
      <c r="BE156" s="650">
        <f>(((AZ84+BE84)/2)/(BA16+BB16+BC16+BE16))*365</f>
        <v>33.903899566412356</v>
      </c>
      <c r="BF156" s="650">
        <f>(((BA84+BF84)/2)/(BB16+BC16+BE16+BF16))*365</f>
        <v>36.508912951490487</v>
      </c>
      <c r="BG156" s="650">
        <f>(((BB84+BG84)/2)/(BC16+BE16+BF16+BG16))*365</f>
        <v>36.779145542792506</v>
      </c>
      <c r="BH156" s="650">
        <f>(((BC84+BH84)/2)/(BF16+BE16+BG16+BH16))*365</f>
        <v>36.484220950332897</v>
      </c>
      <c r="BI156" s="651">
        <f t="shared" si="165"/>
        <v>36.484220950332897</v>
      </c>
      <c r="BJ156" s="650">
        <f>(((BE84+BJ84)/2)/(BF16+BG16+BH16+BJ16))*365</f>
        <v>35.602985718484163</v>
      </c>
      <c r="BK156" s="650">
        <f>(((BF84+BK84)/2)/(BG16+BH16+BJ16+BK16))*365</f>
        <v>37.701471598496369</v>
      </c>
      <c r="BL156" s="650">
        <f>(((BG84+BL84)/2)/(BH16+BJ16+BK16+BL16))*365</f>
        <v>39.765235061205146</v>
      </c>
      <c r="BM156" s="650">
        <f>(((BH84+BM84)/2)/(BK16+BJ16+BL16+BM16))*365</f>
        <v>34.679230760616036</v>
      </c>
      <c r="BN156" s="651">
        <f t="shared" si="166"/>
        <v>34.679230760616036</v>
      </c>
      <c r="BO156" s="650">
        <f>(((BJ84+BO84)/2)/(BK16+BL16+BM16+BO16))*365</f>
        <v>33.37330051515265</v>
      </c>
      <c r="BP156" s="650">
        <f>(((BK84+BP84)/2)/(BL16+BM16+BO16+BP16))*365</f>
        <v>36.807972381560496</v>
      </c>
      <c r="BQ156" s="650">
        <f>(((BL84+BQ84)/2)/(BM16+BO16+BP16+BQ16))*365</f>
        <v>39.250745936965309</v>
      </c>
      <c r="BR156" s="650">
        <f>(((BM84+BR84)/2)/(BP16+BO16+BQ16+BR16))*365</f>
        <v>39.317843887606834</v>
      </c>
      <c r="BS156" s="651">
        <f t="shared" si="167"/>
        <v>39.317843887606834</v>
      </c>
      <c r="BT156" s="650">
        <f>(((BO84+BT84)/2)/(BP16+BQ16+BR16+BT16))*365</f>
        <v>38.924304705931675</v>
      </c>
      <c r="BU156" s="650">
        <f>(((BP84+BU84)/2)/(BQ16+BR16+BT16+BU16))*365</f>
        <v>45.252222795543602</v>
      </c>
      <c r="BV156" s="650">
        <f>(((BQ84+BV84)/2)/(BR16+BT16+BU16+BV16))*365</f>
        <v>51.997748399433313</v>
      </c>
      <c r="BW156" s="650">
        <f>(((BR84+BW84)/2)/(BU16+BT16+BV16+BW16))*365</f>
        <v>51.157807124389151</v>
      </c>
      <c r="BX156" s="651">
        <f t="shared" si="168"/>
        <v>51.157807124389151</v>
      </c>
      <c r="BY156" s="650">
        <f>(((BT84+BY84)/2)/(BU16+BV16+BW16+BY16))*365</f>
        <v>54.375170577907767</v>
      </c>
      <c r="BZ156" s="650">
        <f>(((BU84+BZ84)/2)/(BV16+BW16+BY16+BZ16))*365</f>
        <v>59.958063400590916</v>
      </c>
      <c r="CA156" s="650">
        <f>(((BV84+CA84)/2)/(BW16+BY16+BZ16+CA16))*365</f>
        <v>70.708369174269393</v>
      </c>
      <c r="CB156" s="650">
        <f>(((BW84+CB84)/2)/(BZ16+BY16+CA16+CB16))*365</f>
        <v>70.470295313443145</v>
      </c>
      <c r="CC156" s="651">
        <f t="shared" si="169"/>
        <v>70.470295313443145</v>
      </c>
      <c r="CD156" s="650">
        <f>(((BY84+CD84)/2)/(BZ16+CA16+CB16+CD16))*365</f>
        <v>73.968236247375813</v>
      </c>
      <c r="CE156" s="650">
        <f>(((BZ84+CE84)/2)/(CA16+CB16+CD16+CE16))*365</f>
        <v>82.171900685058873</v>
      </c>
      <c r="CF156" s="650">
        <f>(((CA84+CF84)/2)/(CB16+CD16+CE16+CF16))*365</f>
        <v>98.801767007108893</v>
      </c>
      <c r="CG156" s="650">
        <f>(((CB84+CG84)/2)/(CE16+CD16+CF16+CG16))*365</f>
        <v>88.640683650864943</v>
      </c>
      <c r="CH156" s="651">
        <f t="shared" si="170"/>
        <v>88.640683650864943</v>
      </c>
      <c r="CI156" s="650">
        <f>(((CD84+CI84)/2)/(CE16+CF16+CG16+CI16))*365</f>
        <v>79.523417341428285</v>
      </c>
      <c r="CJ156" s="650">
        <f>(((CE84+CJ84)/2)/(CF16+CG16+CI16+CJ16))*365</f>
        <v>73.65687230602812</v>
      </c>
      <c r="CK156" s="650">
        <f>(((CF84+CK84)/2)/(CG16+CI16+CJ16+CK16))*365</f>
        <v>89.192502516748704</v>
      </c>
      <c r="CL156" s="650">
        <f>(((CG84+CL84)/2)/(CJ16+CI16+CK16+CL16))*365</f>
        <v>94.629420115182256</v>
      </c>
      <c r="CM156" s="651">
        <f t="shared" si="171"/>
        <v>94.629420115182256</v>
      </c>
      <c r="CN156" s="650">
        <f>(((CI84+CN84)/2)/(CJ16+CK16+CL16+CN16))*365</f>
        <v>91.436766938200577</v>
      </c>
      <c r="CO156" s="650">
        <f>(((CJ84+CO84)/2)/(CK16+CL16+CN16+CO16))*365</f>
        <v>97.841252632954181</v>
      </c>
      <c r="CP156" s="650">
        <f>(((CK84+CP84)/2)/(CL16+CN16+CO16+CP16))*365</f>
        <v>98.796932678436789</v>
      </c>
      <c r="CQ156" s="650">
        <f>(((CL84+CQ84)/2)/(CO16+CN16+CP16+CQ16))*365</f>
        <v>66.720739583056016</v>
      </c>
      <c r="CR156" s="651">
        <f t="shared" si="172"/>
        <v>66.720739583056016</v>
      </c>
      <c r="CS156" s="650">
        <f>(((CN84+CS84)/2)/(CO16+CP16+CQ16+CS16))*365</f>
        <v>67.453058575389406</v>
      </c>
      <c r="CT156" s="650">
        <f>(((CO84+CT84)/2)/(CP16+CQ16+CS16+CT16))*365</f>
        <v>81.116588246098331</v>
      </c>
      <c r="CU156" s="650">
        <f>(((CP84+CU84)/2)/(CQ16+CS16+CT16+CU16))*365</f>
        <v>94.082515343194316</v>
      </c>
      <c r="CV156" s="650">
        <f>(((CQ84+CV84)/2)/(CT16+CS16+CU16+CV16))*365</f>
        <v>78.535464741187027</v>
      </c>
      <c r="CW156" s="651">
        <f t="shared" si="173"/>
        <v>78.535464741187027</v>
      </c>
      <c r="CX156" s="650">
        <f>(((CS84+CX84)/2)/(CT16+CU16+CV16+CX16))*365</f>
        <v>75.054931328980231</v>
      </c>
      <c r="CY156" s="650">
        <f>(((CT84+CY84)/2)/(CU16+CV16+CX16+CY16))*365</f>
        <v>68.480310586637302</v>
      </c>
      <c r="CZ156" s="650">
        <f>(((CU84+CZ84)/2)/(CV16+CX16+CY16+CZ16))*365</f>
        <v>63.109109461966604</v>
      </c>
      <c r="DA156" s="650">
        <f>(((CV84+DA84)/2)/(CY16+CX16+CZ16+DA16))*365</f>
        <v>80.907673535791758</v>
      </c>
      <c r="DB156" s="651">
        <f t="shared" si="174"/>
        <v>80.907673535791758</v>
      </c>
      <c r="DC156" s="650">
        <f>(((CX84+DC84)/2)/(CY16+CZ16+DA16+DC16))*365</f>
        <v>84.753236245954682</v>
      </c>
      <c r="DD156" s="650">
        <f>(((CY84+DD84)/2)/(CZ16+DA16+DC16+DD16))*365</f>
        <v>83.714227309893715</v>
      </c>
      <c r="DE156" s="650">
        <f>(((CZ84+DE84)/2)/(DA16+DC16+DD16+DE16))*365</f>
        <v>85.580245193647258</v>
      </c>
      <c r="DF156" s="650">
        <f>(((DA84+DF84)/2)/(DD16+DC16+DE16+DF16))*365</f>
        <v>82.507652280379546</v>
      </c>
      <c r="DG156" s="651">
        <f t="shared" si="175"/>
        <v>82.507652280379546</v>
      </c>
      <c r="DH156" s="650">
        <f>(((DC84+DH84)/2)/(DD16+DE16+DF16+DH16))*365</f>
        <v>76.586370839936606</v>
      </c>
      <c r="DI156" s="650">
        <f>(((DD84+DI84)/2)/(DE16+DF16+DH16+DI16))*365</f>
        <v>73.921135646687702</v>
      </c>
      <c r="DJ156" s="650">
        <f>(((DE84+DJ84)/2)/(DF16+DH16+DI16+DJ16))*365</f>
        <v>78.536257124762514</v>
      </c>
      <c r="DK156" s="650">
        <f>(((DF84+DK84)/2)/(DI16+DH16+DJ16+DK16))*365</f>
        <v>64.470681686886195</v>
      </c>
      <c r="DL156" s="651">
        <f t="shared" si="176"/>
        <v>64.470681686886195</v>
      </c>
      <c r="DM156" s="650">
        <f>(((DH84+DM84)/2)/(DI16+DJ16+DK16+DM16))*365</f>
        <v>56.590719644345654</v>
      </c>
      <c r="DN156" s="650">
        <f>(((DI84+DN84)/2)/(DJ16+DK16+DM16+DN16))*365</f>
        <v>53.655899260881469</v>
      </c>
      <c r="DO156" s="650">
        <f>(((DJ84+DO84)/2)/(DK16+DM16+DN16+DO16))*365</f>
        <v>56.648239148239149</v>
      </c>
      <c r="DP156" s="650">
        <f>(((DK84+DP84)/2)/(DN16+DM16+DO16+DP16))*365</f>
        <v>60.748889505830093</v>
      </c>
      <c r="DQ156" s="651">
        <f t="shared" si="177"/>
        <v>60.748889505830093</v>
      </c>
      <c r="DR156" s="650">
        <f>(((DM84+DR84)/2)/(DN16+DO16+DP16+DR16))*365</f>
        <v>62.221681046479269</v>
      </c>
      <c r="DS156" s="650">
        <f>(((DN84+DS84)/2)/(DO16+DP16+DR16+DS16))*365</f>
        <v>63.192950169875424</v>
      </c>
      <c r="DT156" s="650">
        <f>(((DO84+DT84)/2)/(DP16+DR16+DS16+DT16))*365</f>
        <v>59.120434903819351</v>
      </c>
      <c r="DU156" s="650">
        <f>(((DP84+DU84)/2)/(DS16+DR16+DT16+DU16))*365</f>
        <v>56.185051403167542</v>
      </c>
      <c r="DV156" s="651">
        <f t="shared" si="178"/>
        <v>56.185051403167542</v>
      </c>
      <c r="DW156" s="650">
        <f>(((DR84+DW84)/2)/(DS16+DT16+DU16+DW16))*365</f>
        <v>63.190817186183658</v>
      </c>
      <c r="DX156" s="650">
        <f>(((DS84+DX84)/2)/(DT16+DU16+DW16+DX16))*365</f>
        <v>77.419470808167958</v>
      </c>
      <c r="DY156" s="650">
        <f>(((DT84+DY84)/2)/(DU16+DW16+DX16+DY16))*365</f>
        <v>68.517543859649123</v>
      </c>
      <c r="DZ156" s="650">
        <f>(((DU84+DZ84)/2)/(DX16+DW16+DY16+DZ16))*365</f>
        <v>59.087648159700564</v>
      </c>
      <c r="EA156" s="651">
        <f t="shared" si="179"/>
        <v>59.087648159700564</v>
      </c>
      <c r="EB156" s="650">
        <f>(((DW84+EB84)/2)/(DX16+DY16+DZ16+EB16))*365</f>
        <v>73.024382097528388</v>
      </c>
      <c r="EC156" s="650">
        <f>(((DX84+EC84)/2)/(DY16+DZ16+EB16+EC16))*365</f>
        <v>96.302118933697884</v>
      </c>
      <c r="ED156" s="650">
        <f>(((DY84+ED84)/2)/(DZ16+EB16+EC16+ED16))*365</f>
        <v>101.72131147540983</v>
      </c>
      <c r="EE156" s="650">
        <f>(((DZ84+EE84)/2)/(EC16+EB16+ED16+EE16))*365</f>
        <v>79.462511291779578</v>
      </c>
      <c r="EF156" s="651">
        <f t="shared" si="180"/>
        <v>79.462511291779578</v>
      </c>
      <c r="EG156" s="650">
        <f>(((EB84+EG84)/2)/(EC16+ED16+EE16+EG16))*365</f>
        <v>75.380434782608702</v>
      </c>
      <c r="EH156" s="650">
        <f>(((EC84+EH84)/2)/(ED16+EE16+EG16+EH16))*365</f>
        <v>79.64416296683207</v>
      </c>
      <c r="EI156" s="650">
        <f>(((ED84+EI84)/2)/(EE16+EG16+EH16+EI16))*365</f>
        <v>86.811584728033466</v>
      </c>
      <c r="EJ156" s="650">
        <f>(((EE84+EJ84)/2)/(EH16+EG16+EI16+EJ16))*365</f>
        <v>79.341230257689105</v>
      </c>
      <c r="EK156" s="651">
        <f t="shared" si="181"/>
        <v>79.341230257689105</v>
      </c>
      <c r="EL156" s="650">
        <f>(((EG84+EL84)/2)/(EH16+EI16+EJ16+EL16))*365</f>
        <v>83.500587716720531</v>
      </c>
      <c r="EM156" s="650">
        <f>(((EH84+EM84)/2)/(EI16+EJ16+EL16+EM16))*365</f>
        <v>102.3326426522155</v>
      </c>
      <c r="EN156" s="650">
        <f>(((EI84+EN84)/2)/(EJ16+EL16+EM16+EN16))*365</f>
        <v>100.06117724867724</v>
      </c>
      <c r="EO156" s="650">
        <f>(((EJ84+EO84)/2)/(EM16+EL16+EN16+EO16))*365</f>
        <v>86.430681028492003</v>
      </c>
      <c r="EP156" s="651">
        <f t="shared" si="182"/>
        <v>86.430681028492003</v>
      </c>
      <c r="EQ156" s="650">
        <f>(((EL84+EQ84)/2)/(EM16+EN16+EO16+EQ16))*365</f>
        <v>90.88326635001826</v>
      </c>
      <c r="ER156" s="650">
        <f>(((EM84+ER84)/2)/(EN16+EO16+EQ16+ER16))*365</f>
        <v>101.66726878612717</v>
      </c>
      <c r="ES156" s="650">
        <f>(((EN84+ES84)/2)/(EO16+EQ16+ER16+ES16))*365</f>
        <v>98.028206026629292</v>
      </c>
      <c r="ET156" s="650">
        <f>(((EO84+ET84)/2)/(ER16+EQ16+ES16+ET16))*365</f>
        <v>88.886332651670074</v>
      </c>
      <c r="EU156" s="651">
        <f t="shared" si="183"/>
        <v>88.886332651670074</v>
      </c>
      <c r="EV156" s="650">
        <f>(((EQ84+EV84)/2)/(ER16+ES16+ET16+EV16))*365</f>
        <v>91.370701058201064</v>
      </c>
      <c r="EW156" s="650">
        <f>(((ER84+EW84)/2)/(ES16+ET16+EV16+EW16))*365</f>
        <v>91.77409061901723</v>
      </c>
      <c r="EX156" s="650">
        <f>(((ES84+EX84)/2)/(ET16+EV16+EW16+EX16))*365</f>
        <v>86.709648058252426</v>
      </c>
      <c r="EY156" s="650">
        <f>(((ET84+EY84)/2)/(EW16+EV16+EX16+EY16))*365</f>
        <v>77.559897318881909</v>
      </c>
      <c r="EZ156" s="651">
        <f t="shared" si="184"/>
        <v>77.559897318881909</v>
      </c>
      <c r="FA156" s="650">
        <f>(((EV84+FA84)/2)/(EW16+EX16+EY16+FA16))*365</f>
        <v>72.663335895465025</v>
      </c>
      <c r="FB156" s="650">
        <f>(((EW84+FB84)/2)/(EX16+EY16+FA16+FB16))*365</f>
        <v>68.965743614227748</v>
      </c>
      <c r="FC156" s="650">
        <f>(((EX84+FC84)/2)/(EY16+FA16+FB16+FC16))*365</f>
        <v>68.010216492337634</v>
      </c>
      <c r="FD156" s="650">
        <f>(((EY84+FD84)/2)/(FB16+FA16+FC16+FD16))*365</f>
        <v>71.767626613704067</v>
      </c>
      <c r="FE156" s="651">
        <f t="shared" si="185"/>
        <v>71.767626613704067</v>
      </c>
      <c r="FF156" s="650">
        <f>(((FA84+FF84)/2)/(FB16+FC16+FD16+FF16))*365</f>
        <v>81.731027085009387</v>
      </c>
      <c r="FG156" s="650">
        <f>(((FB84+FG84)/2)/(FC16+FD16+FF16+FG16))*365</f>
        <v>91.120933521923618</v>
      </c>
      <c r="FH156" s="650">
        <f>(((FC84+FH84)/2)/(FD16+FF16+FG16+FH16))*365</f>
        <v>90.968601065320996</v>
      </c>
      <c r="FI156" s="650">
        <f>(((FD84+FI84)/2)/(FG16+FF16+FH16+FI16))*365</f>
        <v>86.313098628009328</v>
      </c>
      <c r="FJ156" s="651">
        <f t="shared" si="186"/>
        <v>86.313098628009328</v>
      </c>
      <c r="FK156" s="650">
        <f>(((FF84+FK84)/2)/(FG16+FH16+FI16+FK16))*365</f>
        <v>89.952818627450981</v>
      </c>
      <c r="FL156" s="650">
        <f>(((FG84+FL84)/2)/(FH16+FI16+FK16+FL16))*365</f>
        <v>100.34496944052657</v>
      </c>
      <c r="FM156" s="650">
        <f>(((FH84+FM84)/2)/(FI16+FK16+FL16+FM16))*365</f>
        <v>88.646115392626541</v>
      </c>
      <c r="FN156" s="650">
        <f>(((FI84+FN84)/2)/(FL16+FK16+FM16+FN16))*365</f>
        <v>80.231259231905469</v>
      </c>
      <c r="FO156" s="651">
        <f t="shared" si="187"/>
        <v>80.231259231905469</v>
      </c>
      <c r="FP156" s="650">
        <f>(((FK84+FP84)/2)/(FL16+FM16+FN16+FP16))*365</f>
        <v>78.400333016175068</v>
      </c>
      <c r="FQ156" s="650">
        <f>(((FL84+FQ84)/2)/(FM16+FN16+FP16+FQ16))*365</f>
        <v>77.843482463407895</v>
      </c>
      <c r="FR156" s="650">
        <f>(((FM84+FR84)/2)/(FN16+FP16+FQ16+FR16))*365</f>
        <v>73.804127627247411</v>
      </c>
      <c r="FS156" s="650">
        <f>(((FN84+FS84)/2)/(FQ16+FP16+FR16+FS16))*365</f>
        <v>71.970017636684304</v>
      </c>
      <c r="FT156" s="651">
        <f t="shared" si="188"/>
        <v>71.970017636684304</v>
      </c>
      <c r="FU156" s="650">
        <f>(((FP84+FU84)/2)/(FQ16+FR16+FS16+FU16))*365</f>
        <v>78.971180334816694</v>
      </c>
      <c r="FV156" s="650">
        <f>(((FQ84+FV84)/2)/(FR16+FS16+FU16+FV16))*365</f>
        <v>77.15774094654148</v>
      </c>
      <c r="FW156" s="650">
        <f>(((FR84+FW84)/2)/(FS16+FU16+FV16+FW16))*365</f>
        <v>87.387127543604649</v>
      </c>
      <c r="FX156" s="650">
        <f>(((FS84+FX84)/2)/(FV16+FU16+FW16+FX16))*365</f>
        <v>92.013295764726607</v>
      </c>
      <c r="FY156" s="651">
        <f t="shared" si="189"/>
        <v>92.013295764726607</v>
      </c>
      <c r="FZ156" s="650">
        <f>(((FU84+FZ84)/2)/(FV16+FW16+FX16+FZ16))*365</f>
        <v>108.11811233558478</v>
      </c>
      <c r="GA156" s="650">
        <f>(((FV84+GA84)/2)/(FW16+FX16+FZ16+GA16))*365</f>
        <v>120.40394111192393</v>
      </c>
      <c r="GB156" s="650">
        <f>(((FW84+GB84)/2)/(FX16+FZ16+GA16+GB16))*365</f>
        <v>129.85385175742124</v>
      </c>
      <c r="GC156" s="650">
        <f>(((FX84+GC84)/2)/(GA16+FZ16+GB16+GC16))*365</f>
        <v>131.4764058896576</v>
      </c>
      <c r="GD156" s="651">
        <f t="shared" si="190"/>
        <v>131.4764058896576</v>
      </c>
      <c r="GE156" s="650">
        <f>(((FZ84+GE84)/2)/(GA16+GB16+GC16+GE16))*365</f>
        <v>144.73295555952168</v>
      </c>
      <c r="GF156" s="650">
        <f>(((GA84+GF84)/2)/(GB16+GC16+GE16+GF16))*365</f>
        <v>155.17614091273018</v>
      </c>
      <c r="GG156" s="650">
        <f>(((GB84+GG84)/2)/(GC16+GD16+GF16+GG16))*365</f>
        <v>88.619133574007222</v>
      </c>
      <c r="GH156" s="650">
        <f>(((GC84+GH84)/2)/(GF16+GE16+GG16+GH16))*365</f>
        <v>152.76498173970782</v>
      </c>
      <c r="GI156" s="651">
        <f t="shared" si="191"/>
        <v>152.76498173970782</v>
      </c>
      <c r="GJ156" s="650">
        <f>(((GE84+GJ84)/2)/(GF16+GG16+GH16+GJ16))*365</f>
        <v>156.81313562611598</v>
      </c>
      <c r="GK156" s="650">
        <f>(((GF84+GK84)/2)/(GG16+GH16+GJ16+GK16))*365</f>
        <v>146.7850003446612</v>
      </c>
      <c r="GL156" s="650">
        <f>(((GG84+GL84)/2)/(GH16+GJ16+GK16+GL16))*365</f>
        <v>148.41212101788346</v>
      </c>
      <c r="GM156" s="650">
        <f>(((GH84+GM84)/2)/(GK16+GJ16+GL16+GM16))*365</f>
        <v>151.02151515151516</v>
      </c>
      <c r="GN156" s="651">
        <f t="shared" si="192"/>
        <v>151.02151515151516</v>
      </c>
      <c r="GO156" s="650">
        <f>(((GJ84+GO84)/2)/(GK16+GL16+GM16+GO16))*365</f>
        <v>149.73801418439717</v>
      </c>
      <c r="GP156" s="650">
        <f>(((GK84+GP84)/2)/(GL16+GM16+GO16+GP16))*365</f>
        <v>162.13241325125935</v>
      </c>
      <c r="GQ156" s="650">
        <f>(((GL84+GQ84)/2)/(GM16+GO16+GP16+GQ16))*365</f>
        <v>162.94930183512642</v>
      </c>
      <c r="GR156" s="650">
        <f>(((GM84+GR84)/2)/(GP16+GO16+GQ16+GR16))*365</f>
        <v>175.7435469182854</v>
      </c>
      <c r="GS156" s="651">
        <f t="shared" si="193"/>
        <v>175.7435469182854</v>
      </c>
      <c r="GT156" s="650">
        <f>(((GO84+GT84)/2)/(GP16+GQ16+GR16+GT16))*365</f>
        <v>167.08532436088049</v>
      </c>
      <c r="GU156" s="650">
        <f>(((GP84+GU84)/2)/(GQ16+GR16+GT16+GU16))*365</f>
        <v>163.83016346310873</v>
      </c>
      <c r="GV156" s="650">
        <f>(((GQ84+GV84)/2)/(GR16+GT16+GU16+GV16))*365</f>
        <v>165.47207076491421</v>
      </c>
      <c r="GW156" s="650">
        <f>(((GR84+GW84)/2)/(GU16+GT16+GV16+GW16))*365</f>
        <v>182.61183052548668</v>
      </c>
      <c r="GX156" s="651">
        <f t="shared" si="194"/>
        <v>182.61183052548668</v>
      </c>
      <c r="GY156" s="650">
        <f>(((GT84+GY84)/2)/(GU16+GV16+GW16+GY16))*365</f>
        <v>173.61802561946078</v>
      </c>
      <c r="GZ156" s="650">
        <f>(((GU84+GZ84)/2)/(GV16+GW16+GY16+GZ16))*365</f>
        <v>174.10392491240202</v>
      </c>
      <c r="HA156" s="650">
        <f>(((GV84+HA84)/2)/(GW16+GY16+GZ16+HA16))*365</f>
        <v>196.65978265203375</v>
      </c>
      <c r="HB156" s="650">
        <f>(((GW84+HB84)/2)/(GZ16+GY16+HA16+HB16))*365</f>
        <v>217.08688032170969</v>
      </c>
      <c r="HC156" s="651">
        <f t="shared" si="195"/>
        <v>217.08688032170969</v>
      </c>
      <c r="HD156" s="650">
        <f>(((GY84+HD84)/2)/(GZ16+HA16+HB16+HD16))*365</f>
        <v>203.14025380988167</v>
      </c>
      <c r="HE156" s="650">
        <f>(((GZ84+HE84)/2)/(HA16+HB16+HD16+HE16))*365</f>
        <v>203.67129530691309</v>
      </c>
      <c r="HF156" s="650">
        <f>(((HA84+HF84)/2)/(HB16+HD16+HE16+HF16))*365</f>
        <v>213.98986373309427</v>
      </c>
      <c r="HG156" s="650">
        <f>(((HB84+HG84)/2)/(HE16+HD16+HF16+HG16))*365</f>
        <v>222.58496029989416</v>
      </c>
      <c r="HH156" s="651">
        <f t="shared" si="196"/>
        <v>222.58496029989416</v>
      </c>
      <c r="HI156" s="650">
        <f>(((HD84+HI84)/2)/(HE16+HF16+HG16+HI16))*365</f>
        <v>209.64474555262365</v>
      </c>
      <c r="HJ156" s="650">
        <f>(((HE84+HJ84)/2)/(HF16+HG16+HI16+HJ16))*365</f>
        <v>212.93678057656939</v>
      </c>
      <c r="HK156" s="650">
        <f>(((HF84+HK84)/2)/(HG16+HI16+HJ16+HK16))*365</f>
        <v>223.80757833030646</v>
      </c>
      <c r="HL156" s="650">
        <f>(((HG84+HL84)/2)/(HJ16+HI16+HK16+HL16))*365</f>
        <v>225.73692732959034</v>
      </c>
      <c r="HM156" s="651">
        <f t="shared" si="197"/>
        <v>225.73692732959034</v>
      </c>
      <c r="HN156" s="651"/>
      <c r="HO156" s="651"/>
      <c r="HQ156" s="509"/>
      <c r="HY156" s="509"/>
      <c r="HZ156" s="509"/>
      <c r="IA156" s="509"/>
      <c r="IB156" s="509"/>
    </row>
    <row r="157" spans="1:236" s="563" customFormat="1" ht="11.25" hidden="1" customHeight="1" outlineLevel="1">
      <c r="A157" s="532" t="s">
        <v>466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09"/>
      <c r="L157" s="523"/>
      <c r="M157" s="523"/>
      <c r="N157" s="523"/>
      <c r="O157" s="523"/>
      <c r="P157" s="524"/>
      <c r="Q157" s="523"/>
      <c r="R157" s="523"/>
      <c r="S157" s="523"/>
      <c r="T157" s="523"/>
      <c r="U157" s="524"/>
      <c r="V157" s="523"/>
      <c r="W157" s="523"/>
      <c r="X157" s="523"/>
      <c r="Y157" s="523"/>
      <c r="Z157" s="524"/>
      <c r="AA157" s="523"/>
      <c r="AB157" s="523"/>
      <c r="AC157" s="523"/>
      <c r="AD157" s="523"/>
      <c r="AE157" s="524"/>
      <c r="AF157" s="523"/>
      <c r="AG157" s="523"/>
      <c r="AH157" s="523"/>
      <c r="AI157" s="523"/>
      <c r="AJ157" s="524"/>
      <c r="AK157" s="523">
        <f>(AG9+AH9+AI9+AK9)/((AF146+AK146)/2)</f>
        <v>6.0389760858300265</v>
      </c>
      <c r="AL157" s="523">
        <f>(AH9+AI9+AK9+AL9)/((AG146+AL146)/2)</f>
        <v>5.9838561936364671</v>
      </c>
      <c r="AM157" s="523">
        <f>(AI9+AK9+AL9+AM9)/((AH146+AM146)/2)</f>
        <v>6.7011556168196789</v>
      </c>
      <c r="AN157" s="523">
        <f>(AL9+AK9+AM9+AN9)/((AI146+AN146)/2)</f>
        <v>10.823415776824554</v>
      </c>
      <c r="AO157" s="524">
        <f t="shared" si="161"/>
        <v>10.823415776824554</v>
      </c>
      <c r="AP157" s="523">
        <f>(AL9+AM9+AN9+AP9)/((AK146+AP146)/2)</f>
        <v>4.2094692989992151</v>
      </c>
      <c r="AQ157" s="523">
        <f>(AM9+AN9+AP9+AQ9)/((AL146+AQ146)/2)</f>
        <v>4.1146595603682865</v>
      </c>
      <c r="AR157" s="523">
        <f>(AN9+AP9+AQ9+AR9)/((AM146+AR146)/2)</f>
        <v>4.5832292650825206</v>
      </c>
      <c r="AS157" s="523">
        <f>(AQ9+AP9+AR9+AS9)/((AN146+AS146)/2)</f>
        <v>5.5888872020646723</v>
      </c>
      <c r="AT157" s="524">
        <f t="shared" si="162"/>
        <v>5.5888872020646723</v>
      </c>
      <c r="AU157" s="523">
        <f>(AQ9+AR9+AS9+AU9)/((AP146+AU146)/2)</f>
        <v>4.8814194822108492</v>
      </c>
      <c r="AV157" s="523">
        <f>(AR9+AS9+AU9+AV9)/((AQ146+AV146)/2)</f>
        <v>4.7887034406349231</v>
      </c>
      <c r="AW157" s="523">
        <f>(AS9+AU9+AV9+AW9)/((AR146+AW146)/2)</f>
        <v>4.2215490220113114</v>
      </c>
      <c r="AX157" s="523">
        <f>(AV9+AU9+AW9+AX9)/((AS146+AX146)/2)</f>
        <v>4.2427604395222431</v>
      </c>
      <c r="AY157" s="524">
        <f t="shared" si="163"/>
        <v>4.2427604395222431</v>
      </c>
      <c r="AZ157" s="523">
        <f>(AV9+AW9+AX9+AZ9)/((AU146+AZ146)/2)</f>
        <v>3.4649612870220747</v>
      </c>
      <c r="BA157" s="523">
        <f>(AW9+AX9+AZ9+BA9)/((AV146+BA146)/2)</f>
        <v>4.1416689015444321</v>
      </c>
      <c r="BB157" s="523">
        <f>(AX9+AZ9+BA9+BB9)/((AW146+BB146)/2)</f>
        <v>4.3042135743615466</v>
      </c>
      <c r="BC157" s="523">
        <f>(BA9+AZ9+BB9+BC9)/((AX146+BC146)/2)</f>
        <v>5.2709369523129936</v>
      </c>
      <c r="BD157" s="524">
        <f t="shared" si="164"/>
        <v>5.2709369523129936</v>
      </c>
      <c r="BE157" s="523">
        <f>(BA9+BB9+BC9+BE9)/((AZ146+BE146)/2)</f>
        <v>5.1639803413835033</v>
      </c>
      <c r="BF157" s="523">
        <f>(BB9+BC9+BE9+BF9)/((BA146+BF146)/2)</f>
        <v>3.9769490850538425</v>
      </c>
      <c r="BG157" s="523">
        <f>(BC9+BE9+BF9+BG9)/((BB146+BG146)/2)</f>
        <v>4.4760116927098359</v>
      </c>
      <c r="BH157" s="523">
        <f>(BF9+BE9+BG9+BH9)/((BC146+BH146)/2)</f>
        <v>4.3462645483648981</v>
      </c>
      <c r="BI157" s="524">
        <f t="shared" si="165"/>
        <v>4.3462645483648981</v>
      </c>
      <c r="BJ157" s="523">
        <f>(BF9+BG9+BH9+BJ9)/((BE146+BJ146)/2)</f>
        <v>7.2959990689064647</v>
      </c>
      <c r="BK157" s="523">
        <f>(BG9+BH9+BJ9+BK9)/((BF146+BK146)/2)</f>
        <v>5.1443775928276336</v>
      </c>
      <c r="BL157" s="523">
        <f>(BH9+BJ9+BK9+BL9)/((BG146+BL146)/2)</f>
        <v>5.6190867903781223</v>
      </c>
      <c r="BM157" s="523">
        <f>(BK9+BJ9+BL9+BM9)/((BH146+BM146)/2)</f>
        <v>4.6825471473961402</v>
      </c>
      <c r="BN157" s="524">
        <f t="shared" si="166"/>
        <v>4.6825471473961402</v>
      </c>
      <c r="BO157" s="523">
        <f>(BK9+BL9+BM9+BO9)/((BJ146+BO146)/2)</f>
        <v>5.1530441886072182</v>
      </c>
      <c r="BP157" s="523">
        <f>(BL9+BM9+BO9+BP9)/((BK146+BP146)/2)</f>
        <v>4.7556739306089018</v>
      </c>
      <c r="BQ157" s="523">
        <f>(BM9+BO9+BP9+BQ9)/((BL146+BQ146)/2)</f>
        <v>4.9421973203790301</v>
      </c>
      <c r="BR157" s="523">
        <f>(BP9+BO9+BQ9+BR9)/((BM146+BR146)/2)</f>
        <v>4.8056421596373351</v>
      </c>
      <c r="BS157" s="524">
        <f t="shared" si="167"/>
        <v>4.8056421596373351</v>
      </c>
      <c r="BT157" s="523">
        <f>(BP9+BQ9+BR9+BT9)/((BO146+BT146)/2)</f>
        <v>3.7298257111376585</v>
      </c>
      <c r="BU157" s="523">
        <f>(BQ9+BR9+BT9+BU9)/((BP146+BU146)/2)</f>
        <v>3.5101307438817573</v>
      </c>
      <c r="BV157" s="523">
        <f>(BR9+BT9+BU9+BV9)/((BQ146+BV146)/2)</f>
        <v>3.1464017555395842</v>
      </c>
      <c r="BW157" s="523">
        <f>(BU9+BT9+BV9+BW9)/((BR146+BW146)/2)</f>
        <v>3.1477107287750647</v>
      </c>
      <c r="BX157" s="524">
        <f t="shared" si="168"/>
        <v>3.1477107287750647</v>
      </c>
      <c r="BY157" s="523">
        <f>(BU9+BV9+BW9+BY9)/((BT146+BY146)/2)</f>
        <v>2.2873138743604149</v>
      </c>
      <c r="BZ157" s="523">
        <f>(BV9+BW9+BY9+BZ9)/((BU146+BZ146)/2)</f>
        <v>2.3703136909802844</v>
      </c>
      <c r="CA157" s="523">
        <f>(BW9+BY9+BZ9+CA9)/((BV146+CA146)/2)</f>
        <v>2.8499228469290769</v>
      </c>
      <c r="CB157" s="523">
        <f>(BZ9+BY9+CA9+CB9)/((BW146+CB146)/2)</f>
        <v>3.1978602904602926</v>
      </c>
      <c r="CC157" s="524">
        <f t="shared" si="169"/>
        <v>3.1978602904602926</v>
      </c>
      <c r="CD157" s="523">
        <f>(BZ9+CA9+CB9+CD9)/((BY146+CD146)/2)</f>
        <v>2.5633660387919996</v>
      </c>
      <c r="CE157" s="523">
        <f>(CA9+CB9+CD9+CE9)/((BZ146+CE146)/2)</f>
        <v>2.6960464427800437</v>
      </c>
      <c r="CF157" s="523">
        <f>(CB9+CD9+CE9+CF9)/((CA146+CF146)/2)</f>
        <v>2.8561574844530093</v>
      </c>
      <c r="CG157" s="523">
        <f>(CE9+CD9+CF9+CG9)/((CB146+CG146)/2)</f>
        <v>3.3586144730381218</v>
      </c>
      <c r="CH157" s="524">
        <f t="shared" si="170"/>
        <v>3.3586144730381218</v>
      </c>
      <c r="CI157" s="523">
        <f>(CE9+CF9+CG9+CI9)/((CD146+CI146)/2)</f>
        <v>4.0618671309130603</v>
      </c>
      <c r="CJ157" s="523">
        <f>(CF9+CG9+CI9+CJ9)/((CE146+CJ146)/2)</f>
        <v>4.6179423305249623</v>
      </c>
      <c r="CK157" s="523">
        <f>(CG9+CI9+CJ9+CK9)/((CF146+CK146)/2)</f>
        <v>3.6398070137008505</v>
      </c>
      <c r="CL157" s="523">
        <f>(CJ9+CI9+CK9+CL9)/((CG146+CL146)/2)</f>
        <v>3.5350464672223807</v>
      </c>
      <c r="CM157" s="524">
        <f t="shared" si="171"/>
        <v>3.5350464672223807</v>
      </c>
      <c r="CN157" s="523">
        <f>(CJ9+CK9+CL9+CN9)/((CI146+CN146)/2)</f>
        <v>3.7131263389669122</v>
      </c>
      <c r="CO157" s="523">
        <f>(CK9+CL9+CN9+CO9)/((CJ146+CO146)/2)</f>
        <v>3.8140143717939203</v>
      </c>
      <c r="CP157" s="523">
        <f>(CL9+CN9+CO9+CP9)/((CK146+CP146)/2)</f>
        <v>3.8809750044344486</v>
      </c>
      <c r="CQ157" s="523">
        <f>(CO9+CN9+CP9+CQ9)/((CL146+CQ146)/2)</f>
        <v>3.7502570150848449</v>
      </c>
      <c r="CR157" s="524">
        <f t="shared" si="172"/>
        <v>3.7502570150848449</v>
      </c>
      <c r="CS157" s="523">
        <f>(CO9+CP9+CQ9+CS9)/((CN146+CS146)/2)</f>
        <v>3.4092475250756724</v>
      </c>
      <c r="CT157" s="523">
        <f>(CP9+CQ9+CS9+CT9)/((CO146+CT146)/2)</f>
        <v>3.4747581892268524</v>
      </c>
      <c r="CU157" s="523">
        <f>(CQ9+CS9+CT9+CU9)/((CP146+CU146)/2)</f>
        <v>3.4953827540035807</v>
      </c>
      <c r="CV157" s="523">
        <f>(CT9+CS9+CU9+CV9)/((CQ146+CV146)/2)</f>
        <v>3.961710076149954</v>
      </c>
      <c r="CW157" s="524">
        <f t="shared" si="173"/>
        <v>3.961710076149954</v>
      </c>
      <c r="CX157" s="523">
        <f>(CT9+CU9+CV9+CX9)/((CS146+CX146)/2)</f>
        <v>4.3643500310026733</v>
      </c>
      <c r="CY157" s="523">
        <f>(CU9+CV9+CX9+CY9)/((CT146+CY146)/2)</f>
        <v>3.4900989690633457</v>
      </c>
      <c r="CZ157" s="523">
        <f>(CV9+CX9+CY9+CZ9)/((CU146+CZ146)/2)</f>
        <v>4.2060370894726713</v>
      </c>
      <c r="DA157" s="523">
        <f>(CY9+CX9+CZ9+DA9)/((CV146+DA146)/2)</f>
        <v>5.2150910667823069</v>
      </c>
      <c r="DB157" s="524">
        <f t="shared" si="174"/>
        <v>5.2150910667823069</v>
      </c>
      <c r="DC157" s="523">
        <f>(CY9+CZ9+DA9+DC9)/((CX146+DC146)/2)</f>
        <v>11.971428571428572</v>
      </c>
      <c r="DD157" s="523">
        <f>(CZ9+DA9+DC9+DD9)/((CY146+DD146)/2)</f>
        <v>6.0009592326139085</v>
      </c>
      <c r="DE157" s="523">
        <f>(DA9+DC9+DD9+DE9)/((CZ146+DE146)/2)</f>
        <v>6.9337785197551476</v>
      </c>
      <c r="DF157" s="523">
        <f>(DD9+DC9+DE9+DF9)/((DA146+DF146)/2)</f>
        <v>8.3660714285714288</v>
      </c>
      <c r="DG157" s="524">
        <f t="shared" si="175"/>
        <v>8.3660714285714288</v>
      </c>
      <c r="DH157" s="523">
        <f>(DD9+DE9+DF9+DH9)/((DC146+DH146)/2)</f>
        <v>3.9700037495313087</v>
      </c>
      <c r="DI157" s="523">
        <f>(DE9+DF9+DH9+DI9)/((DD146+DI146)/2)</f>
        <v>3.8651092690278825</v>
      </c>
      <c r="DJ157" s="523">
        <f>(DF9+DH9+DI9+DJ9)/((DE146+DJ146)/2)</f>
        <v>3.516082916368835</v>
      </c>
      <c r="DK157" s="523">
        <f>(DI9+DH9+DJ9+DK9)/((DF146+DK146)/2)</f>
        <v>4.8719567177637515</v>
      </c>
      <c r="DL157" s="524">
        <f t="shared" si="176"/>
        <v>4.8719567177637515</v>
      </c>
      <c r="DM157" s="523">
        <f>(DI9+DJ9+DK9+DM9)/((DH146+DM146)/2)</f>
        <v>3.2420346562325322</v>
      </c>
      <c r="DN157" s="523">
        <f>(DJ9+DK9+DM9+DN9)/((DI146+DN146)/2)</f>
        <v>3.7160640189685834</v>
      </c>
      <c r="DO157" s="523">
        <f>(DK9+DM9+DN9+DO9)/((DJ146+DO146)/2)</f>
        <v>3.8306285039834758</v>
      </c>
      <c r="DP157" s="523">
        <f>(DN9+DM9+DO9+DP9)/((DK146+DP146)/2)</f>
        <v>3.2592220828105396</v>
      </c>
      <c r="DQ157" s="524">
        <f t="shared" si="177"/>
        <v>3.2592220828105396</v>
      </c>
      <c r="DR157" s="523">
        <f>(DN9+DO9+DP9+DR9)/((DM146+DR146)/2)</f>
        <v>3.5104782375067169</v>
      </c>
      <c r="DS157" s="523">
        <f>(DO9+DP9+DR9+DS9)/((DN146+DS146)/2)</f>
        <v>3.3888159621948017</v>
      </c>
      <c r="DT157" s="523">
        <f>(DP9+DR9+DS9+DT9)/((DO146+DT146)/2)</f>
        <v>4.2048969072164946</v>
      </c>
      <c r="DU157" s="523">
        <f>(DS9+DR9+DT9+DU9)/((DP146+DU146)/2)</f>
        <v>3.8921481481481481</v>
      </c>
      <c r="DV157" s="524">
        <f t="shared" si="178"/>
        <v>3.8921481481481481</v>
      </c>
      <c r="DW157" s="523">
        <f>(DS9+DT9+DU9+DW9)/((DR146+DW146)/2)</f>
        <v>4.5353675450762827</v>
      </c>
      <c r="DX157" s="523">
        <f>(DT9+DU9+DW9+DX9)/((DS146+DX146)/2)</f>
        <v>4.2427668772863321</v>
      </c>
      <c r="DY157" s="523">
        <f>(DU9+DW9+DX9+DY9)/((DT146+DY146)/2)</f>
        <v>4.2300319488817895</v>
      </c>
      <c r="DZ157" s="523">
        <f>(DX9+DW9+DY9+DZ9)/((DU146+DZ146)/2)</f>
        <v>4.6681015927679725</v>
      </c>
      <c r="EA157" s="524">
        <f t="shared" si="179"/>
        <v>4.6681015927679725</v>
      </c>
      <c r="EB157" s="523">
        <f>(DX9+DY9+DZ9+EB9)/((DW146+EB146)/2)</f>
        <v>5.2815013404825741</v>
      </c>
      <c r="EC157" s="523">
        <f>(DY9+DZ9+EB9+EC9)/((DX146+EC146)/2)</f>
        <v>4.9502118644067794</v>
      </c>
      <c r="ED157" s="523">
        <f>(DZ9+EB9+EC9+ED9)/((DY146+ED146)/2)</f>
        <v>3.8037529319781078</v>
      </c>
      <c r="EE157" s="523">
        <f>(EC9+EB9+ED9+EE9)/((DZ146+EE146)/2)</f>
        <v>4.7652877697841722</v>
      </c>
      <c r="EF157" s="524">
        <f t="shared" si="180"/>
        <v>4.7652877697841722</v>
      </c>
      <c r="EG157" s="523">
        <f>(EC9+ED9+EE9+EG9)/((EB146+EG146)/2)</f>
        <v>4.8282393456736976</v>
      </c>
      <c r="EH157" s="523">
        <f>(ED9+EE9+EG9+EH9)/((EC146+EH146)/2)</f>
        <v>4.8381265406737883</v>
      </c>
      <c r="EI157" s="523">
        <f>(EE9+EG9+EH9+EI9)/((ED146+EI146)/2)</f>
        <v>4.2558139534883717</v>
      </c>
      <c r="EJ157" s="523">
        <f>(EH9+EG9+EI9+EJ9)/((EE146+EJ146)/2)</f>
        <v>4.1523378582202115</v>
      </c>
      <c r="EK157" s="524">
        <f t="shared" si="181"/>
        <v>4.1523378582202115</v>
      </c>
      <c r="EL157" s="523">
        <f>(EH9+EI9+EJ9+EL9)/((EG146+EL146)/2)</f>
        <v>4.0931899641577063</v>
      </c>
      <c r="EM157" s="523">
        <f>(EI9+EJ9+EL9+EM9)/((EH146+EM146)/2)</f>
        <v>3.7434449374747882</v>
      </c>
      <c r="EN157" s="523">
        <f>(EJ9+EL9+EM9+EN9)/((EI146+EN146)/2)</f>
        <v>3.5102711585866886</v>
      </c>
      <c r="EO157" s="523">
        <f>(EM9+EL9+EN9+EO9)/((EJ146+EO146)/2)</f>
        <v>3.606868504292815</v>
      </c>
      <c r="EP157" s="524">
        <f t="shared" si="182"/>
        <v>3.606868504292815</v>
      </c>
      <c r="EQ157" s="523">
        <f>(EM9+EN9+EO9+EQ9)/((EL146+EQ146)/2)</f>
        <v>3.6072277698525914</v>
      </c>
      <c r="ER157" s="523">
        <f>(EN9+EO9+EQ9+ER9)/((EM146+ER146)/2)</f>
        <v>3.9231158320687909</v>
      </c>
      <c r="ES157" s="523">
        <f>(EO9+EQ9+ER9+ES9)/((EN146+ES146)/2)</f>
        <v>3.5383955383955383</v>
      </c>
      <c r="ET157" s="523">
        <f>(ER9+EQ9+ES9+ET9)/((EO146+ET146)/2)</f>
        <v>4.066634935744883</v>
      </c>
      <c r="EU157" s="524">
        <f t="shared" si="183"/>
        <v>4.066634935744883</v>
      </c>
      <c r="EV157" s="523">
        <f>(ER9+ES9+ET9+EV9)/((EQ146+EV146)/2)</f>
        <v>4.3715415019762842</v>
      </c>
      <c r="EW157" s="523">
        <f>(ES9+ET9+EV9+EW9)/((ER146+EW146)/2)</f>
        <v>4.6492199295420233</v>
      </c>
      <c r="EX157" s="523">
        <f>(ET9+EV9+EW9+EX9)/((ES146+EX146)/2)</f>
        <v>4.0300935339568928</v>
      </c>
      <c r="EY157" s="523">
        <f>(EW9+EV9+EX9+EY9)/((ET146+EY146)/2)</f>
        <v>4.5939655172413794</v>
      </c>
      <c r="EZ157" s="524">
        <f t="shared" si="184"/>
        <v>4.5939655172413794</v>
      </c>
      <c r="FA157" s="523">
        <f>(EW9+EX9+EY9+FA9)/((EV146+FA146)/2)</f>
        <v>5.4972477064220184</v>
      </c>
      <c r="FB157" s="523">
        <f>(EX9+EY9+FA9+FB9)/((EW146+FB146)/2)</f>
        <v>5.6921064108155255</v>
      </c>
      <c r="FC157" s="523">
        <f>(EY9+FA9+FB9+FC9)/((EX146+FC146)/2)</f>
        <v>5.1383647798742142</v>
      </c>
      <c r="FD157" s="523">
        <f>(FB9+FA9+FC9+FD9)/((EY146+FD146)/2)</f>
        <v>4.8105497771173846</v>
      </c>
      <c r="FE157" s="524">
        <f t="shared" si="185"/>
        <v>4.8105497771173846</v>
      </c>
      <c r="FF157" s="523">
        <f>(FB9+FC9+FD9+FF9)/((FA146+FF146)/2)</f>
        <v>4.1118975396022917</v>
      </c>
      <c r="FG157" s="523">
        <f>(FC9+FD9+FF9+FG9)/((FB146+FG146)/2)</f>
        <v>3.6938069789374413</v>
      </c>
      <c r="FH157" s="523">
        <f>(FD9+FF9+FG9+FH9)/((FC146+FH146)/2)</f>
        <v>3.4575200918484499</v>
      </c>
      <c r="FI157" s="523">
        <f>(FG9+FF9+FH9+FI9)/((FD146+FI146)/2)</f>
        <v>3.5482340537691091</v>
      </c>
      <c r="FJ157" s="524">
        <f t="shared" si="186"/>
        <v>3.5482340537691091</v>
      </c>
      <c r="FK157" s="523">
        <f>(FG9+FH9+FI9+FK9)/((FF146+FK146)/2)</f>
        <v>3.3557202408522464</v>
      </c>
      <c r="FL157" s="523">
        <f>(FH9+FI9+FK9+FL9)/((FG146+FL146)/2)</f>
        <v>3.3063783783783784</v>
      </c>
      <c r="FM157" s="523">
        <f>(FI9+FK9+FL9+FM9)/((FH146+FM146)/2)</f>
        <v>3.3701032937049309</v>
      </c>
      <c r="FN157" s="523">
        <f>(FL9+FK9+FM9+FN9)/((FI146+FN146)/2)</f>
        <v>3.2739771965124076</v>
      </c>
      <c r="FO157" s="524">
        <f t="shared" si="187"/>
        <v>3.2739771965124076</v>
      </c>
      <c r="FP157" s="523">
        <f>(FL9+FM9+FN9+FP9)/((FK146+FP146)/2)</f>
        <v>3.3903235381418817</v>
      </c>
      <c r="FQ157" s="523">
        <f>(FM9+FN9+FP9+FQ9)/((FL146+FQ146)/2)</f>
        <v>3.510064465201947</v>
      </c>
      <c r="FR157" s="523">
        <f>(FN9+FP9+FQ9+FR9)/((FM146+FR146)/2)</f>
        <v>3.9568402824030904</v>
      </c>
      <c r="FS157" s="523">
        <f>(FQ9+FP9+FR9+FS9)/((FN146+FS146)/2)</f>
        <v>4.0733672078324448</v>
      </c>
      <c r="FT157" s="524">
        <f t="shared" si="188"/>
        <v>4.0733672078324448</v>
      </c>
      <c r="FU157" s="523">
        <f>(FQ9+FR9+FS9+FU9)/((FP146+FU146)/2)</f>
        <v>3.1145945054038444</v>
      </c>
      <c r="FV157" s="523">
        <f>(FR9+FS9+FU9+FV9)/((FQ146+FV146)/2)</f>
        <v>3.3542168674698796</v>
      </c>
      <c r="FW157" s="523">
        <f>(FS9+FU9+FV9+FW9)/((FR146+FW146)/2)</f>
        <v>3.7567678762445489</v>
      </c>
      <c r="FX157" s="523">
        <f>(FV9+FU9+FW9+FX9)/((FS146+FX146)/2)</f>
        <v>3.6328792426691296</v>
      </c>
      <c r="FY157" s="524">
        <f t="shared" si="189"/>
        <v>3.6328792426691296</v>
      </c>
      <c r="FZ157" s="523">
        <f>(FV9+FW9+FX9+FZ9)/((FU146+FZ146)/2)</f>
        <v>2.734839053885826</v>
      </c>
      <c r="GA157" s="523">
        <f>(FW9+FX9+FZ9+GA9)/((FV146+GA146)/2)</f>
        <v>2.5931721194879089</v>
      </c>
      <c r="GB157" s="523">
        <f>(FX9+FZ9+GA9+GB9)/((FW146+GB146)/2)</f>
        <v>2.6338296605122098</v>
      </c>
      <c r="GC157" s="523">
        <f>(GA9+FZ9+GB9+GC9)/((FX146+GC146)/2)</f>
        <v>2.4219125420470928</v>
      </c>
      <c r="GD157" s="524">
        <f t="shared" si="190"/>
        <v>2.4219125420470928</v>
      </c>
      <c r="GE157" s="523">
        <f>(GA9+GB9+GC9+GE9)/((FZ146+GE146)/2)</f>
        <v>2.3157787821847546</v>
      </c>
      <c r="GF157" s="523">
        <f>(GB9+GC9+GE9+GF9)/((GA146+GF146)/2)</f>
        <v>2.3042122457060832</v>
      </c>
      <c r="GG157" s="523">
        <f>(GC9+GD9+GF9+GG9)/((GB146+GG146)/2)</f>
        <v>4.089672841939298</v>
      </c>
      <c r="GH157" s="523">
        <f>(GF9+GE9+GG9+GH9)/((GC146+GH146)/2)</f>
        <v>2.3605071634549364</v>
      </c>
      <c r="GI157" s="524">
        <f t="shared" si="191"/>
        <v>2.3605071634549364</v>
      </c>
      <c r="GJ157" s="523">
        <f>(GF9+GG9+GH9+GJ9)/((GE146+GJ146)/2)</f>
        <v>2.265121214594727</v>
      </c>
      <c r="GK157" s="523">
        <f>(GG9+GH9+GJ9+GK9)/((GF146+GK146)/2)</f>
        <v>2.2816619132043474</v>
      </c>
      <c r="GL157" s="523">
        <f>(GH9+GJ9+GK9+GL9)/((GG146+GL146)/2)</f>
        <v>2.4139438477482571</v>
      </c>
      <c r="GM157" s="523">
        <f>(GK9+GJ9+GL9+GM9)/((GH146+GM146)/2)</f>
        <v>2.3676691729323309</v>
      </c>
      <c r="GN157" s="524">
        <f t="shared" si="192"/>
        <v>2.3676691729323309</v>
      </c>
      <c r="GO157" s="523">
        <f>(GK9+GL9+GM9+GO9)/((GJ146+GO146)/2)</f>
        <v>2.3398513150496658</v>
      </c>
      <c r="GP157" s="523">
        <f>(GL9+GM9+GO9+GP9)/((GK146+GP146)/2)</f>
        <v>2.3490288241895168</v>
      </c>
      <c r="GQ157" s="523">
        <f>(GM9+GO9+GP9+GQ9)/((GL146+GQ146)/2)</f>
        <v>2.3139374856470667</v>
      </c>
      <c r="GR157" s="523">
        <f>(GP9+GO9+GQ9+GR9)/((GM146+GR146)/2)</f>
        <v>2.1514581096942602</v>
      </c>
      <c r="GS157" s="524">
        <f t="shared" si="193"/>
        <v>2.1514581096942602</v>
      </c>
      <c r="GT157" s="523">
        <f>(GP9+GQ9+GR9+GT9)/((GO146+GT146)/2)</f>
        <v>2.1077422119691192</v>
      </c>
      <c r="GU157" s="523">
        <f>(GQ9+GR9+GT9+GU9)/((GP146+GU146)/2)</f>
        <v>2.0266318736226618</v>
      </c>
      <c r="GV157" s="523">
        <f>(GR9+GT9+GU9+GV9)/((GQ146+GV146)/2)</f>
        <v>1.9730091380054764</v>
      </c>
      <c r="GW157" s="523">
        <f>(GU9+GT9+GV9+GW9)/((GR146+GW146)/2)</f>
        <v>1.7904676669599253</v>
      </c>
      <c r="GX157" s="524">
        <f t="shared" si="194"/>
        <v>1.7904676669599253</v>
      </c>
      <c r="GY157" s="523">
        <f>(GU9+GV9+GW9+GY9)/((GT146+GY146)/2)</f>
        <v>1.6225933121912981</v>
      </c>
      <c r="GZ157" s="523">
        <f>(GV9+GW9+GY9+GZ9)/((GU146+GZ146)/2)</f>
        <v>1.4723178786664002</v>
      </c>
      <c r="HA157" s="523">
        <f>(GW9+GY9+GZ9+HA9)/((GV146+HA146)/2)</f>
        <v>1.3220789007720561</v>
      </c>
      <c r="HB157" s="523">
        <f>(GZ9+GY9+HA9+HB9)/((GW146+HB146)/2)</f>
        <v>1.1864290108728457</v>
      </c>
      <c r="HC157" s="524">
        <f t="shared" si="195"/>
        <v>1.1864290108728457</v>
      </c>
      <c r="HD157" s="523">
        <f>(GZ9+HA9+HB9+HD9)/((GY146+HD146)/2)</f>
        <v>1.0827875477334414</v>
      </c>
      <c r="HE157" s="523">
        <f>(HA9+HB9+HD9+HE9)/((GZ146+HE146)/2)</f>
        <v>0.99761556214168046</v>
      </c>
      <c r="HF157" s="523">
        <f>(HB9+HD9+HE9+HF9)/((HA146+HF146)/2)</f>
        <v>0.92510123553329016</v>
      </c>
      <c r="HG157" s="523">
        <f>(HE9+HD9+HF9+HG9)/((HB146+HG146)/2)</f>
        <v>0.85730221179304589</v>
      </c>
      <c r="HH157" s="524">
        <f t="shared" si="196"/>
        <v>0.85730221179304589</v>
      </c>
      <c r="HI157" s="523">
        <f>(HE9+HF9+HG9+HI9)/((HD146+HI146)/2)</f>
        <v>0.79303765301068863</v>
      </c>
      <c r="HJ157" s="523">
        <f>(HF9+HG9+HI9+HJ9)/((HE146+HJ146)/2)</f>
        <v>0.73937607039169784</v>
      </c>
      <c r="HK157" s="523">
        <f>(HG9+HI9+HJ9+HK9)/((HF146+HK146)/2)</f>
        <v>0.69447139663486568</v>
      </c>
      <c r="HL157" s="523">
        <f>(HJ9+HI9+HK9+HL9)/((HG146+HL146)/2)</f>
        <v>0.65505804521440625</v>
      </c>
      <c r="HM157" s="524">
        <f t="shared" si="197"/>
        <v>0.65505804521440625</v>
      </c>
      <c r="HN157" s="524"/>
      <c r="HO157" s="524"/>
      <c r="HQ157" s="509"/>
      <c r="HY157" s="509"/>
      <c r="HZ157" s="509"/>
      <c r="IA157" s="509"/>
      <c r="IB157" s="509"/>
    </row>
    <row r="158" spans="1:236" s="563" customFormat="1" ht="11.25" hidden="1" customHeight="1" outlineLevel="1">
      <c r="A158" s="532" t="s">
        <v>467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09"/>
      <c r="L158" s="518"/>
      <c r="M158" s="518"/>
      <c r="N158" s="518"/>
      <c r="O158" s="518"/>
      <c r="P158" s="521"/>
      <c r="Q158" s="518"/>
      <c r="R158" s="518"/>
      <c r="S158" s="518"/>
      <c r="T158" s="518"/>
      <c r="U158" s="521"/>
      <c r="V158" s="518"/>
      <c r="W158" s="518"/>
      <c r="X158" s="518"/>
      <c r="Y158" s="518"/>
      <c r="Z158" s="521"/>
      <c r="AA158" s="518"/>
      <c r="AB158" s="518"/>
      <c r="AC158" s="518"/>
      <c r="AD158" s="518"/>
      <c r="AE158" s="521"/>
      <c r="AF158" s="518"/>
      <c r="AG158" s="518"/>
      <c r="AH158" s="518"/>
      <c r="AI158" s="518"/>
      <c r="AJ158" s="521"/>
      <c r="AK158" s="518">
        <f>(AG42+AH42+A581+AK42)/(AG9+AH9+AI9+AK9)</f>
        <v>0.11988982437695522</v>
      </c>
      <c r="AL158" s="518">
        <f>(AH42+AI42+AK42+AL42)/(AH9+AI9+AK9+AL9)</f>
        <v>0.14950919317705041</v>
      </c>
      <c r="AM158" s="518">
        <f>(AI42+AK42+AL42+AM42)/(AI9+AK9+AL9+AM9)</f>
        <v>0.15285174709607849</v>
      </c>
      <c r="AN158" s="518">
        <f>(AL42+AK42+AM42+AN42)/(AL9+AK9+AM9+AN9)</f>
        <v>0.14300457356420868</v>
      </c>
      <c r="AO158" s="521">
        <f t="shared" si="161"/>
        <v>0.14300457356420868</v>
      </c>
      <c r="AP158" s="518">
        <f>(AL42+AM42+F581+AP42)/(AL9+AM9+AN9+AP9)</f>
        <v>0.12344385336857486</v>
      </c>
      <c r="AQ158" s="518">
        <f>(AM42+AN42+AP42+AQ42)/(AM9+AN9+AP9+AQ9)</f>
        <v>0.1354545033993092</v>
      </c>
      <c r="AR158" s="518">
        <f>(AN42+AP42+AQ42+AR42)/(AN9+AP9+AQ9+AR9)</f>
        <v>0.11995148335567581</v>
      </c>
      <c r="AS158" s="518">
        <f>(AQ42+AP42+AR42+AS42)/(AQ9+AP9+AR9+AS9)</f>
        <v>0.12368524161592016</v>
      </c>
      <c r="AT158" s="521">
        <f t="shared" si="162"/>
        <v>0.12368524161592016</v>
      </c>
      <c r="AU158" s="518">
        <f>(AQ42+AR42+K581+AU42)/(AQ9+AR9+AS9+AU9)</f>
        <v>7.3698722088162333E-2</v>
      </c>
      <c r="AV158" s="518">
        <f>(AR42+AS42+AU42+AV42)/(AR9+AS9+AU9+AV9)</f>
        <v>4.6909726151473624E-2</v>
      </c>
      <c r="AW158" s="518">
        <f>(AS42+AU42+AV42+AW42)/(AS9+AU9+AV9+AW9)</f>
        <v>3.8381206140992719E-3</v>
      </c>
      <c r="AX158" s="518">
        <f>(AV42+AU42+AW42+AX42)/(AV9+AU9+AW9+AX9)</f>
        <v>-3.5304316035839903E-2</v>
      </c>
      <c r="AY158" s="521">
        <f t="shared" si="163"/>
        <v>-3.5304316035839903E-2</v>
      </c>
      <c r="AZ158" s="518">
        <f>(AV42+AW42+P581+AZ42)/(AV9+AW9+AX9+AZ9)</f>
        <v>-3.0641991099578436E-2</v>
      </c>
      <c r="BA158" s="518">
        <f>(AW42+AX42+AZ42+BA42)/(AW9+AX9+AZ9+BA9)</f>
        <v>-1.746711168457692E-2</v>
      </c>
      <c r="BB158" s="518">
        <f>(AX42+AZ42+BA42+BB42)/(AX9+AZ9+BA9+BB9)</f>
        <v>-1.3391980257777462E-2</v>
      </c>
      <c r="BC158" s="518">
        <f>(BA42+AZ42+BB42+BC42)/(BA9+AZ9+BB9+BC9)</f>
        <v>-8.9501883189220567E-3</v>
      </c>
      <c r="BD158" s="521">
        <f t="shared" si="164"/>
        <v>-8.9501883189220567E-3</v>
      </c>
      <c r="BE158" s="518">
        <f>(BA42+BB42+U581+BE42)/(BA9+BB9+BC9+BE9)</f>
        <v>-3.6002408290523098E-2</v>
      </c>
      <c r="BF158" s="518">
        <f>(BB42+BC42+BE42+BF42)/(BB9+BC9+BE9+BF9)</f>
        <v>-7.5221905411404874E-2</v>
      </c>
      <c r="BG158" s="518">
        <f>(BC42+BE42+BF42+BG42)/(BC9+BE9+BF9+BG9)</f>
        <v>-5.8574041239099824E-2</v>
      </c>
      <c r="BH158" s="518">
        <f>(BF42+BE42+BG42+BH42)/(BF9+BE9+BG9+BH9)</f>
        <v>-4.0894663199248164E-2</v>
      </c>
      <c r="BI158" s="521">
        <f t="shared" si="165"/>
        <v>-4.0894663199248164E-2</v>
      </c>
      <c r="BJ158" s="518">
        <f>(BF42+BG42+Z581+BJ42)/(BF9+BG9+BH9+BJ9)</f>
        <v>-7.2893996607514611E-2</v>
      </c>
      <c r="BK158" s="518">
        <f>(BG42+BH42+BJ42+BK42)/(BG9+BH9+BJ9+BK9)</f>
        <v>-9.3075975152593637E-3</v>
      </c>
      <c r="BL158" s="518">
        <f>(BH42+BJ42+BK42+BL42)/(BH9+BJ9+BK9+BL9)</f>
        <v>-4.9181876779969713E-2</v>
      </c>
      <c r="BM158" s="518">
        <f>(BK42+BJ42+BL42+BM42)/(BK9+BJ9+BL9+BM9)</f>
        <v>-3.1122576816101834E-2</v>
      </c>
      <c r="BN158" s="521">
        <f t="shared" si="166"/>
        <v>-3.1122576816101834E-2</v>
      </c>
      <c r="BO158" s="518">
        <f>(BK42+BL42+AE581+BO42)/(BK9+BL9+BM9+BO9)</f>
        <v>4.9336355197646821E-2</v>
      </c>
      <c r="BP158" s="518">
        <f>(BL42+BM42+BO42+BP42)/(BL9+BM9+BO9+BP9)</f>
        <v>9.1444220017218983E-2</v>
      </c>
      <c r="BQ158" s="518">
        <f>(BM42+BO42+BP42+BQ42)/(BM9+BO9+BP9+BQ9)</f>
        <v>0.19607749466224239</v>
      </c>
      <c r="BR158" s="518">
        <f>(BP42+BO42+BQ42+BR42)/(BP9+BO9+BQ9+BR9)</f>
        <v>0.21166804868107159</v>
      </c>
      <c r="BS158" s="521">
        <f t="shared" si="167"/>
        <v>0.21166804868107159</v>
      </c>
      <c r="BT158" s="518">
        <f>(BP42+BQ42+AJ581+BT42)/(BP9+BQ9+BR9+BT9)</f>
        <v>0.15620350966745797</v>
      </c>
      <c r="BU158" s="518">
        <f>(BQ42+BR42+BT42+BU42)/(BQ9+BR9+BT9+BU9)</f>
        <v>0.15995760944673657</v>
      </c>
      <c r="BV158" s="518">
        <f>(BR42+BT42+BU42+BV42)/(BR9+BT9+BU9+BV9)</f>
        <v>3.2376010709947216E-2</v>
      </c>
      <c r="BW158" s="518">
        <f>(BU42+BT42+BV42+BW42)/(BU9+BT9+BV9+BW9)</f>
        <v>-1.5566502918735256E-2</v>
      </c>
      <c r="BX158" s="521">
        <f t="shared" si="168"/>
        <v>-1.5566502918735256E-2</v>
      </c>
      <c r="BY158" s="518">
        <f>(BU42+BV42+AO581+BY42)/(BU9+BV9+BW9+BY9)</f>
        <v>-4.9579759672462108E-2</v>
      </c>
      <c r="BZ158" s="518">
        <f>(BV42+BW42+BY42+BZ42)/(BV9+BW9+BY9+BZ9)</f>
        <v>-0.12324746165897794</v>
      </c>
      <c r="CA158" s="518">
        <f>(BW42+BY42+BZ42+CA42)/(BW9+BY9+BZ9+CA9)</f>
        <v>-0.15666443429676305</v>
      </c>
      <c r="CB158" s="518">
        <f>(BZ42+BY42+CA42+CB42)/(BZ9+BY9+CA9+CB9)</f>
        <v>-0.48312865749682349</v>
      </c>
      <c r="CC158" s="521">
        <f t="shared" si="169"/>
        <v>-0.48312865749682349</v>
      </c>
      <c r="CD158" s="518">
        <f>(BZ42+CA42+AT581+CD42)/(BZ9+CA9+CB9+CD9)</f>
        <v>-0.23329843941708175</v>
      </c>
      <c r="CE158" s="518">
        <f>(CA42+CB42+CD42+CE42)/(CA9+CB9+CD9+CE9)</f>
        <v>-0.54624300198123066</v>
      </c>
      <c r="CF158" s="518">
        <f>(CB42+CD42+CE42+CF42)/(CB9+CD9+CE9+CF9)</f>
        <v>-0.39080701532164119</v>
      </c>
      <c r="CG158" s="518">
        <f>(CE42+CD42+CF42+CG42)/(CE9+CD9+CF9+CG9)</f>
        <v>-7.7998549657191704E-2</v>
      </c>
      <c r="CH158" s="521">
        <f t="shared" si="170"/>
        <v>-7.7998549657191704E-2</v>
      </c>
      <c r="CI158" s="518">
        <f>(CE42+CF42+AY581+CI42)/(CE9+CF9+CG9+CI9)</f>
        <v>-3.1238446679399338E-2</v>
      </c>
      <c r="CJ158" s="518">
        <f>(CF42+CG42+CI42+CJ42)/(CF9+CG9+CI9+CJ9)</f>
        <v>1.9158489031527261E-2</v>
      </c>
      <c r="CK158" s="518">
        <f>(CG42+CI42+CJ42+CK42)/(CG9+CI9+CJ9+CK9)</f>
        <v>3.323918611816104E-2</v>
      </c>
      <c r="CL158" s="518">
        <f>(CJ42+CI42+CK42+CL42)/(CJ9+CI9+CK9+CL9)</f>
        <v>1.8225969146854863E-2</v>
      </c>
      <c r="CM158" s="521">
        <f t="shared" si="171"/>
        <v>1.8225969146854863E-2</v>
      </c>
      <c r="CN158" s="518">
        <f>(CJ42+CK42+BD581+CN42)/(CJ9+CK9+CL9+CN9)</f>
        <v>1.1740653854552528E-2</v>
      </c>
      <c r="CO158" s="518">
        <f>(CK42+CL42+CN42+CO42)/(CK9+CL9+CN9+CO9)</f>
        <v>1.5594089517408864E-3</v>
      </c>
      <c r="CP158" s="518">
        <f>(CL42+CN42+CO42+CP42)/(CL9+CN9+CO9+CP9)</f>
        <v>7.5730982340816372E-3</v>
      </c>
      <c r="CQ158" s="518">
        <f>(CO42+CN42+CP42+CQ42)/(CO9+CN9+CP9+CQ9)</f>
        <v>2.829941358617424E-2</v>
      </c>
      <c r="CR158" s="521">
        <f t="shared" si="172"/>
        <v>2.829941358617424E-2</v>
      </c>
      <c r="CS158" s="518">
        <f>(CO42+CP42+BI581+CS42)/(CO9+CP9+CQ9+CS9)</f>
        <v>4.5664054081339368E-2</v>
      </c>
      <c r="CT158" s="518">
        <f>(CP42+CQ42+CS42+CT42)/(CP9+CQ9+CS9+CT9)</f>
        <v>7.5294658346583054E-2</v>
      </c>
      <c r="CU158" s="518">
        <f>(CQ42+CS42+CT42+CU42)/(CQ9+CS9+CT9+CU9)</f>
        <v>8.8095158513816677E-2</v>
      </c>
      <c r="CV158" s="518">
        <f>(CT42+CS42+CU42+CV42)/(CT9+CS9+CU9+CV9)</f>
        <v>-2.9238927576145598E-2</v>
      </c>
      <c r="CW158" s="521">
        <f t="shared" si="173"/>
        <v>-2.9238927576145598E-2</v>
      </c>
      <c r="CX158" s="518">
        <f>(CT42+CU42+BN581+CX42)/(CT9+CU9+CV9+CX9)</f>
        <v>-6.9855633948103305E-2</v>
      </c>
      <c r="CY158" s="518">
        <f>(CU42+CV42+CX42+CY42)/(CU9+CV9+CX9+CY9)</f>
        <v>-0.28880517653304089</v>
      </c>
      <c r="CZ158" s="518">
        <f>(CV42+CX42+CY42+CZ42)/(CV9+CX9+CY9+CZ9)</f>
        <v>-0.36236718750000002</v>
      </c>
      <c r="DA158" s="518">
        <f>(CY42+CX42+CZ42+DA42)/(CY9+CX9+CZ9+DA9)</f>
        <v>-0.56194911026110095</v>
      </c>
      <c r="DB158" s="521">
        <f t="shared" si="174"/>
        <v>-0.56194911026110095</v>
      </c>
      <c r="DC158" s="518">
        <f>(CY42+CZ42+BS581+DC42)/(CY9+CZ9+DA9+DC9)</f>
        <v>-0.21543357199681781</v>
      </c>
      <c r="DD158" s="518">
        <f>(CZ42+DA42+DC42+DD42)/(CZ9+DA9+DC9+DD9)</f>
        <v>-0.4467710997442455</v>
      </c>
      <c r="DE158" s="518">
        <f>(DA42+DC42+DD42+DE42)/(DA9+DC9+DD9+DE9)</f>
        <v>-0.38138041733547351</v>
      </c>
      <c r="DF158" s="518">
        <f>(DD42+DC42+DE42+DF42)/(DD9+DC9+DE9+DF9)</f>
        <v>-0.35894699395233015</v>
      </c>
      <c r="DG158" s="521">
        <f t="shared" si="175"/>
        <v>-0.35894699395233015</v>
      </c>
      <c r="DH158" s="518">
        <f>(DD42+DE42+BX581+DH42)/(DD9+DE9+DF9+DH9)</f>
        <v>-0.12353607857952399</v>
      </c>
      <c r="DI158" s="518">
        <f>(DE42+DF42+DH42+DI42)/(DE9+DF9+DH9+DI9)</f>
        <v>-0.41119126535387013</v>
      </c>
      <c r="DJ158" s="518">
        <f>(DF42+DH42+DI42+DJ42)/(DF9+DH9+DI9+DJ9)</f>
        <v>-0.45497052246391545</v>
      </c>
      <c r="DK158" s="518">
        <f>(DI42+DH42+DJ42+DK42)/(DI9+DH9+DJ9+DK9)</f>
        <v>7.0146215065704232E-2</v>
      </c>
      <c r="DL158" s="521">
        <f t="shared" si="176"/>
        <v>7.0146215065704232E-2</v>
      </c>
      <c r="DM158" s="518">
        <f>(DI42+DJ42+CC581+DM42)/(DI9+DJ9+DK9+DM9)</f>
        <v>-2.7413793103448277E-2</v>
      </c>
      <c r="DN158" s="518">
        <f>(DJ42+DK42+DM42+DN42)/(DJ9+DK9+DM9+DN9)</f>
        <v>0.20912426224278194</v>
      </c>
      <c r="DO158" s="518">
        <f>(DK42+DM42+DN42+DO42)/(DK9+DM9+DN9+DO9)</f>
        <v>0.2001232475735634</v>
      </c>
      <c r="DP158" s="518">
        <f>(DN42+DM42+DO42+DP42)/(DN9+DM9+DO9+DP9)</f>
        <v>7.2528487834924549E-2</v>
      </c>
      <c r="DQ158" s="521">
        <f t="shared" si="177"/>
        <v>7.2528487834924549E-2</v>
      </c>
      <c r="DR158" s="518">
        <f>(DN42+DO42+CH581+DR42)/(DN9+DO9+DP9+DR9)</f>
        <v>5.3421092912903721E-2</v>
      </c>
      <c r="DS158" s="518">
        <f>(DO42+DP42+DR42+DS42)/(DO9+DP9+DR9+DS9)</f>
        <v>0.12829253176324759</v>
      </c>
      <c r="DT158" s="518">
        <f>(DP42+DR42+DS42+DT42)/(DP9+DR9+DS9+DT9)</f>
        <v>0.15982224946368373</v>
      </c>
      <c r="DU158" s="518">
        <f>(DS42+DR42+DT42+DU42)/(DS9+DR9+DT9+DU9)</f>
        <v>7.4756394640682094E-2</v>
      </c>
      <c r="DV158" s="521">
        <f t="shared" si="178"/>
        <v>7.4756394640682094E-2</v>
      </c>
      <c r="DW158" s="518">
        <f>(DS42+DT42+CM581+DW42)/(DS9+DT9+DU9+DW9)</f>
        <v>-6.6055045871559637E-2</v>
      </c>
      <c r="DX158" s="518">
        <f>(DT42+DU42+DW42+DX42)/(DT9+DU9+DW9+DX9)</f>
        <v>-9.9231854522652457E-2</v>
      </c>
      <c r="DY158" s="518">
        <f>(DU42+DW42+DX42+DY42)/(DU9+DW9+DX9+DY9)</f>
        <v>-0.14887546156428333</v>
      </c>
      <c r="DZ158" s="518">
        <f>(DX42+DW42+DY42+DZ42)/(DX9+DW9+DY9+DZ9)</f>
        <v>-0.21818517152342309</v>
      </c>
      <c r="EA158" s="521">
        <f t="shared" si="179"/>
        <v>-0.21818517152342309</v>
      </c>
      <c r="EB158" s="518">
        <f>(DX42+DY42+CR581+EB42)/(DX9+DY9+DZ9+EB9)</f>
        <v>-5.4010152284263958E-2</v>
      </c>
      <c r="EC158" s="518">
        <f>(DY42+DZ42+EB42+EC42)/(DY9+DZ9+EB9+EC9)</f>
        <v>-0.18189599828803765</v>
      </c>
      <c r="ED158" s="518">
        <f>(DZ42+EB42+EC42+ED42)/(DZ9+EB9+EC9+ED9)</f>
        <v>-0.13257965056526208</v>
      </c>
      <c r="EE158" s="518">
        <f>(EC42+EB42+ED42+EE42)/(EC9+EB9+ED9+EE9)</f>
        <v>-1.5663332704283828E-2</v>
      </c>
      <c r="EF158" s="521">
        <f t="shared" si="180"/>
        <v>-1.5663332704283828E-2</v>
      </c>
      <c r="EG158" s="518">
        <f>(EC42+ED42+CW581+EG42)/(EC9+ED9+EE9+EG9)</f>
        <v>-8.2025677603423681E-3</v>
      </c>
      <c r="EH158" s="518">
        <f>(ED42+EE42+EG42+EH42)/(ED9+EE9+EG9+EH9)</f>
        <v>1.375679347826087E-2</v>
      </c>
      <c r="EI158" s="518">
        <f>(EE42+EG42+EH42+EI42)/(EE9+EG9+EH9+EI9)</f>
        <v>8.5382513661202194E-3</v>
      </c>
      <c r="EJ158" s="518">
        <f>(EH42+EG42+EI42+EJ42)/(EH9+EG9+EI9+EJ9)</f>
        <v>-7.3192880494006532E-2</v>
      </c>
      <c r="EK158" s="521">
        <f t="shared" si="181"/>
        <v>-7.3192880494006532E-2</v>
      </c>
      <c r="EL158" s="518">
        <f>(EH42+EI42+DB581+EL42)/(EH9+EI9+EJ9+EL9)</f>
        <v>-3.8723487059739249E-2</v>
      </c>
      <c r="EM158" s="518">
        <f>(EI42+EJ42+EL42+EM42)/(EI9+EJ9+EL9+EM9)</f>
        <v>-0.15258620689655172</v>
      </c>
      <c r="EN158" s="518">
        <f>(EJ42+EL42+EM42+EN42)/(EJ9+EL9+EM9+EN9)</f>
        <v>-0.21582397003745318</v>
      </c>
      <c r="EO158" s="518">
        <f>(EM42+EL42+EN42+EO42)/(EM9+EL9+EN9+EO9)</f>
        <v>-0.16537208719619143</v>
      </c>
      <c r="EP158" s="521">
        <f t="shared" si="182"/>
        <v>-0.16537208719619143</v>
      </c>
      <c r="EQ158" s="518">
        <f>(EM42+EN42+DG581+EQ42)/(EM9+EN9+EO9+EQ9)</f>
        <v>-0.128394410756657</v>
      </c>
      <c r="ER158" s="518">
        <f>(EN42+EO42+EQ42+ER42)/(EN9+EO9+EQ9+ER9)</f>
        <v>-8.7416193914388859E-2</v>
      </c>
      <c r="ES158" s="518">
        <f>(EO42+EQ42+ER42+ES42)/(EO9+EQ9+ER9+ES9)</f>
        <v>-0.13288069835111543</v>
      </c>
      <c r="ET158" s="518">
        <f>(ER42+EQ42+ES42+ET42)/(ER9+EQ9+ES9+ET9)</f>
        <v>-0.11633895131086143</v>
      </c>
      <c r="EU158" s="521">
        <f t="shared" si="183"/>
        <v>-0.11633895131086143</v>
      </c>
      <c r="EV158" s="518">
        <f>(ER42+ES42+DL581+EV42)/(ER9+ES9+ET9+EV9)</f>
        <v>-9.2676311030741407E-2</v>
      </c>
      <c r="EW158" s="518">
        <f>(ES42+ET42+EV42+EW42)/(ES9+ET9+EV9+EW9)</f>
        <v>-0.1182074042000433</v>
      </c>
      <c r="EX158" s="518">
        <f>(ET42+EV42+EW42+EX42)/(ET9+EV9+EW9+EX9)</f>
        <v>-1.3925327951564077E-2</v>
      </c>
      <c r="EY158" s="518">
        <f>(EW42+EV42+EX42+EY42)/(EW9+EV9+EX9+EY9)</f>
        <v>8.0690561080878215E-3</v>
      </c>
      <c r="EZ158" s="521">
        <f t="shared" si="184"/>
        <v>8.0690561080878215E-3</v>
      </c>
      <c r="FA158" s="518">
        <f>(EW42+EX42+DQ581+FA42)/(EW9+EX9+EY9+FA9)</f>
        <v>2.2696929238985315E-2</v>
      </c>
      <c r="FB158" s="518">
        <f>(EX42+EY42+FA42+FB42)/(EX9+EY9+FA9+FB9)</f>
        <v>5.0413729696598221E-2</v>
      </c>
      <c r="FC158" s="518">
        <f>(EY42+FA42+FB42+FC42)/(EY9+FA9+FB9+FC9)</f>
        <v>5.5079559363525092E-2</v>
      </c>
      <c r="FD158" s="518">
        <f>(FB42+FA42+FC42+FD42)/(FB9+FA9+FC9+FD9)</f>
        <v>5.2046332046332043E-2</v>
      </c>
      <c r="FE158" s="521">
        <f t="shared" si="185"/>
        <v>5.2046332046332043E-2</v>
      </c>
      <c r="FF158" s="518">
        <f>(FB42+FC42+DV581+FF42)/(FB9+FC9+FD9+FF9)</f>
        <v>3.8360655737704918E-2</v>
      </c>
      <c r="FG158" s="518">
        <f>(FC42+FD42+FF42+FG42)/(FC9+FD9+FF9+FG9)</f>
        <v>3.2510638297872339E-2</v>
      </c>
      <c r="FH158" s="518">
        <f>(FD42+FF42+FG42+FH42)/(FD9+FF9+FG9+FH9)</f>
        <v>3.4700315457413249E-2</v>
      </c>
      <c r="FI158" s="518">
        <f>(FG42+FF42+FH42+FI42)/(FG9+FF9+FH9+FI9)</f>
        <v>5.0661120190164909E-2</v>
      </c>
      <c r="FJ158" s="521">
        <f t="shared" si="186"/>
        <v>5.0661120190164909E-2</v>
      </c>
      <c r="FK158" s="518">
        <f>(FG42+FH42+EA581+FK42)/(FG9+FH9+FI9+FK9)</f>
        <v>4.375431331953071E-2</v>
      </c>
      <c r="FL158" s="518">
        <f>(FH42+FI42+FK42+FL42)/(FH9+FI9+FK9+FL9)</f>
        <v>7.9649489929374831E-2</v>
      </c>
      <c r="FM158" s="518">
        <f>(FI42+FK42+FL42+FM42)/(FI9+FK9+FL9+FM9)</f>
        <v>0.10166551006245662</v>
      </c>
      <c r="FN158" s="518">
        <f>(FL42+FK42+FM42+FN42)/(FL9+FK9+FM9+FN9)</f>
        <v>0.25504455597664655</v>
      </c>
      <c r="FO158" s="521">
        <f t="shared" si="187"/>
        <v>0.25504455597664655</v>
      </c>
      <c r="FP158" s="518">
        <f>(FL42+FM42+EF581+FP42)/(FL9+FM9+FN9+FP9)</f>
        <v>9.6480476273857474E-2</v>
      </c>
      <c r="FQ158" s="518">
        <f>(FM42+FN42+FP42+FQ42)/(FM9+FN9+FP9+FQ9)</f>
        <v>0.25757121439280362</v>
      </c>
      <c r="FR158" s="518">
        <f>(FN42+FP42+FQ42+FR42)/(FN9+FP9+FQ9+FR9)</f>
        <v>0.26723673579315915</v>
      </c>
      <c r="FS158" s="518">
        <f>(FQ42+FP42+FR42+FS42)/(FQ9+FP9+FR9+FS9)</f>
        <v>0.19240598758671049</v>
      </c>
      <c r="FT158" s="521">
        <f t="shared" si="188"/>
        <v>0.19240598758671049</v>
      </c>
      <c r="FU158" s="518">
        <f>(FQ42+FR42+EK581+FU42)/(FQ9+FR9+FS9+FU9)</f>
        <v>0.12815215087942361</v>
      </c>
      <c r="FV158" s="518">
        <f>(FR42+FS42+FU42+FV42)/(FR9+FS9+FU9+FV9)</f>
        <v>0.14506859473489062</v>
      </c>
      <c r="FW158" s="518">
        <f>(FS42+FU42+FV42+FW42)/(FS9+FU9+FV9+FW9)</f>
        <v>9.9570702645873491E-2</v>
      </c>
      <c r="FX158" s="518">
        <f>(FV42+FU42+FW42+FX42)/(FV9+FU9+FW9+FX9)</f>
        <v>5.5929833481632135E-2</v>
      </c>
      <c r="FY158" s="521">
        <f t="shared" si="189"/>
        <v>5.5929833481632135E-2</v>
      </c>
      <c r="FZ158" s="518">
        <f>(FV42+FW42+EP581+FZ42)/(FV9+FW9+FX9+FZ9)</f>
        <v>1.6213638531235097E-2</v>
      </c>
      <c r="GA158" s="518">
        <f>(FW42+FX42+FZ42+GA42)/(FW9+FX9+FZ9+GA9)</f>
        <v>-1.1428049003474126E-3</v>
      </c>
      <c r="GB158" s="518">
        <f>(FX42+FZ42+GA42+GB42)/(FX9+FZ9+GA9+GB9)</f>
        <v>9.4070824476504902E-3</v>
      </c>
      <c r="GC158" s="518">
        <f>(GA42+FZ42+GB42+GC42)/(GA9+FZ9+GB9+GC9)</f>
        <v>3.7654320987654324E-2</v>
      </c>
      <c r="GD158" s="521">
        <f t="shared" si="190"/>
        <v>3.7654320987654324E-2</v>
      </c>
      <c r="GE158" s="518">
        <f>(GA42+GB42+EU581+GE42)/(GA9+GB9+GC9+GE9)</f>
        <v>1.9692982456140352E-2</v>
      </c>
      <c r="GF158" s="518">
        <f>(GB42+GC42+GE42+GF42)/(GB9+GC9+GE9+GF9)</f>
        <v>5.8171507131809588E-2</v>
      </c>
      <c r="GG158" s="518">
        <f>(GC42+GD42+GF42+GG42)/(GC9+GD9+GF9+GG9)</f>
        <v>6.161148860295889E-2</v>
      </c>
      <c r="GH158" s="518">
        <f>(GF42+GE42+GG42+GH42)/(GF9+GE9+GG9+GH9)</f>
        <v>6.3641652123327522E-2</v>
      </c>
      <c r="GI158" s="521">
        <f t="shared" si="191"/>
        <v>6.3641652123327522E-2</v>
      </c>
      <c r="GJ158" s="518">
        <f>(GF42+GG42+EZ581+GJ42)/(GF9+GG9+GH9+GJ9)</f>
        <v>6.2882882882882879E-2</v>
      </c>
      <c r="GK158" s="518">
        <f>(GG42+GH42+GJ42+GK42)/(GG9+GH9+GJ9+GK9)</f>
        <v>9.5743243243243237E-2</v>
      </c>
      <c r="GL158" s="518">
        <f>(GH42+GJ42+GK42+GL42)/(GH9+GJ9+GK9+GL9)</f>
        <v>0.10322540356574141</v>
      </c>
      <c r="GM158" s="518">
        <f>(GK42+GJ42+GL42+GM42)/(GK9+GJ9+GL9+GM9)</f>
        <v>0.12514795461762754</v>
      </c>
      <c r="GN158" s="521">
        <f t="shared" si="192"/>
        <v>0.12514795461762754</v>
      </c>
      <c r="GO158" s="518">
        <f>(GK42+GL42+FE581+GO42)/(GK9+GL9+GM9+GO9)</f>
        <v>9.3394563998504834E-2</v>
      </c>
      <c r="GP158" s="518">
        <f>(GL42+GM42+GO42+GP42)/(GL9+GM9+GO9+GP9)</f>
        <v>0.15336745112609831</v>
      </c>
      <c r="GQ158" s="518">
        <f>(GM42+GO42+GP42+GQ42)/(GM9+GO9+GP9+GQ9)</f>
        <v>0.16829342977693945</v>
      </c>
      <c r="GR158" s="518">
        <f>(GP42+GO42+GQ42+GR42)/(GP9+GO9+GQ9+GR9)</f>
        <v>0.19555733723314908</v>
      </c>
      <c r="GS158" s="521">
        <f t="shared" si="193"/>
        <v>0.19555733723314908</v>
      </c>
      <c r="GT158" s="518">
        <f>(GP42+GQ42+FJ581+GT42)/(GP9+GQ9+GR9+GT9)</f>
        <v>0.15253105363935038</v>
      </c>
      <c r="GU158" s="518">
        <f>(GQ42+GR42+GT42+GU42)/(GQ9+GR9+GT9+GU9)</f>
        <v>0.23299788280385131</v>
      </c>
      <c r="GV158" s="518">
        <f>(GR42+GT42+GU42+GV42)/(GR9+GT9+GU9+GV9)</f>
        <v>0.24498557994798625</v>
      </c>
      <c r="GW158" s="518">
        <f>(GU42+GT42+GV42+GW42)/(GU9+GT9+GV9+GW9)</f>
        <v>0.24829033663892688</v>
      </c>
      <c r="GX158" s="521">
        <f t="shared" si="194"/>
        <v>0.24829033663892688</v>
      </c>
      <c r="GY158" s="518">
        <f>(GU42+GV42+FO581+GY42)/(GU9+GV9+GW9+GY9)</f>
        <v>0.18368654810966065</v>
      </c>
      <c r="GZ158" s="518">
        <f>(GV42+GW42+GY42+GZ42)/(GV9+GW9+GY9+GZ9)</f>
        <v>0.25780033929681651</v>
      </c>
      <c r="HA158" s="518">
        <f>(GW42+GY42+GZ42+HA42)/(GW9+GY9+GZ9+HA9)</f>
        <v>0.26588718849449577</v>
      </c>
      <c r="HB158" s="518">
        <f>(GZ42+GY42+HA42+HB42)/(GZ9+GY9+HA9+HB9)</f>
        <v>0.27663279191803486</v>
      </c>
      <c r="HC158" s="521">
        <f t="shared" si="195"/>
        <v>0.27663279191803486</v>
      </c>
      <c r="HD158" s="518">
        <f>(GZ42+HA42+FT581+HD42)/(GZ9+HA9+HB9+HD9)</f>
        <v>0.20591629007501847</v>
      </c>
      <c r="HE158" s="518">
        <f>(HA42+HB42+HD42+HE42)/(HA9+HB9+HD9+HE9)</f>
        <v>0.2882804266993238</v>
      </c>
      <c r="HF158" s="518">
        <f>(HB42+HD42+HE42+HF42)/(HB9+HD9+HE9+HF9)</f>
        <v>0.29210311306969988</v>
      </c>
      <c r="HG158" s="518">
        <f>(HE42+HD42+HF42+HG42)/(HE9+HD9+HF9+HG9)</f>
        <v>0.2935077765250087</v>
      </c>
      <c r="HH158" s="521">
        <f t="shared" si="196"/>
        <v>0.2935077765250087</v>
      </c>
      <c r="HI158" s="518">
        <f>(HE42+HF42+FY581+HI42)/(HE9+HF9+HG9+HI9)</f>
        <v>0.21556009854767846</v>
      </c>
      <c r="HJ158" s="518">
        <f>(HF42+HG42+HI42+HJ42)/(HF9+HG9+HI9+HJ9)</f>
        <v>0.29492134142882298</v>
      </c>
      <c r="HK158" s="518">
        <f>(HG42+HI42+HJ42+HK42)/(HG9+HI9+HJ9+HK9)</f>
        <v>0.29743817561822616</v>
      </c>
      <c r="HL158" s="518">
        <f>(HJ42+HI42+HK42+HL42)/(HJ9+HI9+HK9+HL9)</f>
        <v>0.30157924928686292</v>
      </c>
      <c r="HM158" s="521">
        <f t="shared" si="197"/>
        <v>0.30157924928686292</v>
      </c>
      <c r="HN158" s="521"/>
      <c r="HO158" s="521"/>
      <c r="HQ158" s="509"/>
      <c r="HY158" s="509"/>
      <c r="HZ158" s="509"/>
      <c r="IA158" s="509"/>
      <c r="IB158" s="509"/>
    </row>
    <row r="159" spans="1:236" s="509" customFormat="1" ht="11.25" hidden="1" customHeight="1" outlineLevel="1">
      <c r="A159" s="532" t="s">
        <v>468</v>
      </c>
      <c r="L159" s="518"/>
      <c r="M159" s="518"/>
      <c r="N159" s="518"/>
      <c r="O159" s="518"/>
      <c r="P159" s="521"/>
      <c r="Q159" s="518"/>
      <c r="R159" s="518"/>
      <c r="S159" s="518"/>
      <c r="T159" s="518"/>
      <c r="U159" s="521"/>
      <c r="V159" s="518"/>
      <c r="W159" s="518"/>
      <c r="X159" s="518"/>
      <c r="Y159" s="518"/>
      <c r="Z159" s="521"/>
      <c r="AA159" s="518"/>
      <c r="AB159" s="518"/>
      <c r="AC159" s="518"/>
      <c r="AD159" s="518"/>
      <c r="AE159" s="521"/>
      <c r="AF159" s="518"/>
      <c r="AG159" s="518"/>
      <c r="AH159" s="518"/>
      <c r="AI159" s="518"/>
      <c r="AJ159" s="521"/>
      <c r="AK159" s="518">
        <f>(AG42+AH42+AI42+AK42)/((AK92+AF92)/2)</f>
        <v>0.13876952950168353</v>
      </c>
      <c r="AL159" s="518">
        <f>(AH42+AI42+AK42+AL42)/((AL92+AG92)/2)</f>
        <v>0.14685408128337157</v>
      </c>
      <c r="AM159" s="518">
        <f>(AI42+AK42+AL42+AM42)/((AM92+AH92)/2)</f>
        <v>0.14957094587332209</v>
      </c>
      <c r="AN159" s="518">
        <f>(AL42+AK42+AM42+AN42)/((AN92+AI92)/2)</f>
        <v>0.13955230857249706</v>
      </c>
      <c r="AO159" s="521">
        <f t="shared" si="161"/>
        <v>0.13955230857249706</v>
      </c>
      <c r="AP159" s="518">
        <f>(AL42+AM42+AN42+AP42)/((AP92+AK92)/2)</f>
        <v>0.13338784022869371</v>
      </c>
      <c r="AQ159" s="518">
        <f>(AM42+AN42+AP42+AQ42)/((AQ92+AL92)/2)</f>
        <v>0.12461033533917133</v>
      </c>
      <c r="AR159" s="518">
        <f>(AN42+AP42+AQ42+AR42)/((AR92+AM92)/2)</f>
        <v>0.10807277629561712</v>
      </c>
      <c r="AS159" s="518">
        <f>(AQ42+AP42+AR42+AS42)/((AS92+AN92)/2)</f>
        <v>0.10973987441961525</v>
      </c>
      <c r="AT159" s="521">
        <f t="shared" si="162"/>
        <v>0.10973987441961525</v>
      </c>
      <c r="AU159" s="518">
        <f>(AQ42+AR42+AS42+AU42)/((AU92+AP92)/2)</f>
        <v>8.0980833754653661E-2</v>
      </c>
      <c r="AV159" s="518">
        <f>(AR42+AS42+AU42+AV42)/((AV92+AQ92)/2)</f>
        <v>3.5637812070146491E-2</v>
      </c>
      <c r="AW159" s="518">
        <f>(AS42+AU42+AV42+AW42)/((AW92+AR92)/2)</f>
        <v>2.6132176983117237E-3</v>
      </c>
      <c r="AX159" s="518">
        <f>(AV42+AU42+AW42+AX42)/((AX92+AS92)/2)</f>
        <v>-2.2326375998514388E-2</v>
      </c>
      <c r="AY159" s="521">
        <f t="shared" si="163"/>
        <v>-2.2326375998514388E-2</v>
      </c>
      <c r="AZ159" s="518">
        <f>(AV42+AW42+AX42+AZ42)/((AZ92+AU92)/2)</f>
        <v>-2.5490308238526181E-2</v>
      </c>
      <c r="BA159" s="518">
        <f>(AW42+AX42+AZ42+BA42)/((BA92+AV92)/2)</f>
        <v>-1.1615455781416935E-2</v>
      </c>
      <c r="BB159" s="518">
        <f>(AX42+AZ42+BA42+BB42)/((BB92+AW92)/2)</f>
        <v>-9.2590392068566327E-3</v>
      </c>
      <c r="BC159" s="518">
        <f>(BA42+AZ42+BB42+BC42)/((BC92+AX92)/2)</f>
        <v>-6.3328065503259817E-3</v>
      </c>
      <c r="BD159" s="521">
        <f t="shared" si="164"/>
        <v>-6.3328065503259817E-3</v>
      </c>
      <c r="BE159" s="518">
        <f>(BA42+BB42+BC42+BE42)/((BE92+AZ92)/2)</f>
        <v>-2.8637596700497127E-2</v>
      </c>
      <c r="BF159" s="518">
        <f>(BB42+BC42+BE42+BF42)/((BF92+BA92)/2)</f>
        <v>-4.673632715647278E-2</v>
      </c>
      <c r="BG159" s="518">
        <f>(BC42+BE42+BF42+BG42)/((BG92+BB92)/2)</f>
        <v>-3.6757842415550926E-2</v>
      </c>
      <c r="BH159" s="518">
        <f>(BF42+BE42+BG42+BH42)/((BH92+BC92)/2)</f>
        <v>-2.676539689368463E-2</v>
      </c>
      <c r="BI159" s="521">
        <f t="shared" si="165"/>
        <v>-2.676539689368463E-2</v>
      </c>
      <c r="BJ159" s="518">
        <f>(BF42+BG42+BH42+BJ42)/((BJ92+BE92)/2)</f>
        <v>-4.4412578186825043E-2</v>
      </c>
      <c r="BK159" s="518">
        <f>(BG42+BH42+BJ42+BK42)/((BK92+BF92)/2)</f>
        <v>-6.2048766668480184E-3</v>
      </c>
      <c r="BL159" s="518">
        <f>(BH42+BJ42+BK42+BL42)/((BL92+BG92)/2)</f>
        <v>-3.1753150269592509E-2</v>
      </c>
      <c r="BM159" s="518">
        <f>(BK42+BJ42+BL42+BM42)/((BM92+BH92)/2)</f>
        <v>-2.0609301761880222E-2</v>
      </c>
      <c r="BN159" s="521">
        <f t="shared" si="166"/>
        <v>-2.0609301761880222E-2</v>
      </c>
      <c r="BO159" s="518">
        <f>(BK42+BL42+BM42+BO42)/((BO92+BJ92)/2)</f>
        <v>5.1159920033274742E-2</v>
      </c>
      <c r="BP159" s="518">
        <f>(BL42+BM42+BO42+BP42)/((BP92+BK92)/2)</f>
        <v>7.731709300708188E-2</v>
      </c>
      <c r="BQ159" s="518">
        <f>(BM42+BO42+BP42+BQ42)/((BQ92+BL92)/2)</f>
        <v>0.18221260859955271</v>
      </c>
      <c r="BR159" s="518">
        <f>(BP42+BO42+BQ42+BR42)/((BR92+BM92)/2)</f>
        <v>0.19378689899189119</v>
      </c>
      <c r="BS159" s="521">
        <f t="shared" si="167"/>
        <v>0.19378689899189119</v>
      </c>
      <c r="BT159" s="518">
        <f>(BP42+BQ42+BR42+BT42)/((BT92+BO92)/2)</f>
        <v>0.17220579037597092</v>
      </c>
      <c r="BU159" s="518">
        <f>(BQ42+BR42+BT42+BU42)/((BU92+BP92)/2)</f>
        <v>0.13501831080369381</v>
      </c>
      <c r="BV159" s="518">
        <f>(BR42+BT42+BU42+BV42)/((BV92+BQ92)/2)</f>
        <v>2.3981034626602411E-2</v>
      </c>
      <c r="BW159" s="518">
        <f>(BU42+BT42+BV42+BW42)/((BW92+BR92)/2)</f>
        <v>-1.0614300843532071E-2</v>
      </c>
      <c r="BX159" s="521">
        <f t="shared" si="168"/>
        <v>-1.0614300843532071E-2</v>
      </c>
      <c r="BY159" s="518">
        <f>(BU42+BV42+BW42+BY42)/((BY92+BT92)/2)</f>
        <v>-3.244545117795903E-2</v>
      </c>
      <c r="BZ159" s="518">
        <f>(BV42+BW42+BY42+BZ42)/((BZ92+BU92)/2)</f>
        <v>-6.708607684697751E-2</v>
      </c>
      <c r="CA159" s="518">
        <f>(BW42+BY42+BZ42+CA42)/((CA92+BV92)/2)</f>
        <v>-8.092174426867374E-2</v>
      </c>
      <c r="CB159" s="518">
        <f>(BZ42+BY42+CA42+CB42)/((CB92+BW92)/2)</f>
        <v>-0.23130890789383646</v>
      </c>
      <c r="CC159" s="521">
        <f t="shared" si="169"/>
        <v>-0.23130890789383646</v>
      </c>
      <c r="CD159" s="518">
        <f>(BZ42+CA42+CB42+CD42)/((CD92+BY92)/2)</f>
        <v>-0.25347367909731167</v>
      </c>
      <c r="CE159" s="518">
        <f>(CA42+CB42+CD42+CE42)/((CE92+BZ92)/2)</f>
        <v>-0.2470839067243259</v>
      </c>
      <c r="CF159" s="518">
        <f>(CB42+CD42+CE42+CF42)/((CF92+CA92)/2)</f>
        <v>-0.18916383850171761</v>
      </c>
      <c r="CG159" s="518">
        <f>(CE42+CD42+CF42+CG42)/((CG92+CB92)/2)</f>
        <v>-4.3180782420234959E-2</v>
      </c>
      <c r="CH159" s="521">
        <f t="shared" si="170"/>
        <v>-4.3180782420234959E-2</v>
      </c>
      <c r="CI159" s="518">
        <f>(CE42+CF42+CG42+CI42)/((CI92+CD92)/2)</f>
        <v>-1.3392134678981366E-2</v>
      </c>
      <c r="CJ159" s="518">
        <f>(CF42+CG42+CI42+CJ42)/((CJ92+CE92)/2)</f>
        <v>1.4505457814034523E-2</v>
      </c>
      <c r="CK159" s="518">
        <f>(CG42+CI42+CJ42+CK42)/((CK92+CF92)/2)</f>
        <v>2.356267428724174E-2</v>
      </c>
      <c r="CL159" s="518">
        <f>(CJ42+CI42+CK42+CL42)/((CL92+CG92)/2)</f>
        <v>1.2204125499420803E-2</v>
      </c>
      <c r="CM159" s="521">
        <f t="shared" si="171"/>
        <v>1.2204125499420803E-2</v>
      </c>
      <c r="CN159" s="518">
        <f>(CJ42+CK42+CL42+CN42)/((CN92+CI92)/2)</f>
        <v>3.864084125922311E-3</v>
      </c>
      <c r="CO159" s="518">
        <f>(CK42+CL42+CN42+CO42)/((CO92+CJ92)/2)</f>
        <v>1.0527651693705775E-3</v>
      </c>
      <c r="CP159" s="518">
        <f>(CL42+CN42+CO42+CP42)/((CP92+CK92)/2)</f>
        <v>5.1718661515911379E-3</v>
      </c>
      <c r="CQ159" s="518">
        <f>(CO42+CN42+CP42+CQ42)/((CQ92+CL92)/2)</f>
        <v>2.1871941496128401E-2</v>
      </c>
      <c r="CR159" s="521">
        <f t="shared" si="172"/>
        <v>2.1871941496128401E-2</v>
      </c>
      <c r="CS159" s="518">
        <f>(CO42+CP42+CQ42+CS42)/((CS92+CN92)/2)</f>
        <v>4.6293837670695365E-2</v>
      </c>
      <c r="CT159" s="518">
        <f>(CP42+CQ42+CS42+CT42)/((CT92+CO92)/2)</f>
        <v>5.620123253989702E-2</v>
      </c>
      <c r="CU159" s="518">
        <f>(CQ42+CS42+CT42+CU42)/((CU92+CP92)/2)</f>
        <v>6.0875136697974293E-2</v>
      </c>
      <c r="CV159" s="518">
        <f>(CT42+CS42+CU42+CV42)/((CV92+CQ92)/2)</f>
        <v>-1.6166065893540346E-2</v>
      </c>
      <c r="CW159" s="521">
        <f t="shared" si="173"/>
        <v>-1.6166065893540346E-2</v>
      </c>
      <c r="CX159" s="518">
        <f>(CT42+CU42+CV42+CX42)/((CX92+CS92)/2)</f>
        <v>-9.2534860139245514E-2</v>
      </c>
      <c r="CY159" s="518">
        <f>(CU42+CV42+CX42+CY42)/((CY92+CT92)/2)</f>
        <v>-0.15498958347769731</v>
      </c>
      <c r="CZ159" s="518">
        <f>(CV42+CX42+CY42+CZ42)/((CZ92+CU92)/2)</f>
        <v>-0.20456774222486929</v>
      </c>
      <c r="DA159" s="518">
        <f>(CY42+CX42+CZ42+DA42)/((DA92+CV92)/2)</f>
        <v>-0.27363647406567598</v>
      </c>
      <c r="DB159" s="521">
        <f t="shared" si="174"/>
        <v>-0.27363647406567598</v>
      </c>
      <c r="DC159" s="518">
        <f>(CY42+CZ42+DA42+DC42)/((DC92+CX92)/2)</f>
        <v>-0.26137123745819396</v>
      </c>
      <c r="DD159" s="518">
        <f>(CZ42+DA42+DC42+DD42)/((DD92+CY92)/2)</f>
        <v>-0.24295897079276774</v>
      </c>
      <c r="DE159" s="518">
        <f>(DA42+DC42+DD42+DE42)/((DE92+CZ92)/2)</f>
        <v>-0.2118969053776866</v>
      </c>
      <c r="DF159" s="518">
        <f>(DD42+DC42+DE42+DF42)/((DF92+DA92)/2)</f>
        <v>-0.20993498049414824</v>
      </c>
      <c r="DG159" s="521">
        <f t="shared" si="175"/>
        <v>-0.20993498049414824</v>
      </c>
      <c r="DH159" s="518">
        <f>(DD42+DE42+DF42+DH42)/((DH92+DC92)/2)</f>
        <v>-0.20414610069101677</v>
      </c>
      <c r="DI159" s="518">
        <f>(DE42+DF42+DH42+DI42)/((DI92+DD92)/2)</f>
        <v>-0.22840742946878215</v>
      </c>
      <c r="DJ159" s="518">
        <f>(DF42+DH42+DI42+DJ42)/((DJ92+DE92)/2)</f>
        <v>-0.24540819123855476</v>
      </c>
      <c r="DK159" s="518">
        <f>(DI42+DH42+DJ42+DK42)/((DK92+DF92)/2)</f>
        <v>4.5245627648779325E-2</v>
      </c>
      <c r="DL159" s="521">
        <f t="shared" si="176"/>
        <v>4.5245627648779325E-2</v>
      </c>
      <c r="DM159" s="518">
        <f>(DI42+DJ42+DK42+DM42)/((DM92+DH92)/2)</f>
        <v>0.14617754130495658</v>
      </c>
      <c r="DN159" s="518">
        <f>(DJ42+DK42+DM42+DN42)/((DN92+DI92)/2)</f>
        <v>0.19225692916849979</v>
      </c>
      <c r="DO159" s="518">
        <f>(DK42+DM42+DN42+DO42)/((DO92+DJ92)/2)</f>
        <v>0.19472342977064908</v>
      </c>
      <c r="DP159" s="518">
        <f>(DN42+DM42+DO42+DP42)/((DP92+DK92)/2)</f>
        <v>6.7084460903005266E-2</v>
      </c>
      <c r="DQ159" s="521">
        <f t="shared" si="177"/>
        <v>6.7084460903005266E-2</v>
      </c>
      <c r="DR159" s="518">
        <f>(DN42+DO42+DP42+DR42)/((DR92+DM92)/2)</f>
        <v>0.13868403409635091</v>
      </c>
      <c r="DS159" s="518">
        <f>(DO42+DP42+DR42+DS42)/((DS92+DN92)/2)</f>
        <v>0.16268788682581786</v>
      </c>
      <c r="DT159" s="518">
        <f>(DP42+DR42+DS42+DT42)/((DT92+DO92)/2)</f>
        <v>0.21218594242701658</v>
      </c>
      <c r="DU159" s="518">
        <f>(DS42+DR42+DT42+DU42)/((DU92+DP92)/2)</f>
        <v>9.9011897559991929E-2</v>
      </c>
      <c r="DV159" s="521">
        <f t="shared" si="178"/>
        <v>9.9011897559991929E-2</v>
      </c>
      <c r="DW159" s="518">
        <f>(DS42+DT42+DU42+DW42)/((DW92+DR92)/2)</f>
        <v>-0.11944689614592527</v>
      </c>
      <c r="DX159" s="518">
        <f>(DT42+DU42+DW42+DX42)/((DX92+DS92)/2)</f>
        <v>-0.12333170969313201</v>
      </c>
      <c r="DY159" s="518">
        <f>(DU42+DW42+DX42+DY42)/((DY92+DT92)/2)</f>
        <v>-0.18013809910641754</v>
      </c>
      <c r="DZ159" s="518">
        <f>(DX42+DW42+DY42+DZ42)/((DZ92+DU92)/2)</f>
        <v>-0.26423944605762789</v>
      </c>
      <c r="EA159" s="521">
        <f t="shared" si="179"/>
        <v>-0.26423944605762789</v>
      </c>
      <c r="EB159" s="518">
        <f>(DX42+DY42+DZ42+EB42)/((EB92+DW92)/2)</f>
        <v>-0.16824132043255549</v>
      </c>
      <c r="EC159" s="518">
        <f>(DY42+DZ42+EB42+EC42)/((EC92+DX92)/2)</f>
        <v>-0.19019914969791898</v>
      </c>
      <c r="ED159" s="518">
        <f>(DZ42+EB42+EC42+ED42)/((ED92+DY92)/2)</f>
        <v>-0.14447306529286594</v>
      </c>
      <c r="EE159" s="518">
        <f>(EC42+EB42+ED42+EE42)/((EE92+DZ92)/2)</f>
        <v>-1.9911239054815882E-2</v>
      </c>
      <c r="EF159" s="521">
        <f t="shared" si="180"/>
        <v>-1.9911239054815882E-2</v>
      </c>
      <c r="EG159" s="518">
        <f>(EC42+ED42+EE42+EG42)/((EG92+EB92)/2)</f>
        <v>1.0879190385831752E-2</v>
      </c>
      <c r="EH159" s="518">
        <f>(ED42+EE42+EG42+EH42)/((EH92+EC92)/2)</f>
        <v>1.9894387817757583E-2</v>
      </c>
      <c r="EI159" s="518">
        <f>(EE42+EG42+EH42+EI42)/((EI92+ED92)/2)</f>
        <v>1.1571395510298541E-2</v>
      </c>
      <c r="EJ159" s="518">
        <f>(EH42+EG42+EI42+EJ42)/((EJ92+EE92)/2)</f>
        <v>-9.9457058242843038E-2</v>
      </c>
      <c r="EK159" s="521">
        <f t="shared" si="181"/>
        <v>-9.9457058242843038E-2</v>
      </c>
      <c r="EL159" s="518">
        <f>(EH42+EI42+EJ42+EL42)/((EL92+EG92)/2)</f>
        <v>-0.14941613588110403</v>
      </c>
      <c r="EM159" s="518">
        <f>(EI42+EJ42+EL42+EM42)/((EM92+EH92)/2)</f>
        <v>-0.18565622131899828</v>
      </c>
      <c r="EN159" s="518">
        <f>(EJ42+EL42+EM42+EN42)/((EN92+EI92)/2)</f>
        <v>-0.24410908128144029</v>
      </c>
      <c r="EO159" s="518">
        <f>(EM42+EL42+EN42+EO42)/((EO92+EJ92)/2)</f>
        <v>-0.19197207678883071</v>
      </c>
      <c r="EP159" s="521">
        <f t="shared" si="182"/>
        <v>-0.19197207678883071</v>
      </c>
      <c r="EQ159" s="518">
        <f>(EM42+EN42+EO42+EQ42)/((EQ92+EL92)/2)</f>
        <v>-0.18380402558901546</v>
      </c>
      <c r="ER159" s="518">
        <f>(EN42+EO42+EQ42+ER42)/((ER92+EM92)/2)</f>
        <v>-0.1012393609078692</v>
      </c>
      <c r="ES159" s="518">
        <f>(EO42+EQ42+ER42+ES42)/((ES92+EN92)/2)</f>
        <v>-0.16011687363038715</v>
      </c>
      <c r="ET159" s="518">
        <f>(ER42+EQ42+ES42+ET42)/((ET92+EO92)/2)</f>
        <v>-0.15458786936236391</v>
      </c>
      <c r="EU159" s="521">
        <f t="shared" si="183"/>
        <v>-0.15458786936236391</v>
      </c>
      <c r="EV159" s="518">
        <f>(ER42+ES42+ET42+EV42)/((EV92+EQ92)/2)</f>
        <v>-0.14681528662420382</v>
      </c>
      <c r="EW159" s="518">
        <f>(ES42+ET42+EV42+EW42)/((EW92+ER92)/2)</f>
        <v>-0.16332635357463357</v>
      </c>
      <c r="EX159" s="518">
        <f>(ET42+EV42+EW42+EX42)/((EX92+ES92)/2)</f>
        <v>-1.9161344071091362E-2</v>
      </c>
      <c r="EY159" s="518">
        <f>(EW42+EV42+EX42+EY42)/((EY92+ET92)/2)</f>
        <v>1.2534615945197494E-2</v>
      </c>
      <c r="EZ159" s="521">
        <f t="shared" si="184"/>
        <v>1.2534615945197494E-2</v>
      </c>
      <c r="FA159" s="518">
        <f>(EW42+EX42+EY42+FA42)/((FA92+EV92)/2)</f>
        <v>5.5791560464457664E-2</v>
      </c>
      <c r="FB159" s="518">
        <f>(EX42+EY42+FA42+FB42)/((FB92+EW92)/2)</f>
        <v>8.8050314465408799E-2</v>
      </c>
      <c r="FC159" s="518">
        <f>(EY42+FA42+FB42+FC42)/((FC92+EX92)/2)</f>
        <v>9.0760115971259298E-2</v>
      </c>
      <c r="FD159" s="518">
        <f>(FB42+FA42+FC42+FD42)/((FD92+EY92)/2)</f>
        <v>8.3250988142292495E-2</v>
      </c>
      <c r="FE159" s="521">
        <f t="shared" si="185"/>
        <v>8.3250988142292495E-2</v>
      </c>
      <c r="FF159" s="518">
        <f>(FB42+FC42+FD42+FF42)/((FF92+FA92)/2)</f>
        <v>6.2571888658845179E-2</v>
      </c>
      <c r="FG159" s="518">
        <f>(FC42+FD42+FF42+FG42)/((FG92+FB92)/2)</f>
        <v>4.1499185225420968E-2</v>
      </c>
      <c r="FH159" s="518">
        <f>(FD42+FF42+FG42+FH42)/((FH92+FC92)/2)</f>
        <v>4.3541666666666666E-2</v>
      </c>
      <c r="FI159" s="518">
        <f>(FG42+FF42+FH42+FI42)/((FI92+FD92)/2)</f>
        <v>6.4436885865457288E-2</v>
      </c>
      <c r="FJ159" s="521">
        <f t="shared" si="186"/>
        <v>6.4436885865457288E-2</v>
      </c>
      <c r="FK159" s="518">
        <f>(FG42+FH42+FI42+FK42)/((FK92+FF92)/2)</f>
        <v>9.0226956924502083E-2</v>
      </c>
      <c r="FL159" s="518">
        <f>(FH42+FI42+FK42+FL42)/((FL92+FG92)/2)</f>
        <v>0.10423620025673941</v>
      </c>
      <c r="FM159" s="518">
        <f>(FI42+FK42+FL42+FM42)/((FM92+FH92)/2)</f>
        <v>0.14320625610948193</v>
      </c>
      <c r="FN159" s="518">
        <f>(FL42+FK42+FM42+FN42)/((FN92+FI92)/2)</f>
        <v>0.3322214809873249</v>
      </c>
      <c r="FO159" s="521">
        <f t="shared" si="187"/>
        <v>0.3322214809873249</v>
      </c>
      <c r="FP159" s="518">
        <f>(FL42+FM42+FN42+FP42)/((FP92+FK92)/2)</f>
        <v>0.36239079881842751</v>
      </c>
      <c r="FQ159" s="518">
        <f>(FM42+FN42+FP42+FQ42)/((FQ92+FL92)/2)</f>
        <v>0.39782331828181083</v>
      </c>
      <c r="FR159" s="518">
        <f>(FN42+FP42+FQ42+FR42)/((FR92+FM92)/2)</f>
        <v>0.43672975352112675</v>
      </c>
      <c r="FS159" s="518">
        <f>(FQ42+FP42+FR42+FS42)/((FS92+FN92)/2)</f>
        <v>0.29577662410551425</v>
      </c>
      <c r="FT159" s="521">
        <f t="shared" si="188"/>
        <v>0.29577662410551425</v>
      </c>
      <c r="FU159" s="518">
        <f>(FQ42+FR42+FS42+FU42)/((FU92+FP92)/2)</f>
        <v>8.817338426756062E-2</v>
      </c>
      <c r="FV159" s="518">
        <f>(FR42+FS42+FU42+FV42)/((FV92+FQ92)/2)</f>
        <v>8.0058317240673721E-2</v>
      </c>
      <c r="FW159" s="518">
        <f>(FS42+FU42+FV42+FW42)/((FW92+FR92)/2)</f>
        <v>5.7570538473228308E-2</v>
      </c>
      <c r="FX159" s="518">
        <f>(FV42+FU42+FW42+FX42)/((FX92+FS92)/2)</f>
        <v>3.3000412505156312E-2</v>
      </c>
      <c r="FY159" s="521">
        <f t="shared" si="189"/>
        <v>3.3000412505156312E-2</v>
      </c>
      <c r="FZ159" s="518">
        <f>(FV42+FW42+FX42+FZ42)/((FZ92+FU92)/2)</f>
        <v>5.8714669005343776E-3</v>
      </c>
      <c r="GA159" s="518">
        <f>(FW42+FX42+FZ42+GA42)/((GA92+FV92)/2)</f>
        <v>-3.6908813086388765E-4</v>
      </c>
      <c r="GB159" s="518">
        <f>(FX42+FZ42+GA42+GB42)/((GB92+FW92)/2)</f>
        <v>3.0715387966360743E-3</v>
      </c>
      <c r="GC159" s="518">
        <f>(GA42+FZ42+GB42+GC42)/((GC92+FX92)/2)</f>
        <v>1.2608422839847932E-2</v>
      </c>
      <c r="GD159" s="521">
        <f t="shared" si="190"/>
        <v>1.2608422839847932E-2</v>
      </c>
      <c r="GE159" s="518">
        <f>(GA42+GB42+GC42+GE42)/((GE92+FZ92)/2)</f>
        <v>1.6468800035416776E-2</v>
      </c>
      <c r="GF159" s="518">
        <f>(GB42+GC42+GE42+GF42)/((GF92+GA92)/2)</f>
        <v>1.9933310269188018E-2</v>
      </c>
      <c r="GG159" s="518">
        <f>(GC42+GD42+GF42+GG42)/((GG92+GB92)/2)</f>
        <v>3.7257216126823159E-2</v>
      </c>
      <c r="GH159" s="518">
        <f>(GF42+GE42+GG42+GH42)/((GH92+GC92)/2)</f>
        <v>2.3936810321564281E-2</v>
      </c>
      <c r="GI159" s="521">
        <f t="shared" si="191"/>
        <v>2.3936810321564281E-2</v>
      </c>
      <c r="GJ159" s="518">
        <f>(GF42+GG42+GH42+GJ42)/((GJ92+GE92)/2)</f>
        <v>3.1940908601957758E-2</v>
      </c>
      <c r="GK159" s="518">
        <f>(GG42+GH42+GJ42+GK42)/((GK92+GF92)/2)</f>
        <v>3.9718021666923606E-2</v>
      </c>
      <c r="GL159" s="518">
        <f>(GH42+GJ42+GK42+GL42)/((GL92+GG92)/2)</f>
        <v>4.5124789287981054E-2</v>
      </c>
      <c r="GM159" s="518">
        <f>(GK42+GJ42+GL42+GM42)/((GM92+GH92)/2)</f>
        <v>5.9321801959603702E-2</v>
      </c>
      <c r="GN159" s="521">
        <f t="shared" si="192"/>
        <v>5.9321801959603702E-2</v>
      </c>
      <c r="GO159" s="518">
        <f>(GK42+GL42+GM42+GO42)/((GO92+GJ92)/2)</f>
        <v>6.6260119583046728E-2</v>
      </c>
      <c r="GP159" s="518">
        <f>(GL42+GM42+GO42+GP42)/((GP92+GK92)/2)</f>
        <v>8.0041736419080273E-2</v>
      </c>
      <c r="GQ159" s="518">
        <f>(GM42+GO42+GP42+GQ42)/((GQ92+GL92)/2)</f>
        <v>9.0937751668848626E-2</v>
      </c>
      <c r="GR159" s="518">
        <f>(GP42+GO42+GQ42+GR42)/((GR92+GM92)/2)</f>
        <v>0.11442395859148864</v>
      </c>
      <c r="GS159" s="521">
        <f t="shared" si="193"/>
        <v>0.11442395859148864</v>
      </c>
      <c r="GT159" s="518">
        <f>(GP42+GQ42+GR42+GT42)/((GT92+GO92)/2)</f>
        <v>0.1390652125597146</v>
      </c>
      <c r="GU159" s="518">
        <f>(GQ42+GR42+GT42+GU42)/((GU92+GP92)/2)</f>
        <v>0.15767501028093578</v>
      </c>
      <c r="GV159" s="518">
        <f>(GR42+GT42+GU42+GV42)/((GV92+GQ92)/2)</f>
        <v>0.17894222759892442</v>
      </c>
      <c r="GW159" s="518">
        <f>(GU42+GT42+GV42+GW42)/((GW92+GR92)/2)</f>
        <v>0.18383486830701107</v>
      </c>
      <c r="GX159" s="521">
        <f t="shared" si="194"/>
        <v>0.18383486830701107</v>
      </c>
      <c r="GY159" s="518">
        <f>(GU42+GV42+GW42+GY42)/((GY92+GT92)/2)</f>
        <v>0.18640515786662615</v>
      </c>
      <c r="GZ159" s="518">
        <f>(GV42+GW42+GY42+GZ42)/((GZ92+GU92)/2)</f>
        <v>0.18687182781315329</v>
      </c>
      <c r="HA159" s="518">
        <f>(GW42+GY42+GZ42+HA42)/((HA92+GV92)/2)</f>
        <v>0.18543521655283329</v>
      </c>
      <c r="HB159" s="518">
        <f>(GZ42+GY42+HA42+HB42)/((HB92+GW92)/2)</f>
        <v>0.18419707964736204</v>
      </c>
      <c r="HC159" s="521">
        <f t="shared" si="195"/>
        <v>0.18419707964736204</v>
      </c>
      <c r="HD159" s="518">
        <f>(GZ42+HA42+HB42+HD42)/((HD92+GY92)/2)</f>
        <v>0.18201625113573197</v>
      </c>
      <c r="HE159" s="518">
        <f>(HA42+HB42+HD42+HE42)/((HE92+GZ92)/2)</f>
        <v>0.17835061686141743</v>
      </c>
      <c r="HF159" s="518">
        <f>(HB42+HD42+HE42+HF42)/((HF92+HA92)/2)</f>
        <v>0.17413291455043967</v>
      </c>
      <c r="HG159" s="518">
        <f>(HE42+HD42+HF42+HG42)/((HG92+HB92)/2)</f>
        <v>0.16792325130312011</v>
      </c>
      <c r="HH159" s="521">
        <f t="shared" si="196"/>
        <v>0.16792325130312011</v>
      </c>
      <c r="HI159" s="518">
        <f>(HE42+HF42+HG42+HI42)/((HI92+HD92)/2)</f>
        <v>0.16109991867108467</v>
      </c>
      <c r="HJ159" s="518">
        <f>(HF42+HG42+HI42+HJ42)/((HJ92+HE92)/2)</f>
        <v>0.15481134355055645</v>
      </c>
      <c r="HK159" s="518">
        <f>(HG42+HI42+HJ42+HK42)/((HK92+HF92)/2)</f>
        <v>0.15005826289029855</v>
      </c>
      <c r="HL159" s="518">
        <f>(HJ42+HI42+HK42+HL42)/((HL92+HG92)/2)</f>
        <v>0.14676172197529458</v>
      </c>
      <c r="HM159" s="521">
        <f t="shared" si="197"/>
        <v>0.14676172197529458</v>
      </c>
      <c r="HN159" s="521"/>
      <c r="HO159" s="521"/>
      <c r="HP159" s="563"/>
      <c r="HR159" s="563"/>
      <c r="HS159" s="563"/>
      <c r="HT159" s="563"/>
      <c r="HU159" s="563"/>
      <c r="HV159" s="563"/>
      <c r="HW159" s="563"/>
      <c r="HX159" s="563"/>
    </row>
    <row r="160" spans="1:236" s="509" customFormat="1" ht="11.25" hidden="1" customHeight="1" outlineLevel="1">
      <c r="A160" s="532" t="s">
        <v>469</v>
      </c>
      <c r="L160" s="518"/>
      <c r="M160" s="518"/>
      <c r="N160" s="518"/>
      <c r="O160" s="518"/>
      <c r="P160" s="521"/>
      <c r="Q160" s="518"/>
      <c r="R160" s="518"/>
      <c r="S160" s="518"/>
      <c r="T160" s="518"/>
      <c r="U160" s="521"/>
      <c r="V160" s="518"/>
      <c r="W160" s="518"/>
      <c r="X160" s="518"/>
      <c r="Y160" s="518"/>
      <c r="Z160" s="521"/>
      <c r="AA160" s="518"/>
      <c r="AB160" s="518"/>
      <c r="AC160" s="518"/>
      <c r="AD160" s="518"/>
      <c r="AE160" s="521"/>
      <c r="AF160" s="518"/>
      <c r="AG160" s="518"/>
      <c r="AH160" s="518"/>
      <c r="AI160" s="518"/>
      <c r="AJ160" s="521"/>
      <c r="AK160" s="518">
        <f>(AG42+AH42+AI42+AK42)/((AK97+AF97)/2)</f>
        <v>0.19649737234675274</v>
      </c>
      <c r="AL160" s="518">
        <f>(AH42+AI42+AK42+AL42)/((AL97+AG97)/2)</f>
        <v>0.20186909975301778</v>
      </c>
      <c r="AM160" s="518">
        <f>(AI42+AK42+AL42+AM42)/((AM97+AH97)/2)</f>
        <v>0.20638045147451212</v>
      </c>
      <c r="AN160" s="518">
        <f>(AL42+AK42+AM42+AN42)/((AN97+AI97)/2)</f>
        <v>0.19774309384839073</v>
      </c>
      <c r="AO160" s="521">
        <f t="shared" si="161"/>
        <v>0.19774309384839073</v>
      </c>
      <c r="AP160" s="518">
        <f>(AL42+AM42+AN42+AP42)/((AP97+AK97)/2)</f>
        <v>0.19328765572051834</v>
      </c>
      <c r="AQ160" s="518">
        <f>(AM42+AN42+AP42+AQ42)/((AQ97+AL97)/2)</f>
        <v>0.18031132870777297</v>
      </c>
      <c r="AR160" s="518">
        <f>(AN42+AP42+AQ42+AR42)/((AR97+AM97)/2)</f>
        <v>0.15509435682971479</v>
      </c>
      <c r="AS160" s="518">
        <f>(AQ42+AP42+AR42+AS42)/((AS97+AN97)/2)</f>
        <v>0.15670936459444965</v>
      </c>
      <c r="AT160" s="521">
        <f t="shared" si="162"/>
        <v>0.15670936459444965</v>
      </c>
      <c r="AU160" s="518">
        <f>(AQ42+AR42+AS42+AU42)/((AU97+AP97)/2)</f>
        <v>0.11555293218459954</v>
      </c>
      <c r="AV160" s="518">
        <f>(AR42+AS42+AU42+AV42)/((AV97+AQ97)/2)</f>
        <v>5.0938676579452162E-2</v>
      </c>
      <c r="AW160" s="518">
        <f>(AS42+AU42+AV42+AW42)/((AW97+AR97)/2)</f>
        <v>3.8771412085391488E-3</v>
      </c>
      <c r="AX160" s="518">
        <f>(AV42+AU42+AW42+AX42)/((AX97+AS97)/2)</f>
        <v>-3.345458497634405E-2</v>
      </c>
      <c r="AY160" s="521">
        <f t="shared" si="163"/>
        <v>-3.345458497634405E-2</v>
      </c>
      <c r="AZ160" s="518">
        <f>(AV42+AW42+AX42+AZ42)/((AZ97+AU97)/2)</f>
        <v>-3.904549169948425E-2</v>
      </c>
      <c r="BA160" s="518">
        <f>(AW42+AX42+AZ42+BA42)/((BA97+AV97)/2)</f>
        <v>-1.7629439616790619E-2</v>
      </c>
      <c r="BB160" s="518">
        <f>(AX42+AZ42+BA42+BB42)/((BB97+AW97)/2)</f>
        <v>-1.470440105139976E-2</v>
      </c>
      <c r="BC160" s="518">
        <f>(BA42+AZ42+BB42+BC42)/((BC97+AX97)/2)</f>
        <v>-1.0411161910845582E-2</v>
      </c>
      <c r="BD160" s="521">
        <f t="shared" si="164"/>
        <v>-1.0411161910845582E-2</v>
      </c>
      <c r="BE160" s="518">
        <f>(BA42+BB42+BC42+BE42)/((BE97+AZ97)/2)</f>
        <v>-4.8269745512372203E-2</v>
      </c>
      <c r="BF160" s="518">
        <f>(BB42+BC42+BE42+BF42)/((BF97+BA97)/2)</f>
        <v>-8.5455767251567533E-2</v>
      </c>
      <c r="BG160" s="518">
        <f>(BC42+BE42+BF42+BG42)/((BG97+BB97)/2)</f>
        <v>-6.9773008066568054E-2</v>
      </c>
      <c r="BH160" s="518">
        <f>(BF42+BE42+BG42+BH42)/((BH97+BC97)/2)</f>
        <v>-5.1534331104607319E-2</v>
      </c>
      <c r="BI160" s="521">
        <f t="shared" si="165"/>
        <v>-5.1534331104607319E-2</v>
      </c>
      <c r="BJ160" s="518">
        <f>(BF42+BG42+BH42+BJ42)/((BJ97+BE97)/2)</f>
        <v>-8.8347022520416513E-2</v>
      </c>
      <c r="BK160" s="518">
        <f>(BG42+BH42+BJ42+BK42)/((BK97+BF97)/2)</f>
        <v>-1.2958780728400517E-2</v>
      </c>
      <c r="BL160" s="518">
        <f>(BH42+BJ42+BK42+BL42)/((BL97+BG97)/2)</f>
        <v>-6.8440345374423603E-2</v>
      </c>
      <c r="BM160" s="518">
        <f>(BK42+BJ42+BL42+BM42)/((BM97+BH97)/2)</f>
        <v>-4.4642978152870119E-2</v>
      </c>
      <c r="BN160" s="521">
        <f t="shared" si="166"/>
        <v>-4.4642978152870119E-2</v>
      </c>
      <c r="BO160" s="518">
        <f>(BK42+BL42+BM42+BO42)/((BO97+BJ97)/2)</f>
        <v>0.11236556578405164</v>
      </c>
      <c r="BP160" s="518">
        <f>(BL42+BM42+BO42+BP42)/((BP97+BK97)/2)</f>
        <v>0.16163412882388878</v>
      </c>
      <c r="BQ160" s="518">
        <f>(BM42+BO42+BP42+BQ42)/((BQ97+BL97)/2)</f>
        <v>0.36105468509302624</v>
      </c>
      <c r="BR160" s="518">
        <f>(BP42+BO42+BQ42+BR42)/((BR97+BM97)/2)</f>
        <v>0.38168800257817015</v>
      </c>
      <c r="BS160" s="521">
        <f t="shared" si="167"/>
        <v>0.38168800257817015</v>
      </c>
      <c r="BT160" s="518">
        <f>(BP42+BQ42+BR42+BT42)/((BT97+BO97)/2)</f>
        <v>0.33552973803873892</v>
      </c>
      <c r="BU160" s="518">
        <f>(BQ42+BR42+BT42+BU42)/((BU97+BP97)/2)</f>
        <v>0.2334353491548618</v>
      </c>
      <c r="BV160" s="518">
        <f>(BR42+BT42+BU42+BV42)/((BV97+BQ97)/2)</f>
        <v>4.0792700308420117E-2</v>
      </c>
      <c r="BW160" s="518">
        <f>(BU42+BT42+BV42+BW42)/((BW97+BR97)/2)</f>
        <v>-1.8012042120961625E-2</v>
      </c>
      <c r="BX160" s="521">
        <f t="shared" si="168"/>
        <v>-1.8012042120961625E-2</v>
      </c>
      <c r="BY160" s="518">
        <f>(BU42+BV42+BW42+BY42)/((BY97+BT97)/2)</f>
        <v>-5.7345755137713152E-2</v>
      </c>
      <c r="BZ160" s="518">
        <f>(BV42+BW42+BY42+BZ42)/((BZ97+BU97)/2)</f>
        <v>-0.10854275287434356</v>
      </c>
      <c r="CA160" s="518">
        <f>(BW42+BY42+BZ42+CA42)/((CA97+BV97)/2)</f>
        <v>-0.13507628189083631</v>
      </c>
      <c r="CB160" s="518">
        <f>(BZ42+BY42+CA42+CB42)/((CB97+BW97)/2)</f>
        <v>-0.43272758671076933</v>
      </c>
      <c r="CC160" s="521">
        <f t="shared" si="169"/>
        <v>-0.43272758671076933</v>
      </c>
      <c r="CD160" s="518">
        <f>(BZ42+CA42+CB42+CD42)/((CD97+BY97)/2)</f>
        <v>-0.49057589670214724</v>
      </c>
      <c r="CE160" s="518">
        <f>(CA42+CB42+CD42+CE42)/((CE97+BZ97)/2)</f>
        <v>-0.481517638630651</v>
      </c>
      <c r="CF160" s="518">
        <f>(CB42+CD42+CE42+CF42)/((CF97+CA97)/2)</f>
        <v>-0.42449287420644494</v>
      </c>
      <c r="CG160" s="518">
        <f>(CE42+CD42+CF42+CG42)/((CG97+CB97)/2)</f>
        <v>-0.1119094091926023</v>
      </c>
      <c r="CH160" s="521">
        <f t="shared" si="170"/>
        <v>-0.1119094091926023</v>
      </c>
      <c r="CI160" s="518">
        <f>(CE42+CF42+CG42+CI42)/((CI97+CD97)/2)</f>
        <v>-3.4512050728886939E-2</v>
      </c>
      <c r="CJ160" s="518">
        <f>(CF42+CG42+CI42+CJ42)/((CJ97+CE97)/2)</f>
        <v>3.7156218679251819E-2</v>
      </c>
      <c r="CK160" s="518">
        <f>(CG42+CI42+CJ42+CK42)/((CK97+CF97)/2)</f>
        <v>6.7698537315732749E-2</v>
      </c>
      <c r="CL160" s="518">
        <f>(CJ42+CI42+CK42+CL42)/((CL97+CG97)/2)</f>
        <v>3.3461793937004589E-2</v>
      </c>
      <c r="CM160" s="521">
        <f t="shared" si="171"/>
        <v>3.3461793937004589E-2</v>
      </c>
      <c r="CN160" s="518">
        <f>(CJ42+CK42+CL42+CN42)/((CN97+CI97)/2)</f>
        <v>1.0637266680754638E-2</v>
      </c>
      <c r="CO160" s="518">
        <f>(CK42+CL42+CN42+CO42)/((CO97+CJ97)/2)</f>
        <v>2.8998659263890104E-3</v>
      </c>
      <c r="CP160" s="518">
        <f>(CL42+CN42+CO42+CP42)/((CP97+CK97)/2)</f>
        <v>1.4401461892818728E-2</v>
      </c>
      <c r="CQ160" s="518">
        <f>(CO42+CN42+CP42+CQ42)/((CQ97+CL97)/2)</f>
        <v>5.202321951495547E-2</v>
      </c>
      <c r="CR160" s="521">
        <f t="shared" si="172"/>
        <v>5.202321951495547E-2</v>
      </c>
      <c r="CS160" s="518">
        <f>(CO42+CP42+CQ42+CS42)/((CS97+CN97)/2)</f>
        <v>9.6127771999565167E-2</v>
      </c>
      <c r="CT160" s="518">
        <f>(CP42+CQ42+CS42+CT42)/((CT97+CO97)/2)</f>
        <v>0.11558553039088872</v>
      </c>
      <c r="CU160" s="518">
        <f>(CQ42+CS42+CT42+CU42)/((CU97+CP97)/2)</f>
        <v>0.12606221387727831</v>
      </c>
      <c r="CV160" s="518">
        <f>(CT42+CS42+CU42+CV42)/((CV97+CQ97)/2)</f>
        <v>-3.6151881457285831E-2</v>
      </c>
      <c r="CW160" s="521">
        <f t="shared" si="173"/>
        <v>-3.6151881457285831E-2</v>
      </c>
      <c r="CX160" s="518">
        <f>(CT42+CU42+CV42+CX42)/((CX97+CS97)/2)</f>
        <v>-0.19378853346385713</v>
      </c>
      <c r="CY160" s="518">
        <f>(CU42+CV42+CX42+CY42)/((CY97+CT97)/2)</f>
        <v>-0.35380558287281266</v>
      </c>
      <c r="CZ160" s="518">
        <f>(CV42+CX42+CY42+CZ42)/((CZ97+CU97)/2)</f>
        <v>-0.47715511495821511</v>
      </c>
      <c r="DA160" s="518">
        <f>(CY42+CX42+CZ42+DA42)/((DA97+CV97)/2)</f>
        <v>-0.77005469462169551</v>
      </c>
      <c r="DB160" s="521">
        <f t="shared" si="174"/>
        <v>-0.77005469462169551</v>
      </c>
      <c r="DC160" s="518">
        <f>(CY42+CZ42+DA42+DC42)/((DC97+CX97)/2)</f>
        <v>-0.79724560061208871</v>
      </c>
      <c r="DD160" s="518">
        <f>(CZ42+DA42+DC42+DD42)/((DD97+CY97)/2)</f>
        <v>-0.94012781701984527</v>
      </c>
      <c r="DE160" s="518">
        <f>(DA42+DC42+DD42+DE42)/((DE97+CZ97)/2)</f>
        <v>-0.86165004533091571</v>
      </c>
      <c r="DF160" s="518">
        <f>(DD42+DC42+DE42+DF42)/((DF97+DA97)/2)</f>
        <v>-1.3878954607977991</v>
      </c>
      <c r="DG160" s="521">
        <f t="shared" si="175"/>
        <v>-1.3878954607977991</v>
      </c>
      <c r="DH160" s="518">
        <f>(DD42+DE42+DF42+DH42)/((DH97+DC97)/2)</f>
        <v>-1.6717865804365399</v>
      </c>
      <c r="DI160" s="518">
        <f>(DE42+DF42+DH42+DI42)/((DI97+DD97)/2)</f>
        <v>-4.1803766105054505</v>
      </c>
      <c r="DJ160" s="518">
        <f>(DF42+DH42+DI42+DJ42)/((DJ97+DE97)/2)</f>
        <v>-5.4518879415347135</v>
      </c>
      <c r="DK160" s="518">
        <f>(DI42+DH42+DJ42+DK42)/((DK97+DF97)/2)</f>
        <v>1.3392226148409894</v>
      </c>
      <c r="DL160" s="521">
        <f t="shared" si="176"/>
        <v>1.3392226148409894</v>
      </c>
      <c r="DM160" s="518">
        <f>(DI42+DJ42+DK42+DM42)/((DM97+DH97)/2)</f>
        <v>3.2985781990521326</v>
      </c>
      <c r="DN160" s="518">
        <f>(DJ42+DK42+DM42+DN42)/((DN97+DI97)/2)</f>
        <v>9.1358885017421603</v>
      </c>
      <c r="DO160" s="518">
        <f>(DK42+DM42+DN42+DO42)/((DO97+DJ97)/2)</f>
        <v>57.733333333333334</v>
      </c>
      <c r="DP160" s="518">
        <f>(DN42+DM42+DO42+DP42)/((DP97+DK97)/2)</f>
        <v>0.56712823600240814</v>
      </c>
      <c r="DQ160" s="521">
        <f t="shared" si="177"/>
        <v>0.56712823600240814</v>
      </c>
      <c r="DR160" s="518">
        <f>(DN42+DO42+DP42+DR42)/((DR97+DM97)/2)</f>
        <v>0.61512319456244691</v>
      </c>
      <c r="DS160" s="518">
        <f>(DO42+DP42+DR42+DS42)/((DS97+DN97)/2)</f>
        <v>0.69201838696197238</v>
      </c>
      <c r="DT160" s="518">
        <f>(DP42+DR42+DS42+DT42)/((DT97+DO97)/2)</f>
        <v>0.88464800678541133</v>
      </c>
      <c r="DU160" s="518">
        <f>(DS42+DR42+DT42+DU42)/((DU97+DP97)/2)</f>
        <v>0.37725701114099114</v>
      </c>
      <c r="DV160" s="521">
        <f t="shared" si="178"/>
        <v>0.37725701114099114</v>
      </c>
      <c r="DW160" s="518">
        <f>(DS42+DT42+DU42+DW42)/((DW97+DR97)/2)</f>
        <v>-0.46666666666666667</v>
      </c>
      <c r="DX160" s="518">
        <f>(DT42+DU42+DW42+DX42)/((DX97+DS97)/2)</f>
        <v>-0.45902828136330676</v>
      </c>
      <c r="DY160" s="518">
        <f>(DU42+DW42+DX42+DY42)/((DY97+DT97)/2)</f>
        <v>-0.6491035492133187</v>
      </c>
      <c r="DZ160" s="518">
        <f>(DX42+DW42+DY42+DZ42)/((DZ97+DU97)/2)</f>
        <v>-1.111842105263158</v>
      </c>
      <c r="EA160" s="521">
        <f t="shared" si="179"/>
        <v>-1.111842105263158</v>
      </c>
      <c r="EB160" s="518">
        <f>(DX42+DY42+DZ42+EB42)/((EB97+DW97)/2)</f>
        <v>-1.0074982958418541</v>
      </c>
      <c r="EC160" s="518">
        <f>(DY42+DZ42+EB42+EC42)/((EC97+DX97)/2)</f>
        <v>-1.1517615176151761</v>
      </c>
      <c r="ED160" s="518">
        <f>(DZ42+EB42+EC42+ED42)/((ED97+DY97)/2)</f>
        <v>-0.9065354884047786</v>
      </c>
      <c r="EE160" s="518">
        <f>(EC42+EB42+ED42+EE42)/((EE97+DZ97)/2)</f>
        <v>-0.15341959334565619</v>
      </c>
      <c r="EF160" s="521">
        <f t="shared" si="180"/>
        <v>-0.15341959334565619</v>
      </c>
      <c r="EG160" s="518">
        <f>(EC42+ED42+EE42+EG42)/((EG97+EB97)/2)</f>
        <v>9.2872570194384454E-2</v>
      </c>
      <c r="EH160" s="518">
        <f>(ED42+EE42+EG42+EH42)/((EH97+EC97)/2)</f>
        <v>0.1883720930232558</v>
      </c>
      <c r="EI160" s="518">
        <f>(EE42+EG42+EH42+EI42)/((EI97+ED97)/2)</f>
        <v>0.10319917440660474</v>
      </c>
      <c r="EJ160" s="518">
        <f>(EH42+EG42+EI42+EJ42)/((EJ97+EE97)/2)</f>
        <v>-1.1025991792065664</v>
      </c>
      <c r="EK160" s="521">
        <f t="shared" si="181"/>
        <v>-1.1025991792065664</v>
      </c>
      <c r="EL160" s="518">
        <f>(EH42+EI42+EJ42+EL42)/((EL97+EG97)/2)</f>
        <v>-2.1325757575757578</v>
      </c>
      <c r="EM160" s="518">
        <f>(EI42+EJ42+EL42+EM42)/((EM97+EH97)/2)</f>
        <v>-3.9333333333333331</v>
      </c>
      <c r="EN160" s="518">
        <f>(EJ42+EL42+EM42+EN42)/((EN97+EI97)/2)</f>
        <v>-9.2663316582914579</v>
      </c>
      <c r="EO160" s="518">
        <f>(EM42+EL42+EN42+EO42)/((EO97+EJ97)/2)</f>
        <v>5.8666666666666663</v>
      </c>
      <c r="EP160" s="521">
        <f t="shared" si="182"/>
        <v>5.8666666666666663</v>
      </c>
      <c r="EQ160" s="518">
        <f>(EM42+EN42+EO42+EQ42)/((EQ97+EL97)/2)</f>
        <v>2.4238683127572016</v>
      </c>
      <c r="ER160" s="518">
        <f>(EN42+EO42+EQ42+ER42)/((ER97+EM97)/2)</f>
        <v>1.2238267148014441</v>
      </c>
      <c r="ES160" s="518">
        <f>(EO42+EQ42+ER42+ES42)/((ES97+EN97)/2)</f>
        <v>-22.367346938775512</v>
      </c>
      <c r="ET160" s="518">
        <f>(ER42+EQ42+ES42+ET42)/((ET97+EO97)/2)</f>
        <v>-248.5</v>
      </c>
      <c r="EU160" s="521">
        <f t="shared" si="183"/>
        <v>-248.5</v>
      </c>
      <c r="EV160" s="518">
        <f>(ER42+ES42+ET42+EV42)/((EV97+EQ97)/2)</f>
        <v>9.8085106382978715</v>
      </c>
      <c r="EW160" s="518">
        <f>(ES42+ET42+EV42+EW42)/((EW97+ER97)/2)</f>
        <v>-273</v>
      </c>
      <c r="EX160" s="518">
        <f>(ET42+EV42+EW42+EX42)/((EX97+ES97)/2)</f>
        <v>-0.15248618784530388</v>
      </c>
      <c r="EY160" s="518">
        <f>(EW42+EV42+EX42+EY42)/((EY97+ET97)/2)</f>
        <v>8.3739045764362224E-2</v>
      </c>
      <c r="EZ160" s="521">
        <f t="shared" si="184"/>
        <v>8.3739045764362224E-2</v>
      </c>
      <c r="FA160" s="518">
        <f>(EW42+EX42+EY42+FA42)/((FA97+EV97)/2)</f>
        <v>0.35053380782918148</v>
      </c>
      <c r="FB160" s="518">
        <f>(EX42+EY42+FA42+FB42)/((FB97+EW97)/2)</f>
        <v>0.50771604938271608</v>
      </c>
      <c r="FC160" s="518">
        <f>(EY42+FA42+FB42+FC42)/((FC97+EX97)/2)</f>
        <v>0.43768996960486323</v>
      </c>
      <c r="FD160" s="518">
        <f>(FB42+FA42+FC42+FD42)/((FD97+EY97)/2)</f>
        <v>0.35908364411294619</v>
      </c>
      <c r="FE160" s="521">
        <f t="shared" si="185"/>
        <v>0.35908364411294619</v>
      </c>
      <c r="FF160" s="518">
        <f>(FB42+FC42+FD42+FF42)/((FF97+FA97)/2)</f>
        <v>0.21733919296843787</v>
      </c>
      <c r="FG160" s="518">
        <f>(FC42+FD42+FF42+FG42)/((FG97+FB97)/2)</f>
        <v>0.13741007194244603</v>
      </c>
      <c r="FH160" s="518">
        <f>(FD42+FF42+FG42+FH42)/((FH97+FC97)/2)</f>
        <v>0.12662829445622539</v>
      </c>
      <c r="FI160" s="518">
        <f>(FG42+FF42+FH42+FI42)/((FI97+FD97)/2)</f>
        <v>0.16662594673833375</v>
      </c>
      <c r="FJ160" s="521">
        <f t="shared" si="186"/>
        <v>0.16662594673833375</v>
      </c>
      <c r="FK160" s="518">
        <f>(FG42+FH42+FI42+FK42)/((FK97+FF97)/2)</f>
        <v>0.20186528497409326</v>
      </c>
      <c r="FL160" s="518">
        <f>(FH42+FI42+FK42+FL42)/((FL97+FG97)/2)</f>
        <v>0.2339608144448713</v>
      </c>
      <c r="FM160" s="518">
        <f>(FI42+FK42+FL42+FM42)/((FM97+FH97)/2)</f>
        <v>0.29091510838987256</v>
      </c>
      <c r="FN160" s="518">
        <f>(FL42+FK42+FM42+FN42)/((FN97+FI97)/2)</f>
        <v>0.57479224376731297</v>
      </c>
      <c r="FO160" s="521">
        <f t="shared" si="187"/>
        <v>0.57479224376731297</v>
      </c>
      <c r="FP160" s="518">
        <f>(FL42+FM42+FN42+FP42)/((FP97+FK97)/2)</f>
        <v>0.60605423586293883</v>
      </c>
      <c r="FQ160" s="518">
        <f>(FM42+FN42+FP42+FQ42)/((FQ97+FL97)/2)</f>
        <v>0.66268081002892965</v>
      </c>
      <c r="FR160" s="518">
        <f>(FN42+FP42+FQ42+FR42)/((FR97+FM97)/2)</f>
        <v>0.7214396073798055</v>
      </c>
      <c r="FS160" s="518">
        <f>(FQ42+FP42+FR42+FS42)/((FS97+FN97)/2)</f>
        <v>0.47427628618569073</v>
      </c>
      <c r="FT160" s="521">
        <f t="shared" si="188"/>
        <v>0.47427628618569073</v>
      </c>
      <c r="FU160" s="518">
        <f>(FQ42+FR42+FS42+FU42)/((FU97+FP97)/2)</f>
        <v>0.10978806018443618</v>
      </c>
      <c r="FV160" s="518">
        <f>(FR42+FS42+FU42+FV42)/((FV97+FQ97)/2)</f>
        <v>0.10058810296622425</v>
      </c>
      <c r="FW160" s="518">
        <f>(FS42+FU42+FV42+FW42)/((FW97+FR97)/2)</f>
        <v>7.3705373066571545E-2</v>
      </c>
      <c r="FX160" s="518">
        <f>(FV42+FU42+FW42+FX42)/((FX97+FS97)/2)</f>
        <v>4.2411682490722441E-2</v>
      </c>
      <c r="FY160" s="521">
        <f t="shared" si="189"/>
        <v>4.2411682490722441E-2</v>
      </c>
      <c r="FZ160" s="518">
        <f>(FV42+FW42+FX42+FZ42)/((FZ97+FU97)/2)</f>
        <v>7.1800558044843536E-3</v>
      </c>
      <c r="GA160" s="518">
        <f>(FW42+FX42+FZ42+GA42)/((GA97+FV97)/2)</f>
        <v>-4.5328860885725941E-4</v>
      </c>
      <c r="GB160" s="518">
        <f>(FX42+FZ42+GA42+GB42)/((GB97+FW97)/2)</f>
        <v>3.7986704653371322E-3</v>
      </c>
      <c r="GC160" s="518">
        <f>(GA42+FZ42+GB42+GC42)/((GC97+FX97)/2)</f>
        <v>1.5437175756042009E-2</v>
      </c>
      <c r="GD160" s="521">
        <f t="shared" si="190"/>
        <v>1.5437175756042009E-2</v>
      </c>
      <c r="GE160" s="518">
        <f>(GA42+GB42+GC42+GE42)/((GE97+FZ97)/2)</f>
        <v>2.0127691808245862E-2</v>
      </c>
      <c r="GF160" s="518">
        <f>(GB42+GC42+GE42+GF42)/((GF97+GA97)/2)</f>
        <v>2.4249153786915487E-2</v>
      </c>
      <c r="GG160" s="518">
        <f>(GC42+GD42+GF42+GG42)/((GG97+GB97)/2)</f>
        <v>4.5679067482470637E-2</v>
      </c>
      <c r="GH160" s="518">
        <f>(GF42+GE42+GG42+GH42)/((GH97+GC97)/2)</f>
        <v>2.8926493918561606E-2</v>
      </c>
      <c r="GI160" s="521">
        <f t="shared" si="191"/>
        <v>2.8926493918561606E-2</v>
      </c>
      <c r="GJ160" s="518">
        <f>(GF42+GG42+GH42+GJ42)/((GJ97+GE97)/2)</f>
        <v>3.9043119241928839E-2</v>
      </c>
      <c r="GK160" s="518">
        <f>(GG42+GH42+GJ42+GK42)/((GK97+GF97)/2)</f>
        <v>4.8776709723501115E-2</v>
      </c>
      <c r="GL160" s="518">
        <f>(GH42+GJ42+GK42+GL42)/((GL97+GG97)/2)</f>
        <v>5.6140946720441523E-2</v>
      </c>
      <c r="GM160" s="518">
        <f>(GK42+GJ42+GL42+GM42)/((GM97+GH97)/2)</f>
        <v>7.1910224190698951E-2</v>
      </c>
      <c r="GN160" s="521">
        <f t="shared" si="192"/>
        <v>7.1910224190698951E-2</v>
      </c>
      <c r="GO160" s="518">
        <f>(GK42+GL42+GM42+GO42)/((GO97+GJ97)/2)</f>
        <v>8.1884537734075516E-2</v>
      </c>
      <c r="GP160" s="518">
        <f>(GL42+GM42+GO42+GP42)/((GP97+GK97)/2)</f>
        <v>9.9464028135216237E-2</v>
      </c>
      <c r="GQ160" s="518">
        <f>(GM42+GO42+GP42+GQ42)/((GQ97+GL97)/2)</f>
        <v>0.11324547211170501</v>
      </c>
      <c r="GR160" s="518">
        <f>(GP42+GO42+GQ42+GR42)/((GR97+GM97)/2)</f>
        <v>0.14017706541307914</v>
      </c>
      <c r="GS160" s="521">
        <f t="shared" si="193"/>
        <v>0.14017706541307914</v>
      </c>
      <c r="GT160" s="518">
        <f>(GP42+GQ42+GR42+GT42)/((GT97+GO97)/2)</f>
        <v>0.17008949418473027</v>
      </c>
      <c r="GU160" s="518">
        <f>(GQ42+GR42+GT42+GU42)/((GU97+GP97)/2)</f>
        <v>0.19148953623684156</v>
      </c>
      <c r="GV160" s="518">
        <f>(GR42+GT42+GU42+GV42)/((GV97+GQ97)/2)</f>
        <v>0.21588315280209658</v>
      </c>
      <c r="GW160" s="518">
        <f>(GU42+GT42+GV42+GW42)/((GW97+GR97)/2)</f>
        <v>0.22051835539133657</v>
      </c>
      <c r="GX160" s="521">
        <f t="shared" si="194"/>
        <v>0.22051835539133657</v>
      </c>
      <c r="GY160" s="518">
        <f>(GU42+GV42+GW42+GY42)/((GY97+GT97)/2)</f>
        <v>0.22055288679116661</v>
      </c>
      <c r="GZ160" s="518">
        <f>(GV42+GW42+GY42+GZ42)/((GZ97+GU97)/2)</f>
        <v>0.21896160054460193</v>
      </c>
      <c r="HA160" s="518">
        <f>(GW42+GY42+GZ42+HA42)/((HA97+GV97)/2)</f>
        <v>0.21565819097581898</v>
      </c>
      <c r="HB160" s="518">
        <f>(GZ42+GY42+HA42+HB42)/((HB97+GW97)/2)</f>
        <v>0.21248602326740199</v>
      </c>
      <c r="HC160" s="521">
        <f t="shared" si="195"/>
        <v>0.21248602326740199</v>
      </c>
      <c r="HD160" s="518">
        <f>(GZ42+HA42+HB42+HD42)/((HD97+GY97)/2)</f>
        <v>0.20736771563917891</v>
      </c>
      <c r="HE160" s="518">
        <f>(HA42+HB42+HD42+HE42)/((HE97+GZ97)/2)</f>
        <v>0.2016201134038173</v>
      </c>
      <c r="HF160" s="518">
        <f>(HB42+HD42+HE42+HF42)/((HF97+HA97)/2)</f>
        <v>0.19572884818062145</v>
      </c>
      <c r="HG160" s="518">
        <f>(HE42+HD42+HF42+HG42)/((HG97+HB97)/2)</f>
        <v>0.18758177395941011</v>
      </c>
      <c r="HH160" s="521">
        <f t="shared" si="196"/>
        <v>0.18758177395941011</v>
      </c>
      <c r="HI160" s="518">
        <f>(HE42+HF42+HG42+HI42)/((HI97+HD97)/2)</f>
        <v>0.17821995266708862</v>
      </c>
      <c r="HJ160" s="518">
        <f>(HF42+HG42+HI42+HJ42)/((HJ97+HE97)/2)</f>
        <v>0.1703476206800271</v>
      </c>
      <c r="HK160" s="518">
        <f>(HG42+HI42+HJ42+HK42)/((HK97+HF97)/2)</f>
        <v>0.16459786887736796</v>
      </c>
      <c r="HL160" s="518">
        <f>(HJ42+HI42+HK42+HL42)/((HL97+HG97)/2)</f>
        <v>0.16023734640155579</v>
      </c>
      <c r="HM160" s="521">
        <f t="shared" si="197"/>
        <v>0.16023734640155579</v>
      </c>
      <c r="HN160" s="521"/>
      <c r="HO160" s="521"/>
      <c r="HP160" s="563"/>
      <c r="HR160" s="563"/>
      <c r="HS160" s="563"/>
      <c r="HT160" s="563"/>
      <c r="HU160" s="563"/>
      <c r="HV160" s="563"/>
      <c r="HW160" s="563"/>
      <c r="HX160" s="563"/>
    </row>
    <row r="161" spans="1:232" s="509" customFormat="1" ht="11.25" hidden="1" customHeight="1" outlineLevel="1">
      <c r="A161" s="532" t="s">
        <v>470</v>
      </c>
      <c r="L161" s="523"/>
      <c r="M161" s="523"/>
      <c r="N161" s="523"/>
      <c r="O161" s="523"/>
      <c r="P161" s="524"/>
      <c r="Q161" s="523"/>
      <c r="R161" s="523"/>
      <c r="S161" s="523"/>
      <c r="T161" s="523"/>
      <c r="U161" s="524"/>
      <c r="V161" s="523"/>
      <c r="W161" s="523"/>
      <c r="X161" s="523"/>
      <c r="Y161" s="523"/>
      <c r="Z161" s="524"/>
      <c r="AA161" s="523"/>
      <c r="AB161" s="523"/>
      <c r="AC161" s="523"/>
      <c r="AD161" s="523"/>
      <c r="AE161" s="524"/>
      <c r="AF161" s="523"/>
      <c r="AG161" s="523"/>
      <c r="AH161" s="523"/>
      <c r="AI161" s="523"/>
      <c r="AJ161" s="524"/>
      <c r="AK161" s="523" t="e">
        <f>((AG9+AH9+AI9+AK9)/((AF164+AK164)/2))*1000</f>
        <v>#DIV/0!</v>
      </c>
      <c r="AL161" s="523" t="e">
        <f>((AH9+AI9+AK9+AL9)/((AG164+AL164)/2))*1000</f>
        <v>#DIV/0!</v>
      </c>
      <c r="AM161" s="523" t="e">
        <f>((AI9+AK9+AL9+AM9)/((AH164+AM164)/2))*1000</f>
        <v>#DIV/0!</v>
      </c>
      <c r="AN161" s="523" t="e">
        <f>((AL9+AK9+AM9+AN9)/((AI164+AN164)/2))*1000</f>
        <v>#DIV/0!</v>
      </c>
      <c r="AO161" s="524" t="e">
        <f t="shared" si="161"/>
        <v>#DIV/0!</v>
      </c>
      <c r="AP161" s="523" t="e">
        <f>((AL9+AM9+AN9+AP9)/((AK164+AP164)/2))*1000</f>
        <v>#DIV/0!</v>
      </c>
      <c r="AQ161" s="523" t="e">
        <f>((AM9+AN9+AP9+AQ9)/((AL164+AQ164)/2))*1000</f>
        <v>#DIV/0!</v>
      </c>
      <c r="AR161" s="523" t="e">
        <f>((AN9+AP9+AQ9+AR9)/((AM164+AR164)/2))*1000</f>
        <v>#DIV/0!</v>
      </c>
      <c r="AS161" s="523" t="e">
        <f>((AQ9+AP9+AR9+AS9)/((AN164+AS164)/2))*1000</f>
        <v>#DIV/0!</v>
      </c>
      <c r="AT161" s="524" t="e">
        <f t="shared" si="162"/>
        <v>#DIV/0!</v>
      </c>
      <c r="AU161" s="523" t="e">
        <f>((AQ9+AR9+AS9+AU9)/((AP164+AU164)/2))*1000</f>
        <v>#DIV/0!</v>
      </c>
      <c r="AV161" s="523" t="e">
        <f>((AR9+AS9+AU9+AV9)/((AQ164+AV164)/2))*1000</f>
        <v>#DIV/0!</v>
      </c>
      <c r="AW161" s="523" t="e">
        <f>((AS9+AU9+AV9+AW9)/((AR164+AW164)/2))*1000</f>
        <v>#DIV/0!</v>
      </c>
      <c r="AX161" s="523" t="e">
        <f>((AV9+AU9+AW9+AX9)/((AS164+AX164)/2))*1000</f>
        <v>#DIV/0!</v>
      </c>
      <c r="AY161" s="524" t="e">
        <f t="shared" si="163"/>
        <v>#DIV/0!</v>
      </c>
      <c r="AZ161" s="523" t="e">
        <f>((AV9+AW9+AX9+AZ9)/((AU164+AZ164)/2))*1000</f>
        <v>#DIV/0!</v>
      </c>
      <c r="BA161" s="523" t="e">
        <f>((AW9+AX9+AZ9+BA9)/((AV164+BA164)/2))*1000</f>
        <v>#DIV/0!</v>
      </c>
      <c r="BB161" s="523" t="e">
        <f>((AX9+AZ9+BA9+BB9)/((AW164+BB164)/2))*1000</f>
        <v>#DIV/0!</v>
      </c>
      <c r="BC161" s="523" t="e">
        <f>((BA9+AZ9+BB9+BC9)/((AX164+BC164)/2))*1000</f>
        <v>#DIV/0!</v>
      </c>
      <c r="BD161" s="524" t="e">
        <f t="shared" si="164"/>
        <v>#DIV/0!</v>
      </c>
      <c r="BE161" s="523" t="e">
        <f>((BA9+BB9+BC9+BE9)/((AZ164+BE164)/2))*1000</f>
        <v>#DIV/0!</v>
      </c>
      <c r="BF161" s="523" t="e">
        <f>((BB9+BC9+BE9+BF9)/((BA164+BF164)/2))*1000</f>
        <v>#DIV/0!</v>
      </c>
      <c r="BG161" s="523" t="e">
        <f>((BC9+BE9+BF9+BG9)/((BB164+BG164)/2))*1000</f>
        <v>#DIV/0!</v>
      </c>
      <c r="BH161" s="523" t="e">
        <f>((BF9+BE9+BG9+BH9)/((BC164+BH164)/2))*1000</f>
        <v>#DIV/0!</v>
      </c>
      <c r="BI161" s="524" t="e">
        <f t="shared" si="165"/>
        <v>#DIV/0!</v>
      </c>
      <c r="BJ161" s="523" t="e">
        <f>((BF9+BG9+BH9+BJ9)/((BE164+BJ164)/2))*1000</f>
        <v>#DIV/0!</v>
      </c>
      <c r="BK161" s="523" t="e">
        <f>((BG9+BH9+BJ9+BK9)/((BF164+BK164)/2))*1000</f>
        <v>#DIV/0!</v>
      </c>
      <c r="BL161" s="523">
        <f>((BH9+BJ9+BK9+BL9)/((BG164+BL164)/2))*1000</f>
        <v>404.36635457565689</v>
      </c>
      <c r="BM161" s="523">
        <f>((BK9+BJ9+BL9+BM9)/((BH164+BM164)/2))*1000</f>
        <v>427.97723528530781</v>
      </c>
      <c r="BN161" s="524">
        <f t="shared" si="166"/>
        <v>427.97723528530781</v>
      </c>
      <c r="BO161" s="523">
        <f>((BK9+BL9+BM9+BO9)/((BJ164+BO164)/2))*1000</f>
        <v>495.30377668308699</v>
      </c>
      <c r="BP161" s="523">
        <f>((BL9+BM9+BO9+BP9)/((BK164+BP164)/2))*1000</f>
        <v>564.91120139291934</v>
      </c>
      <c r="BQ161" s="523">
        <f>((BM9+BO9+BP9+BQ9)/((BL164+BQ164)/2))*1000</f>
        <v>325.7284938344099</v>
      </c>
      <c r="BR161" s="523">
        <f>((BP9+BO9+BQ9+BR9)/((BM164+BR164)/2))*1000</f>
        <v>334.24642844290906</v>
      </c>
      <c r="BS161" s="524">
        <f t="shared" si="167"/>
        <v>334.24642844290906</v>
      </c>
      <c r="BT161" s="523">
        <f>((BP9+BQ9+BR9+BT9)/((BO164+BT164)/2))*1000</f>
        <v>335.80570902394101</v>
      </c>
      <c r="BU161" s="523">
        <f>((BQ9+BR9+BT9+BU9)/((BP164+BU164)/2))*1000</f>
        <v>315.58132446661125</v>
      </c>
      <c r="BV161" s="523">
        <f>((BR9+BT9+BU9+BV9)/((BQ164+BV164)/2))*1000</f>
        <v>282.27829606256</v>
      </c>
      <c r="BW161" s="523">
        <f>((BU9+BT9+BV9+BW9)/((BR164+BW164)/2))*1000</f>
        <v>266.6315428884626</v>
      </c>
      <c r="BX161" s="524">
        <f t="shared" si="168"/>
        <v>266.6315428884626</v>
      </c>
      <c r="BY161" s="523">
        <f>((BU9+BV9+BW9+BY9)/((BT164+BY164)/2))*1000</f>
        <v>246.24863387978141</v>
      </c>
      <c r="BZ161" s="523">
        <f>((BV9+BW9+BY9+BZ9)/((BU164+BZ164)/2))*1000</f>
        <v>223.47942258310778</v>
      </c>
      <c r="CA161" s="523">
        <f>((BW9+BY9+BZ9+CA9)/((BV164+CA164)/2))*1000</f>
        <v>208.84540007049699</v>
      </c>
      <c r="CB161" s="523">
        <f>((BZ9+BY9+CA9+CB9)/((BW164+CB164)/2))*1000</f>
        <v>195.5148066258291</v>
      </c>
      <c r="CC161" s="524">
        <f t="shared" si="169"/>
        <v>195.5148066258291</v>
      </c>
      <c r="CD161" s="523">
        <f>((BZ9+CA9+CB9+CD9)/((BY164+CD164)/2))*1000</f>
        <v>189.00478252683106</v>
      </c>
      <c r="CE161" s="523">
        <f>((CA9+CB9+CD9+CE9)/((BZ164+CE164)/2))*1000</f>
        <v>200.72077947589676</v>
      </c>
      <c r="CF161" s="523">
        <f>((CB9+CD9+CE9+CF9)/((CA164+CF164)/2))*1000</f>
        <v>217.40742082759621</v>
      </c>
      <c r="CG161" s="523">
        <f>((CE9+CD9+CF9+CG9)/((CB164+CG164)/2))*1000</f>
        <v>258.90513150634536</v>
      </c>
      <c r="CH161" s="524">
        <f t="shared" si="170"/>
        <v>258.90513150634536</v>
      </c>
      <c r="CI161" s="523">
        <f>((CE9+CF9+CG9+CI9)/((CD164+CI164)/2))*1000</f>
        <v>305.18037986632936</v>
      </c>
      <c r="CJ161" s="523">
        <f>((CF9+CG9+CI9+CJ9)/((CE164+CJ164)/2))*1000</f>
        <v>352.67648506417288</v>
      </c>
      <c r="CK161" s="523">
        <f>((CG9+CI9+CJ9+CK9)/((CF164+CK164)/2))*1000</f>
        <v>330.42491895324355</v>
      </c>
      <c r="CL161" s="523">
        <f>((CJ9+CI9+CK9+CL9)/((CG164+CL164)/2))*1000</f>
        <v>330.70618573742854</v>
      </c>
      <c r="CM161" s="524">
        <f t="shared" si="171"/>
        <v>330.70618573742854</v>
      </c>
      <c r="CN161" s="523">
        <f>((CJ9+CK9+CL9+CN9)/((CI164+CN164)/2))*1000</f>
        <v>327.16982368748768</v>
      </c>
      <c r="CO161" s="523">
        <f>((CK9+CL9+CN9+CO9)/((CJ164+CO164)/2))*1000</f>
        <v>317.97801427478964</v>
      </c>
      <c r="CP161" s="523">
        <f>((CL9+CN9+CO9+CP9)/((CK164+CP164)/2))*1000</f>
        <v>420.64592557137723</v>
      </c>
      <c r="CQ161" s="523">
        <f>((CO9+CN9+CP9+CQ9)/((CL164+CQ164)/2))*1000</f>
        <v>454.11019647433409</v>
      </c>
      <c r="CR161" s="524">
        <f t="shared" si="172"/>
        <v>454.11019647433409</v>
      </c>
      <c r="CS161" s="523">
        <f>((CO9+CP9+CQ9+CS9)/((CN164+CS164)/2))*1000</f>
        <v>451.1638499431603</v>
      </c>
      <c r="CT161" s="523">
        <f>((CP9+CQ9+CS9+CT9)/((CO164+CT164)/2))*1000</f>
        <v>427.28433534579375</v>
      </c>
      <c r="CU161" s="523">
        <f>((CQ9+CS9+CT9+CU9)/((CP164+CU164)/2))*1000</f>
        <v>540.6521595155873</v>
      </c>
      <c r="CV161" s="523">
        <f>((CT9+CS9+CU9+CV9)/((CQ164+CV164)/2))*1000</f>
        <v>429.2012612065036</v>
      </c>
      <c r="CW161" s="524">
        <f t="shared" si="173"/>
        <v>429.2012612065036</v>
      </c>
      <c r="CX161" s="523">
        <f>((CT9+CU9+CV9+CX9)/((CS164+CX164)/2))*1000</f>
        <v>541.67372633222726</v>
      </c>
      <c r="CY161" s="523">
        <f>((CU9+CV9+CX9+CY9)/((CT164+CY164)/2))*1000</f>
        <v>520.80076593416618</v>
      </c>
      <c r="CZ161" s="523">
        <f>((CV9+CX9+CY9+CZ9)/((CU164+CZ164)/2))*1000</f>
        <v>518.21862348178138</v>
      </c>
      <c r="DA161" s="523">
        <f>((CY9+CX9+CZ9+DA9)/((CV164+DA164)/2))*1000</f>
        <v>365.70976766816688</v>
      </c>
      <c r="DB161" s="524">
        <f t="shared" si="174"/>
        <v>365.70976766816688</v>
      </c>
      <c r="DC161" s="523">
        <f>((CY9+CZ9+DA9+DC9)/((CX164+DC164)/2))*1000</f>
        <v>465.71079248638438</v>
      </c>
      <c r="DD161" s="523">
        <f>((CZ9+DA9+DC9+DD9)/((CY164+DD164)/2))*1000</f>
        <v>470.42899575140052</v>
      </c>
      <c r="DE161" s="523">
        <f>((DA9+DC9+DD9+DE9)/((CZ164+DE164)/2))*1000</f>
        <v>468.26261791123301</v>
      </c>
      <c r="DF161" s="523">
        <f>((DD9+DC9+DE9+DF9)/((DA164+DF164)/2))*1000</f>
        <v>361.31105398457584</v>
      </c>
      <c r="DG161" s="524">
        <f t="shared" si="175"/>
        <v>361.31105398457584</v>
      </c>
      <c r="DH161" s="523">
        <f>((DD9+DE9+DF9+DH9)/((DC164+DH164)/2))*1000</f>
        <v>340.23136246786635</v>
      </c>
      <c r="DI161" s="523">
        <f>((DE9+DF9+DH9+DI9)/((DD164+DI164)/2))*1000</f>
        <v>345.61994609164418</v>
      </c>
      <c r="DJ161" s="523">
        <f>((DF9+DH9+DI9+DJ9)/((DE164+DJ164)/2))*1000</f>
        <v>342.48912097476062</v>
      </c>
      <c r="DK161" s="523">
        <f>((DI9+DH9+DJ9+DK9)/((DF164+DK164)/2))*1000</f>
        <v>384.55516014234877</v>
      </c>
      <c r="DL161" s="524">
        <f t="shared" si="176"/>
        <v>384.55516014234877</v>
      </c>
      <c r="DM161" s="523">
        <f>((DI9+DJ9+DK9+DM9)/((DH164+DM164)/2))*1000</f>
        <v>426.47058823529409</v>
      </c>
      <c r="DN161" s="523">
        <f>((DJ9+DK9+DM9+DN9)/((DI164+DN164)/2))*1000</f>
        <v>476.73003802281369</v>
      </c>
      <c r="DO161" s="523">
        <f>((DK9+DM9+DN9+DO9)/((DJ164+DO164)/2))*1000</f>
        <v>511.10236220472439</v>
      </c>
      <c r="DP161" s="523">
        <f>((DN9+DM9+DO9+DP9)/((DK164+DP164)/2))*1000</f>
        <v>530.12244897959181</v>
      </c>
      <c r="DQ161" s="524">
        <f t="shared" si="177"/>
        <v>530.12244897959181</v>
      </c>
      <c r="DR161" s="523">
        <f>((DN9+DO9+DP9+DR9)/((DM164+DR164)/2))*1000</f>
        <v>546.12330198537097</v>
      </c>
      <c r="DS161" s="523">
        <f>((DO9+DP9+DR9+DS9)/((DN164+DS164)/2))*1000</f>
        <v>552.80513918629549</v>
      </c>
      <c r="DT161" s="523">
        <f>((DP9+DR9+DS9+DT9)/((DO164+DT164)/2))*1000</f>
        <v>573.08452250274422</v>
      </c>
      <c r="DU161" s="523">
        <f>((DS9+DR9+DT9+DU9)/((DP164+DU164)/2))*1000</f>
        <v>591.7117117117117</v>
      </c>
      <c r="DV161" s="524">
        <f t="shared" si="178"/>
        <v>591.7117117117117</v>
      </c>
      <c r="DW161" s="523">
        <f>((DS9+DT9+DU9+DW9)/((DR164+DW164)/2))*1000</f>
        <v>589.18918918918916</v>
      </c>
      <c r="DX161" s="523">
        <f>((DT9+DU9+DW9+DX9)/((DS164+DX164)/2))*1000</f>
        <v>574.68468468468473</v>
      </c>
      <c r="DY161" s="523">
        <f>((DU9+DW9+DX9+DY9)/((DT164+DY164)/2))*1000</f>
        <v>536.75675675675666</v>
      </c>
      <c r="DZ161" s="523">
        <f>((DX9+DW9+DY9+DZ9)/((DU164+DZ164)/2))*1000</f>
        <v>502.03703703703707</v>
      </c>
      <c r="EA161" s="524">
        <f t="shared" si="179"/>
        <v>502.03703703703707</v>
      </c>
      <c r="EB161" s="523">
        <f>((DX9+DY9+DZ9+EB9)/((DW164+EB164)/2))*1000</f>
        <v>470.30175706646293</v>
      </c>
      <c r="EC161" s="523">
        <f>((DY9+DZ9+EB9+EC9)/((DX164+EC164)/2))*1000</f>
        <v>445.32860018821401</v>
      </c>
      <c r="ED161" s="523">
        <f>((DZ9+EB9+EC9+ED9)/((DY164+ED164)/2))*1000</f>
        <v>462.68337335647539</v>
      </c>
      <c r="EE161" s="523">
        <f>((EC9+EB9+ED9+EE9)/((DZ164+EE164)/2))*1000</f>
        <v>500.59043030560667</v>
      </c>
      <c r="EF161" s="524">
        <f t="shared" si="180"/>
        <v>500.59043030560667</v>
      </c>
      <c r="EG161" s="523">
        <f>((EC9+ED9+EE9+EG9)/((EB164+EG164)/2))*1000</f>
        <v>546.7219107969778</v>
      </c>
      <c r="EH161" s="523">
        <f>((ED9+EE9+EG9+EH9)/((EC164+EH164)/2))*1000</f>
        <v>572.82533351169263</v>
      </c>
      <c r="EI161" s="523">
        <f>((EE9+EG9+EH9+EI9)/((ED164+EI164)/2))*1000</f>
        <v>568.52989005121231</v>
      </c>
      <c r="EJ161" s="523">
        <f>((EH9+EG9+EI9+EJ9)/((EE164+EJ164)/2))*1000</f>
        <v>540.57238230818314</v>
      </c>
      <c r="EK161" s="524">
        <f t="shared" si="181"/>
        <v>540.57238230818314</v>
      </c>
      <c r="EL161" s="523">
        <f>((EH9+EI9+EJ9+EL9)/((EG164+EL164)/2))*1000</f>
        <v>504.54076873987532</v>
      </c>
      <c r="EM161" s="523">
        <f>((EI9+EJ9+EL9+EM9)/((EH164+EM164)/2))*1000</f>
        <v>455.54955574100438</v>
      </c>
      <c r="EN161" s="523">
        <f>((EJ9+EL9+EM9+EN9)/((EI164+EN164)/2))*1000</f>
        <v>419.41976338913162</v>
      </c>
      <c r="EO161" s="523">
        <f>((EM9+EL9+EN9+EO9)/((EJ164+EO164)/2))*1000</f>
        <v>424.57446808510639</v>
      </c>
      <c r="EP161" s="524">
        <f t="shared" si="182"/>
        <v>424.57446808510639</v>
      </c>
      <c r="EQ161" s="523">
        <f>((EM9+EN9+EO9+EQ9)/((EL164+EQ164)/2))*1000</f>
        <v>403.51063829787233</v>
      </c>
      <c r="ER161" s="523">
        <f>((EN9+EO9+EQ9+ER9)/((EM164+ER164)/2))*1000</f>
        <v>412.55319148936172</v>
      </c>
      <c r="ES161" s="523">
        <f>((EO9+EQ9+ER9+ES9)/((EN164+ES164)/2))*1000</f>
        <v>438.72340425531911</v>
      </c>
      <c r="ET161" s="523">
        <f>((ER9+EQ9+ES9+ET9)/((EO164+ET164)/2))*1000</f>
        <v>493.87283236994216</v>
      </c>
      <c r="EU161" s="524">
        <f t="shared" si="183"/>
        <v>493.87283236994216</v>
      </c>
      <c r="EV161" s="523">
        <f>((ER9+ES9+ET9+EV9)/((EQ164+EV164)/2))*1000</f>
        <v>511.4450867052023</v>
      </c>
      <c r="EW161" s="523">
        <f>((ES9+ET9+EV9+EW9)/((ER164+EW164)/2))*1000</f>
        <v>533.98843930635837</v>
      </c>
      <c r="EX161" s="523">
        <f>((ET9+EV9+EW9+EX9)/((ES164+EX164)/2))*1000</f>
        <v>572.83236994219658</v>
      </c>
      <c r="EY161" s="523">
        <f>((EW9+EV9+EX9+EY9)/((ET164+EY164)/2))*1000</f>
        <v>623.27485380116957</v>
      </c>
      <c r="EZ161" s="524">
        <f t="shared" si="184"/>
        <v>623.27485380116957</v>
      </c>
      <c r="FA161" s="523">
        <f>((EW9+EX9+EY9+FA9)/((EV164+FA164)/2))*1000</f>
        <v>700.81871345029242</v>
      </c>
      <c r="FB161" s="523">
        <f>((EX9+EY9+FA9+FB9)/((EW164+FB164)/2))*1000</f>
        <v>763.27485380116957</v>
      </c>
      <c r="FC161" s="523">
        <f>((EY9+FA9+FB9+FC9)/((EX164+FC164)/2))*1000</f>
        <v>764.44444444444446</v>
      </c>
      <c r="FD161" s="523">
        <f>((FB9+FA9+FC9+FD9)/((EY164+FD164)/2))*1000</f>
        <v>681.57894736842104</v>
      </c>
      <c r="FE161" s="524">
        <f t="shared" si="185"/>
        <v>681.57894736842104</v>
      </c>
      <c r="FF161" s="523">
        <f>((FB9+FC9+FD9+FF9)/((FA164+FF164)/2))*1000</f>
        <v>642.10526315789468</v>
      </c>
      <c r="FG161" s="523">
        <f>((FC9+FD9+FF9+FG9)/((FB164+FG164)/2))*1000</f>
        <v>618.42105263157896</v>
      </c>
      <c r="FH161" s="523">
        <f>((FD9+FF9+FG9+FH9)/((FC164+FH164)/2))*1000</f>
        <v>634</v>
      </c>
      <c r="FI161" s="523">
        <f>((FG9+FF9+FH9+FI9)/((FD164+FI164)/2))*1000</f>
        <v>666.4356435643565</v>
      </c>
      <c r="FJ161" s="524">
        <f t="shared" si="186"/>
        <v>666.4356435643565</v>
      </c>
      <c r="FK161" s="523">
        <f>((FG9+FH9+FI9+FK9)/((FF164+FK164)/2))*1000</f>
        <v>717.32673267326732</v>
      </c>
      <c r="FL161" s="523">
        <f>((FH9+FI9+FK9+FL9)/((FG164+FL164)/2))*1000</f>
        <v>757.02970297029708</v>
      </c>
      <c r="FM161" s="523">
        <f>((FI9+FK9+FL9+FM9)/((FH164+FM164)/2))*1000</f>
        <v>856.03960396039599</v>
      </c>
      <c r="FN161" s="523">
        <f>((FL9+FK9+FM9+FN9)/((FI164+FN164)/2))*1000</f>
        <v>966.63366336633658</v>
      </c>
      <c r="FO161" s="524">
        <f t="shared" si="187"/>
        <v>966.63366336633658</v>
      </c>
      <c r="FP161" s="523">
        <f>((FL9+FM9+FN9+FP9)/((FK164+FP164)/2))*1000</f>
        <v>1130.8910891089108</v>
      </c>
      <c r="FQ161" s="523">
        <f>((FM9+FN9+FP9+FQ9)/((FL164+FQ164)/2))*1000</f>
        <v>1320.7920792079208</v>
      </c>
      <c r="FR161" s="523">
        <f>((FN9+FP9+FQ9+FR9)/((FM164+FR164)/2))*1000</f>
        <v>1470.4950495049504</v>
      </c>
      <c r="FS161" s="523">
        <f>((FQ9+FP9+FR9+FS9)/((FN164+FS164)/2))*1000</f>
        <v>1627.128712871287</v>
      </c>
      <c r="FT161" s="524">
        <f t="shared" si="188"/>
        <v>1627.128712871287</v>
      </c>
      <c r="FU161" s="523">
        <f>((FQ9+FR9+FS9+FU9)/((FP164+FU164)/2))*1000</f>
        <v>1868.9108910891091</v>
      </c>
      <c r="FV161" s="523">
        <f>((FR9+FS9+FU9+FV9)/((FQ164+FV164)/2))*1000</f>
        <v>2136.2376237623762</v>
      </c>
      <c r="FW161" s="523">
        <f>((FS9+FU9+FV9+FW9)/((FR164+FW164)/2))*1000</f>
        <v>2260.1980198019801</v>
      </c>
      <c r="FX161" s="523">
        <f>((FV9+FU9+FW9+FX9)/((FS164+FX164)/2))*1000</f>
        <v>2336.7326732673268</v>
      </c>
      <c r="FY161" s="524">
        <f t="shared" si="189"/>
        <v>2336.7326732673268</v>
      </c>
      <c r="FZ161" s="523">
        <f>((FV9+FW9+FX9+FZ9)/((FU164+FZ164)/2))*1000</f>
        <v>2283.8613861386139</v>
      </c>
      <c r="GA161" s="523">
        <f>((FW9+FX9+FZ9+GA9)/((FV164+GA164)/2))*1000</f>
        <v>2165.9405940594061</v>
      </c>
      <c r="GB161" s="523">
        <f>((FX9+FZ9+GA9+GB9)/((FW164+GB164)/2))*1000</f>
        <v>2189.2079207920792</v>
      </c>
      <c r="GC161" s="523">
        <f>((GA9+FZ9+GB9+GC9)/((FX164+GC164)/2))*1000</f>
        <v>2245.5445544554459</v>
      </c>
      <c r="GD161" s="524">
        <f t="shared" si="190"/>
        <v>2245.5445544554459</v>
      </c>
      <c r="GE161" s="523">
        <f>((GA9+GB9+GC9+GE9)/((FZ164+GE164)/2))*1000</f>
        <v>2257.4257425742571</v>
      </c>
      <c r="GF161" s="523">
        <f>((GB9+GC9+GE9+GF9)/((GA164+GF164)/2))*1000</f>
        <v>2304.5544554455446</v>
      </c>
      <c r="GG161" s="523">
        <f>((GC9+GD9+GF9+GG9)/((GB164+GG164)/2))*1000</f>
        <v>4109.1089108910892</v>
      </c>
      <c r="GH161" s="523">
        <f>((GF9+GE9+GG9+GH9)/((GC164+GH164)/2))*1000</f>
        <v>2552.9702970297026</v>
      </c>
      <c r="GI161" s="524">
        <f t="shared" si="191"/>
        <v>2552.9702970297026</v>
      </c>
      <c r="GJ161" s="523">
        <f>((GF9+GG9+GH9+GJ9)/((GE164+GJ164)/2))*1000</f>
        <v>2747.5247524752476</v>
      </c>
      <c r="GK161" s="523">
        <f>((GG9+GH9+GJ9+GK9)/((GF164+GK164)/2))*1000</f>
        <v>2930.6930693069307</v>
      </c>
      <c r="GL161" s="523">
        <f>((GH9+GJ9+GK9+GL9)/((GG164+GL164)/2))*1000</f>
        <v>3170.9900990099009</v>
      </c>
      <c r="GM161" s="523">
        <f>((GK9+GJ9+GL9+GM9)/((GH164+GM164)/2))*1000</f>
        <v>3429.6039603960398</v>
      </c>
      <c r="GN161" s="524">
        <f t="shared" si="192"/>
        <v>3429.6039603960398</v>
      </c>
      <c r="GO161" s="523">
        <f>((GK9+GL9+GM9+GO9)/((GJ164+GO164)/2))*1000</f>
        <v>3708.3168316831684</v>
      </c>
      <c r="GP161" s="523">
        <f>((GL9+GM9+GO9+GP9)/((GK164+GP164)/2))*1000</f>
        <v>4058.5657732046352</v>
      </c>
      <c r="GQ161" s="523">
        <f>((GM9+GO9+GP9+GQ9)/((GL164+GQ164)/2))*1000</f>
        <v>4330.6073607297603</v>
      </c>
      <c r="GR161" s="523">
        <f>((GP9+GO9+GQ9+GR9)/((GM164+GR164)/2))*1000</f>
        <v>4916.9019800712831</v>
      </c>
      <c r="GS161" s="524">
        <f t="shared" si="193"/>
        <v>4916.9019800712831</v>
      </c>
      <c r="GT161" s="523">
        <f>((GP9+GQ9+GR9+GT9)/((GO164+GT164)/2))*1000</f>
        <v>5627.9747679817256</v>
      </c>
      <c r="GU161" s="523">
        <f>((GQ9+GR9+GT9+GU9)/((GP164+GU164)/2))*1000</f>
        <v>6418.9653743047566</v>
      </c>
      <c r="GV161" s="523">
        <f>((GR9+GT9+GU9+GV9)/((GQ164+GV164)/2))*1000</f>
        <v>7423.1446960361818</v>
      </c>
      <c r="GW161" s="523">
        <f>((GU9+GT9+GV9+GW9)/((GR164+GW164)/2))*1000</f>
        <v>8247.5934288218414</v>
      </c>
      <c r="GX161" s="524">
        <f t="shared" si="194"/>
        <v>8247.5934288218414</v>
      </c>
      <c r="GY161" s="523">
        <f>((GU9+GV9+GW9+GY9)/((GT164+GY164)/2))*1000</f>
        <v>8891.8145141553705</v>
      </c>
      <c r="GZ161" s="523">
        <f>((GV9+GW9+GY9+GZ9)/((GU164+GZ164)/2))*1000</f>
        <v>9468.2074044022556</v>
      </c>
      <c r="HA161" s="523">
        <f>((GW9+GY9+GZ9+HA9)/((GV164+HA164)/2))*1000</f>
        <v>9937.1280106180275</v>
      </c>
      <c r="HB161" s="523">
        <f>((GZ9+GY9+HA9+HB9)/((GW164+HB164)/2))*1000</f>
        <v>10356.294070330528</v>
      </c>
      <c r="HC161" s="524">
        <f t="shared" si="195"/>
        <v>10356.294070330528</v>
      </c>
      <c r="HD161" s="523">
        <f>((GZ9+HA9+HB9+HD9)/((GY164+HD164)/2))*1000</f>
        <v>10775.610567415188</v>
      </c>
      <c r="HE161" s="523">
        <f>((HA9+HB9+HD9+HE9)/((GZ164+HE164)/2))*1000</f>
        <v>11205.827720114536</v>
      </c>
      <c r="HF161" s="523">
        <f>((HB9+HD9+HE9+HF9)/((HA164+HF164)/2))*1000</f>
        <v>11685.451409303345</v>
      </c>
      <c r="HG161" s="523">
        <f>((HE9+HD9+HF9+HG9)/((HB164+HG164)/2))*1000</f>
        <v>12117.346633720646</v>
      </c>
      <c r="HH161" s="524">
        <f t="shared" si="196"/>
        <v>12117.346633720646</v>
      </c>
      <c r="HI161" s="523">
        <f>((HE9+HF9+HG9+HI9)/((HD164+HI164)/2))*1000</f>
        <v>12467.548282911846</v>
      </c>
      <c r="HJ161" s="523">
        <f>((HF9+HG9+HI9+HJ9)/((HE164+HJ164)/2))*1000</f>
        <v>12831.573762781218</v>
      </c>
      <c r="HK161" s="523">
        <f>((HG9+HI9+HJ9+HK9)/((HF164+HK164)/2))*1000</f>
        <v>13287.557077952652</v>
      </c>
      <c r="HL161" s="523">
        <f>((HJ9+HI9+HK9+HL9)/((HG164+HL164)/2))*1000</f>
        <v>13771.020627996353</v>
      </c>
      <c r="HM161" s="524">
        <f t="shared" si="197"/>
        <v>13771.020627996353</v>
      </c>
      <c r="HN161" s="524"/>
      <c r="HO161" s="524"/>
      <c r="HP161" s="563"/>
      <c r="HR161" s="563"/>
      <c r="HS161" s="563"/>
      <c r="HT161" s="563"/>
      <c r="HU161" s="563"/>
      <c r="HV161" s="563"/>
      <c r="HW161" s="563"/>
      <c r="HX161" s="563"/>
    </row>
    <row r="162" spans="1:232" s="509" customFormat="1" ht="11.25" hidden="1" customHeight="1" outlineLevel="1">
      <c r="A162" s="532" t="s">
        <v>471</v>
      </c>
      <c r="L162" s="523"/>
      <c r="M162" s="523"/>
      <c r="N162" s="523"/>
      <c r="O162" s="523"/>
      <c r="P162" s="524"/>
      <c r="Q162" s="523"/>
      <c r="R162" s="523"/>
      <c r="S162" s="523"/>
      <c r="T162" s="523"/>
      <c r="U162" s="524"/>
      <c r="V162" s="523"/>
      <c r="W162" s="523"/>
      <c r="X162" s="523"/>
      <c r="Y162" s="523"/>
      <c r="Z162" s="524"/>
      <c r="AA162" s="523"/>
      <c r="AB162" s="523"/>
      <c r="AC162" s="523"/>
      <c r="AD162" s="523"/>
      <c r="AE162" s="524"/>
      <c r="AF162" s="523"/>
      <c r="AG162" s="523"/>
      <c r="AH162" s="523"/>
      <c r="AI162" s="523"/>
      <c r="AJ162" s="524"/>
      <c r="AK162" s="523" t="e">
        <f>((AG42+AH42+AI42+AK42)/((AF164+AK164)/2))*1000</f>
        <v>#DIV/0!</v>
      </c>
      <c r="AL162" s="523" t="e">
        <f>((AH42+AI42+AK42+AL42)/((AG164+AL164)/2))*1000</f>
        <v>#DIV/0!</v>
      </c>
      <c r="AM162" s="523" t="e">
        <f>((AI42+AK42+AL42+AM42)/((AH164+AM164)/2))*1000</f>
        <v>#DIV/0!</v>
      </c>
      <c r="AN162" s="523" t="e">
        <f>((AL42+AK42+AM42+AN42)/((AI164+AN164)/2))*1000</f>
        <v>#DIV/0!</v>
      </c>
      <c r="AO162" s="524" t="e">
        <f t="shared" si="161"/>
        <v>#DIV/0!</v>
      </c>
      <c r="AP162" s="523" t="e">
        <f>((AL42+AM42+AN42+AP42)/((AK164+AP164)/2))*1000</f>
        <v>#DIV/0!</v>
      </c>
      <c r="AQ162" s="523" t="e">
        <f>((AM42+AN42+AP42+AQ42)/((AL164+AQ164)/2))*1000</f>
        <v>#DIV/0!</v>
      </c>
      <c r="AR162" s="523" t="e">
        <f>((AN42+AP42+AQ42+AR42)/((AM164+AR164)/2))*1000</f>
        <v>#DIV/0!</v>
      </c>
      <c r="AS162" s="523" t="e">
        <f>((AQ42+AP42+AR42+AS42)/((AN164+AS164)/2))*1000</f>
        <v>#DIV/0!</v>
      </c>
      <c r="AT162" s="524" t="e">
        <f t="shared" si="162"/>
        <v>#DIV/0!</v>
      </c>
      <c r="AU162" s="523" t="e">
        <f>((AQ42+AR42+AS42+AU42)/((AP164+AU164)/2))*1000</f>
        <v>#DIV/0!</v>
      </c>
      <c r="AV162" s="523" t="e">
        <f>((AR42+AS42+AU42+AV42)/((AQ164+AV164)/2))*1000</f>
        <v>#DIV/0!</v>
      </c>
      <c r="AW162" s="523" t="e">
        <f>((AS42+AU42+AV42+AW42)/((AR164+AW164)/2))*1000</f>
        <v>#DIV/0!</v>
      </c>
      <c r="AX162" s="523" t="e">
        <f>((AV42+AU42+AW42+AX42)/((AS164+AX164)/2))*1000</f>
        <v>#DIV/0!</v>
      </c>
      <c r="AY162" s="524" t="e">
        <f t="shared" si="163"/>
        <v>#DIV/0!</v>
      </c>
      <c r="AZ162" s="523" t="e">
        <f>((AV42+AW42+AX42+AZ42)/((AU164+AZ164)/2))*1000</f>
        <v>#DIV/0!</v>
      </c>
      <c r="BA162" s="523" t="e">
        <f>((AW42+AX42+AZ42+BA42)/((AV164+BA164)/2))*1000</f>
        <v>#DIV/0!</v>
      </c>
      <c r="BB162" s="523" t="e">
        <f>((AX42+AZ42+BA42+BB42)/((AW164+BB164)/2))*1000</f>
        <v>#DIV/0!</v>
      </c>
      <c r="BC162" s="523" t="e">
        <f>((BA42+AZ42+BB42+BC42)/((AX164+BC164)/2))*1000</f>
        <v>#DIV/0!</v>
      </c>
      <c r="BD162" s="524" t="e">
        <f t="shared" si="164"/>
        <v>#DIV/0!</v>
      </c>
      <c r="BE162" s="523" t="e">
        <f>((BA42+BB42+BC42+BE42)/((AZ164+BE164)/2))*1000</f>
        <v>#DIV/0!</v>
      </c>
      <c r="BF162" s="523" t="e">
        <f>((BB42+BC42+BE42+BF42)/((BA164+BF164)/2))*1000</f>
        <v>#DIV/0!</v>
      </c>
      <c r="BG162" s="523" t="e">
        <f>((BC42+BE42+BF42+BG42)/((BB164+BG164)/2))*1000</f>
        <v>#DIV/0!</v>
      </c>
      <c r="BH162" s="523" t="e">
        <f>((BF42+BE42+BG42+BH42)/((BC164+BH164)/2))*1000</f>
        <v>#DIV/0!</v>
      </c>
      <c r="BI162" s="524" t="e">
        <f t="shared" si="165"/>
        <v>#DIV/0!</v>
      </c>
      <c r="BJ162" s="523" t="e">
        <f>((BF42+BG42+BH42+BJ42)/((BE164+BJ164)/2))*1000</f>
        <v>#DIV/0!</v>
      </c>
      <c r="BK162" s="523" t="e">
        <f>((BG42+BH42+BJ42+BK42)/((BF164+BK164)/2))*1000</f>
        <v>#DIV/0!</v>
      </c>
      <c r="BL162" s="523">
        <f>((BH42+BJ42+BK42+BL42)/((BG164+BL164)/2))*1000</f>
        <v>-19.887496224705501</v>
      </c>
      <c r="BM162" s="523">
        <f>((BK42+BJ42+BL42+BM42)/((BH164+BM164)/2))*1000</f>
        <v>-13.319754380709881</v>
      </c>
      <c r="BN162" s="524">
        <f t="shared" si="166"/>
        <v>-13.319754380709881</v>
      </c>
      <c r="BO162" s="523">
        <f>((BK42+BL42+BM42+BO42)/((BJ164+BO164)/2))*1000</f>
        <v>34.151365875503807</v>
      </c>
      <c r="BP162" s="523">
        <f>((BL42+BM42+BO42+BP42)/((BK164+BP164)/2))*1000</f>
        <v>51.657864190365615</v>
      </c>
      <c r="BQ162" s="523">
        <f>((BM42+BO42+BP42+BQ42)/((BL164+BQ164)/2))*1000</f>
        <v>63.868027011156762</v>
      </c>
      <c r="BR162" s="523">
        <f>((BP42+BO42+BQ42+BR42)/((BM164+BR164)/2))*1000</f>
        <v>70.749289287127993</v>
      </c>
      <c r="BS162" s="524">
        <f t="shared" si="167"/>
        <v>70.749289287127993</v>
      </c>
      <c r="BT162" s="523">
        <f>((BP42+BQ42+BR42+BT42)/((BO164+BT164)/2))*1000</f>
        <v>65.059781838787359</v>
      </c>
      <c r="BU162" s="523">
        <f>((BQ42+BR42+BT42+BU42)/((BP164+BU164)/2))*1000</f>
        <v>50.479634247714053</v>
      </c>
      <c r="BV162" s="523">
        <f>((BR42+BT42+BU42+BV42)/((BQ164+BV164)/2))*1000</f>
        <v>9.1390451365070948</v>
      </c>
      <c r="BW162" s="523">
        <f>((BU42+BT42+BV42+BW42)/((BR164+BW164)/2))*1000</f>
        <v>-4.1505206906001373</v>
      </c>
      <c r="BX162" s="524">
        <f t="shared" si="168"/>
        <v>-4.1505206906001373</v>
      </c>
      <c r="BY162" s="523">
        <f>((BU42+BV42+BW42+BY42)/((BT164+BY164)/2))*1000</f>
        <v>-13.291051912568285</v>
      </c>
      <c r="BZ162" s="523">
        <f>((BV42+BW42+BY42+BZ42)/((BU164+BZ164)/2))*1000</f>
        <v>-27.543271566382106</v>
      </c>
      <c r="CA162" s="523">
        <f>((BW42+BY42+BZ42+CA42)/((BV164+CA164)/2))*1000</f>
        <v>-32.718646457525566</v>
      </c>
      <c r="CB162" s="523">
        <f>((BZ42+BY42+CA42+CB42)/((BW164+CB164)/2))*1000</f>
        <v>-94.458806045887869</v>
      </c>
      <c r="CC162" s="524">
        <f t="shared" si="169"/>
        <v>-94.458806045887869</v>
      </c>
      <c r="CD162" s="523">
        <f>((BZ42+CA42+CB42+CD42)/((BY164+CD164)/2))*1000</f>
        <v>-108.46959141404633</v>
      </c>
      <c r="CE162" s="523">
        <f>((CA42+CB42+CD42+CE42)/((BZ164+CE164)/2))*1000</f>
        <v>-109.64232114092644</v>
      </c>
      <c r="CF162" s="523">
        <f>((CB42+CD42+CE42+CF42)/((CA164+CF164)/2))*1000</f>
        <v>-84.964345242408882</v>
      </c>
      <c r="CG162" s="523">
        <f>((CE42+CD42+CF42+CG42)/((CB164+CG164)/2))*1000</f>
        <v>-20.19422475629943</v>
      </c>
      <c r="CH162" s="524">
        <f t="shared" si="170"/>
        <v>-20.19422475629943</v>
      </c>
      <c r="CI162" s="523">
        <f>((CE42+CF42+CG42+CI42)/((CD164+CI164)/2))*1000</f>
        <v>-6.2714194011252458</v>
      </c>
      <c r="CJ162" s="523">
        <f>((CF42+CG42+CI42+CJ42)/((CE164+CJ164)/2))*1000</f>
        <v>6.7567485707795445</v>
      </c>
      <c r="CK162" s="523">
        <f>((CG42+CI42+CJ42+CK42)/((CF164+CK164)/2))*1000</f>
        <v>10.983055379165139</v>
      </c>
      <c r="CL162" s="523">
        <f>((CJ42+CI42+CK42+CL42)/((CG164+CL164)/2))*1000</f>
        <v>6.0274407379244268</v>
      </c>
      <c r="CM162" s="524">
        <f t="shared" si="171"/>
        <v>6.0274407379244268</v>
      </c>
      <c r="CN162" s="523">
        <f>((CJ42+CK42+CL42+CN42)/((CI164+CN164)/2))*1000</f>
        <v>1.8773022219309212</v>
      </c>
      <c r="CO162" s="523">
        <f>((CK42+CL42+CN42+CO42)/((CJ164+CO164)/2))*1000</f>
        <v>0.49585776191689834</v>
      </c>
      <c r="CP162" s="523">
        <f>((CL42+CN42+CO42+CP42)/((CK164+CP164)/2))*1000</f>
        <v>3.1855929161182326</v>
      </c>
      <c r="CQ162" s="523">
        <f>((CO42+CN42+CP42+CQ42)/((CL164+CQ164)/2))*1000</f>
        <v>12.851052263726023</v>
      </c>
      <c r="CR162" s="524">
        <f t="shared" si="172"/>
        <v>12.851052263726023</v>
      </c>
      <c r="CS162" s="523">
        <f>((CO42+CP42+CQ42+CS42)/((CN164+CS164)/2))*1000</f>
        <v>27.846153846153843</v>
      </c>
      <c r="CT162" s="523">
        <f>((CP42+CQ42+CS42+CT42)/((CO164+CT164)/2))*1000</f>
        <v>32.172228046708362</v>
      </c>
      <c r="CU162" s="523">
        <f>((CQ42+CS42+CT42+CU42)/((CP164+CU164)/2))*1000</f>
        <v>47.628837693362975</v>
      </c>
      <c r="CV162" s="523">
        <f>((CT42+CS42+CU42+CV42)/((CQ164+CV164)/2))*1000</f>
        <v>-12.549384592007309</v>
      </c>
      <c r="CW162" s="524">
        <f t="shared" si="173"/>
        <v>-12.549384592007309</v>
      </c>
      <c r="CX162" s="523">
        <f>((CT42+CU42+CV42+CX42)/((CS164+CX164)/2))*1000</f>
        <v>-93.76332227210618</v>
      </c>
      <c r="CY162" s="523">
        <f>((CU42+CV42+CX42+CY42)/((CT164+CY164)/2))*1000</f>
        <v>-150.40995714415976</v>
      </c>
      <c r="CZ162" s="523">
        <f>((CV42+CX42+CY42+CZ42)/((CU164+CZ164)/2))*1000</f>
        <v>-187.7854251012146</v>
      </c>
      <c r="DA162" s="523">
        <f>((CY42+CX42+CZ42+DA42)/((CV164+DA164)/2))*1000</f>
        <v>-205.51027855492032</v>
      </c>
      <c r="DB162" s="524">
        <f t="shared" si="174"/>
        <v>-205.51027855492032</v>
      </c>
      <c r="DC162" s="523">
        <f>((CY42+CZ42+DA42+DC42)/((CX164+DC164)/2))*1000</f>
        <v>-231.6327664777148</v>
      </c>
      <c r="DD162" s="523">
        <f>((CZ42+DA42+DC42+DD42)/((CY164+DD164)/2))*1000</f>
        <v>-210.17407978343422</v>
      </c>
      <c r="DE162" s="523">
        <f>((DA42+DC42+DD42+DE42)/((CZ164+DE164)/2))*1000</f>
        <v>-178.58619264158742</v>
      </c>
      <c r="DF162" s="523">
        <f>((DD42+DC42+DE42+DF42)/((DA164+DF164)/2))*1000</f>
        <v>-129.69151670951157</v>
      </c>
      <c r="DG162" s="524">
        <f t="shared" si="175"/>
        <v>-129.69151670951157</v>
      </c>
      <c r="DH162" s="523">
        <f>((DD42+DE42+DF42+DH42)/((DC164+DH164)/2))*1000</f>
        <v>-132.90488431876608</v>
      </c>
      <c r="DI162" s="523">
        <f>((DE42+DF42+DH42+DI42)/((DD164+DI164)/2))*1000</f>
        <v>-142.11590296495956</v>
      </c>
      <c r="DJ162" s="523">
        <f>((DF42+DH42+DI42+DJ42)/((DE164+DJ164)/2))*1000</f>
        <v>-155.822454308094</v>
      </c>
      <c r="DK162" s="523">
        <f>((DI42+DH42+DJ42+DK42)/((DF164+DK164)/2))*1000</f>
        <v>26.97508896797153</v>
      </c>
      <c r="DL162" s="524">
        <f t="shared" si="176"/>
        <v>26.97508896797153</v>
      </c>
      <c r="DM162" s="523">
        <f>((DI42+DJ42+DK42+DM42)/((DH164+DM164)/2))*1000</f>
        <v>76.764705882352942</v>
      </c>
      <c r="DN162" s="523">
        <f>((DJ42+DK42+DM42+DN42)/((DI164+DN164)/2))*1000</f>
        <v>99.695817490494292</v>
      </c>
      <c r="DO162" s="523">
        <f>((DK42+DM42+DN42+DO42)/((DJ164+DO164)/2))*1000</f>
        <v>102.28346456692913</v>
      </c>
      <c r="DP162" s="523">
        <f>((DN42+DM42+DO42+DP42)/((DK164+DP164)/2))*1000</f>
        <v>38.448979591836732</v>
      </c>
      <c r="DQ162" s="524">
        <f t="shared" si="177"/>
        <v>38.448979591836732</v>
      </c>
      <c r="DR162" s="523">
        <f>((DN42+DO42+DP42+DR42)/((DM164+DR164)/2))*1000</f>
        <v>60.522466039707425</v>
      </c>
      <c r="DS162" s="523">
        <f>((DO42+DP42+DR42+DS42)/((DN164+DS164)/2))*1000</f>
        <v>70.920770877944321</v>
      </c>
      <c r="DT162" s="523">
        <f>((DP42+DR42+DS42+DT42)/((DO164+DT164)/2))*1000</f>
        <v>91.591657519209647</v>
      </c>
      <c r="DU162" s="523">
        <f>((DS42+DR42+DT42+DU42)/((DP164+DU164)/2))*1000</f>
        <v>44.234234234234236</v>
      </c>
      <c r="DV162" s="524">
        <f t="shared" si="178"/>
        <v>44.234234234234236</v>
      </c>
      <c r="DW162" s="523">
        <f>((DS42+DT42+DU42+DW42)/((DR164+DW164)/2))*1000</f>
        <v>-54.864864864864863</v>
      </c>
      <c r="DX162" s="523">
        <f>((DT42+DU42+DW42+DX42)/((DS164+DX164)/2))*1000</f>
        <v>-57.027027027027025</v>
      </c>
      <c r="DY162" s="523">
        <f>((DU42+DW42+DX42+DY42)/((DT164+DY164)/2))*1000</f>
        <v>-79.909909909909913</v>
      </c>
      <c r="DZ162" s="523">
        <f>((DX42+DW42+DY42+DZ42)/((DU164+DZ164)/2))*1000</f>
        <v>-109.53703703703704</v>
      </c>
      <c r="EA162" s="524">
        <f t="shared" si="179"/>
        <v>-109.53703703703704</v>
      </c>
      <c r="EB162" s="523">
        <f>((DX42+DY42+DZ42+EB42)/((DW164+EB164)/2))*1000</f>
        <v>-70.569136745607324</v>
      </c>
      <c r="EC162" s="523">
        <f>((DY42+DZ42+EB42+EC42)/((DX164+EC164)/2))*1000</f>
        <v>-81.003490297449574</v>
      </c>
      <c r="ED162" s="523">
        <f>((DZ42+EB42+EC42+ED42)/((DY164+ED164)/2))*1000</f>
        <v>-61.342399961958201</v>
      </c>
      <c r="EE162" s="523">
        <f>((EC42+EB42+ED42+EE42)/((DZ164+EE164)/2))*1000</f>
        <v>-7.8409144584573234</v>
      </c>
      <c r="EF162" s="524">
        <f t="shared" si="180"/>
        <v>-7.8409144584573234</v>
      </c>
      <c r="EG162" s="523">
        <f>((EC42+ED42+EE42+EG42)/((EB164+EG164)/2))*1000</f>
        <v>4.1920545941993668</v>
      </c>
      <c r="EH162" s="523">
        <f>((ED42+EE42+EG42+EH42)/((EC164+EH164)/2))*1000</f>
        <v>7.8802398122362618</v>
      </c>
      <c r="EI162" s="523">
        <f>((EE42+EG42+EH42+EI42)/((ED164+EI164)/2))*1000</f>
        <v>4.8542511104099413</v>
      </c>
      <c r="EJ162" s="523">
        <f>((EH42+EG42+EI42+EJ42)/((EE164+EJ164)/2))*1000</f>
        <v>-39.566049776643268</v>
      </c>
      <c r="EK162" s="524">
        <f t="shared" si="181"/>
        <v>-39.566049776643268</v>
      </c>
      <c r="EL162" s="523">
        <f>((EH42+EI42+EJ42+EL42)/((EG164+EL164)/2))*1000</f>
        <v>-55.274655147022727</v>
      </c>
      <c r="EM162" s="523">
        <f>((EI42+EJ42+EL42+EM42)/((EH164+EM164)/2))*1000</f>
        <v>-69.510578763929118</v>
      </c>
      <c r="EN162" s="523">
        <f>((EJ42+EL42+EM42+EN42)/((EI164+EN164)/2))*1000</f>
        <v>-90.520838446811652</v>
      </c>
      <c r="EO162" s="523">
        <f>((EM42+EL42+EN42+EO42)/((EJ164+EO164)/2))*1000</f>
        <v>-70.21276595744682</v>
      </c>
      <c r="EP162" s="524">
        <f t="shared" si="182"/>
        <v>-70.21276595744682</v>
      </c>
      <c r="EQ162" s="523">
        <f>((EM42+EN42+EO42+EQ42)/((EL164+EQ164)/2))*1000</f>
        <v>-62.659574468085111</v>
      </c>
      <c r="ER162" s="523">
        <f>((EN42+EO42+EQ42+ER42)/((EM164+ER164)/2))*1000</f>
        <v>-36.063829787234042</v>
      </c>
      <c r="ES162" s="523">
        <f>((EO42+EQ42+ER42+ES42)/((EN164+ES164)/2))*1000</f>
        <v>-58.297872340425528</v>
      </c>
      <c r="ET162" s="523">
        <f>((ER42+EQ42+ES42+ET42)/((EO164+ET164)/2))*1000</f>
        <v>-57.456647398843927</v>
      </c>
      <c r="EU162" s="524">
        <f t="shared" si="183"/>
        <v>-57.456647398843927</v>
      </c>
      <c r="EV162" s="523">
        <f>((ER42+ES42+ET42+EV42)/((EQ164+EV164)/2))*1000</f>
        <v>-53.294797687861276</v>
      </c>
      <c r="EW162" s="523">
        <f>((ES42+ET42+EV42+EW42)/((ER164+EW164)/2))*1000</f>
        <v>-63.121387283236992</v>
      </c>
      <c r="EX162" s="523">
        <f>((ET42+EV42+EW42+EX42)/((ES164+EX164)/2))*1000</f>
        <v>-7.9768786127167628</v>
      </c>
      <c r="EY162" s="523">
        <f>((EW42+EV42+EX42+EY42)/((ET164+EY164)/2))*1000</f>
        <v>5.0292397660818713</v>
      </c>
      <c r="EZ162" s="524">
        <f t="shared" si="184"/>
        <v>5.0292397660818713</v>
      </c>
      <c r="FA162" s="523">
        <f>((EW42+EX42+EY42+FA42)/((EV164+FA164)/2))*1000</f>
        <v>23.040935672514617</v>
      </c>
      <c r="FB162" s="523">
        <f>((EX42+EY42+FA42+FB42)/((EW164+FB164)/2))*1000</f>
        <v>38.479532163742689</v>
      </c>
      <c r="FC162" s="523">
        <f>((EY42+FA42+FB42+FC42)/((EX164+FC164)/2))*1000</f>
        <v>42.105263157894733</v>
      </c>
      <c r="FD162" s="523">
        <f>((FB42+FA42+FC42+FD42)/((EY164+FD164)/2))*1000</f>
        <v>35.473684210526315</v>
      </c>
      <c r="FE162" s="524">
        <f t="shared" si="185"/>
        <v>35.473684210526315</v>
      </c>
      <c r="FF162" s="523">
        <f>((FB42+FC42+FD42+FF42)/((FA164+FF164)/2))*1000</f>
        <v>28.631578947368421</v>
      </c>
      <c r="FG162" s="523">
        <f>((FC42+FD42+FF42+FG42)/((FB164+FG164)/2))*1000</f>
        <v>20.105263157894736</v>
      </c>
      <c r="FH162" s="523">
        <f>((FD42+FF42+FG42+FH42)/((FC164+FH164)/2))*1000</f>
        <v>22</v>
      </c>
      <c r="FI162" s="523">
        <f>((FG42+FF42+FH42+FI42)/((FD164+FI164)/2))*1000</f>
        <v>33.762376237623762</v>
      </c>
      <c r="FJ162" s="524">
        <f t="shared" si="186"/>
        <v>33.762376237623762</v>
      </c>
      <c r="FK162" s="523">
        <f>((FG42+FH42+FI42+FK42)/((FF164+FK164)/2))*1000</f>
        <v>48.21782178217822</v>
      </c>
      <c r="FL162" s="523">
        <f>((FH42+FI42+FK42+FL42)/((FG164+FL164)/2))*1000</f>
        <v>60.297029702970292</v>
      </c>
      <c r="FM162" s="523">
        <f>((FI42+FK42+FL42+FM42)/((FH164+FM164)/2))*1000</f>
        <v>87.029702970297024</v>
      </c>
      <c r="FN162" s="523">
        <f>((FL42+FK42+FM42+FN42)/((FI164+FN164)/2))*1000</f>
        <v>246.53465346534654</v>
      </c>
      <c r="FO162" s="524">
        <f t="shared" si="187"/>
        <v>246.53465346534654</v>
      </c>
      <c r="FP162" s="523">
        <f>((FL42+FM42+FN42+FP42)/((FK164+FP164)/2))*1000</f>
        <v>285.44554455445541</v>
      </c>
      <c r="FQ162" s="523">
        <f>((FM42+FN42+FP42+FQ42)/((FL164+FQ164)/2))*1000</f>
        <v>340.19801980198019</v>
      </c>
      <c r="FR162" s="523">
        <f>((FN42+FP42+FQ42+FR42)/((FM164+FR164)/2))*1000</f>
        <v>392.97029702970298</v>
      </c>
      <c r="FS162" s="523">
        <f>((FQ42+FP42+FR42+FS42)/((FN164+FS164)/2))*1000</f>
        <v>313.06930693069307</v>
      </c>
      <c r="FT162" s="524">
        <f t="shared" si="188"/>
        <v>313.06930693069307</v>
      </c>
      <c r="FU162" s="523">
        <f>((FQ42+FR42+FS42+FU42)/((FP164+FU164)/2))*1000</f>
        <v>335.94059405940595</v>
      </c>
      <c r="FV162" s="523">
        <f>((FR42+FS42+FU42+FV42)/((FQ164+FV164)/2))*1000</f>
        <v>309.9009900990099</v>
      </c>
      <c r="FW162" s="523">
        <f>((FS42+FU42+FV42+FW42)/((FR164+FW164)/2))*1000</f>
        <v>225.04950495049505</v>
      </c>
      <c r="FX162" s="523">
        <f>((FV42+FU42+FW42+FX42)/((FS164+FX164)/2))*1000</f>
        <v>130.69306930693071</v>
      </c>
      <c r="FY162" s="524">
        <f t="shared" si="189"/>
        <v>130.69306930693071</v>
      </c>
      <c r="FZ162" s="523">
        <f>((FV42+FW42+FX42+FZ42)/((FU164+FZ164)/2))*1000</f>
        <v>39.10891089108911</v>
      </c>
      <c r="GA162" s="523">
        <f>((FW42+FX42+FZ42+GA42)/((FV164+GA164)/2))*1000</f>
        <v>-2.4752475247524752</v>
      </c>
      <c r="GB162" s="523">
        <f>((FX42+FZ42+GA42+GB42)/((FW164+GB164)/2))*1000</f>
        <v>20.594059405940595</v>
      </c>
      <c r="GC162" s="523">
        <f>((GA42+FZ42+GB42+GC42)/((FX164+GC164)/2))*1000</f>
        <v>84.554455445544562</v>
      </c>
      <c r="GD162" s="524">
        <f t="shared" si="190"/>
        <v>84.554455445544562</v>
      </c>
      <c r="GE162" s="523">
        <f>((GA42+GB42+GC42+GE42)/((FZ164+GE164)/2))*1000</f>
        <v>110.4950495049505</v>
      </c>
      <c r="GF162" s="523">
        <f>((GB42+GC42+GE42+GF42)/((GA164+GF164)/2))*1000</f>
        <v>134.05940594059408</v>
      </c>
      <c r="GG162" s="523">
        <f>((GC42+GD42+GF42+GG42)/((GB164+GG164)/2))*1000</f>
        <v>253.16831683168317</v>
      </c>
      <c r="GH162" s="523">
        <f>((GF42+GE42+GG42+GH42)/((GC164+GH164)/2))*1000</f>
        <v>162.47524752475249</v>
      </c>
      <c r="GI162" s="524">
        <f t="shared" si="191"/>
        <v>162.47524752475249</v>
      </c>
      <c r="GJ162" s="523">
        <f>((GF42+GG42+GH42+GJ42)/((GE164+GJ164)/2))*1000</f>
        <v>220.49504950495049</v>
      </c>
      <c r="GK162" s="523">
        <f>((GG42+GH42+GJ42+GK42)/((GF164+GK164)/2))*1000</f>
        <v>280.59405940594064</v>
      </c>
      <c r="GL162" s="523">
        <f>((GH42+GJ42+GK42+GL42)/((GG164+GL164)/2))*1000</f>
        <v>327.32673267326732</v>
      </c>
      <c r="GM162" s="523">
        <f>((GK42+GJ42+GL42+GM42)/((GH164+GM164)/2))*1000</f>
        <v>429.20792079207922</v>
      </c>
      <c r="GN162" s="524">
        <f t="shared" si="192"/>
        <v>429.20792079207922</v>
      </c>
      <c r="GO162" s="523">
        <f>((GK42+GL42+GM42+GO42)/((GJ164+GO164)/2))*1000</f>
        <v>495.94059405940595</v>
      </c>
      <c r="GP162" s="523">
        <f>((GL42+GM42+GO42+GP42)/((GK164+GP164)/2))*1000</f>
        <v>622.45188786401729</v>
      </c>
      <c r="GQ162" s="523">
        <f>((GM42+GO42+GP42+GQ42)/((GL164+GQ164)/2))*1000</f>
        <v>728.812765754471</v>
      </c>
      <c r="GR162" s="523">
        <f>((GP42+GO42+GQ42+GR42)/((GM164+GR164)/2))*1000</f>
        <v>961.5362586591383</v>
      </c>
      <c r="GS162" s="524">
        <f t="shared" si="193"/>
        <v>961.5362586591383</v>
      </c>
      <c r="GT162" s="523">
        <f>((GP42+GQ42+GR42+GT42)/((GO164+GT164)/2))*1000</f>
        <v>1240.7683745166378</v>
      </c>
      <c r="GU162" s="523">
        <f>((GQ42+GR42+GT42+GU42)/((GP164+GU164)/2))*1000</f>
        <v>1495.605342004239</v>
      </c>
      <c r="GV162" s="523">
        <f>((GR42+GT42+GU42+GV42)/((GQ164+GV164)/2))*1000</f>
        <v>1818.5634083962423</v>
      </c>
      <c r="GW162" s="523">
        <f>((GU42+GT42+GV42+GW42)/((GR164+GW164)/2))*1000</f>
        <v>2047.7977489031764</v>
      </c>
      <c r="GX162" s="524">
        <f t="shared" si="194"/>
        <v>2047.7977489031764</v>
      </c>
      <c r="GY162" s="523">
        <f>((GU42+GV42+GW42+GY42)/((GT164+GY164)/2))*1000</f>
        <v>2244.8685083442206</v>
      </c>
      <c r="GZ162" s="523">
        <f>((GV42+GW42+GY42+GZ42)/((GU164+GZ164)/2))*1000</f>
        <v>2440.9070813875319</v>
      </c>
      <c r="HA162" s="523">
        <f>((GW42+GY42+GZ42+HA42)/((GV164+HA164)/2))*1000</f>
        <v>2642.155028453129</v>
      </c>
      <c r="HB162" s="523">
        <f>((GZ42+GY42+HA42+HB42)/((GW164+HB164)/2))*1000</f>
        <v>2864.8905425997236</v>
      </c>
      <c r="HC162" s="524">
        <f t="shared" si="195"/>
        <v>2864.8905425997236</v>
      </c>
      <c r="HD162" s="523">
        <f>((GZ42+HA42+HB42+HD42)/((GY164+HD164)/2))*1000</f>
        <v>3053.1710592895361</v>
      </c>
      <c r="HE162" s="523">
        <f>((HA42+HB42+HD42+HE42)/((GZ164+HE164)/2))*1000</f>
        <v>3230.4207966737295</v>
      </c>
      <c r="HF162" s="523">
        <f>((HB42+HD42+HE42+HF42)/((HA164+HF164)/2))*1000</f>
        <v>3413.3567342822184</v>
      </c>
      <c r="HG162" s="523">
        <f>((HE42+HD42+HF42+HG42)/((HB164+HG164)/2))*1000</f>
        <v>3556.5354678461458</v>
      </c>
      <c r="HH162" s="524">
        <f t="shared" si="196"/>
        <v>3556.5354678461458</v>
      </c>
      <c r="HI162" s="523">
        <f>((HE42+HF42+HG42+HI42)/((HD164+HI164)/2))*1000</f>
        <v>3664.9819780305797</v>
      </c>
      <c r="HJ162" s="523">
        <f>((HF42+HG42+HI42+HJ42)/((HE164+HJ164)/2))*1000</f>
        <v>3784.3049467623264</v>
      </c>
      <c r="HK162" s="523">
        <f>((HG42+HI42+HJ42+HK42)/((HF164+HK164)/2))*1000</f>
        <v>3952.2267356892844</v>
      </c>
      <c r="HL162" s="523">
        <f>((HJ42+HI42+HK42+HL42)/((HG164+HL164)/2))*1000</f>
        <v>4153.0540629050438</v>
      </c>
      <c r="HM162" s="524">
        <f t="shared" si="197"/>
        <v>4153.0540629050438</v>
      </c>
      <c r="HN162" s="524"/>
      <c r="HO162" s="524"/>
      <c r="HP162" s="563"/>
      <c r="HR162" s="563"/>
      <c r="HS162" s="563"/>
      <c r="HT162" s="563"/>
      <c r="HU162" s="563"/>
      <c r="HV162" s="563"/>
      <c r="HW162" s="563"/>
      <c r="HX162" s="563"/>
    </row>
    <row r="163" spans="1:232" s="509" customFormat="1" ht="11.25" hidden="1" customHeight="1" outlineLevel="1">
      <c r="A163" s="532" t="s">
        <v>472</v>
      </c>
      <c r="L163" s="523"/>
      <c r="M163" s="523"/>
      <c r="N163" s="523"/>
      <c r="O163" s="523"/>
      <c r="P163" s="524"/>
      <c r="Q163" s="523"/>
      <c r="R163" s="523"/>
      <c r="S163" s="523"/>
      <c r="T163" s="523"/>
      <c r="U163" s="524"/>
      <c r="V163" s="523"/>
      <c r="W163" s="523"/>
      <c r="X163" s="523"/>
      <c r="Y163" s="523"/>
      <c r="Z163" s="524"/>
      <c r="AA163" s="523"/>
      <c r="AB163" s="523"/>
      <c r="AC163" s="523"/>
      <c r="AD163" s="523"/>
      <c r="AE163" s="524"/>
      <c r="AF163" s="523"/>
      <c r="AG163" s="523"/>
      <c r="AH163" s="523"/>
      <c r="AI163" s="523"/>
      <c r="AJ163" s="524"/>
      <c r="AK163" s="523" t="e">
        <f>(((AF92+AK92)/2)/((AF164+AK164)/2))*1000</f>
        <v>#DIV/0!</v>
      </c>
      <c r="AL163" s="523" t="e">
        <f>(((AG92+AL92)/2)/((AG164+AL164)/2))*1000</f>
        <v>#DIV/0!</v>
      </c>
      <c r="AM163" s="523" t="e">
        <f>(((AH92+AM92)/2)/((AH164+AM164)/2))*1000</f>
        <v>#DIV/0!</v>
      </c>
      <c r="AN163" s="523" t="e">
        <f>(((AI92+AN92)/2)/((AI164+AN164)/2))*1000</f>
        <v>#DIV/0!</v>
      </c>
      <c r="AO163" s="524" t="e">
        <f t="shared" si="161"/>
        <v>#DIV/0!</v>
      </c>
      <c r="AP163" s="523" t="e">
        <f>(((AK92+AP92)/2)/((AK164+AP164)/2))*1000</f>
        <v>#DIV/0!</v>
      </c>
      <c r="AQ163" s="523" t="e">
        <f>(((AL92+AQ92)/2)/((AL164+AQ164)/2))*1000</f>
        <v>#DIV/0!</v>
      </c>
      <c r="AR163" s="523" t="e">
        <f>(((AM92+AR92)/2)/((AM164+AR164)/2))*1000</f>
        <v>#DIV/0!</v>
      </c>
      <c r="AS163" s="523" t="e">
        <f>(((AN92+AS92)/2)/((AN164+AS164)/2))*1000</f>
        <v>#DIV/0!</v>
      </c>
      <c r="AT163" s="524" t="e">
        <f t="shared" si="162"/>
        <v>#DIV/0!</v>
      </c>
      <c r="AU163" s="523" t="e">
        <f>(((AP92+AU92)/2)/((AP164+AU164)/2))*1000</f>
        <v>#DIV/0!</v>
      </c>
      <c r="AV163" s="523" t="e">
        <f>(((AQ92+AV92)/2)/((AQ164+AV164)/2))*1000</f>
        <v>#DIV/0!</v>
      </c>
      <c r="AW163" s="523" t="e">
        <f>(((AR92+AW92)/2)/((AR164+AW164)/2))*1000</f>
        <v>#DIV/0!</v>
      </c>
      <c r="AX163" s="523" t="e">
        <f>(((AS92+AX92)/2)/((AS164+AX164)/2))*1000</f>
        <v>#DIV/0!</v>
      </c>
      <c r="AY163" s="524" t="e">
        <f t="shared" si="163"/>
        <v>#DIV/0!</v>
      </c>
      <c r="AZ163" s="523" t="e">
        <f>(((AU92+AZ92)/2)/((AU164+AZ164)/2))*1000</f>
        <v>#DIV/0!</v>
      </c>
      <c r="BA163" s="523" t="e">
        <f>(((AV92+BA92)/2)/((AV164+BA164)/2))*1000</f>
        <v>#DIV/0!</v>
      </c>
      <c r="BB163" s="523" t="e">
        <f>(((AW92+BB92)/2)/((AW164+BB164)/2))*1000</f>
        <v>#DIV/0!</v>
      </c>
      <c r="BC163" s="523" t="e">
        <f>(((AX92+BC92)/2)/((AX164+BC164)/2))*1000</f>
        <v>#DIV/0!</v>
      </c>
      <c r="BD163" s="524" t="e">
        <f t="shared" si="164"/>
        <v>#DIV/0!</v>
      </c>
      <c r="BE163" s="523" t="e">
        <f>(((AZ92+BE92)/2)/((AZ164+BE164)/2))*1000</f>
        <v>#DIV/0!</v>
      </c>
      <c r="BF163" s="523" t="e">
        <f>(((BA92+BF92)/2)/((BA164+BF164)/2))*1000</f>
        <v>#DIV/0!</v>
      </c>
      <c r="BG163" s="523" t="e">
        <f>(((BB92+BG92)/2)/((BB164+BG164)/2))*1000</f>
        <v>#DIV/0!</v>
      </c>
      <c r="BH163" s="523" t="e">
        <f>(((BC92+BH92)/2)/((BC164+BH164)/2))*1000</f>
        <v>#DIV/0!</v>
      </c>
      <c r="BI163" s="524" t="e">
        <f t="shared" si="165"/>
        <v>#DIV/0!</v>
      </c>
      <c r="BJ163" s="523" t="e">
        <f>(((BE92+BJ92)/2)/((BE164+BJ164)/2))*1000</f>
        <v>#DIV/0!</v>
      </c>
      <c r="BK163" s="523" t="e">
        <f>(((BF92+BK92)/2)/((BF164+BK164)/2))*1000</f>
        <v>#DIV/0!</v>
      </c>
      <c r="BL163" s="523">
        <f>(((BG92+BL92)/2)/((BG164+BL164)/2))*1000</f>
        <v>626.31569012382954</v>
      </c>
      <c r="BM163" s="523">
        <f>(((BH92+BM92)/2)/((BH164+BM164)/2))*1000</f>
        <v>646.29818780889627</v>
      </c>
      <c r="BN163" s="524">
        <f t="shared" si="166"/>
        <v>646.29818780889627</v>
      </c>
      <c r="BO163" s="523">
        <f>(((BJ92+BO92)/2)/((BJ164+BO164)/2))*1000</f>
        <v>667.54142409314829</v>
      </c>
      <c r="BP163" s="523">
        <f>(((BK92+BP92)/2)/((BK164+BP164)/2))*1000</f>
        <v>668.12993325594891</v>
      </c>
      <c r="BQ163" s="523">
        <f>(((BL92+BQ92)/2)/((BL164+BQ164)/2))*1000</f>
        <v>350.51376247797998</v>
      </c>
      <c r="BR163" s="523">
        <f>(((BM92+BR92)/2)/((BM164+BR164)/2))*1000</f>
        <v>365.08809241066615</v>
      </c>
      <c r="BS163" s="524">
        <f t="shared" si="167"/>
        <v>365.08809241066615</v>
      </c>
      <c r="BT163" s="523">
        <f>(((BO92+BT92)/2)/((BO164+BT164)/2))*1000</f>
        <v>377.80252160362664</v>
      </c>
      <c r="BU163" s="523">
        <f>(((BP92+BU92)/2)/((BP164+BU164)/2))*1000</f>
        <v>373.872506234414</v>
      </c>
      <c r="BV163" s="523">
        <f>(((BQ92+BV92)/2)/((BQ164+BV164)/2))*1000</f>
        <v>381.09469748936755</v>
      </c>
      <c r="BW163" s="523">
        <f>(((BR92+BW92)/2)/((BR164+BW164)/2))*1000</f>
        <v>391.03100164428616</v>
      </c>
      <c r="BX163" s="524">
        <f t="shared" si="168"/>
        <v>391.03100164428616</v>
      </c>
      <c r="BY163" s="523">
        <f>(((BT92+BY92)/2)/((BT164+BY164)/2))*1000</f>
        <v>409.64299863387976</v>
      </c>
      <c r="BZ163" s="523">
        <f>(((BU92+BZ92)/2)/((BU164+BZ164)/2))*1000</f>
        <v>410.56613921854398</v>
      </c>
      <c r="CA163" s="523">
        <f>(((BV92+CA92)/2)/((BV164+CA164)/2))*1000</f>
        <v>404.32453295734933</v>
      </c>
      <c r="CB163" s="523">
        <f>(((BW92+CB92)/2)/((BW164+CB164)/2))*1000</f>
        <v>408.36648664322735</v>
      </c>
      <c r="CC163" s="524">
        <f t="shared" si="169"/>
        <v>408.36648664322735</v>
      </c>
      <c r="CD163" s="523">
        <f>(((BY92+CD92)/2)/((BY164+CD164)/2))*1000</f>
        <v>427.93236678591597</v>
      </c>
      <c r="CE163" s="523">
        <f>(((BZ92+CE92)/2)/((BZ164+CE164)/2))*1000</f>
        <v>443.74529525006875</v>
      </c>
      <c r="CF163" s="523">
        <f>(((CA92+CF92)/2)/((CA164+CF164)/2))*1000</f>
        <v>449.15743894485098</v>
      </c>
      <c r="CG163" s="523">
        <f>(((CB92+CG92)/2)/((CB164+CG164)/2))*1000</f>
        <v>467.66694868493647</v>
      </c>
      <c r="CH163" s="524">
        <f t="shared" si="170"/>
        <v>467.66694868493647</v>
      </c>
      <c r="CI163" s="523">
        <f>(((CD92+CI92)/2)/((CD164+CI164)/2))*1000</f>
        <v>468.29124343918738</v>
      </c>
      <c r="CJ163" s="523">
        <f>(((CE92+CJ92)/2)/((CE164+CJ164)/2))*1000</f>
        <v>465.80732972399954</v>
      </c>
      <c r="CK163" s="523">
        <f>(((CF92+CK92)/2)/((CF164+CK164)/2))*1000</f>
        <v>466.12091841850196</v>
      </c>
      <c r="CL163" s="523">
        <f>(((CG92+CL92)/2)/((CG164+CL164)/2))*1000</f>
        <v>493.88550930670812</v>
      </c>
      <c r="CM163" s="651">
        <f t="shared" si="171"/>
        <v>493.88550930670812</v>
      </c>
      <c r="CN163" s="523">
        <f>(((CI92+CN92)/2)/((CI164+CN164)/2))*1000</f>
        <v>485.83368289965262</v>
      </c>
      <c r="CO163" s="523">
        <f>(((CJ92+CO92)/2)/((CJ164+CO164)/2))*1000</f>
        <v>471.0050981391791</v>
      </c>
      <c r="CP163" s="523">
        <f>(((CK92+CP92)/2)/((CK164+CP164)/2))*1000</f>
        <v>615.94651190618629</v>
      </c>
      <c r="CQ163" s="523">
        <f>(((CL92+CQ92)/2)/((CL164+CQ164)/2))*1000</f>
        <v>587.55882581346589</v>
      </c>
      <c r="CR163" s="524">
        <f t="shared" si="172"/>
        <v>587.55882581346589</v>
      </c>
      <c r="CS163" s="523">
        <f>(((CN92+CS92)/2)/((CN164+CS164)/2))*1000</f>
        <v>601.50886699507384</v>
      </c>
      <c r="CT163" s="523">
        <f>(((CO92+CT92)/2)/((CO164+CT164)/2))*1000</f>
        <v>572.44701926900689</v>
      </c>
      <c r="CU163" s="523">
        <f>(((CP92+CU92)/2)/((CP164+CU164)/2))*1000</f>
        <v>782.40214768910539</v>
      </c>
      <c r="CV163" s="523">
        <f>(((CQ92+CV92)/2)/((CQ164+CV164)/2))*1000</f>
        <v>776.27944081446583</v>
      </c>
      <c r="CW163" s="524">
        <f t="shared" si="173"/>
        <v>776.27944081446583</v>
      </c>
      <c r="CX163" s="523">
        <f>(((CS92+CX92)/2)/((CS164+CX164)/2))*1000</f>
        <v>1013.2756685535818</v>
      </c>
      <c r="CY163" s="523">
        <f>(((CT92+CY92)/2)/((CT164+CY164)/2))*1000</f>
        <v>970.45203793197777</v>
      </c>
      <c r="CZ163" s="523">
        <f>(((CU92+CZ92)/2)/((CU164+CZ164)/2))*1000</f>
        <v>917.96205530192094</v>
      </c>
      <c r="DA163" s="523">
        <f>(((CV92+DA92)/2)/((CV164+DA164)/2))*1000</f>
        <v>751.03393747719258</v>
      </c>
      <c r="DB163" s="524">
        <f t="shared" si="174"/>
        <v>751.03393747719258</v>
      </c>
      <c r="DC163" s="523">
        <f>(((CX92+DC92)/2)/((CX164+DC164)/2))*1000</f>
        <v>886.22133303693829</v>
      </c>
      <c r="DD163" s="523">
        <f>(((CY92+DD92)/2)/((CY164+DD164)/2))*1000</f>
        <v>865.05996916945514</v>
      </c>
      <c r="DE163" s="523">
        <f>(((CZ92+DE92)/2)/((CZ164+DE164)/2))*1000</f>
        <v>842.79754970122883</v>
      </c>
      <c r="DF163" s="523">
        <f>(((DA92+DF92)/2)/((DA164+DF164)/2))*1000</f>
        <v>617.76992287917744</v>
      </c>
      <c r="DG163" s="524">
        <f t="shared" si="175"/>
        <v>617.76992287917744</v>
      </c>
      <c r="DH163" s="523">
        <f>(((DC92+DH92)/2)/((DC164+DH164)/2))*1000</f>
        <v>651.02827763496146</v>
      </c>
      <c r="DI163" s="523">
        <f>(((DD92+DI92)/2)/((DD164+DI164)/2))*1000</f>
        <v>622.2035040431266</v>
      </c>
      <c r="DJ163" s="523">
        <f>(((DE92+DJ92)/2)/((DE164+DJ164)/2))*1000</f>
        <v>634.95213228894681</v>
      </c>
      <c r="DK163" s="523">
        <f>(((DF92+DK92)/2)/((DF164+DK164)/2))*1000</f>
        <v>596.19217081850525</v>
      </c>
      <c r="DL163" s="524">
        <f t="shared" si="176"/>
        <v>596.19217081850525</v>
      </c>
      <c r="DM163" s="523">
        <f>(((DH92+DM92)/2)/((DH164+DM164)/2))*1000</f>
        <v>525.14705882352939</v>
      </c>
      <c r="DN163" s="523">
        <f>(((DI92+DN92)/2)/((DI164+DN164)/2))*1000</f>
        <v>518.55513307984791</v>
      </c>
      <c r="DO163" s="523">
        <f>(((DJ92+DO92)/2)/((DJ164+DO164)/2))*1000</f>
        <v>525.27559055118115</v>
      </c>
      <c r="DP163" s="523">
        <f>(((DK92+DP92)/2)/((DK164+DP164)/2))*1000</f>
        <v>573.14285714285722</v>
      </c>
      <c r="DQ163" s="524">
        <f t="shared" si="177"/>
        <v>573.14285714285722</v>
      </c>
      <c r="DR163" s="523">
        <f>(((DM92+DR92)/2)/((DM164+DR164)/2))*1000</f>
        <v>436.40543364681292</v>
      </c>
      <c r="DS163" s="523">
        <f>(((DN92+DS92)/2)/((DN164+DS164)/2))*1000</f>
        <v>435.93147751606</v>
      </c>
      <c r="DT163" s="523">
        <f>(((DO92+DT92)/2)/((DO164+DT164)/2))*1000</f>
        <v>431.65751920965971</v>
      </c>
      <c r="DU163" s="523">
        <f>(((DP92+DU92)/2)/((DP164+DU164)/2))*1000</f>
        <v>446.75675675675677</v>
      </c>
      <c r="DV163" s="524">
        <f t="shared" si="178"/>
        <v>446.75675675675677</v>
      </c>
      <c r="DW163" s="523">
        <f>(((DR92+DW92)/2)/((DR164+DW164)/2))*1000</f>
        <v>459.32432432432438</v>
      </c>
      <c r="DX163" s="523">
        <f>(((DS92+DX92)/2)/((DS164+DX164)/2))*1000</f>
        <v>462.38738738738738</v>
      </c>
      <c r="DY163" s="523">
        <f>(((DT92+DY92)/2)/((DT164+DY164)/2))*1000</f>
        <v>443.60360360360363</v>
      </c>
      <c r="DZ163" s="523">
        <f>(((DU92+DZ92)/2)/((DU164+DZ164)/2))*1000</f>
        <v>414.53703703703701</v>
      </c>
      <c r="EA163" s="524">
        <f t="shared" si="179"/>
        <v>414.53703703703701</v>
      </c>
      <c r="EB163" s="523">
        <f>(((DW92+EB92)/2)/((DW164+EB164)/2))*1000</f>
        <v>419.451871657754</v>
      </c>
      <c r="EC163" s="523">
        <f>(((DX92+EC92)/2)/((DX164+EC164)/2))*1000</f>
        <v>425.88776251682606</v>
      </c>
      <c r="ED163" s="523">
        <f>(((DY92+ED92)/2)/((DY164+ED164)/2))*1000</f>
        <v>424.59402268242229</v>
      </c>
      <c r="EE163" s="523">
        <f>(((DZ92+EE92)/2)/((DZ164+EE164)/2))*1000</f>
        <v>393.79339662746207</v>
      </c>
      <c r="EF163" s="524">
        <f t="shared" si="180"/>
        <v>393.79339662746207</v>
      </c>
      <c r="EG163" s="523">
        <f>(((EB92+EG92)/2)/((EB164+EG164)/2))*1000</f>
        <v>385.32780892030223</v>
      </c>
      <c r="EH163" s="523">
        <f>(((EC92+EH92)/2)/((EC164+EH164)/2))*1000</f>
        <v>396.10365920394986</v>
      </c>
      <c r="EI163" s="523">
        <f>(((ED92+EI92)/2)/((ED164+EI164)/2))*1000</f>
        <v>419.50438096162713</v>
      </c>
      <c r="EJ163" s="523">
        <f>(((EE92+EJ92)/2)/((EE164+EJ164)/2))*1000</f>
        <v>397.82043100485987</v>
      </c>
      <c r="EK163" s="524">
        <f t="shared" si="181"/>
        <v>397.82043100485987</v>
      </c>
      <c r="EL163" s="523">
        <f>(((EG92+EL92)/2)/((EG164+EL164)/2))*1000</f>
        <v>369.93765647243629</v>
      </c>
      <c r="EM163" s="523">
        <f>(((EH92+EM92)/2)/((EH164+EM164)/2))*1000</f>
        <v>374.404791124638</v>
      </c>
      <c r="EN163" s="523">
        <f>(((EI92+EN92)/2)/((EI164+EN164)/2))*1000</f>
        <v>370.82126552452019</v>
      </c>
      <c r="EO163" s="523">
        <f>(((EJ92+EO92)/2)/((EJ164+EO164)/2))*1000</f>
        <v>365.74468085106383</v>
      </c>
      <c r="EP163" s="524">
        <f t="shared" si="182"/>
        <v>365.74468085106383</v>
      </c>
      <c r="EQ163" s="523">
        <f>(((EL92+EQ92)/2)/((EL164+EQ164)/2))*1000</f>
        <v>340.90425531914894</v>
      </c>
      <c r="ER163" s="523">
        <f>(((EM92+ER92)/2)/((EM164+ER164)/2))*1000</f>
        <v>356.22340425531917</v>
      </c>
      <c r="ES163" s="523">
        <f>(((EN92+ES92)/2)/((EN164+ES164)/2))*1000</f>
        <v>364.09574468085106</v>
      </c>
      <c r="ET163" s="523">
        <f>(((EO92+ET92)/2)/((EO164+ET164)/2))*1000</f>
        <v>371.67630057803467</v>
      </c>
      <c r="EU163" s="524">
        <f t="shared" si="183"/>
        <v>371.67630057803467</v>
      </c>
      <c r="EV163" s="523">
        <f>(((EQ92+EV92)/2)/((EQ164+EV164)/2))*1000</f>
        <v>363.00578034682081</v>
      </c>
      <c r="EW163" s="523">
        <f>(((ER92+EW92)/2)/((ER164+EW164)/2))*1000</f>
        <v>386.47398843930637</v>
      </c>
      <c r="EX163" s="523">
        <f>(((ES92+EX92)/2)/((ES164+EX164)/2))*1000</f>
        <v>416.30057803468208</v>
      </c>
      <c r="EY163" s="523">
        <f>(((ET92+EY92)/2)/((ET164+EY164)/2))*1000</f>
        <v>401.22807017543857</v>
      </c>
      <c r="EZ163" s="524">
        <f t="shared" si="184"/>
        <v>401.22807017543857</v>
      </c>
      <c r="FA163" s="523">
        <f>(((EV92+FA92)/2)/((EV164+FA164)/2))*1000</f>
        <v>412.98245614035091</v>
      </c>
      <c r="FB163" s="523">
        <f>(((EW92+FB92)/2)/((EW164+FB164)/2))*1000</f>
        <v>437.01754385964915</v>
      </c>
      <c r="FC163" s="523">
        <f>(((EX92+FC92)/2)/((EX164+FC164)/2))*1000</f>
        <v>463.91812865497076</v>
      </c>
      <c r="FD163" s="523">
        <f>(((EY92+FD92)/2)/((EY164+FD164)/2))*1000</f>
        <v>426.10526315789468</v>
      </c>
      <c r="FE163" s="524">
        <f t="shared" si="185"/>
        <v>426.10526315789468</v>
      </c>
      <c r="FF163" s="523">
        <f>(((FA92+FF92)/2)/((FA164+FF164)/2))*1000</f>
        <v>457.57894736842104</v>
      </c>
      <c r="FG163" s="523">
        <f>(((FB92+FG92)/2)/((FB164+FG164)/2))*1000</f>
        <v>484.47368421052636</v>
      </c>
      <c r="FH163" s="523">
        <f>(((FC92+FH92)/2)/((FC164+FH164)/2))*1000</f>
        <v>505.26315789473688</v>
      </c>
      <c r="FI163" s="523">
        <f>(((FD92+FI92)/2)/((FD164+FI164)/2))*1000</f>
        <v>523.96039603960401</v>
      </c>
      <c r="FJ163" s="524">
        <f t="shared" si="186"/>
        <v>523.96039603960401</v>
      </c>
      <c r="FK163" s="523">
        <f>(((FF92+FK92)/2)/((FF164+FK164)/2))*1000</f>
        <v>534.40594059405942</v>
      </c>
      <c r="FL163" s="523">
        <f>(((FG92+FL92)/2)/((FG164+FL164)/2))*1000</f>
        <v>578.46534653465346</v>
      </c>
      <c r="FM163" s="523">
        <f>(((FH92+FM92)/2)/((FH164+FM164)/2))*1000</f>
        <v>607.7227722772277</v>
      </c>
      <c r="FN163" s="523">
        <f>(((FI92+FN92)/2)/((FI164+FN164)/2))*1000</f>
        <v>742.0792079207921</v>
      </c>
      <c r="FO163" s="524">
        <f t="shared" si="187"/>
        <v>742.0792079207921</v>
      </c>
      <c r="FP163" s="523">
        <f>(((FK92+FP92)/2)/((FK164+FP164)/2))*1000</f>
        <v>787.67326732673268</v>
      </c>
      <c r="FQ163" s="523">
        <f>(((FL92+FQ92)/2)/((FL164+FQ164)/2))*1000</f>
        <v>855.14851485148517</v>
      </c>
      <c r="FR163" s="523">
        <f>(((FM92+FR92)/2)/((FM164+FR164)/2))*1000</f>
        <v>899.80198019801981</v>
      </c>
      <c r="FS163" s="523">
        <f>(((FN92+FS92)/2)/((FN164+FS164)/2))*1000</f>
        <v>1058.4653465346535</v>
      </c>
      <c r="FT163" s="524">
        <f t="shared" si="188"/>
        <v>1058.4653465346535</v>
      </c>
      <c r="FU163" s="523">
        <f>(((FP92+FU92)/2)/((FP164+FU164)/2))*1000</f>
        <v>3810</v>
      </c>
      <c r="FV163" s="523">
        <f>(((FQ92+FV92)/2)/((FQ164+FV164)/2))*1000</f>
        <v>3870.9405940594061</v>
      </c>
      <c r="FW163" s="523">
        <f>(((FR92+FW92)/2)/((FR164+FW164)/2))*1000</f>
        <v>3909.1089108910892</v>
      </c>
      <c r="FX163" s="523">
        <f>(((FS92+FX92)/2)/((FS164+FX164)/2))*1000</f>
        <v>3960.3465346534654</v>
      </c>
      <c r="FY163" s="524">
        <f t="shared" si="189"/>
        <v>3960.3465346534654</v>
      </c>
      <c r="FZ163" s="523">
        <f>(((FU92+FZ92)/2)/((FU164+FZ164)/2))*1000</f>
        <v>6660.8415841584156</v>
      </c>
      <c r="GA163" s="523">
        <f>(((FV92+GA92)/2)/((FV164+GA164)/2))*1000</f>
        <v>6706.3861386138606</v>
      </c>
      <c r="GB163" s="523">
        <f>(((FW92+GB92)/2)/((FW164+GB164)/2))*1000</f>
        <v>6704.801980198019</v>
      </c>
      <c r="GC163" s="523">
        <f>(((FX92+GC92)/2)/((FX164+GC164)/2))*1000</f>
        <v>6706.1881188118814</v>
      </c>
      <c r="GD163" s="524">
        <f t="shared" si="190"/>
        <v>6706.1881188118814</v>
      </c>
      <c r="GE163" s="523">
        <f>(((FZ92+GE92)/2)/((FZ164+GE164)/2))*1000</f>
        <v>6709.3564356435645</v>
      </c>
      <c r="GF163" s="523">
        <f>(((GA92+GF92)/2)/((GA164+GF164)/2))*1000</f>
        <v>6725.3960396039602</v>
      </c>
      <c r="GG163" s="523">
        <f>(((GB92+GG92)/2)/((GB164+GG164)/2))*1000</f>
        <v>6795.1485148514848</v>
      </c>
      <c r="GH163" s="523">
        <f>(((GC92+GH92)/2)/((GC164+GH164)/2))*1000</f>
        <v>6787.6732673267334</v>
      </c>
      <c r="GI163" s="524">
        <f t="shared" si="191"/>
        <v>6787.6732673267334</v>
      </c>
      <c r="GJ163" s="523">
        <f>(((GE92+GJ92)/2)/((GE164+GJ164)/2))*1000</f>
        <v>6903.2178217821784</v>
      </c>
      <c r="GK163" s="523">
        <f>(((GF92+GK92)/2)/((GF164+GK164)/2))*1000</f>
        <v>7064.6534653465342</v>
      </c>
      <c r="GL163" s="523">
        <f>(((GG92+GL92)/2)/((GG164+GL164)/2))*1000</f>
        <v>7253.8118811881186</v>
      </c>
      <c r="GM163" s="523">
        <f>(((GH92+GM92)/2)/((GH164+GM164)/2))*1000</f>
        <v>7235.2475247524753</v>
      </c>
      <c r="GN163" s="524">
        <f t="shared" si="192"/>
        <v>7235.2475247524753</v>
      </c>
      <c r="GO163" s="523">
        <f>(((GJ92+GO92)/2)/((GJ164+GO164)/2))*1000</f>
        <v>7484.7524752475256</v>
      </c>
      <c r="GP163" s="523">
        <f>(((GK92+GP92)/2)/((GK164+GP164)/2))*1000</f>
        <v>7776.5915097718671</v>
      </c>
      <c r="GQ163" s="523">
        <f>(((GL92+GQ92)/2)/((GL164+GQ164)/2))*1000</f>
        <v>8014.4137322468123</v>
      </c>
      <c r="GR163" s="523">
        <f>(((GM92+GR92)/2)/((GM164+GR164)/2))*1000</f>
        <v>8403.2773423962062</v>
      </c>
      <c r="GS163" s="524">
        <f t="shared" si="193"/>
        <v>8403.2773423962062</v>
      </c>
      <c r="GT163" s="523">
        <f>(((GO92+GT92)/2)/((GO164+GT164)/2))*1000</f>
        <v>8922.2052854077501</v>
      </c>
      <c r="GU163" s="523">
        <f>(((GP92+GU92)/2)/((GP164+GU164)/2))*1000</f>
        <v>9485.3670175093703</v>
      </c>
      <c r="GV163" s="523">
        <f>(((GQ92+GV92)/2)/((GQ164+GV164)/2))*1000</f>
        <v>10162.852183064995</v>
      </c>
      <c r="GW163" s="523">
        <f>(((GR92+GW92)/2)/((GR164+GW164)/2))*1000</f>
        <v>11139.332640004279</v>
      </c>
      <c r="GX163" s="524">
        <f t="shared" si="194"/>
        <v>11139.332640004279</v>
      </c>
      <c r="GY163" s="523">
        <f>(((GT92+GY92)/2)/((GT164+GY164)/2))*1000</f>
        <v>12042.952748927877</v>
      </c>
      <c r="GZ163" s="523">
        <f>(((GU92+GZ92)/2)/((GU164+GZ164)/2))*1000</f>
        <v>13061.931859670744</v>
      </c>
      <c r="HA163" s="523">
        <f>(((GV92+HA92)/2)/((GV164+HA164)/2))*1000</f>
        <v>14248.399400986162</v>
      </c>
      <c r="HB163" s="523">
        <f>(((GW92+HB92)/2)/((GW164+HB164)/2))*1000</f>
        <v>15553.398284513753</v>
      </c>
      <c r="HC163" s="524">
        <f t="shared" si="195"/>
        <v>15553.398284513753</v>
      </c>
      <c r="HD163" s="523">
        <f>(((GY92+HD92)/2)/((GY164+HD164)/2))*1000</f>
        <v>16774.167362741395</v>
      </c>
      <c r="HE163" s="523">
        <f>(((GZ92+HE92)/2)/((GZ164+HE164)/2))*1000</f>
        <v>18112.753706839383</v>
      </c>
      <c r="HF163" s="523">
        <f>(((HA92+HF92)/2)/((HA164+HF164)/2))*1000</f>
        <v>19602.019199497743</v>
      </c>
      <c r="HG163" s="523">
        <f>(((HB92+HG92)/2)/((HB164+HG164)/2))*1000</f>
        <v>21179.529578225021</v>
      </c>
      <c r="HH163" s="524">
        <f t="shared" si="196"/>
        <v>21179.529578225021</v>
      </c>
      <c r="HI163" s="523">
        <f>(((HD92+HI92)/2)/((HD164+HI164)/2))*1000</f>
        <v>22749.744433535805</v>
      </c>
      <c r="HJ163" s="523">
        <f>(((HE92+HJ92)/2)/((HE164+HJ164)/2))*1000</f>
        <v>24444.623113334666</v>
      </c>
      <c r="HK163" s="523">
        <f>(((HF92+HK92)/2)/((HF164+HK164)/2))*1000</f>
        <v>26337.948071400744</v>
      </c>
      <c r="HL163" s="523">
        <f>(((HG92+HL92)/2)/((HG164+HL164)/2))*1000</f>
        <v>28297.937684351757</v>
      </c>
      <c r="HM163" s="524">
        <f t="shared" si="197"/>
        <v>28297.937684351757</v>
      </c>
      <c r="HN163" s="524"/>
      <c r="HO163" s="524"/>
      <c r="HP163" s="563"/>
      <c r="HR163" s="563"/>
      <c r="HS163" s="563"/>
      <c r="HT163" s="563"/>
      <c r="HU163" s="563"/>
      <c r="HV163" s="563"/>
      <c r="HW163" s="563"/>
      <c r="HX163" s="563"/>
    </row>
    <row r="164" spans="1:232" s="509" customFormat="1" ht="11.25" hidden="1" customHeight="1" outlineLevel="1">
      <c r="A164" s="522" t="s">
        <v>473</v>
      </c>
      <c r="L164" s="650"/>
      <c r="M164" s="650"/>
      <c r="N164" s="650"/>
      <c r="O164" s="650"/>
      <c r="P164" s="651"/>
      <c r="Q164" s="650"/>
      <c r="R164" s="650"/>
      <c r="S164" s="650"/>
      <c r="T164" s="650"/>
      <c r="U164" s="651"/>
      <c r="V164" s="650"/>
      <c r="W164" s="650"/>
      <c r="X164" s="650"/>
      <c r="Y164" s="650"/>
      <c r="Z164" s="651"/>
      <c r="AA164" s="650"/>
      <c r="AB164" s="650"/>
      <c r="AC164" s="650"/>
      <c r="AD164" s="650"/>
      <c r="AE164" s="651"/>
      <c r="AF164" s="650"/>
      <c r="AG164" s="650"/>
      <c r="AH164" s="650"/>
      <c r="AI164" s="650"/>
      <c r="AJ164" s="651"/>
      <c r="AK164" s="650"/>
      <c r="AL164" s="650"/>
      <c r="AM164" s="650"/>
      <c r="AN164" s="650"/>
      <c r="AO164" s="651"/>
      <c r="AP164" s="650"/>
      <c r="AQ164" s="650"/>
      <c r="AR164" s="650"/>
      <c r="AS164" s="650"/>
      <c r="AT164" s="651"/>
      <c r="AU164" s="650"/>
      <c r="AV164" s="650"/>
      <c r="AW164" s="650"/>
      <c r="AX164" s="650"/>
      <c r="AY164" s="651"/>
      <c r="AZ164" s="650"/>
      <c r="BA164" s="650"/>
      <c r="BB164" s="650"/>
      <c r="BC164" s="650"/>
      <c r="BD164" s="651"/>
      <c r="BE164" s="650"/>
      <c r="BF164" s="650"/>
      <c r="BG164" s="650"/>
      <c r="BH164" s="650"/>
      <c r="BI164" s="651"/>
      <c r="BJ164" s="650"/>
      <c r="BK164" s="650"/>
      <c r="BL164" s="650">
        <v>13244</v>
      </c>
      <c r="BM164" s="650">
        <v>13354</v>
      </c>
      <c r="BN164" s="651">
        <f t="shared" si="166"/>
        <v>13354</v>
      </c>
      <c r="BO164" s="650">
        <v>13398</v>
      </c>
      <c r="BP164" s="650">
        <v>13784</v>
      </c>
      <c r="BQ164" s="650">
        <v>14004</v>
      </c>
      <c r="BR164" s="650">
        <v>14435</v>
      </c>
      <c r="BS164" s="651">
        <f t="shared" si="167"/>
        <v>14435</v>
      </c>
      <c r="BT164" s="650">
        <v>14838</v>
      </c>
      <c r="BU164" s="650">
        <v>15088</v>
      </c>
      <c r="BV164" s="650">
        <v>15152</v>
      </c>
      <c r="BW164" s="650">
        <v>14757</v>
      </c>
      <c r="BX164" s="651">
        <f t="shared" si="168"/>
        <v>14757</v>
      </c>
      <c r="BY164" s="650">
        <v>14442</v>
      </c>
      <c r="BZ164" s="650">
        <v>13730</v>
      </c>
      <c r="CA164" s="650">
        <v>13218</v>
      </c>
      <c r="CB164" s="650">
        <v>12832</v>
      </c>
      <c r="CC164" s="651">
        <f t="shared" si="169"/>
        <v>12832</v>
      </c>
      <c r="CD164" s="650">
        <v>12113</v>
      </c>
      <c r="CE164" s="650">
        <v>11723</v>
      </c>
      <c r="CF164" s="650">
        <v>14380</v>
      </c>
      <c r="CG164" s="650">
        <v>14353</v>
      </c>
      <c r="CH164" s="651">
        <f t="shared" si="170"/>
        <v>14353</v>
      </c>
      <c r="CI164" s="650">
        <v>14370</v>
      </c>
      <c r="CJ164" s="650">
        <v>14690</v>
      </c>
      <c r="CK164" s="650">
        <v>15541</v>
      </c>
      <c r="CL164" s="650">
        <v>15894</v>
      </c>
      <c r="CM164" s="651">
        <f t="shared" si="171"/>
        <v>15894</v>
      </c>
      <c r="CN164" s="650">
        <v>16144</v>
      </c>
      <c r="CO164" s="650">
        <v>16694</v>
      </c>
      <c r="CP164" s="650">
        <v>9530</v>
      </c>
      <c r="CQ164" s="650">
        <v>9860</v>
      </c>
      <c r="CR164" s="524">
        <f t="shared" si="172"/>
        <v>9860</v>
      </c>
      <c r="CS164" s="650">
        <v>10246</v>
      </c>
      <c r="CT164" s="650">
        <v>10967</v>
      </c>
      <c r="CU164" s="650">
        <v>11609</v>
      </c>
      <c r="CV164" s="650">
        <v>16464</v>
      </c>
      <c r="CW164" s="524">
        <f t="shared" si="173"/>
        <v>16464</v>
      </c>
      <c r="CX164" s="650">
        <v>10246</v>
      </c>
      <c r="CY164" s="650">
        <v>10967</v>
      </c>
      <c r="CZ164" s="650">
        <v>11609</v>
      </c>
      <c r="DA164" s="650">
        <v>16420</v>
      </c>
      <c r="DB164" s="524">
        <f t="shared" si="174"/>
        <v>16420</v>
      </c>
      <c r="DC164" s="650">
        <v>16745</v>
      </c>
      <c r="DD164" s="650">
        <v>15630</v>
      </c>
      <c r="DE164" s="650">
        <v>15000</v>
      </c>
      <c r="DF164" s="650">
        <v>14700</v>
      </c>
      <c r="DG164" s="524">
        <f>DF164</f>
        <v>14700</v>
      </c>
      <c r="DH164" s="509">
        <f>DG164+($DL$164-$DG$164)/4</f>
        <v>14375</v>
      </c>
      <c r="DI164" s="509">
        <f>DH164+($DL$164-$DG$164)/4</f>
        <v>14050</v>
      </c>
      <c r="DJ164" s="509">
        <f>DI164+($DL$164-$DG$164)/4</f>
        <v>13725</v>
      </c>
      <c r="DK164" s="509">
        <f>10400+3000</f>
        <v>13400</v>
      </c>
      <c r="DL164" s="524">
        <f>DK164</f>
        <v>13400</v>
      </c>
      <c r="DM164" s="509">
        <f>DL164+($DQ$164-$DL$164)/4</f>
        <v>12825</v>
      </c>
      <c r="DN164" s="509">
        <f>DM164+($DQ$164-$DL$164)/4</f>
        <v>12250</v>
      </c>
      <c r="DO164" s="509">
        <f>DN164+($DQ$164-$DL$164)/4</f>
        <v>11675</v>
      </c>
      <c r="DP164" s="509">
        <v>11100</v>
      </c>
      <c r="DQ164" s="524">
        <f>DP164</f>
        <v>11100</v>
      </c>
      <c r="DR164" s="509">
        <f>DP164</f>
        <v>11100</v>
      </c>
      <c r="DS164" s="509">
        <f>DR164</f>
        <v>11100</v>
      </c>
      <c r="DT164" s="509">
        <f>DS164</f>
        <v>11100</v>
      </c>
      <c r="DU164" s="509">
        <v>11100</v>
      </c>
      <c r="DV164" s="524">
        <f>DU164</f>
        <v>11100</v>
      </c>
      <c r="DW164" s="509">
        <f>DU164</f>
        <v>11100</v>
      </c>
      <c r="DX164" s="509">
        <f>DV164</f>
        <v>11100</v>
      </c>
      <c r="DY164" s="509">
        <f>DW164</f>
        <v>11100</v>
      </c>
      <c r="DZ164" s="509">
        <v>10500</v>
      </c>
      <c r="EA164" s="524">
        <f>DZ164</f>
        <v>10500</v>
      </c>
      <c r="EB164" s="509">
        <v>9844</v>
      </c>
      <c r="EC164" s="509">
        <f>EB164+($EF$164-$EA$164)/4</f>
        <v>9886.75</v>
      </c>
      <c r="ED164" s="509">
        <f>EC164+($EF$164-$EA$164)/4</f>
        <v>9929.5</v>
      </c>
      <c r="EE164" s="509">
        <v>10671</v>
      </c>
      <c r="EF164" s="524">
        <f>EE164</f>
        <v>10671</v>
      </c>
      <c r="EG164" s="523">
        <f>EE164</f>
        <v>10671</v>
      </c>
      <c r="EH164" s="523">
        <f>EG164</f>
        <v>10671</v>
      </c>
      <c r="EI164" s="523">
        <f>EH164</f>
        <v>10671</v>
      </c>
      <c r="EJ164" s="523">
        <v>9700</v>
      </c>
      <c r="EK164" s="524">
        <f>EJ164</f>
        <v>9700</v>
      </c>
      <c r="EL164" s="523">
        <f>EJ164</f>
        <v>9700</v>
      </c>
      <c r="EM164" s="523">
        <f>EL164</f>
        <v>9700</v>
      </c>
      <c r="EN164" s="523">
        <f>EM164</f>
        <v>9700</v>
      </c>
      <c r="EO164" s="523">
        <v>9100</v>
      </c>
      <c r="EP164" s="524">
        <f>EO164</f>
        <v>9100</v>
      </c>
      <c r="EQ164" s="523">
        <f>EO164</f>
        <v>9100</v>
      </c>
      <c r="ER164" s="523">
        <f>EQ164</f>
        <v>9100</v>
      </c>
      <c r="ES164" s="523">
        <f>ER164</f>
        <v>9100</v>
      </c>
      <c r="ET164" s="523">
        <v>8200</v>
      </c>
      <c r="EU164" s="524">
        <f>ET164</f>
        <v>8200</v>
      </c>
      <c r="EV164" s="523">
        <f>ET164</f>
        <v>8200</v>
      </c>
      <c r="EW164" s="523">
        <f>EV164</f>
        <v>8200</v>
      </c>
      <c r="EX164" s="523">
        <f>EW164</f>
        <v>8200</v>
      </c>
      <c r="EY164" s="523">
        <v>8900</v>
      </c>
      <c r="EZ164" s="524">
        <f>EY164</f>
        <v>8900</v>
      </c>
      <c r="FA164" s="523">
        <f>EY164</f>
        <v>8900</v>
      </c>
      <c r="FB164" s="523">
        <f>FA164</f>
        <v>8900</v>
      </c>
      <c r="FC164" s="523">
        <f>FB164</f>
        <v>8900</v>
      </c>
      <c r="FD164" s="523">
        <v>10100</v>
      </c>
      <c r="FE164" s="524">
        <f>FD164</f>
        <v>10100</v>
      </c>
      <c r="FF164" s="609">
        <f>FD164</f>
        <v>10100</v>
      </c>
      <c r="FG164" s="609">
        <f>FF164</f>
        <v>10100</v>
      </c>
      <c r="FH164" s="609">
        <f>FG164</f>
        <v>10100</v>
      </c>
      <c r="FI164" s="609">
        <f>FH164</f>
        <v>10100</v>
      </c>
      <c r="FJ164" s="524">
        <f>FI164</f>
        <v>10100</v>
      </c>
      <c r="FK164" s="609">
        <f>FI164</f>
        <v>10100</v>
      </c>
      <c r="FL164" s="609">
        <f>FK164</f>
        <v>10100</v>
      </c>
      <c r="FM164" s="609">
        <f>FL164</f>
        <v>10100</v>
      </c>
      <c r="FN164" s="609">
        <f>FM164</f>
        <v>10100</v>
      </c>
      <c r="FO164" s="524">
        <f>FN164</f>
        <v>10100</v>
      </c>
      <c r="FP164" s="609">
        <f>FN164</f>
        <v>10100</v>
      </c>
      <c r="FQ164" s="609">
        <f>FP164</f>
        <v>10100</v>
      </c>
      <c r="FR164" s="609">
        <f>FQ164</f>
        <v>10100</v>
      </c>
      <c r="FS164" s="609">
        <f>FR164</f>
        <v>10100</v>
      </c>
      <c r="FT164" s="524">
        <f>FS164</f>
        <v>10100</v>
      </c>
      <c r="FU164" s="609">
        <f>FS164</f>
        <v>10100</v>
      </c>
      <c r="FV164" s="609">
        <f>FU164</f>
        <v>10100</v>
      </c>
      <c r="FW164" s="609">
        <f>FV164</f>
        <v>10100</v>
      </c>
      <c r="FX164" s="609">
        <f>FW164</f>
        <v>10100</v>
      </c>
      <c r="FY164" s="524">
        <f>FX164</f>
        <v>10100</v>
      </c>
      <c r="FZ164" s="609">
        <f>FX164</f>
        <v>10100</v>
      </c>
      <c r="GA164" s="609">
        <f>FZ164</f>
        <v>10100</v>
      </c>
      <c r="GB164" s="609">
        <f>GA164</f>
        <v>10100</v>
      </c>
      <c r="GC164" s="609">
        <f>GB164</f>
        <v>10100</v>
      </c>
      <c r="GD164" s="524">
        <f>GC164</f>
        <v>10100</v>
      </c>
      <c r="GE164" s="609">
        <f>GC164</f>
        <v>10100</v>
      </c>
      <c r="GF164" s="609">
        <f>GE164</f>
        <v>10100</v>
      </c>
      <c r="GG164" s="609">
        <f>GF164</f>
        <v>10100</v>
      </c>
      <c r="GH164" s="609">
        <f>GG164</f>
        <v>10100</v>
      </c>
      <c r="GI164" s="524">
        <f>GH164</f>
        <v>10100</v>
      </c>
      <c r="GJ164" s="609">
        <f>GH164</f>
        <v>10100</v>
      </c>
      <c r="GK164" s="609">
        <f>GJ164</f>
        <v>10100</v>
      </c>
      <c r="GL164" s="609">
        <f>GK164</f>
        <v>10100</v>
      </c>
      <c r="GM164" s="609">
        <f>GL164</f>
        <v>10100</v>
      </c>
      <c r="GN164" s="524">
        <f>GM164</f>
        <v>10100</v>
      </c>
      <c r="GO164" s="609">
        <f>GM164</f>
        <v>10100</v>
      </c>
      <c r="GP164" s="609">
        <f>GO164</f>
        <v>10100</v>
      </c>
      <c r="GQ164" s="609">
        <f>GP164</f>
        <v>10100</v>
      </c>
      <c r="GR164" s="609">
        <f>GQ164</f>
        <v>10100</v>
      </c>
      <c r="GS164" s="524">
        <f>GR164</f>
        <v>10100</v>
      </c>
      <c r="GT164" s="609">
        <f>GR164</f>
        <v>10100</v>
      </c>
      <c r="GU164" s="609">
        <f>GT164</f>
        <v>10100</v>
      </c>
      <c r="GV164" s="609">
        <f>GU164</f>
        <v>10100</v>
      </c>
      <c r="GW164" s="609">
        <f>GV164</f>
        <v>10100</v>
      </c>
      <c r="GX164" s="524">
        <f>GW164</f>
        <v>10100</v>
      </c>
      <c r="GY164" s="609">
        <f>GW164</f>
        <v>10100</v>
      </c>
      <c r="GZ164" s="609">
        <f>GY164</f>
        <v>10100</v>
      </c>
      <c r="HA164" s="609">
        <f>GZ164</f>
        <v>10100</v>
      </c>
      <c r="HB164" s="609">
        <f>HA164</f>
        <v>10100</v>
      </c>
      <c r="HC164" s="524">
        <f>HB164</f>
        <v>10100</v>
      </c>
      <c r="HD164" s="609">
        <f>HB164</f>
        <v>10100</v>
      </c>
      <c r="HE164" s="609">
        <f>HD164</f>
        <v>10100</v>
      </c>
      <c r="HF164" s="609">
        <f>HE164</f>
        <v>10100</v>
      </c>
      <c r="HG164" s="609">
        <f>HF164</f>
        <v>10100</v>
      </c>
      <c r="HH164" s="524">
        <f>HG164</f>
        <v>10100</v>
      </c>
      <c r="HI164" s="609">
        <f>HG164</f>
        <v>10100</v>
      </c>
      <c r="HJ164" s="609">
        <f>HI164</f>
        <v>10100</v>
      </c>
      <c r="HK164" s="609">
        <f>HJ164</f>
        <v>10100</v>
      </c>
      <c r="HL164" s="609">
        <f>HK164</f>
        <v>10100</v>
      </c>
      <c r="HM164" s="524">
        <f>HL164</f>
        <v>10100</v>
      </c>
      <c r="HN164" s="524"/>
      <c r="HO164" s="524"/>
      <c r="HP164" s="563"/>
      <c r="HR164" s="563"/>
      <c r="HS164" s="563"/>
      <c r="HT164" s="563"/>
      <c r="HU164" s="563"/>
      <c r="HV164" s="563"/>
      <c r="HW164" s="563"/>
      <c r="HX164" s="563"/>
    </row>
    <row r="165" spans="1:232" s="509" customFormat="1" ht="11.25" hidden="1" customHeight="1" outlineLevel="1">
      <c r="A165" s="522" t="s">
        <v>474</v>
      </c>
      <c r="L165" s="523"/>
      <c r="M165" s="523"/>
      <c r="N165" s="523"/>
      <c r="O165" s="523"/>
      <c r="P165" s="524"/>
      <c r="Q165" s="523"/>
      <c r="R165" s="523"/>
      <c r="S165" s="523"/>
      <c r="T165" s="523"/>
      <c r="U165" s="524"/>
      <c r="V165" s="523"/>
      <c r="W165" s="523"/>
      <c r="X165" s="523"/>
      <c r="Y165" s="523"/>
      <c r="Z165" s="524"/>
      <c r="AA165" s="523"/>
      <c r="AB165" s="523"/>
      <c r="AC165" s="523"/>
      <c r="AD165" s="523"/>
      <c r="AE165" s="524"/>
      <c r="AF165" s="523"/>
      <c r="AG165" s="523"/>
      <c r="AH165" s="523"/>
      <c r="AI165" s="523"/>
      <c r="AJ165" s="524"/>
      <c r="AK165" s="523"/>
      <c r="AL165" s="523"/>
      <c r="AM165" s="523"/>
      <c r="AN165" s="523"/>
      <c r="AO165" s="524"/>
      <c r="AP165" s="523"/>
      <c r="AQ165" s="523"/>
      <c r="AR165" s="523"/>
      <c r="AS165" s="523"/>
      <c r="AT165" s="524"/>
      <c r="AU165" s="523"/>
      <c r="AV165" s="523"/>
      <c r="AW165" s="523"/>
      <c r="AX165" s="523"/>
      <c r="AY165" s="524"/>
      <c r="AZ165" s="523"/>
      <c r="BA165" s="523"/>
      <c r="BB165" s="523"/>
      <c r="BC165" s="523"/>
      <c r="BD165" s="524"/>
      <c r="BE165" s="523"/>
      <c r="BF165" s="523"/>
      <c r="BG165" s="523"/>
      <c r="BH165" s="523"/>
      <c r="BI165" s="524"/>
      <c r="BJ165" s="523"/>
      <c r="BK165" s="523"/>
      <c r="BL165" s="523"/>
      <c r="BM165" s="523"/>
      <c r="BN165" s="524"/>
      <c r="BO165" s="523"/>
      <c r="BP165" s="523"/>
      <c r="BQ165" s="523"/>
      <c r="BR165" s="523"/>
      <c r="BS165" s="524"/>
      <c r="BT165" s="523"/>
      <c r="BU165" s="523"/>
      <c r="BV165" s="523"/>
      <c r="BW165" s="523"/>
      <c r="BX165" s="524"/>
      <c r="BY165" s="523"/>
      <c r="BZ165" s="523"/>
      <c r="CA165" s="523"/>
      <c r="CB165" s="523"/>
      <c r="CC165" s="524"/>
      <c r="CD165" s="523"/>
      <c r="CE165" s="523"/>
      <c r="CF165" s="523"/>
      <c r="CG165" s="523"/>
      <c r="CH165" s="524"/>
      <c r="CI165" s="523"/>
      <c r="CJ165" s="523"/>
      <c r="CK165" s="523"/>
      <c r="CL165" s="523"/>
      <c r="CM165" s="524"/>
      <c r="CN165" s="523"/>
      <c r="CO165" s="523"/>
      <c r="CP165" s="523"/>
      <c r="CQ165" s="523"/>
      <c r="CR165" s="524"/>
      <c r="CS165" s="523"/>
      <c r="CT165" s="523"/>
      <c r="CU165" s="523"/>
      <c r="CV165" s="523"/>
      <c r="CW165" s="524"/>
      <c r="CX165" s="523"/>
      <c r="CY165" s="523"/>
      <c r="CZ165" s="523"/>
      <c r="DA165" s="523"/>
      <c r="DB165" s="524"/>
      <c r="DD165" s="523"/>
      <c r="DE165" s="523"/>
      <c r="DF165" s="523"/>
      <c r="DG165" s="524"/>
      <c r="DL165" s="524"/>
      <c r="DQ165" s="524"/>
      <c r="DV165" s="524"/>
      <c r="EA165" s="652"/>
      <c r="EF165" s="652"/>
      <c r="EK165" s="652"/>
      <c r="EP165" s="652"/>
      <c r="EU165" s="652"/>
      <c r="EZ165" s="524"/>
      <c r="FE165" s="524"/>
      <c r="FJ165" s="524"/>
      <c r="FO165" s="524"/>
      <c r="FT165" s="524"/>
      <c r="FY165" s="524"/>
      <c r="GD165" s="524"/>
      <c r="GI165" s="524"/>
      <c r="GN165" s="524"/>
      <c r="GS165" s="524"/>
      <c r="GX165" s="524"/>
      <c r="HC165" s="524"/>
      <c r="HH165" s="524"/>
      <c r="HM165" s="524"/>
      <c r="HN165" s="524"/>
      <c r="HO165" s="524"/>
      <c r="HP165" s="563"/>
      <c r="HR165" s="563"/>
      <c r="HS165" s="563"/>
      <c r="HT165" s="563"/>
      <c r="HU165" s="563"/>
      <c r="HV165" s="563"/>
      <c r="HW165" s="563"/>
      <c r="HX165" s="563"/>
    </row>
    <row r="166" spans="1:232" s="509" customFormat="1" ht="11.25" hidden="1" customHeight="1" outlineLevel="1">
      <c r="A166" s="532" t="s">
        <v>475</v>
      </c>
      <c r="L166" s="518"/>
      <c r="M166" s="518"/>
      <c r="N166" s="518"/>
      <c r="O166" s="518"/>
      <c r="P166" s="521"/>
      <c r="Q166" s="518"/>
      <c r="R166" s="518"/>
      <c r="S166" s="518"/>
      <c r="T166" s="518"/>
      <c r="U166" s="521"/>
      <c r="V166" s="518"/>
      <c r="W166" s="518"/>
      <c r="X166" s="518"/>
      <c r="Y166" s="518"/>
      <c r="Z166" s="521"/>
      <c r="AA166" s="518"/>
      <c r="AB166" s="518"/>
      <c r="AC166" s="518"/>
      <c r="AD166" s="518"/>
      <c r="AE166" s="521"/>
      <c r="AF166" s="518"/>
      <c r="AG166" s="518"/>
      <c r="AH166" s="518"/>
      <c r="AI166" s="518"/>
      <c r="AJ166" s="521"/>
      <c r="AK166" s="518">
        <f>(AG42+AH42+AI42+AK42)/(AG32+AH32+AI32+AK32)</f>
        <v>0.70317594122638571</v>
      </c>
      <c r="AL166" s="518">
        <f>(AH42+AI42+AK42+AL42)/(AH32+AI32+AK32+AL32)</f>
        <v>0.68115175625849034</v>
      </c>
      <c r="AM166" s="518">
        <f>(AI42+AL42+AK42+AM42)/(AI32+AL32+AK32+AM32)</f>
        <v>0.66197880515751273</v>
      </c>
      <c r="AN166" s="518">
        <f>(AM42+AK42+AL42+AN42)/(AM32+AK32+AL32+AN32)</f>
        <v>0.6501190491402481</v>
      </c>
      <c r="AO166" s="521">
        <f t="shared" ref="AO166:AO171" si="198">AN166</f>
        <v>0.6501190491402481</v>
      </c>
      <c r="AP166" s="518">
        <f>(AL42+AM42+AN42+AP42)/(AL32+AM32+AN32+AP32)</f>
        <v>0.64637103423844566</v>
      </c>
      <c r="AQ166" s="518">
        <f>(AM42+AN42+AP42+AQ42)/(AM32+AN32+AP32+AQ32)</f>
        <v>0.65721535929238861</v>
      </c>
      <c r="AR166" s="518">
        <f>(AN42+AQ42+AP42+AR42)/(AN32+AQ32+AP32+AR32)</f>
        <v>0.70411143231034268</v>
      </c>
      <c r="AS166" s="518">
        <f>(AR42+AP42+AQ42+AS42)/(AR32+AP32+AQ32+AS32)</f>
        <v>0.79432933421086716</v>
      </c>
      <c r="AT166" s="521">
        <f t="shared" ref="AT166:AT171" si="199">AS166</f>
        <v>0.79432933421086716</v>
      </c>
      <c r="AU166" s="518">
        <f>(AQ42+AR42+AS42+AU42)/(AQ32+AR32+AS32+AU32)</f>
        <v>0.97256981745765514</v>
      </c>
      <c r="AV166" s="518">
        <f>(AR42+AS42+AU42+AV42)/(AR32+AS32+AU32+AV32)</f>
        <v>4.513555212695624</v>
      </c>
      <c r="AW166" s="518">
        <f>(AS42+AV42+AU42+AW42)/(AS32+AV32+AU32+AW32)</f>
        <v>-6.9093656385342664E-2</v>
      </c>
      <c r="AX166" s="518">
        <f>(AW42+AU42+AV42+AX42)/(AW32+AU32+AV32+AX32)</f>
        <v>0.33028990783498441</v>
      </c>
      <c r="AY166" s="521">
        <f t="shared" ref="AY166:AY171" si="200">AX166</f>
        <v>0.33028990783498441</v>
      </c>
      <c r="AZ166" s="518">
        <f>(AV42+AW42+AX42+AZ42)/(AV32+AW32+AX32+AZ32)</f>
        <v>0.396495573150279</v>
      </c>
      <c r="BA166" s="518">
        <f>(AW42+AX42+AZ42+BA42)/(AW32+AX32+AZ32+BA32)</f>
        <v>0.31421352404607972</v>
      </c>
      <c r="BB166" s="518">
        <f>(AX42+BA42+AZ42+BB42)/(AX32+BA32+AZ32+BB32)</f>
        <v>0.27865867818494311</v>
      </c>
      <c r="BC166" s="518">
        <f>(BB42+AZ42+BA42+BC42)/(BB32+AZ32+BA32+BC32)</f>
        <v>0.20915979054268455</v>
      </c>
      <c r="BD166" s="521">
        <f t="shared" ref="BD166:BD171" si="201">BC166</f>
        <v>0.20915979054268455</v>
      </c>
      <c r="BE166" s="518">
        <f>(BA42+BB42+BC42+BE42)/(BA32+BB32+BC32+BE32)</f>
        <v>0.42874612317235261</v>
      </c>
      <c r="BF166" s="518">
        <f>(BB42+BC42+BE42+BF42)/(BB32+BC32+BE32+BF32)</f>
        <v>0.49243648197232154</v>
      </c>
      <c r="BG166" s="518">
        <f>(BC42+BF42+BE42+BG42)/(BC32+BF32+BE32+BG32)</f>
        <v>0.49083067465980157</v>
      </c>
      <c r="BH166" s="518">
        <f>(BG42+BE42+BF42+BH42)/(BG32+BE32+BF32+BH32)</f>
        <v>0.50118353749957789</v>
      </c>
      <c r="BI166" s="521">
        <f t="shared" ref="BI166:BI171" si="202">BH166</f>
        <v>0.50118353749957789</v>
      </c>
      <c r="BJ166" s="518">
        <f>(BF42+BG42+BH42+BJ42)/(BF32+BG32+BH32+BJ32)</f>
        <v>0.76716393605760946</v>
      </c>
      <c r="BK166" s="518">
        <f>(BG42+BH42+BJ42+BK42)/(BG32+BH32+BJ32+BK32)</f>
        <v>-0.17869249738826296</v>
      </c>
      <c r="BL166" s="518">
        <f>(BH42+BK42+BJ42+BL42)/(BH32+BK32+BJ32+BL32)</f>
        <v>-4.1094330202514771</v>
      </c>
      <c r="BM166" s="518">
        <f>(BL42+BJ42+BK42+BM42)/(BL32+BJ32+BK32+BM32)</f>
        <v>-1.2079592529711332</v>
      </c>
      <c r="BN166" s="521">
        <f t="shared" ref="BN166:BN171" si="203">BM166</f>
        <v>-1.2079592529711332</v>
      </c>
      <c r="BO166" s="518">
        <f>(BK42+BL42+BM42+BO42)/(BK32+BL32+BM32+BO32)</f>
        <v>0.57911949940260421</v>
      </c>
      <c r="BP166" s="518">
        <f>(BL42+BM42+BO42+BP42)/(BL32+BM32+BO32+BP32)</f>
        <v>0.87852556668163673</v>
      </c>
      <c r="BQ166" s="518">
        <f>(BM42+BP42+BO42+BQ42)/(BM32+BP32+BO32+BQ32)</f>
        <v>0.7948716074870511</v>
      </c>
      <c r="BR166" s="518">
        <f>(BQ42+BO42+BP42+BR42)/(BQ32+BO32+BP32+BR32)</f>
        <v>0.79995280159172566</v>
      </c>
      <c r="BS166" s="521">
        <f t="shared" ref="BS166:BS171" si="204">BR166</f>
        <v>0.79995280159172566</v>
      </c>
      <c r="BT166" s="518">
        <f>(BP42+BQ42+BR42+BT42)/(BP32+BQ32+BR32+BT32)</f>
        <v>0.76368839660307264</v>
      </c>
      <c r="BU166" s="518">
        <f>(BQ42+BR42+BT42+BU42)/(BQ32+BR32+BT32+BU32)</f>
        <v>0.76097805485503056</v>
      </c>
      <c r="BV166" s="518">
        <f>(BR42+BU42+BT42+BV42)/(BR32+BU32+BT32+BV32)</f>
        <v>1.0434193523123334</v>
      </c>
      <c r="BW166" s="518">
        <f>(BV42+BT42+BU42+BW42)/(BV32+BT32+BU32+BW32)</f>
        <v>0.64500021293811671</v>
      </c>
      <c r="BX166" s="521">
        <f t="shared" ref="BX166:BX171" si="205">BW166</f>
        <v>0.64500021293811671</v>
      </c>
      <c r="BY166" s="518">
        <f>(BU42+BV42+BW42+BY42)/(BU32+BV32+BW32+BY32)</f>
        <v>0.70941432967289264</v>
      </c>
      <c r="BZ166" s="518">
        <f>(BV42+BW42+BY42+BZ42)/(BV32+BW32+BY32+BZ32)</f>
        <v>0.67063376057182877</v>
      </c>
      <c r="CA166" s="518">
        <f>(BW42+BZ42+BY42+CA42)/(BW32+BZ32+BY32+CA32)</f>
        <v>0.68815332560339482</v>
      </c>
      <c r="CB166" s="518">
        <f>(CA42+BY42+BZ42+CB42)/(CA32+BY32+BZ32+CB32)</f>
        <v>0.8640244868782877</v>
      </c>
      <c r="CC166" s="521">
        <f t="shared" ref="CC166:CC171" si="206">CB166</f>
        <v>0.8640244868782877</v>
      </c>
      <c r="CD166" s="518">
        <f>(BZ42+CA42+CB42+CD42)/(BZ32+CA32+CB32+CD32)</f>
        <v>0.88007990476935405</v>
      </c>
      <c r="CE166" s="518">
        <f>(CA42+CB42+CD42+CE42)/(CA32+CB32+CD32+CE32)</f>
        <v>0.94433973309547115</v>
      </c>
      <c r="CF166" s="518">
        <f>(CB42+CE42+CD42+CF42)/(CB32+CE32+CD32+CF32)</f>
        <v>0.99744263583763892</v>
      </c>
      <c r="CG166" s="518">
        <f>(CF42+CD42+CE42+CG42)/(CF32+CD32+CE32+CG32)</f>
        <v>0.98927079616675129</v>
      </c>
      <c r="CH166" s="521">
        <f t="shared" ref="CH166:CH171" si="207">CG166</f>
        <v>0.98927079616675129</v>
      </c>
      <c r="CI166" s="518">
        <f>(CE42+CF42+CG42+CI42)/(CE32+CF32+CG32+CI32)</f>
        <v>0.97166091382437225</v>
      </c>
      <c r="CJ166" s="518">
        <f>(CF42+CG42+CI42+CJ42)/(CF32+CG32+CI32+CJ32)</f>
        <v>0.93751838621559169</v>
      </c>
      <c r="CK166" s="518">
        <f>(CG42+CJ42+CI42+CK42)/(CG32+CJ32+CI32+CK32)</f>
        <v>0.93822338706454034</v>
      </c>
      <c r="CL166" s="518">
        <f>(CK42+CI42+CJ42+CL42)/(CK32+CI32+CJ32+CL32)</f>
        <v>0.93981070994082128</v>
      </c>
      <c r="CM166" s="521">
        <f t="shared" ref="CM166:CM171" si="208">CL166</f>
        <v>0.93981070994082128</v>
      </c>
      <c r="CN166" s="518">
        <f>(CJ42+CK42+CL42+CN42)/(CJ32+CK32+CL32+CN32)</f>
        <v>0.9404695452306685</v>
      </c>
      <c r="CO166" s="518">
        <f>(CK42+CL42+CN42+CO42)/(CK32+CL32+CN32+CO32)</f>
        <v>2.6647260273972804</v>
      </c>
      <c r="CP166" s="518">
        <f>(CL42+CO42+CN42+CP42)/(CL32+CO32+CN32+CP32)</f>
        <v>1.3493613570318295</v>
      </c>
      <c r="CQ166" s="518">
        <f>(CP42+CN42+CO42+CQ42)/(CP32+CN32+CO32+CQ32)</f>
        <v>1.0625798622035862</v>
      </c>
      <c r="CR166" s="521">
        <f t="shared" ref="CR166:CR171" si="209">CQ166</f>
        <v>1.0625798622035862</v>
      </c>
      <c r="CS166" s="518">
        <f>(CO42+CP42+CQ42+CS42)/(CO32+CP32+CQ32+CS32)</f>
        <v>0.88997994438685046</v>
      </c>
      <c r="CT166" s="518">
        <f>(CP42+CQ42+CS42+CT42)/(CP32+CQ32+CS32+CT32)</f>
        <v>0.8487547878103493</v>
      </c>
      <c r="CU166" s="518">
        <f>(CQ42+CT42+CS42+CU42)/(CQ32+CT32+CS32+CU32)</f>
        <v>0.8790768011092075</v>
      </c>
      <c r="CV166" s="518">
        <f>(CU42+CS42+CT42+CV42)/(CU32+CS32+CT32+CV32)</f>
        <v>1.6934425557218735</v>
      </c>
      <c r="CW166" s="521">
        <f t="shared" ref="CW166:CW171" si="210">CV166</f>
        <v>1.6934425557218735</v>
      </c>
      <c r="CX166" s="518">
        <f>(CT42+CU42+CV42+CX42)/(CT32+CU32+CV32+CX32)</f>
        <v>1.0585305064688657</v>
      </c>
      <c r="CY166" s="518">
        <f>(CU42+CV42+CX42+CY42)/(CU32+CV32+CX32+CY32)</f>
        <v>1.0425693957690372</v>
      </c>
      <c r="CZ166" s="518">
        <f>(CV42+CY42+CX42+CZ42)/(CV32+CY32+CX32+CZ32)</f>
        <v>1.0582529126213593</v>
      </c>
      <c r="DA166" s="518">
        <f>(CZ42+CX42+CY42+DA42)/(CZ32+CX32+CY32+DA32)</f>
        <v>1.0202294685990339</v>
      </c>
      <c r="DB166" s="521">
        <f t="shared" ref="DB166:DB171" si="211">DA166</f>
        <v>1.0202294685990339</v>
      </c>
      <c r="DC166" s="518">
        <f>(CY42+CZ42+DA42+DC42)/(CY32+CZ32+DA32+DC32)</f>
        <v>1.0090380890897352</v>
      </c>
      <c r="DD166" s="518">
        <f>(CZ42+DA42+DC42+DD42)/(CZ32+DA32+DC32+DD32)</f>
        <v>1.0025107604017216</v>
      </c>
      <c r="DE166" s="518">
        <f>(DA42+DD42+DC42+DE42)/(DA32+DD32+DC32+DE32)</f>
        <v>0.9887640449438202</v>
      </c>
      <c r="DF166" s="518">
        <f>(DE42+DC42+DD42+DF42)/(DE32+DC32+DD32+DF32)</f>
        <v>1.0526864893062076</v>
      </c>
      <c r="DG166" s="521">
        <f t="shared" ref="DG166:DG171" si="212">DF166</f>
        <v>1.0526864893062076</v>
      </c>
      <c r="DH166" s="518">
        <f>(DD42+DE42+DF42+DH42)/(DD32+DE32+DF32+DH32)</f>
        <v>1.2525741974560871</v>
      </c>
      <c r="DI166" s="518">
        <f>(DE42+DF42+DH42+DI42)/(DE32+DF32+DH32+DI32)</f>
        <v>1.3536585365853659</v>
      </c>
      <c r="DJ166" s="518">
        <f>(DF42+DI42+DH42+DJ42)/(DF32+DI32+DH32+DJ32)</f>
        <v>1.4646596858638743</v>
      </c>
      <c r="DK166" s="518">
        <f>(DJ42+DH42+DI42+DK42)/(DJ32+DH32+DI32+DK32)</f>
        <v>0.32173174872665533</v>
      </c>
      <c r="DL166" s="521">
        <f t="shared" ref="DL166:DL171" si="213">DK166</f>
        <v>0.32173174872665533</v>
      </c>
      <c r="DM166" s="518">
        <f>(DI42+DJ42+DK42+DM42)/(DI32+DJ32+DK32+DM32)</f>
        <v>0.61052631578947369</v>
      </c>
      <c r="DN166" s="518">
        <f>(DJ42+DK42+DM42+DN42)/(DJ32+DK32+DM32+DN32)</f>
        <v>0.67786970010341263</v>
      </c>
      <c r="DO166" s="518">
        <f>(DK42+DN42+DM42+DO42)/(DK32+DN32+DM32+DO32)</f>
        <v>0.66889804325437696</v>
      </c>
      <c r="DP166" s="518">
        <f>(DO42+DM42+DN42+DP42)/(DO32+DM32+DN32+DP32)</f>
        <v>0.48506694129763128</v>
      </c>
      <c r="DQ166" s="521">
        <f t="shared" ref="DQ166:DQ171" si="214">DP166</f>
        <v>0.48506694129763128</v>
      </c>
      <c r="DR166" s="518">
        <f>(DN42+DO42+DP42+DR42)/(DN32+DO32+DP32+DR32)</f>
        <v>1.3139745916515426</v>
      </c>
      <c r="DS166" s="518">
        <f>(DO42+DP42+DR42+DS42)/(DO32+DP32+DR32+DS32)</f>
        <v>1.5248618784530388</v>
      </c>
      <c r="DT166" s="518">
        <f>(DP42+DS42+DR42+DT42)/(DP32+DS32+DR32+DT32)</f>
        <v>1.842756183745583</v>
      </c>
      <c r="DU166" s="543">
        <f>(DT42+DR42+DS42+DU42)/(DT32+DR32+DS32+DU32)</f>
        <v>-491</v>
      </c>
      <c r="DV166" s="653">
        <f t="shared" ref="DV166:DV171" si="215">DU166</f>
        <v>-491</v>
      </c>
      <c r="DW166" s="518">
        <f>(DS42+DT42+DU42+DW42)/(DS32+DT32+DU32+DW32)</f>
        <v>0.9471228615863142</v>
      </c>
      <c r="DX166" s="518">
        <f>(DT42+DU42+DW42+DX42)/(DT32+DU32+DW32+DX32)</f>
        <v>0.93639053254437865</v>
      </c>
      <c r="DY166" s="518">
        <f>(DU42+DX42+DW42+DY42)/(DU32+DX32+DW32+DY32)</f>
        <v>0.95891891891891889</v>
      </c>
      <c r="DZ166" s="518">
        <f>(DY42+DW42+DX42+DZ42)/(DY32+DW32+DX32+DZ32)</f>
        <v>0.9720624486442071</v>
      </c>
      <c r="EA166" s="521">
        <f t="shared" ref="EA166:EA171" si="216">DZ166</f>
        <v>0.9720624486442071</v>
      </c>
      <c r="EB166" s="518">
        <f>(DX42+DY42+DZ42+EB42)/(DX32+DY32+DZ32+EB32)</f>
        <v>1</v>
      </c>
      <c r="EC166" s="518">
        <f>(DY42+DZ42+EB42+EC42)/(DY32+DZ32+EB32+EC32)</f>
        <v>1.0107015457788346</v>
      </c>
      <c r="ED166" s="518">
        <f>(DZ42+EC42+EB42+ED42)/(DZ32+EC32+EB32+ED32)</f>
        <v>1.018957345971564</v>
      </c>
      <c r="EE166" s="518">
        <f>(ED42+EB42+EC42+EE42)/(ED32+EB32+EC32+EE32)</f>
        <v>1.1216216216216217</v>
      </c>
      <c r="EF166" s="521">
        <f t="shared" ref="EF166:EF171" si="217">EE166</f>
        <v>1.1216216216216217</v>
      </c>
      <c r="EG166" s="518">
        <f>(EC42+ED42+EE42+EG42)/(EC32+ED32+EE32+EG32)</f>
        <v>0.82692307692307687</v>
      </c>
      <c r="EH166" s="518">
        <f>(ED42+EE42+EG42+EH42)/(ED32+EE32+EG32+EH32)</f>
        <v>0.89010989010989006</v>
      </c>
      <c r="EI166" s="518">
        <f>(EE42+EH42+EG42+EI42)/(EE32+EH32+EG32+EI32)</f>
        <v>0.84745762711864403</v>
      </c>
      <c r="EJ166" s="518">
        <f>(EI42+EG42+EH42+EJ42)/(EI32+EG32+EH32+EJ32)</f>
        <v>1.0125628140703518</v>
      </c>
      <c r="EK166" s="521">
        <f t="shared" ref="EK166:EK171" si="218">EJ166</f>
        <v>1.0125628140703518</v>
      </c>
      <c r="EL166" s="518">
        <f>(EH42+EI42+EJ42+EL42)/(EH32+EI32+EJ32+EL32)</f>
        <v>1.0107719928186714</v>
      </c>
      <c r="EM166" s="518">
        <f>(EI42+EJ42+EL42+EM42)/(EI32+EJ32+EL32+EM32)</f>
        <v>1.0042553191489361</v>
      </c>
      <c r="EN166" s="518">
        <f>(EJ42+EM42+EL42+EN42)/(EJ32+EM32+EL32+EN32)</f>
        <v>1.001085776330076</v>
      </c>
      <c r="EO166" s="518">
        <f>(EN42+EL42+EM42+EO42)/(EN32+EL32+EM32+EO32)</f>
        <v>1.021671826625387</v>
      </c>
      <c r="EP166" s="521">
        <f t="shared" ref="EP166:EP171" si="219">EO166</f>
        <v>1.021671826625387</v>
      </c>
      <c r="EQ166" s="518">
        <f>(EM42+EN42+EO42+EQ42)/(EM32+EN32+EO32+EQ32)</f>
        <v>1.0207972270363952</v>
      </c>
      <c r="ER166" s="518">
        <f>(EN42+EO42+EQ42+ER42)/(EN32+EO32+EQ32+ER32)</f>
        <v>1.1452702702702702</v>
      </c>
      <c r="ES166" s="518">
        <f>(EO42+ER42+EQ42+ES42)/(EO32+ER32+EQ32+ES32)</f>
        <v>1.1048387096774193</v>
      </c>
      <c r="ET166" s="518">
        <f>(ES42+EQ42+ER42+ET42)/(ES32+EQ32+ER32+ET32)</f>
        <v>1.109375</v>
      </c>
      <c r="EU166" s="521">
        <f t="shared" ref="EU166:EU171" si="220">ET166</f>
        <v>1.109375</v>
      </c>
      <c r="EV166" s="518">
        <f>(ER42+ES42+ET42+EV42)/(ER32+ES32+ET32+EV32)</f>
        <v>1.1354679802955665</v>
      </c>
      <c r="EW166" s="518">
        <f>(ES42+ET42+EV42+EW42)/(ES32+ET32+EV32+EW32)</f>
        <v>1.0560928433268859</v>
      </c>
      <c r="EX166" s="518">
        <f>(ET42+EW42+EV42+EX42)/(ET32+EW32+EV32+EX32)</f>
        <v>2.4642857142857144</v>
      </c>
      <c r="EY166" s="518">
        <f>(EX42+EV42+EW42+EY42)/(EX32+EV32+EW32+EY32)</f>
        <v>0.62318840579710144</v>
      </c>
      <c r="EZ166" s="521">
        <f t="shared" ref="EZ166:EZ171" si="221">EY166</f>
        <v>0.62318840579710144</v>
      </c>
      <c r="FA166" s="518">
        <f>(EW42+EX42+EY42+FA42)/(EW32+EX32+EY32+FA32)</f>
        <v>0.87555555555555553</v>
      </c>
      <c r="FB166" s="518">
        <f>(EX42+EY42+FA42+FB42)/(EX32+EY32+FA32+FB32)</f>
        <v>0.91899441340782118</v>
      </c>
      <c r="FC166" s="518">
        <f>(EY42+FB42+FA42+FC42)/(EY32+FB32+FA32+FC32)</f>
        <v>0.94736842105263153</v>
      </c>
      <c r="FD166" s="518">
        <f>(FC42+FA42+FB42+FD42)/(FC32+FA32+FB32+FD32)</f>
        <v>1.0212121212121212</v>
      </c>
      <c r="FE166" s="521">
        <f t="shared" ref="FE166:FE171" si="222">FD166</f>
        <v>1.0212121212121212</v>
      </c>
      <c r="FF166" s="518">
        <f>(FB42+FC42+FD42+FF42)/(FB32+FC32+FD32+FF32)</f>
        <v>1.1147540983606556</v>
      </c>
      <c r="FG166" s="518">
        <f>(FC42+FD42+FF42+FG42)/(FC32+FD32+FF32+FG32)</f>
        <v>1.2088607594936709</v>
      </c>
      <c r="FH166" s="518">
        <f>(FD42+FG42+FF42+FH42)/(FD32+FG32+FF32+FH32)</f>
        <v>1.2294117647058824</v>
      </c>
      <c r="FI166" s="518">
        <f>(FH42+FF42+FG42+FI42)/(FH32+FF32+FG32+FI32)</f>
        <v>0.91666666666666663</v>
      </c>
      <c r="FJ166" s="521">
        <f t="shared" ref="FJ166:FJ171" si="223">FI166</f>
        <v>0.91666666666666663</v>
      </c>
      <c r="FK166" s="518">
        <f>(FG42+FH42+FI42+FK42)/(FG32+FH32+FI32+FK32)</f>
        <v>0.90858208955223885</v>
      </c>
      <c r="FL166" s="518">
        <f>(FH42+FI42+FK42+FL42)/(FH32+FI32+FK32+FL32)</f>
        <v>0.92133131618759456</v>
      </c>
      <c r="FM166" s="518">
        <f>(FI42+FL42+FK42+FM42)/(FI32+FL32+FK32+FM32)</f>
        <v>0.9391025641025641</v>
      </c>
      <c r="FN166" s="518">
        <f>(FM42+FK42+FL42+FN42)/(FM32+FK32+FL32+FN32)</f>
        <v>1.9529411764705882</v>
      </c>
      <c r="FO166" s="521">
        <f t="shared" ref="FO166:FO171" si="224">FN166</f>
        <v>1.9529411764705882</v>
      </c>
      <c r="FP166" s="518">
        <f>(FL42+FM42+FN42+FP42)/(FL32+FM32+FN32+FP32)</f>
        <v>1.6483704974271012</v>
      </c>
      <c r="FQ166" s="518">
        <f>(FM42+FN42+FP42+FQ42)/(FM32+FN32+FP32+FQ32)</f>
        <v>1.4269102990033222</v>
      </c>
      <c r="FR166" s="518">
        <f>(FN42+FQ42+FP42+FR42)/(FN32+FQ32+FP32+FR32)</f>
        <v>1.3186046511627907</v>
      </c>
      <c r="FS166" s="518">
        <f>(FR42+FP42+FQ42+FS42)/(FR32+FP32+FQ32+FS32)</f>
        <v>0.86181520850367943</v>
      </c>
      <c r="FT166" s="521">
        <f t="shared" ref="FT166:FT171" si="225">FS166</f>
        <v>0.86181520850367943</v>
      </c>
      <c r="FU166" s="518">
        <f>(FQ42+FR42+FS42+FU42)/(FQ32+FR32+FS32+FU32)</f>
        <v>0.86489931175121082</v>
      </c>
      <c r="FV166" s="518">
        <f>(FR42+FS42+FU42+FV42)/(FR32+FS32+FU32+FV32)</f>
        <v>0.86968602389552652</v>
      </c>
      <c r="FW166" s="518">
        <f>(FS42+FV42+FU42+FW42)/(FS32+FV32+FU32+FW32)</f>
        <v>0.90091161315893775</v>
      </c>
      <c r="FX166" s="518">
        <f>(FW42+FU42+FV42+FX42)/(FW32+FU32+FV32+FX32)</f>
        <v>1.1148648648648649</v>
      </c>
      <c r="FY166" s="521">
        <f t="shared" ref="FY166:FY171" si="226">FX166</f>
        <v>1.1148648648648649</v>
      </c>
      <c r="FZ166" s="518">
        <f>(FV42+FW42+FX42+FZ42)/(FV32+FW32+FX32+FZ32)</f>
        <v>2.4534161490683228</v>
      </c>
      <c r="GA166" s="518">
        <f>(FW42+FX42+FZ42+GA42)/(FW32+FX32+FZ32+GA32)</f>
        <v>7.3964497041420121E-2</v>
      </c>
      <c r="GB166" s="518">
        <f>(FX42+GA42+FZ42+GB42)/(FX32+GA32+FZ32+GB32)</f>
        <v>-26</v>
      </c>
      <c r="GC166" s="518">
        <f>(GB42+FZ42+GA42+GC42)/(GB32+FZ32+GA32+GC32)</f>
        <v>1.7357723577235773</v>
      </c>
      <c r="GD166" s="521">
        <f t="shared" ref="GD166:GD171" si="227">GC166</f>
        <v>1.7357723577235773</v>
      </c>
      <c r="GE166" s="518">
        <f>(GA42+GB42+GC42+GE42)/(GA32+GB32+GC32+GE32)</f>
        <v>1.6339677891654465</v>
      </c>
      <c r="GF166" s="518">
        <f>(GB42+GC42+GE42+GF42)/(GB32+GC32+GE32+GF32)</f>
        <v>1.3760162601626016</v>
      </c>
      <c r="GG166" s="518">
        <f>(GC42+GD42+GF42+GG42)/(GC32+GD32+GF32+GG32)</f>
        <v>1.3514799154334038</v>
      </c>
      <c r="GH166" s="518">
        <f>(GG42+GE42+GF42+GH42)/(GG32+GE32+GF32+GH32)</f>
        <v>0.82503770739064852</v>
      </c>
      <c r="GI166" s="521">
        <f t="shared" ref="GI166:GI171" si="228">GH166</f>
        <v>0.82503770739064852</v>
      </c>
      <c r="GJ166" s="518">
        <f>(GF42+GG42+GH42+GJ42)/(GF32+GG32+GH32+GJ32)</f>
        <v>0.80981818181818177</v>
      </c>
      <c r="GK166" s="518">
        <f>(GG42+GH42+GJ42+GK42)/(GG32+GH32+GJ32+GK32)</f>
        <v>1.1922591501893143</v>
      </c>
      <c r="GL166" s="518">
        <f>(GH42+GK42+GJ42+GL42)/(GH32+GK32+GJ32+GL32)</f>
        <v>1.1187817258883248</v>
      </c>
      <c r="GM166" s="518">
        <f>(GL42+GJ42+GK42+GM42)/(GL32+GJ32+GK32+GM32)</f>
        <v>1.0471014492753623</v>
      </c>
      <c r="GN166" s="521">
        <f t="shared" ref="GN166:GN171" si="229">GM166</f>
        <v>1.0471014492753623</v>
      </c>
      <c r="GO166" s="518">
        <f>(GK42+GL42+GM42+GO42)/(GK32+GL32+GM32+GO32)</f>
        <v>1.0182964017076641</v>
      </c>
      <c r="GP166" s="518">
        <f>(GL42+GM42+GO42+GP42)/(GL32+GM32+GO32+GP32)</f>
        <v>0.83398536433214199</v>
      </c>
      <c r="GQ166" s="518">
        <f>(GM42+GP42+GO42+GQ42)/(GM32+GP32+GO32+GQ32)</f>
        <v>0.82131856053657015</v>
      </c>
      <c r="GR166" s="518">
        <f>(GQ42+GO42+GP42+GR42)/(GQ32+GO32+GP32+GR32)</f>
        <v>0.85157612002090155</v>
      </c>
      <c r="GS166" s="521">
        <f t="shared" ref="GS166:GS171" si="230">GR166</f>
        <v>0.85157612002090155</v>
      </c>
      <c r="GT166" s="518">
        <f>(GP42+GQ42+GR42+GT42)/(GP32+GQ32+GR32+GT32)</f>
        <v>0.85199610001175241</v>
      </c>
      <c r="GU166" s="518">
        <f>(GQ42+GR42+GT42+GU42)/(GQ32+GR32+GT32+GU32)</f>
        <v>0.854791127465234</v>
      </c>
      <c r="GV166" s="518">
        <f>(GR42+GU42+GT42+GV42)/(GR32+GU32+GT32+GV32)</f>
        <v>0.85726765887526024</v>
      </c>
      <c r="GW166" s="518">
        <f>(GV42+GT42+GU42+GW42)/(GV32+GT32+GU32+GW32)</f>
        <v>0.85850591590477066</v>
      </c>
      <c r="GX166" s="521">
        <f t="shared" ref="GX166:GX171" si="231">GW166</f>
        <v>0.85850591590477066</v>
      </c>
      <c r="GY166" s="518">
        <f>(GU42+GV42+GW42+GY42)/(GU32+GV32+GW32+GY32)</f>
        <v>0.8593487941061746</v>
      </c>
      <c r="GZ166" s="518">
        <f>(GV42+GW42+GY42+GZ42)/(GV32+GW32+GY32+GZ32)</f>
        <v>0.8600499114534409</v>
      </c>
      <c r="HA166" s="518">
        <f>(GW42+GZ42+GY42+HA42)/(GW32+GZ32+GY32+HA32)</f>
        <v>0.86066324953263418</v>
      </c>
      <c r="HB166" s="518">
        <f>(HA42+GY42+GZ42+HB42)/(HA32+GY32+GZ32+HB32)</f>
        <v>0.86125335405513248</v>
      </c>
      <c r="HC166" s="521">
        <f t="shared" ref="HC166:HC171" si="232">HB166</f>
        <v>0.86125335405513248</v>
      </c>
      <c r="HD166" s="518">
        <f>(GZ42+HA42+HB42+HD42)/(GZ32+HA32+HB32+HD32)</f>
        <v>0.86166685418918276</v>
      </c>
      <c r="HE166" s="518">
        <f>(HA42+HB42+HD42+HE42)/(HA32+HB32+HD32+HE32)</f>
        <v>0.8620034080007819</v>
      </c>
      <c r="HF166" s="518">
        <f>(HB42+HE42+HD42+HF42)/(HB32+HE32+HD32+HF32)</f>
        <v>0.86231567181720503</v>
      </c>
      <c r="HG166" s="518">
        <f>(HF42+HD42+HE42+HG42)/(HF32+HD32+HE32+HG32)</f>
        <v>0.86251214809302346</v>
      </c>
      <c r="HH166" s="521">
        <f t="shared" ref="HH166:HH171" si="233">HG166</f>
        <v>0.86251214809302346</v>
      </c>
      <c r="HI166" s="518">
        <f>(HE42+HF42+HG42+HI42)/(HE32+HF32+HG32+HI32)</f>
        <v>0.86262484141234896</v>
      </c>
      <c r="HJ166" s="518">
        <f>(HF42+HG42+HI42+HJ42)/(HF32+HG32+HI32+HJ32)</f>
        <v>0.8627497284335236</v>
      </c>
      <c r="HK166" s="518">
        <f>(HG42+HJ42+HI42+HK42)/(HG32+HJ32+HI32+HK32)</f>
        <v>0.86295198853106259</v>
      </c>
      <c r="HL166" s="518">
        <f>(HK42+HI42+HJ42+HL42)/(HK32+HI32+HJ32+HL32)</f>
        <v>0.86318982280803236</v>
      </c>
      <c r="HM166" s="521">
        <f t="shared" ref="HM166:HM171" si="234">HL166</f>
        <v>0.86318982280803236</v>
      </c>
      <c r="HN166" s="521"/>
      <c r="HO166" s="521"/>
      <c r="HP166" s="563"/>
      <c r="HR166" s="563"/>
      <c r="HS166" s="563"/>
      <c r="HT166" s="563"/>
      <c r="HU166" s="563"/>
      <c r="HV166" s="563"/>
      <c r="HW166" s="563"/>
      <c r="HX166" s="563"/>
    </row>
    <row r="167" spans="1:232" s="509" customFormat="1" ht="11.25" hidden="1" customHeight="1" outlineLevel="1">
      <c r="A167" s="532" t="s">
        <v>476</v>
      </c>
      <c r="L167" s="619"/>
      <c r="M167" s="619"/>
      <c r="N167" s="619"/>
      <c r="O167" s="619"/>
      <c r="P167" s="541"/>
      <c r="Q167" s="619"/>
      <c r="R167" s="619"/>
      <c r="S167" s="619"/>
      <c r="T167" s="619"/>
      <c r="U167" s="541"/>
      <c r="V167" s="619"/>
      <c r="W167" s="619"/>
      <c r="X167" s="619"/>
      <c r="Y167" s="619"/>
      <c r="Z167" s="541"/>
      <c r="AA167" s="619"/>
      <c r="AB167" s="619"/>
      <c r="AC167" s="619"/>
      <c r="AD167" s="619"/>
      <c r="AE167" s="541"/>
      <c r="AF167" s="619"/>
      <c r="AG167" s="619"/>
      <c r="AH167" s="619"/>
      <c r="AI167" s="619"/>
      <c r="AJ167" s="541"/>
      <c r="AK167" s="619">
        <f>(AG32+AH32+AI32+AK32)/((AK32-AK28)+(AI32-AI28)+(AH32-AH28)+(AG32-AG28))</f>
        <v>0.9605388043134373</v>
      </c>
      <c r="AL167" s="619">
        <f>(AH32+AI32+AK32+AL32)/((AL32-AL28)+(AK32-AK28)+(AI32-AI28)+(AH32-AH28))</f>
        <v>0.96211429891731792</v>
      </c>
      <c r="AM167" s="619">
        <f>(AI32+AL32+AK32+AM32)/((AM32-AM28)+(AK32-AK28)+(AL32-AL28)+(AI32-AI28))</f>
        <v>0.97397994212616834</v>
      </c>
      <c r="AN167" s="619">
        <f>(AM32+AK32+AL32+AN32)/((AN32-AN28)+(AL32-AL28)+(AK32-AK28)+(AM32-AM28))</f>
        <v>1.1023196523690688</v>
      </c>
      <c r="AO167" s="541">
        <f t="shared" si="198"/>
        <v>1.1023196523690688</v>
      </c>
      <c r="AP167" s="619">
        <f>(AL32+AM32+AN32+AP32)/((AP32-AP28)+(AN32-AN28)+(AM32-AM28)+(AL32-AL28))</f>
        <v>1.0894208141384074</v>
      </c>
      <c r="AQ167" s="619">
        <f>(AM32+AN32+AP32+AQ32)/((AQ32-AQ28)+(AP32-AP28)+(AN32-AN28)+(AM32-AM28))</f>
        <v>1.0885119513530388</v>
      </c>
      <c r="AR167" s="619">
        <f>(AN32+AQ32+AP32+AR32)/((AR32-AR28)+(AP32-AP28)+(AQ32-AQ28)+(AN32-AN28))</f>
        <v>1.0782519272008353</v>
      </c>
      <c r="AS167" s="619">
        <f>(AR32+AP32+AQ32+AS32)/((AS32-AS28)+(AQ32-AQ28)+(AP32-AP28)+(AR32-AR28))</f>
        <v>0.9264035025429187</v>
      </c>
      <c r="AT167" s="541">
        <f t="shared" si="199"/>
        <v>0.9264035025429187</v>
      </c>
      <c r="AU167" s="619">
        <f>(AQ32+AR32+AS32+AU32)/((AU32-AU28)+(AS32-AS28)+(AR32-AR28)+(AQ32-AQ28))</f>
        <v>0.82654626240221252</v>
      </c>
      <c r="AV167" s="619">
        <f>(AR32+AS32+AU32+AV32)/((AV32-AV28)+(AU32-AU28)+(AS32-AS28)+(AR32-AR28))</f>
        <v>0.26171879506674145</v>
      </c>
      <c r="AW167" s="619">
        <f>(AS32+AV32+AU32+AW32)/((AW32-AW28)+(AU32-AU28)+(AV32-AV28)+(AS32-AS28))</f>
        <v>1.9314668702808173</v>
      </c>
      <c r="AX167" s="619">
        <f>(AW32+AU32+AV32+AX32)/((AX32-AX28)+(AV32-AV28)+(AU32-AU28)+(AW32-AW28))</f>
        <v>1.2713365245246711</v>
      </c>
      <c r="AY167" s="541">
        <f t="shared" si="200"/>
        <v>1.2713365245246711</v>
      </c>
      <c r="AZ167" s="619">
        <f>(AV32+AW32+AX32+AZ32)/((AZ32-AZ28)+(AX32-AX28)+(AW32-AW28)+(AV32-AV28))</f>
        <v>1.1225235874871391</v>
      </c>
      <c r="BA167" s="619">
        <f>(AW32+AX32+AZ32+BA32)/((BA32-BA28)+(AZ32-AZ28)+(AX32-AX28)+(AW32-AW28))</f>
        <v>1.0079510333753474</v>
      </c>
      <c r="BB167" s="619">
        <f>(AX32+BA32+AZ32+BB32)/((BB32-BB28)+(AZ32-AZ28)+(BA32-BA28)+(AX32-AX28))</f>
        <v>0.92706933967138583</v>
      </c>
      <c r="BC167" s="619">
        <f>(BB32+AZ32+BA32+BC32)/((BC32-BC28)+(BA32-BA28)+(AZ32-AZ28)+(BB32-BB28))</f>
        <v>0.90830638405203079</v>
      </c>
      <c r="BD167" s="541">
        <f t="shared" si="201"/>
        <v>0.90830638405203079</v>
      </c>
      <c r="BE167" s="619">
        <f>(BA32+BB32+BC32+BE32)/((BE32-BE28)+(BC32-BC28)+(BB32-BB28)+(BA32-BA28))</f>
        <v>0.87418952521864435</v>
      </c>
      <c r="BF167" s="619">
        <f>(BB32+BC32+BE32+BF32)/((BF32-BF28)+(BE32-BE28)+(BC32-BC28)+(BB32-BB28))</f>
        <v>0.89367255761854492</v>
      </c>
      <c r="BG167" s="619">
        <f>(BC32+BF32+BE32+BG32)/((BG32-BG28)+(BE32-BE28)+(BF32-BF28)+(BC32-BC28))</f>
        <v>0.86552064433874376</v>
      </c>
      <c r="BH167" s="619">
        <f>(BG32+BE32+BF32+BH32)/((BH32-BH28)+(BF32-BF28)+(BE32-BE28)+(BG32-BG28))</f>
        <v>0.82569979619132539</v>
      </c>
      <c r="BI167" s="541">
        <f t="shared" si="202"/>
        <v>0.82569979619132539</v>
      </c>
      <c r="BJ167" s="619">
        <f>(BF32+BG32+BH32+BJ32)/((BJ32-BJ28)+(BH32-BH28)+(BG32-BG28)+(BF32-BF28))</f>
        <v>0.8620045620260075</v>
      </c>
      <c r="BK167" s="619">
        <f>(BG32+BH32+BJ32+BK32)/((BK32-BK28)+(BJ32-BJ28)+(BH32-BH28)+(BG32-BG28))</f>
        <v>1.3578210942777187</v>
      </c>
      <c r="BL167" s="619">
        <f>(BH32+BK32+BJ32+BL32)/((BL32-BL28)+(BJ32-BJ28)+(BK32-BK28)+(BH32-BH28))</f>
        <v>-6.1640700134643671</v>
      </c>
      <c r="BM167" s="619">
        <f>(BL32+BJ32+BK32+BM32)/((BM32-BM28)+(BK32-BK28)+(BJ32-BJ28)+(BL32-BL28))</f>
        <v>2.0390782950674344</v>
      </c>
      <c r="BN167" s="541">
        <f t="shared" si="203"/>
        <v>2.0390782950674344</v>
      </c>
      <c r="BO167" s="619">
        <f>(BK32+BL32+BM32+BO32)/((BO32-BO28)+(BM32-BM28)+(BL32-BL28)+(BK32-BK28))</f>
        <v>1.0473892686134252</v>
      </c>
      <c r="BP167" s="619">
        <f>(BL32+BM32+BO32+BP32)/((BP32-BP28)+(BO32-BO28)+(BM32-BM28)+(BL32-BL28))</f>
        <v>0.99594009427238739</v>
      </c>
      <c r="BQ167" s="619">
        <f>(BM32+BP32+BO32+BQ32)/((BQ32-BQ28)+(BO32-BO28)+(BP32-BP28)+(BM32-BM28))</f>
        <v>0.98618499583342711</v>
      </c>
      <c r="BR167" s="619">
        <f>(BQ32+BO32+BP32+BR32)/((BR32-BR28)+(BP32-BP28)+(BO32-BO28)+(BQ32-BQ28))</f>
        <v>0.97907449413163217</v>
      </c>
      <c r="BS167" s="541">
        <f t="shared" si="204"/>
        <v>0.97907449413163217</v>
      </c>
      <c r="BT167" s="619">
        <f>(BP32+BQ32+BR32+BT32)/((BT32-BT28)+(BR32-BR28)+(BQ32-BQ28)+(BP32-BP28))</f>
        <v>0.98866198612936651</v>
      </c>
      <c r="BU167" s="619">
        <f>(BQ32+BR32+BT32+BU32)/((BU32-BU28)+(BT32-BT28)+(BR32-BR28)+(BQ32-BQ28))</f>
        <v>1.0029209510423887</v>
      </c>
      <c r="BV167" s="619">
        <f>(BR32+BU32+BT32+BV32)/((BV32-BV28)+(BT32-BT28)+(BU32-BU28)+(BR32-BR28))</f>
        <v>1.0356308600720245</v>
      </c>
      <c r="BW167" s="619">
        <f>(BV32+BT32+BU32+BW32)/((BW32-BW28)+(BU32-BU28)+(BT32-BT28)+(BV32-BV28))</f>
        <v>0.87273740940345634</v>
      </c>
      <c r="BX167" s="541">
        <f t="shared" si="205"/>
        <v>0.87273740940345634</v>
      </c>
      <c r="BY167" s="619">
        <f>(BU32+BV32+BW32+BY32)/((BY32-BY28)+(BW32-BW28)+(BV32-BV28)+(BU32-BU28))</f>
        <v>0.95310968871838697</v>
      </c>
      <c r="BZ167" s="619">
        <f>(BV32+BW32+BY32+BZ32)/((BZ32-BZ28)+(BY32-BY28)+(BW32-BW28)+(BV32-BV28))</f>
        <v>0.97903734928596964</v>
      </c>
      <c r="CA167" s="619">
        <f>(BW32+BZ32+BY32+CA32)/((CA32-CA28)+(BY32-BY28)+(BZ32-BZ28)+(BW32-BW28))</f>
        <v>0.96882923234496876</v>
      </c>
      <c r="CB167" s="619">
        <f>(CA32+BY32+BZ32+CB32)/((CB32-CB28)+(BZ32-BZ28)+(BY32-BY28)+(CA32-CA28))</f>
        <v>0.97689572078199705</v>
      </c>
      <c r="CC167" s="541">
        <f t="shared" si="206"/>
        <v>0.97689572078199705</v>
      </c>
      <c r="CD167" s="619">
        <f>(BZ32+CA32+CB32+CD32)/((CD32-CD28)+(CB32-CB28)+(CA32-CA28)+(BZ32-BZ28))</f>
        <v>0.96790808100284731</v>
      </c>
      <c r="CE167" s="619">
        <f>(CA32+CB32+CD32+CE32)/((CE32-CE28)+(CD32-CD28)+(CB32-CB28)+(CA32-CA28))</f>
        <v>0.95564387300396481</v>
      </c>
      <c r="CF167" s="619">
        <f>(CB32+CE32+CD32+CF32)/((CF32-CF28)+(CD32-CD28)+(CE32-CE28)+(CB32-CB28))</f>
        <v>0.9372375695894084</v>
      </c>
      <c r="CG167" s="619">
        <f>(CF32+CD32+CE32+CG32)/((CG32-CG28)+(CE32-CE28)+(CD32-CD28)+(CF32-CF28))</f>
        <v>0.78732581004889091</v>
      </c>
      <c r="CH167" s="541">
        <f t="shared" si="207"/>
        <v>0.78732581004889091</v>
      </c>
      <c r="CI167" s="619">
        <f>(CE32+CF32+CG32+CI32)/((CI32-CI28)+(CG32-CG28)+(CF32-CF28)+(CE32-CE28))</f>
        <v>0.53963012306079794</v>
      </c>
      <c r="CJ167" s="619">
        <f>(CF32+CG32+CI32+CJ32)/((CJ32-CJ28)+(CI32-CI28)+(CG32-CG28)+(CF32-CF28))</f>
        <v>7.0493260257739383</v>
      </c>
      <c r="CK167" s="619">
        <f>(CG32+CJ32+CI32+CK32)/((CK32-CK28)+(CI32-CI28)+(CJ32-CJ28)+(CG32-CG28))</f>
        <v>1.9641887799735305</v>
      </c>
      <c r="CL167" s="619">
        <f>(CK32+CI32+CJ32+CL32)/((CL32-CL28)+(CJ32-CJ28)+(CI32-CI28)+(CK32-CK28))</f>
        <v>-200.400826446298</v>
      </c>
      <c r="CM167" s="541">
        <f t="shared" si="208"/>
        <v>-200.400826446298</v>
      </c>
      <c r="CN167" s="619">
        <f>(CJ32+CK32+CL32+CN32)/((CN32-CN28)+(CL32-CL28)+(CK32-CK28)+(CJ32-CJ28))</f>
        <v>-0.44707212166586058</v>
      </c>
      <c r="CO167" s="619">
        <f>(CK32+CL32+CN32+CO32)/((CO32-CO28)+(CN32-CN28)+(CL32-CL28)+(CK32-CK28))</f>
        <v>-3.3162222323172279E-2</v>
      </c>
      <c r="CP167" s="619">
        <f>(CL32+CO32+CN32+CP32)/((CP32-CP28)+(CN32-CN28)+(CO32-CO28)+(CL32-CL28))</f>
        <v>-0.46757145339927253</v>
      </c>
      <c r="CQ167" s="619">
        <f>(CP32+CN32+CO32+CQ32)/((CQ32-CQ28)+(CO32-CO28)+(CN32-CN28)+(CP32-CP28))</f>
        <v>2.4202306209983191</v>
      </c>
      <c r="CR167" s="541">
        <f t="shared" si="209"/>
        <v>2.4202306209983191</v>
      </c>
      <c r="CS167" s="619">
        <f>(CO32+CP32+CQ32+CS32)/((CS32-CS28)+(CQ32-CQ28)+(CP32-CP28)+(CO32-CO28))</f>
        <v>1.260535965632738</v>
      </c>
      <c r="CT167" s="619">
        <f>(CP32+CQ32+CS32+CT32)/((CT32-CT28)+(CS32-CS28)+(CQ32-CQ28)+(CP32-CP28))</f>
        <v>1.0783423598355277</v>
      </c>
      <c r="CU167" s="619">
        <f>(CQ32+CT32+CS32+CU32)/((CU32-CU28)+(CS32-CS28)+(CT32-CT28)+(CQ32-CQ28))</f>
        <v>1.0034167906348397</v>
      </c>
      <c r="CV167" s="619">
        <f>(CU32+CS32+CT32+CV32)/((CV32-CV28)+(CT32-CT28)+(CS32-CS28)+(CU32-CU28))</f>
        <v>0.80287440528126652</v>
      </c>
      <c r="CW167" s="541">
        <f t="shared" si="210"/>
        <v>0.80287440528126652</v>
      </c>
      <c r="CX167" s="619">
        <f>(CT32+CU32+CV32+CX32)/((CX32-CX28)+(CV32-CV28)+(CU32-CU28)+(CT32-CT28))</f>
        <v>0.92864619625442413</v>
      </c>
      <c r="CY167" s="619">
        <f>(CU32+CV32+CX32+CY32)/((CY32-CY28)+(CX32-CX28)+(CV32-CV28)+(CU32-CU28))</f>
        <v>0.89611337000040214</v>
      </c>
      <c r="CZ167" s="619">
        <f>(CV32+CY32+CX32+CZ32)/((CZ32-CZ28)+(CX32-CX28)+(CY32-CY28)+(CV32-CV28))</f>
        <v>0.88336192109777012</v>
      </c>
      <c r="DA167" s="619">
        <f>(CZ32+CX32+CY32+DA32)/((DA32-DA28)+(CY32-CY28)+(CX32-CX28)+(CZ32-CZ28))</f>
        <v>0.9166897315250484</v>
      </c>
      <c r="DB167" s="541">
        <f t="shared" si="211"/>
        <v>0.9166897315250484</v>
      </c>
      <c r="DC167" s="619">
        <f>(CY32+CZ32+DA32+DC32)/((DC32-DC28)+(DA32-DA28)+(CZ32-CZ28)+(CY32-CY28))</f>
        <v>0.90584795321637424</v>
      </c>
      <c r="DD167" s="619">
        <f>(CZ32+DA32+DC32+DD32)/((DD32-DD28)+(DC32-DC28)+(DA32-DA28)+(CZ32-CZ28))</f>
        <v>0.90519480519480522</v>
      </c>
      <c r="DE167" s="619">
        <f>(DA32+DD32+DC32+DE32)/((DE32-DE28)+(DC32-DC28)+(DD32-DD28)+(DA32-DA28))</f>
        <v>0.88934122871946708</v>
      </c>
      <c r="DF167" s="619">
        <f>(DE32+DC32+DD32+DF32)/((DF32-DF28)+(DD32-DD28)+(DC32-DC28)+(DE32-DE28))</f>
        <v>0.86978221415607981</v>
      </c>
      <c r="DG167" s="541">
        <f t="shared" si="212"/>
        <v>0.86978221415607981</v>
      </c>
      <c r="DH167" s="619">
        <f>(DD32+DE32+DF32+DH32)/((DH32-DH28)+(DF32-DF28)+(DE32-DE28)+(DD32-DD28))</f>
        <v>0.91926503340757237</v>
      </c>
      <c r="DI167" s="619">
        <f>(DE32+DF32+DH32+DI32)/((DI32-DI28)+(DH32-DH28)+(DF32-DF28)+(DE32-DE28))</f>
        <v>0.91539365452408927</v>
      </c>
      <c r="DJ167" s="619">
        <f>(DF32+DI32+DH32+DJ32)/((DJ32-DJ28)+(DH32-DH28)+(DI32-DI28)+(DF32-DF28))</f>
        <v>0.92214846107423054</v>
      </c>
      <c r="DK167" s="619">
        <f>(DJ32+DH32+DI32+DK32)/((DK32-DK28)+(DI32-DI28)+(DH32-DH28)+(DJ32-DJ28))</f>
        <v>1.1294343240651965</v>
      </c>
      <c r="DL167" s="541">
        <f t="shared" si="213"/>
        <v>1.1294343240651965</v>
      </c>
      <c r="DM167" s="619">
        <f>(DI32+DJ32+DK32+DM32)/((DM32-DM28)+(DK32-DK28)+(DJ32-DJ28)+(DI32-DI28))</f>
        <v>1.1817553559087768</v>
      </c>
      <c r="DN167" s="619">
        <f>(DJ32+DK32+DM32+DN32)/((DN32-DN28)+(DM32-DM28)+(DK32-DK28)+(DJ32-DJ28))</f>
        <v>1.1587777112043141</v>
      </c>
      <c r="DO167" s="619">
        <f>(DK32+DN32+DM32+DO32)/((DO32-DO28)+(DM32-DM28)+(DN32-DN28)+(DK32-DK28))</f>
        <v>1.1350087668030391</v>
      </c>
      <c r="DP167" s="619">
        <f>(DO32+DM32+DN32+DP32)/((DP32-DP28)+(DN32-DN28)+(DM32-DM28)+(DO32-DO28))</f>
        <v>1.2626788036410923</v>
      </c>
      <c r="DQ167" s="541">
        <f t="shared" si="214"/>
        <v>1.2626788036410923</v>
      </c>
      <c r="DR167" s="619">
        <f>(DN32+DO32+DP32+DR32)/((DR32-DR28)+(DP32-DP28)+(DO32-DO28)+(DN32-DN28))</f>
        <v>1.4424083769633509</v>
      </c>
      <c r="DS167" s="619">
        <f>(DO32+DP32+DR32+DS32)/((DS32-DS28)+(DR32-DR28)+(DP32-DP28)+(DO32-DO28))</f>
        <v>1.3816793893129771</v>
      </c>
      <c r="DT167" s="619">
        <f>(DP32+DS32+DR32+DT32)/((DT32-DT28)+(DR32-DR28)+(DS32-DS28)+(DP32-DP28))</f>
        <v>1.3804878048780487</v>
      </c>
      <c r="DU167" s="619">
        <f>(DT32+DR32+DS32+DU32)/((DU32-DU28)+(DS32-DS28)+(DR32-DR28)+(DT32-DT28))</f>
        <v>6.41025641025641E-3</v>
      </c>
      <c r="DV167" s="541">
        <f t="shared" si="215"/>
        <v>6.41025641025641E-3</v>
      </c>
      <c r="DW167" s="619">
        <f>(DS32+DT32+DU32+DW32)/((DW32-DW28)+(DU32-DU28)+(DT32-DT28)+(DS32-DS28))</f>
        <v>0.79776674937965264</v>
      </c>
      <c r="DX167" s="619">
        <f>(DT32+DU32+DW32+DX32)/((DX32-DX28)+(DW32-DW28)+(DU32-DU28)+(DT32-DT28))</f>
        <v>0.80094786729857825</v>
      </c>
      <c r="DY167" s="619">
        <f>(DU32+DX32+DW32+DY32)/((DY32-DY28)+(DW32-DW28)+(DX32-DX28)+(DU32-DU28))</f>
        <v>0.85807050092764381</v>
      </c>
      <c r="DZ167" s="619">
        <f>(DY32+DW32+DX32+DZ32)/((DZ32-DZ28)+(DX32-DX28)+(DW32-DW28)+(DY32-DY28))</f>
        <v>0.88316400580551524</v>
      </c>
      <c r="EA167" s="541">
        <f t="shared" si="216"/>
        <v>0.88316400580551524</v>
      </c>
      <c r="EB167" s="619">
        <f>(DX32+DY32+DZ32+EB32)/((EB32-EB28)+(DZ32-DZ28)+(DY32-DY28)+(DX32-DX28))</f>
        <v>0.81747787610619471</v>
      </c>
      <c r="EC167" s="619">
        <f>(DY32+DZ32+EB32+EC32)/((EC32-EC28)+(EB32-EB28)+(DZ32-DZ28)+(DY32-DY28))</f>
        <v>0.83932135728542911</v>
      </c>
      <c r="ED167" s="619">
        <f>(DZ32+EC32+EB32+ED32)/((ED32-ED28)+(EB32-EB28)+(EC32-EC28)+(DZ32-DZ28))</f>
        <v>0.77955665024630538</v>
      </c>
      <c r="EE167" s="619">
        <f>(ED32+EB32+EC32+EE32)/((EE32-EE28)+(EC32-EC28)+(EB32-EB28)+(ED32-ED28))</f>
        <v>0.29482071713147412</v>
      </c>
      <c r="EF167" s="541">
        <f t="shared" si="217"/>
        <v>0.29482071713147412</v>
      </c>
      <c r="EG167" s="619">
        <f>(EC32+ED32+EE32+EG32)/((EG32-EG28)+(EE32-EE28)+(ED32-ED28)+(EC32-EC28))</f>
        <v>-0.39694656488549618</v>
      </c>
      <c r="EH167" s="619">
        <f>(ED32+EE32+EG32+EH32)/((EH32-EH28)+(EG32-EG28)+(EE32-EE28)+(ED32-ED28))</f>
        <v>-0.94791666666666663</v>
      </c>
      <c r="EI167" s="619">
        <f>(EE32+EH32+EG32+EI32)/((EI32-EI28)+(EG32-EG28)+(EH32-EH28)+(EE32-EE28))</f>
        <v>-0.4609375</v>
      </c>
      <c r="EJ167" s="619">
        <f>(EI32+EG32+EH32+EJ32)/((EJ32-EJ28)+(EH32-EH28)+(EG32-EG28)+(EI32-EI28))</f>
        <v>0.68977469670710567</v>
      </c>
      <c r="EK167" s="541">
        <f t="shared" si="218"/>
        <v>0.68977469670710567</v>
      </c>
      <c r="EL167" s="619">
        <f>(EH32+EI32+EJ32+EL32)/((EL32-EL28)+(EJ32-EJ28)+(EI32-EI28)+(EH32-EH28))</f>
        <v>0.76933701657458564</v>
      </c>
      <c r="EM167" s="619">
        <f>(EI32+EJ32+EL32+EM32)/((EM32-EM28)+(EL32-EL28)+(EJ32-EJ28)+(EI32-EI28))</f>
        <v>0.81127733026467208</v>
      </c>
      <c r="EN167" s="619">
        <f>(EJ32+EM32+EL32+EN32)/((EN32-EN28)+(EL32-EL28)+(EM32-EM28)+(EJ32-EJ28))</f>
        <v>0.85277777777777775</v>
      </c>
      <c r="EO167" s="619">
        <f>(EN32+EL32+EM32+EO32)/((EO32-EO28)+(EM32-EM28)+(EL32-EL28)+(EN32-EN28))</f>
        <v>0.79654747225647349</v>
      </c>
      <c r="EP167" s="541">
        <f t="shared" si="219"/>
        <v>0.79654747225647349</v>
      </c>
      <c r="EQ167" s="619">
        <f>(EM32+EN32+EO32+EQ32)/((EQ32-EQ28)+(EO32-EO28)+(EN32-EN28)+(EM32-EM28))</f>
        <v>0.77762803234501343</v>
      </c>
      <c r="ER167" s="619">
        <f>(EN32+EO32+EQ32+ER32)/((ER32-ER28)+(EQ32-EQ28)+(EO32-EO28)+(EN32-EN28))</f>
        <v>0.644880174291939</v>
      </c>
      <c r="ES167" s="619">
        <f>(EO32+ER32+EQ32+ES32)/((ES32-ES28)+(EQ32-EQ28)+(ER32-ER28)+(EO32-EO28))</f>
        <v>0.68508287292817682</v>
      </c>
      <c r="ET167" s="619">
        <f>(ES32+EQ32+ER32+ET32)/((ET32-ET28)+(ER32-ER28)+(EQ32-EQ28)+(ES32-ES28))</f>
        <v>0.671664167916042</v>
      </c>
      <c r="EU167" s="541">
        <f t="shared" si="220"/>
        <v>0.671664167916042</v>
      </c>
      <c r="EV167" s="619">
        <f>(ER32+ES32+ET32+EV32)/((EV32-EV28)+(ET32-ET28)+(ES32-ES28)+(ER32-ER28))</f>
        <v>0.65273311897106112</v>
      </c>
      <c r="EW167" s="619">
        <f>(ES32+ET32+EV32+EW32)/((EW32-EW28)+(EV32-EV28)+(ET32-ET28)+(ES32-ES28))</f>
        <v>0.71114167812929852</v>
      </c>
      <c r="EX167" s="619">
        <f>(ET32+EW32+EV32+EX32)/((EX32-EX28)+(EV32-EV28)+(EW32-EW28)+(ET32-ET28))</f>
        <v>0.16666666666666666</v>
      </c>
      <c r="EY167" s="619">
        <f>(EX32+EV32+EW32+EY32)/((EY32-EY28)+(EW32-EW28)+(EV32-EV28)+(EX32-EX28))</f>
        <v>-1.0454545454545454</v>
      </c>
      <c r="EZ167" s="541">
        <f t="shared" si="221"/>
        <v>-1.0454545454545454</v>
      </c>
      <c r="FA167" s="619">
        <f>(EW32+EX32+EY32+FA32)/((FA32-FA28)+(EY32-EY28)+(EX32-EX28)+(EW32-EW28))</f>
        <v>2.3195876288659796</v>
      </c>
      <c r="FB167" s="619">
        <f>(EX32+EY32+FA32+FB32)/((FB32-FB28)+(FA32-FA28)+(EY32-EY28)+(EX32-EX28))</f>
        <v>1.5234042553191489</v>
      </c>
      <c r="FC167" s="619">
        <f>(EY32+FB32+FA32+FC32)/((FC32-FC28)+(FA32-FA28)+(FB32-FB28)+(EY32-EY28))</f>
        <v>1.4901960784313726</v>
      </c>
      <c r="FD167" s="619">
        <f>(FC32+FA32+FB32+FD32)/((FD32-FD28)+(FB32-FB28)+(FA32-FA28)+(FC32-FC28))</f>
        <v>1.5789473684210527</v>
      </c>
      <c r="FE167" s="541">
        <f t="shared" si="222"/>
        <v>1.5789473684210527</v>
      </c>
      <c r="FF167" s="619">
        <f>(FB32+FC32+FD32+FF32)/((FF32-FF28)+(FD32-FD28)+(FC32-FC28)+(FB32-FB28))</f>
        <v>1.3631284916201116</v>
      </c>
      <c r="FG167" s="619">
        <f>(FC32+FD32+FF32+FG32)/((FG32-FG28)+(FF32-FF28)+(FD32-FD28)+(FC32-FC28))</f>
        <v>1.5643564356435644</v>
      </c>
      <c r="FH167" s="619">
        <f>(FD32+FG32+FF32+FH32)/((FH32-FH28)+(FF32-FF28)+(FG32-FG28)+(FD32-FD28))</f>
        <v>1.9101123595505618</v>
      </c>
      <c r="FI167" s="619">
        <f>(FH32+FF32+FG32+FI32)/((FI32-FI28)+(FG32-FG28)+(FF32-FF28)+(FH32-FH28))</f>
        <v>2.1502890173410405</v>
      </c>
      <c r="FJ167" s="541">
        <f t="shared" si="223"/>
        <v>2.1502890173410405</v>
      </c>
      <c r="FK167" s="619">
        <f>(FG32+FH32+FI32+FK32)/((FK32-FK28)+(FI32-FI28)+(FH32-FH28)+(FG32-FG28))</f>
        <v>1.7748344370860927</v>
      </c>
      <c r="FL167" s="619">
        <f>(FH32+FI32+FK32+FL32)/((FL32-FL28)+(FK32-FK28)+(FI32-FI28)+(FH32-FH28))</f>
        <v>1.5091324200913243</v>
      </c>
      <c r="FM167" s="619">
        <f>(FI32+FL32+FK32+FM32)/((FM32-FM28)+(FK32-FK28)+(FL32-FL28)+(FI32-FI28))</f>
        <v>1.2910344827586206</v>
      </c>
      <c r="FN167" s="619">
        <f>(FM32+FK32+FL32+FN32)/((FN32-FN28)+(FL32-FL28)+(FK32-FK28)+(FM32-FM28))</f>
        <v>1.0925449871465296</v>
      </c>
      <c r="FO167" s="541">
        <f t="shared" si="224"/>
        <v>1.0925449871465296</v>
      </c>
      <c r="FP167" s="619">
        <f>(FL32+FM32+FN32+FP32)/((FP32-FP28)+(FN32-FN28)+(FM32-FM28)+(FL32-FL28))</f>
        <v>1.0730061349693252</v>
      </c>
      <c r="FQ167" s="619">
        <f>(FM32+FN32+FP32+FQ32)/((FQ32-FQ28)+(FP32-FP28)+(FN32-FN28)+(FM32-FM28))</f>
        <v>1.051528384279476</v>
      </c>
      <c r="FR167" s="619">
        <f>(FN32+FQ32+FP32+FR32)/((FR32-FR28)+(FP32-FP28)+(FQ32-FQ28)+(FN32-FN28))</f>
        <v>1.005008347245409</v>
      </c>
      <c r="FS167" s="619">
        <f>(FR32+FP32+FQ32+FS32)/((FS32-FS28)+(FQ32-FQ28)+(FP32-FP28)+(FR32-FR28))</f>
        <v>0.99430894308943085</v>
      </c>
      <c r="FT167" s="541">
        <f t="shared" si="225"/>
        <v>0.99430894308943085</v>
      </c>
      <c r="FU167" s="619">
        <f>(FQ32+FR32+FS32+FU32)/((FU32-FU28)+(FS32-FS28)+(FR32-FR28)+(FQ32-FQ28))</f>
        <v>1.003581478639038</v>
      </c>
      <c r="FV167" s="619">
        <f>(FR32+FS32+FU32+FV32)/((FV32-FV28)+(FU32-FU28)+(FS32-FS28)+(FR32-FR28))</f>
        <v>1.0092540661805944</v>
      </c>
      <c r="FW167" s="619">
        <f>(FS32+FV32+FU32+FW32)/((FW32-FW28)+(FU32-FU28)+(FV32-FV28)+(FS32-FS28))</f>
        <v>1.0399835119538334</v>
      </c>
      <c r="FX167" s="619">
        <f>(FW32+FU32+FV32+FX32)/((FX32-FX28)+(FV32-FV28)+(FU32-FU28)+(FW32-FW28))</f>
        <v>1.0724637681159421</v>
      </c>
      <c r="FY167" s="541">
        <f t="shared" si="226"/>
        <v>1.0724637681159421</v>
      </c>
      <c r="FZ167" s="619">
        <f>(FV32+FW32+FX32+FZ32)/((FZ32-FZ28)+(FX32-FX28)+(FW32-FW28)+(FV32-FV28))</f>
        <v>1.0454545454545454</v>
      </c>
      <c r="GA167" s="619">
        <f>(FW32+FX32+FZ32+GA32)/((GA32-GA28)+(FZ32-FZ28)+(FX32-FX28)+(FW32-FW28))</f>
        <v>1.1342281879194631</v>
      </c>
      <c r="GB167" s="619">
        <f>(FX32+GA32+FZ32+GB32)/((GB32-GB28)+(FZ32-FZ28)+(GA32-GA28)+(FX32-FX28))</f>
        <v>-0.10810810810810811</v>
      </c>
      <c r="GC167" s="619">
        <f>(GB32+FZ32+GA32+GC32)/((GC32-GC28)+(GA32-GA28)+(FZ32-FZ28)+(GB32-GB28))</f>
        <v>0.84391080617495717</v>
      </c>
      <c r="GD167" s="541">
        <f t="shared" si="227"/>
        <v>0.84391080617495717</v>
      </c>
      <c r="GE167" s="619">
        <f>(GA32+GB32+GC32+GE32)/((GE32-GE28)+(GC32-GC28)+(GB32-GB28)+(GA32-GA28))</f>
        <v>0.87117346938775508</v>
      </c>
      <c r="GF167" s="619">
        <f>(GB32+GC32+GE32+GF32)/((GF32-GF28)+(GE32-GE28)+(GC32-GC28)+(GB32-GB28))</f>
        <v>0.89699179580674571</v>
      </c>
      <c r="GG167" s="619">
        <f>(GC32+GD32+GF32+GG32)/((GG32-GG28)+(GF32-GF28)+(GD32-GD28)+(GC32-GC28))</f>
        <v>0.923828125</v>
      </c>
      <c r="GH167" s="619">
        <f>(GG32+GE32+GF32+GH32)/((GH32-GH28)+(GF32-GF28)+(GE32-GE28)+(GG32-GG28))</f>
        <v>0.9571703561116458</v>
      </c>
      <c r="GI167" s="541">
        <f t="shared" si="228"/>
        <v>0.9571703561116458</v>
      </c>
      <c r="GJ167" s="619">
        <f>(GF32+GG32+GH32+GJ32)/((GJ32-GJ28)+(GH32-GH28)+(GG32-GG28)+(GF32-GF28))</f>
        <v>0.9717314487632509</v>
      </c>
      <c r="GK167" s="619">
        <f>(GG32+GH32+GJ32+GK32)/((GK32-GK28)+(GJ32-GJ28)+(GH32-GH28)+(GG32-GG28))</f>
        <v>0.95577000402090873</v>
      </c>
      <c r="GL167" s="619">
        <f>(GH32+GK32+GJ32+GL32)/((GL32-GL28)+(GJ32-GJ28)+(GK32-GK28)+(GH32-GH28))</f>
        <v>0.95414917662253795</v>
      </c>
      <c r="GM167" s="619">
        <f>(GL32+GJ32+GK32+GM32)/((GM32-GM28)+(GK32-GK28)+(GJ32-GJ28)+(GL32-GL28))</f>
        <v>0.90274749236807672</v>
      </c>
      <c r="GN167" s="541">
        <f t="shared" si="229"/>
        <v>0.90274749236807672</v>
      </c>
      <c r="GO167" s="619">
        <f>(GK32+GL32+GM32+GO32)/((GO32-GO28)+(GM32-GM28)+(GL32-GL28)+(GK32-GK28))</f>
        <v>0.89861161856046767</v>
      </c>
      <c r="GP167" s="619">
        <f>(GL32+GM32+GO32+GP32)/((GP32-GP28)+(GO32-GO28)+(GM32-GM28)+(GL32-GL28))</f>
        <v>0.93142406986678594</v>
      </c>
      <c r="GQ167" s="619">
        <f>(GM32+GP32+GO32+GQ32)/((GQ32-GQ28)+(GO32-GO28)+(GP32-GP28)+(GM32-GM28))</f>
        <v>0.94020411528272207</v>
      </c>
      <c r="GR167" s="619">
        <f>(GQ32+GO32+GP32+GR32)/((GR32-GR28)+(GP32-GP28)+(GO32-GO28)+(GQ32-GQ28))</f>
        <v>0.97370256057065119</v>
      </c>
      <c r="GS167" s="541">
        <f t="shared" si="230"/>
        <v>0.97370256057065119</v>
      </c>
      <c r="GT167" s="619">
        <f>(GP32+GQ32+GR32+GT32)/((GT32-GT28)+(GR32-GR28)+(GQ32-GQ28)+(GP32-GP28))</f>
        <v>0.98263042970154157</v>
      </c>
      <c r="GU167" s="619">
        <f>(GQ32+GR32+GT32+GU32)/((GU32-GU28)+(GT32-GT28)+(GR32-GR28)+(GQ32-GQ28))</f>
        <v>0.98440259301115396</v>
      </c>
      <c r="GV167" s="619">
        <f>(GR32+GU32+GT32+GV32)/((GV32-GV28)+(GT32-GT28)+(GU32-GU28)+(GR32-GR28))</f>
        <v>0.98619141774397256</v>
      </c>
      <c r="GW167" s="619">
        <f>(GV32+GT32+GU32+GW32)/((GW32-GW28)+(GU32-GU28)+(GT32-GT28)+(GV32-GV28))</f>
        <v>0.98689146289821716</v>
      </c>
      <c r="GX167" s="541">
        <f t="shared" si="231"/>
        <v>0.98689146289821716</v>
      </c>
      <c r="GY167" s="619">
        <f>(GU32+GV32+GW32+GY32)/((GY32-GY28)+(GW32-GW28)+(GV32-GV28)+(GU32-GU28))</f>
        <v>0.98268100429905725</v>
      </c>
      <c r="GZ167" s="619">
        <f>(GV32+GW32+GY32+GZ32)/((GZ32-GZ28)+(GY32-GY28)+(GW32-GW28)+(GV32-GV28))</f>
        <v>0.97916296843450878</v>
      </c>
      <c r="HA167" s="619">
        <f>(GW32+GZ32+GY32+HA32)/((HA32-HA28)+(GY32-GY28)+(GZ32-GZ28)+(GW32-GW28))</f>
        <v>0.97622874388105718</v>
      </c>
      <c r="HB167" s="619">
        <f>(HA32+GY32+GZ32+HB32)/((HB32-HB28)+(GZ32-GZ28)+(GY32-GY28)+(HA32-HA28))</f>
        <v>0.97391065678235245</v>
      </c>
      <c r="HC167" s="541">
        <f t="shared" si="232"/>
        <v>0.97391065678235245</v>
      </c>
      <c r="HD167" s="619">
        <f>(GZ32+HA32+HB32+HD32)/((HD32-HD28)+(HB32-HB28)+(HA32-HA28)+(GZ32-GZ28))</f>
        <v>0.97083768696476347</v>
      </c>
      <c r="HE167" s="619">
        <f>(HA32+HB32+HD32+HE32)/((HE32-HE28)+(HD32-HD28)+(HB32-HB28)+(HA32-HA28))</f>
        <v>0.96803108991077269</v>
      </c>
      <c r="HF167" s="619">
        <f>(HB32+HE32+HD32+HF32)/((HF32-HF28)+(HD32-HD28)+(HE32-HE28)+(HB32-HB28))</f>
        <v>0.96558340636122431</v>
      </c>
      <c r="HG167" s="619">
        <f>(HF32+HD32+HE32+HG32)/((HG32-HG28)+(HE32-HE28)+(HD32-HD28)+(HF32-HF28))</f>
        <v>0.96300317917654843</v>
      </c>
      <c r="HH167" s="541">
        <f t="shared" si="233"/>
        <v>0.96300317917654843</v>
      </c>
      <c r="HI167" s="619">
        <f>(HE32+HF32+HG32+HI32)/((HI32-HI28)+(HG32-HG28)+(HF32-HF28)+(HE32-HE28))</f>
        <v>0.96405403854152627</v>
      </c>
      <c r="HJ167" s="619">
        <f>(HF32+HG32+HI32+HJ32)/((HJ32-HJ28)+(HI32-HI28)+(HG32-HG28)+(HF32-HF28))</f>
        <v>0.96514307952164591</v>
      </c>
      <c r="HK167" s="619">
        <f>(HG32+HJ32+HI32+HK32)/((HK32-HK28)+(HI32-HI28)+(HJ32-HJ28)+(HG32-HG28))</f>
        <v>0.96656699953196112</v>
      </c>
      <c r="HL167" s="619">
        <f>(HK32+HI32+HJ32+HL32)/((HL32-HL28)+(HJ32-HJ28)+(HI32-HI28)+(HK32-HK28))</f>
        <v>0.96812367996354498</v>
      </c>
      <c r="HM167" s="541">
        <f t="shared" si="234"/>
        <v>0.96812367996354498</v>
      </c>
      <c r="HN167" s="541"/>
      <c r="HO167" s="541"/>
      <c r="HP167" s="563"/>
      <c r="HR167" s="563"/>
      <c r="HS167" s="563"/>
      <c r="HT167" s="563"/>
      <c r="HU167" s="563"/>
      <c r="HV167" s="563"/>
      <c r="HW167" s="563"/>
      <c r="HX167" s="563"/>
    </row>
    <row r="168" spans="1:232" s="509" customFormat="1" ht="11.25" hidden="1" customHeight="1" outlineLevel="1">
      <c r="A168" s="532" t="s">
        <v>477</v>
      </c>
      <c r="L168" s="518"/>
      <c r="M168" s="518"/>
      <c r="N168" s="518"/>
      <c r="O168" s="518"/>
      <c r="P168" s="521"/>
      <c r="Q168" s="518"/>
      <c r="R168" s="518"/>
      <c r="S168" s="518"/>
      <c r="T168" s="518"/>
      <c r="U168" s="521"/>
      <c r="V168" s="518"/>
      <c r="W168" s="518"/>
      <c r="X168" s="518"/>
      <c r="Y168" s="518"/>
      <c r="Z168" s="521"/>
      <c r="AA168" s="518"/>
      <c r="AB168" s="518"/>
      <c r="AC168" s="518"/>
      <c r="AD168" s="518"/>
      <c r="AE168" s="521"/>
      <c r="AF168" s="518"/>
      <c r="AG168" s="518"/>
      <c r="AH168" s="518"/>
      <c r="AI168" s="518"/>
      <c r="AJ168" s="521"/>
      <c r="AK168" s="518">
        <f>((AK32-AK28)+(AI32-AI28)+(AH32-AH28)+(AG32-AG28))/(AG9+AH9+AI9+AK9)</f>
        <v>0.2126508115788171</v>
      </c>
      <c r="AL168" s="518">
        <f>((AL32-AL28)+(AK32-AK28)+(AI32-AI28)+(AH32-AH28))/(AH9+AI9+AK9+AL9)</f>
        <v>0.22813785186557711</v>
      </c>
      <c r="AM168" s="518">
        <f>((AM32-AM28)+(AK32-AK28)+(AL32-AL28)+(AI32-AI28))/(AI9+AL9+AK9+AM9)</f>
        <v>0.23706984140456697</v>
      </c>
      <c r="AN168" s="518">
        <f>((AN32-AN28)+(AL32-AL28)+(AK32-AK28)+(AM32-AM28))/(AM9+AK9+AL9+AN9)</f>
        <v>0.19954896777424411</v>
      </c>
      <c r="AO168" s="521">
        <f t="shared" si="198"/>
        <v>0.19954896777424411</v>
      </c>
      <c r="AP168" s="518">
        <f>((AP32-AP28)+(AN32-AN28)+(AM32-AM28)+(AL32-AL28))/(AL9+AM9+AN9+AP9)</f>
        <v>0.20112505157973393</v>
      </c>
      <c r="AQ168" s="518">
        <f>((AQ32-AQ28)+(AP32-AP28)+(AN32-AN28)+(AM32-AM28))/(AM9+AN9+AP9+AQ9)</f>
        <v>0.18934443363122982</v>
      </c>
      <c r="AR168" s="518">
        <f>((AR32-AR28)+(AP32-AP28)+(AQ32-AQ28)+(AN32-AN28))/(AN9+AQ9+AP9+AR9)</f>
        <v>0.1579952331431321</v>
      </c>
      <c r="AS168" s="518">
        <f>((AS32-AS28)+(AQ32-AQ28)+(AP32-AP28)+(AR32-AR28))/(AR9+AP9+AQ9+AS9)</f>
        <v>0.16808040748661165</v>
      </c>
      <c r="AT168" s="521">
        <f t="shared" si="199"/>
        <v>0.16808040748661165</v>
      </c>
      <c r="AU168" s="518">
        <f>((AU32-AU28)+(AS32-AS28)+(AR32-AR28)+(AQ32-AQ28))/(AQ9+AR9+AS9+AU9)</f>
        <v>0.12104858444074362</v>
      </c>
      <c r="AV168" s="518">
        <f>((AV32-AV28)+(AU32-AU28)+(AS32-AS28)+(AR32-AR28))/(AR9+AS9+AU9+AV9)</f>
        <v>3.9710853927446811E-2</v>
      </c>
      <c r="AW168" s="518">
        <f>((AW32-AW28)+(AU32-AU28)+(AV32-AV28)+(AS32-AS28))/(AS9+AV9+AU9+AW9)</f>
        <v>-2.876028460164556E-2</v>
      </c>
      <c r="AX168" s="518">
        <f>((AX32-AX28)+(AV32-AV28)+(AU32-AU28)+(AW32-AW28))/(AW9+AU9+AV9+AX9)</f>
        <v>-8.4075986971964944E-2</v>
      </c>
      <c r="AY168" s="521">
        <f t="shared" si="200"/>
        <v>-8.4075986971964944E-2</v>
      </c>
      <c r="AZ168" s="518">
        <f>((AZ32-AZ28)+(AX32-AX28)+(AW32-AW28)+(AV32-AV28))/(AV9+AW9+AX9+AZ9)</f>
        <v>-9.3188209338404715E-2</v>
      </c>
      <c r="BA168" s="518">
        <f>((BA32-BA28)+(AZ32-AZ28)+(AX32-AX28)+(AW32-AW28))/(AW9+AX9+AZ9+BA9)</f>
        <v>-5.5151431468987648E-2</v>
      </c>
      <c r="BB168" s="518">
        <f>((BB32-BB28)+(AZ32-AZ28)+(BA32-BA28)+(AX32-AX28))/(AX9+BA9+AZ9+BB9)</f>
        <v>-5.1839405161976972E-2</v>
      </c>
      <c r="BC168" s="518">
        <f>((BC32-BC28)+(BA32-BA28)+(AZ32-AZ28)+(BB32-BB28))/(BB9+AZ9+BA9+BC9)</f>
        <v>-4.7110922497480223E-2</v>
      </c>
      <c r="BD168" s="521">
        <f t="shared" si="201"/>
        <v>-4.7110922497480223E-2</v>
      </c>
      <c r="BE168" s="518">
        <f>((BE32-BE28)+(BC32-BC28)+(BB32-BB28)+(BA32-BA28))/(BA9+BB9+BC9+BE9)</f>
        <v>-0.11008804246232351</v>
      </c>
      <c r="BF168" s="518">
        <f>((BF32-BF28)+(BE32-BE28)+(BC32-BC28)+(BB32-BB28))/(BB9+BC9+BE9+BF9)</f>
        <v>-0.17092897489865877</v>
      </c>
      <c r="BG168" s="518">
        <f>((BG32-BG28)+(BE32-BE28)+(BF32-BF28)+(BC32-BC28))/(BC9+BF9+BE9+BG9)</f>
        <v>-0.13787834482432218</v>
      </c>
      <c r="BH168" s="518">
        <f>((BH32-BH28)+(BF32-BF28)+(BE32-BE28)+(BG32-BG28))/(BG9+BE9+BF9+BH9)</f>
        <v>-9.8820639767817728E-2</v>
      </c>
      <c r="BI168" s="521">
        <f t="shared" si="202"/>
        <v>-9.8820639767817728E-2</v>
      </c>
      <c r="BJ168" s="518">
        <f>((BJ32-BJ28)+(BH32-BH28)+(BG32-BG28)+(BF32-BF28))/(BF9+BG9+BH9+BJ9)</f>
        <v>-9.7408615211187086E-2</v>
      </c>
      <c r="BK168" s="518">
        <f>((BK32-BK28)+(BJ32-BJ28)+(BH32-BH28)+(BG32-BG28))/(BG9+BH9+BJ9+BK9)</f>
        <v>3.8360894468116961E-2</v>
      </c>
      <c r="BL168" s="518">
        <f>((BL32-BL28)+(BJ32-BJ28)+(BK32-BK28)+(BH32-BH28))/(BH9+BK9+BJ9+BL9)</f>
        <v>-1.9415815131861834E-3</v>
      </c>
      <c r="BM168" s="518">
        <f>((BM32-BM28)+(BK32-BK28)+(BJ32-BJ28)+(BL32-BL28))/(BL9+BJ9+BK9+BM9)</f>
        <v>1.2635410644721993E-2</v>
      </c>
      <c r="BN168" s="521">
        <f t="shared" si="203"/>
        <v>1.2635410644721993E-2</v>
      </c>
      <c r="BO168" s="518">
        <f>((BO32-BO28)+(BM32-BM28)+(BL32-BL28)+(BK32-BK28))/(BK9+BL9+BM9+BO9)</f>
        <v>0.1136737350966233</v>
      </c>
      <c r="BP168" s="518">
        <f>((BP32-BP28)+(BO32-BO28)+(BM32-BM28)+(BL32-BL28))/(BL9+BM9+BO9+BP9)</f>
        <v>0.10451259680564481</v>
      </c>
      <c r="BQ168" s="518">
        <f>((BQ32-BQ28)+(BO32-BO28)+(BP32-BP28)+(BM32-BM28))/(BM9+BP9+BO9+BQ9)</f>
        <v>0.25013379603287711</v>
      </c>
      <c r="BR168" s="518">
        <f>((BR32-BR28)+(BP32-BP28)+(BO32-BO28)+(BQ32-BQ28))/(BQ9+BO9+BP9+BR9)</f>
        <v>0.27025591346773931</v>
      </c>
      <c r="BS168" s="521">
        <f t="shared" si="204"/>
        <v>0.27025591346773931</v>
      </c>
      <c r="BT168" s="518">
        <f>((BT32-BT28)+(BR32-BR28)+(BQ32-BQ28)+(BP32-BP28))/(BP9+BQ9+BR9+BT9)</f>
        <v>0.25660227319467488</v>
      </c>
      <c r="BU168" s="518">
        <f>((BU32-BU28)+(BT32-BT28)+(BR32-BR28)+(BQ32-BQ28))/(BQ9+BR9+BT9+BU9)</f>
        <v>0.20958783352488691</v>
      </c>
      <c r="BV168" s="518">
        <f>((BV32-BV28)+(BT32-BT28)+(BU32-BU28)+(BR32-BR28))/(BR9+BU9+BT9+BV9)</f>
        <v>2.9961217996463257E-2</v>
      </c>
      <c r="BW168" s="518">
        <f>((BW32-BW28)+(BU32-BU28)+(BT32-BT28)+(BV32-BV28))/(BV9+BT9+BU9+BW9)</f>
        <v>-2.7653340884341588E-2</v>
      </c>
      <c r="BX168" s="521">
        <f t="shared" si="205"/>
        <v>-2.7653340884341588E-2</v>
      </c>
      <c r="BY168" s="518">
        <f>((BY32-BY28)+(BW32-BW28)+(BV32-BV28)+(BU32-BU28))/(BU9+BV9+BW9+BY9)</f>
        <v>-7.9825690414637135E-2</v>
      </c>
      <c r="BZ168" s="518">
        <f>((BZ32-BZ28)+(BY32-BY28)+(BW32-BW28)+(BV32-BV28))/(BV9+BW9+BY9+BZ9)</f>
        <v>-0.18771255063871944</v>
      </c>
      <c r="CA168" s="518">
        <f>((CA32-CA28)+(BY32-BY28)+(BZ32-BZ28)+(BW32-BW28))/(BW9+BZ9+BY9+CA9)</f>
        <v>-0.23498382431968981</v>
      </c>
      <c r="CB168" s="518">
        <f>((CB32-CB28)+(BZ32-BZ28)+(BY32-BY28)+(CA32-CA28))/(CA9+BY9+BZ9+CB9)</f>
        <v>-0.57238539148077394</v>
      </c>
      <c r="CC168" s="521">
        <f t="shared" si="206"/>
        <v>-0.57238539148077394</v>
      </c>
      <c r="CD168" s="518">
        <f>((CD32-CD28)+(CB32-CB28)+(CA32-CA28)+(BZ32-BZ28))/(BZ9+CA9+CB9+CD9)</f>
        <v>-0.67371930228638199</v>
      </c>
      <c r="CE168" s="518">
        <f>((CE32-CE28)+(CD32-CD28)+(CB32-CB28)+(CA32-CA28))/(CA9+CB9+CD9+CE9)</f>
        <v>-0.60528727451807085</v>
      </c>
      <c r="CF168" s="518">
        <f>((CF32-CF28)+(CD32-CD28)+(CE32-CE28)+(CB32-CB28))/(CB9+CE9+CD9+CF9)</f>
        <v>-0.41804663658893915</v>
      </c>
      <c r="CG168" s="518">
        <f>((CG32-CG28)+(CE32-CE28)+(CD32-CD28)+(CF32-CF28))/(CF9+CD9+CE9+CG9)</f>
        <v>-0.100142135868478</v>
      </c>
      <c r="CH168" s="521">
        <f t="shared" si="207"/>
        <v>-0.100142135868478</v>
      </c>
      <c r="CI168" s="518">
        <f>((CI32-CI28)+(CG32-CG28)+(CF32-CF28)+(CE32-CE28))/(CE9+CF9+CG9+CI9)</f>
        <v>-3.9192080466295097E-2</v>
      </c>
      <c r="CJ168" s="518">
        <f>((CJ32-CJ28)+(CI32-CI28)+(CG32-CG28)+(CF32-CF28))/(CF9+CG9+CI9+CJ9)</f>
        <v>2.8989042047637284E-3</v>
      </c>
      <c r="CK168" s="518">
        <f>((CK32-CK28)+(CI32-CI28)+(CJ32-CJ28)+(CG32-CG28))/(CG9+CJ9+CI9+CK9)</f>
        <v>1.803685861451066E-2</v>
      </c>
      <c r="CL168" s="518">
        <f>((CL32-CL28)+(CJ32-CJ28)+(CI32-CI28)+(CK32-CK28))/(CK9+CI9+CJ9+CL9)</f>
        <v>-9.6772226371023354E-5</v>
      </c>
      <c r="CM168" s="521">
        <f t="shared" si="208"/>
        <v>-9.6772226371023354E-5</v>
      </c>
      <c r="CN168" s="518">
        <f>((CN32-CN28)+(CL32-CL28)+(CK32-CK28)+(CJ32-CJ28))/(CJ9+CK9+CL9+CN9)</f>
        <v>-1.3647045153587093E-2</v>
      </c>
      <c r="CO168" s="518">
        <f>((CO32-CO28)+(CN32-CN28)+(CL32-CL28)+(CK32-CK28))/(CK9+CL9+CN9+CO9)</f>
        <v>-1.7646713406848619E-2</v>
      </c>
      <c r="CP168" s="518">
        <f>((CP32-CP28)+(CN32-CN28)+(CO32-CO28)+(CL32-CL28))/(CL9+CO9+CN9+CP9)</f>
        <v>-1.2003208036704655E-2</v>
      </c>
      <c r="CQ168" s="518">
        <f>((CQ32-CQ28)+(CO32-CO28)+(CN32-CN28)+(CP32-CP28))/(CP9+CN9+CO9+CQ9)</f>
        <v>1.1004215934223715E-2</v>
      </c>
      <c r="CR168" s="521">
        <f t="shared" si="209"/>
        <v>1.1004215934223715E-2</v>
      </c>
      <c r="CS168" s="518">
        <f>((CS32-CS28)+(CQ32-CQ28)+(CP32-CP28)+(CO32-CO28))/(CO9+CP9+CQ9+CS9)</f>
        <v>5.5016817268696838E-2</v>
      </c>
      <c r="CT168" s="518">
        <f>((CT32-CT28)+(CS32-CS28)+(CQ32-CQ28)+(CP32-CP28))/(CP9+CQ9+CS9+CT9)</f>
        <v>8.2266924960183133E-2</v>
      </c>
      <c r="CU168" s="518">
        <f>((CU32-CU28)+(CS32-CS28)+(CT32-CT28)+(CQ32-CQ28))/(CQ9+CT9+CS9+CU9)</f>
        <v>9.9872025574585577E-2</v>
      </c>
      <c r="CV168" s="518">
        <f>((CV32-CV28)+(CT32-CT28)+(CS32-CS28)+(CU32-CU28))/(CU9+CS9+CT9+CV9)</f>
        <v>-2.1505193615956545E-2</v>
      </c>
      <c r="CW168" s="521">
        <f t="shared" si="210"/>
        <v>-2.1505193615956545E-2</v>
      </c>
      <c r="CX168" s="518">
        <f>((CX32-CX28)+(CV32-CV28)+(CU32-CU28)+(CT32-CT28))/(CT9+CU9+CV9+CX9)</f>
        <v>-0.17609278144515239</v>
      </c>
      <c r="CY168" s="518">
        <f>((CY32-CY28)+(CX32-CX28)+(CV32-CV28)+(CU32-CU28))/(CU9+CV9+CX9+CY9)</f>
        <v>-0.30912707458581817</v>
      </c>
      <c r="CZ168" s="518">
        <f>((CZ32-CZ28)+(CX32-CX28)+(CY32-CY28)+(CV32-CV28))/(CV9+CY9+CX9+CZ9)</f>
        <v>-0.38763297872340424</v>
      </c>
      <c r="DA168" s="518">
        <f>((DA32-DA28)+(CY32-CY28)+(CX32-CX28)+(CZ32-CZ28))/(CZ9+CX9+CY9+DA9)</f>
        <v>-0.60086479294861139</v>
      </c>
      <c r="DB168" s="521">
        <f t="shared" si="211"/>
        <v>-0.60086479294861139</v>
      </c>
      <c r="DC168" s="518">
        <f>((DC32-DC28)+(DA32-DA28)+(CZ32-CZ28)+(CY32-CY28))/(CY9+CZ9+DA9+DC9)</f>
        <v>-0.54415274463007157</v>
      </c>
      <c r="DD168" s="518">
        <f>((DD32-DD28)+(DC32-DC28)+(DA32-DA28)+(CZ32-CZ28))/(CZ9+DA9+DC9+DD9)</f>
        <v>-0.49232736572890023</v>
      </c>
      <c r="DE168" s="518">
        <f>((DE32-DE28)+(DC32-DC28)+(DD32-DD28)+(DA32-DA28))/(DA9+DD9+DC9+DE9)</f>
        <v>-0.43370786516853932</v>
      </c>
      <c r="DF168" s="518">
        <f>((DF32-DF28)+(DD32-DD28)+(DC32-DC28)+(DE32-DE28))/(DE9+DC9+DD9+DF9)</f>
        <v>-0.392031305585201</v>
      </c>
      <c r="DG168" s="521">
        <f t="shared" si="212"/>
        <v>-0.392031305585201</v>
      </c>
      <c r="DH168" s="518">
        <f>((DH32-DH28)+(DF32-DF28)+(DE32-DE28)+(DD32-DD28))/(DD9+DE9+DF9+DH9)</f>
        <v>-0.33925198337740836</v>
      </c>
      <c r="DI168" s="518">
        <f>((DI32-DI28)+(DH32-DH28)+(DF32-DF28)+(DE32-DE28))/(DE9+DF9+DH9+DI9)</f>
        <v>-0.33183856502242154</v>
      </c>
      <c r="DJ168" s="518">
        <f>((DJ32-DJ28)+(DH32-DH28)+(DI32-DI28)+(DF32-DF28))/(DF9+DI9+DH9+DJ9)</f>
        <v>-0.33685708477332793</v>
      </c>
      <c r="DK168" s="518">
        <f>((DK32-DK28)+(DI32-DI28)+(DH32-DH28)+(DJ32-DJ28))/(DJ9+DH9+DI9+DK9)</f>
        <v>0.19304090320192485</v>
      </c>
      <c r="DL168" s="521">
        <f t="shared" si="213"/>
        <v>0.19304090320192485</v>
      </c>
      <c r="DM168" s="518">
        <f>((DM32-DM28)+(DK32-DK28)+(DJ32-DJ28)+(DI32-DI28))/(DI9+DJ9+DK9+DM9)</f>
        <v>0.24948275862068967</v>
      </c>
      <c r="DN168" s="518">
        <f>((DN32-DN28)+(DM32-DM28)+(DK32-DK28)+(DJ32-DJ28))/(DJ9+DK9+DM9+DN9)</f>
        <v>0.26623065879725633</v>
      </c>
      <c r="DO168" s="518">
        <f>((DO32-DO28)+(DM32-DM28)+(DN32-DN28)+(DK32-DK28))/(DK9+DN9+DM9+DO9)</f>
        <v>0.26359574795871205</v>
      </c>
      <c r="DP168" s="518">
        <f>((DP32-DP28)+(DN32-DN28)+(DM32-DM28)+(DO32-DO28))/(DO9+DM9+DN9+DP9)</f>
        <v>0.1184170003079766</v>
      </c>
      <c r="DQ168" s="521">
        <f t="shared" si="214"/>
        <v>0.1184170003079766</v>
      </c>
      <c r="DR168" s="518">
        <f>((DR32-DR28)+(DP32-DP28)+(DO32-DO28)+(DN32-DN28))/(DN9+DO9+DP9+DR9)</f>
        <v>5.8472371039338743E-2</v>
      </c>
      <c r="DS168" s="518">
        <f>((DS32-DS28)+(DR32-DR28)+(DP32-DP28)+(DO32-DO28))/(DO9+DP9+DR9+DS9)</f>
        <v>6.0892469786179113E-2</v>
      </c>
      <c r="DT168" s="518">
        <f>((DT32-DT28)+(DR32-DR28)+(DS32-DS28)+(DP32-DP28))/(DP9+DS9+DR9+DT9)</f>
        <v>6.2825620594544898E-2</v>
      </c>
      <c r="DU168" s="518">
        <f>((DU32-DU28)+(DS32-DS28)+(DR32-DR28)+(DT32-DT28))/(DT9+DR9+DS9+DU9)</f>
        <v>-2.3751522533495738E-2</v>
      </c>
      <c r="DV168" s="521">
        <f t="shared" si="215"/>
        <v>-2.3751522533495738E-2</v>
      </c>
      <c r="DW168" s="518">
        <f>((DW32-DW28)+(DU32-DU28)+(DT32-DT28)+(DS32-DS28))/(DS9+DT9+DU9+DW9)</f>
        <v>-0.12324159021406728</v>
      </c>
      <c r="DX168" s="518">
        <f>((DX32-DX28)+(DW32-DW28)+(DU32-DU28)+(DT32-DT28))/(DT9+DU9+DW9+DX9)</f>
        <v>-0.13230913936353661</v>
      </c>
      <c r="DY168" s="518">
        <f>((DY32-DY28)+(DW32-DW28)+(DX32-DX28)+(DU32-DU28))/(DU9+DX9+DW9+DY9)</f>
        <v>-0.18093319906008729</v>
      </c>
      <c r="DZ168" s="518">
        <f>((DZ32-DZ28)+(DX32-DX28)+(DW32-DW28)+(DY32-DY28))/(DY9+DW9+DX9+DZ9)</f>
        <v>-0.25414976023607527</v>
      </c>
      <c r="EA168" s="521">
        <f t="shared" si="216"/>
        <v>-0.25414976023607527</v>
      </c>
      <c r="EB168" s="518">
        <f>((EB32-EB28)+(DZ32-DZ28)+(DY32-DY28)+(DX32-DX28))/(DX9+DY9+DZ9+EB9)</f>
        <v>-0.18355329949238577</v>
      </c>
      <c r="EC168" s="518">
        <f>((EC32-EC28)+(EB32-EB28)+(DZ32-DZ28)+(DY32-DY28))/(DY9+DZ9+EB9+EC9)</f>
        <v>-0.21442328268778088</v>
      </c>
      <c r="ED168" s="518">
        <f>((ED32-ED28)+(EB32-EB28)+(EC32-EC28)+(DZ32-DZ28))/(DZ9+EC9+EB9+ED9)</f>
        <v>-0.1669064748201439</v>
      </c>
      <c r="EE168" s="518">
        <f>((EE32-EE28)+(EC32-EC28)+(EB32-EB28)+(ED32-ED28))/(ED9+EB9+EC9+EE9)</f>
        <v>-4.7367427816569163E-2</v>
      </c>
      <c r="EF168" s="521">
        <f t="shared" si="217"/>
        <v>-4.7367427816569163E-2</v>
      </c>
      <c r="EG168" s="518">
        <f>((EG32-EG28)+(EE32-EE28)+(ED32-ED28)+(EC32-EC28))/(EC9+ED9+EE9+EG9)</f>
        <v>-2.3359486447931527E-2</v>
      </c>
      <c r="EH168" s="518">
        <f>((EH32-EH28)+(EG32-EG28)+(EE32-EE28)+(ED32-ED28))/(ED9+EE9+EG9+EH9)</f>
        <v>-1.6304347826086956E-2</v>
      </c>
      <c r="EI168" s="518">
        <f>((EI32-EI28)+(EG32-EG28)+(EH32-EH28)+(EE32-EE28))/(EE9+EH9+EG9+EI9)</f>
        <v>-2.185792349726776E-2</v>
      </c>
      <c r="EJ168" s="518">
        <f>((EJ32-EJ28)+(EH32-EH28)+(EG32-EG28)+(EI32-EI28))/(EI9+EG9+EH9+EJ9)</f>
        <v>-0.10479476934253541</v>
      </c>
      <c r="EK168" s="521">
        <f t="shared" si="218"/>
        <v>-0.10479476934253541</v>
      </c>
      <c r="EL168" s="518">
        <f>((EL32-EL28)+(EJ32-EJ28)+(EI32-EI28)+(EH32-EH28))/(EH9+EI9+EJ9+EL9)</f>
        <v>-0.14088344035804631</v>
      </c>
      <c r="EM168" s="518">
        <f>((EM32-EM28)+(EL32-EL28)+(EJ32-EJ28)+(EI32-EI28))/(EI9+EJ9+EL9+EM9)</f>
        <v>-0.1872844827586207</v>
      </c>
      <c r="EN168" s="518">
        <f>((EN32-EN28)+(EL32-EL28)+(EM32-EM28)+(EJ32-EJ28))/(EJ9+EM9+EL9+EN9)</f>
        <v>-0.25280898876404495</v>
      </c>
      <c r="EO168" s="518">
        <f>((EO32-EO28)+(EM32-EM28)+(EL32-EL28)+(EN32-EN28))/(EN9+EL9+EM9+EO9)</f>
        <v>-0.20320721623653221</v>
      </c>
      <c r="EP168" s="521">
        <f t="shared" si="219"/>
        <v>-0.20320721623653221</v>
      </c>
      <c r="EQ168" s="518">
        <f>((EQ32-EQ28)+(EO32-EO28)+(EN32-EN28)+(EM32-EM28))/(EM9+EN9+EO9+EQ9)</f>
        <v>-0.19562351700500924</v>
      </c>
      <c r="ER168" s="518">
        <f>((ER32-ER28)+(EQ32-EQ28)+(EO32-EO28)+(EN32-EN28))/(EN9+EO9+EQ9+ER9)</f>
        <v>-0.11835997937080969</v>
      </c>
      <c r="ES168" s="518">
        <f>((ES32-ES28)+(EQ32-EQ28)+(ER32-ER28)+(EO32-EO28))/(EO9+ER9+EQ9+ES9)</f>
        <v>-0.17555771096023279</v>
      </c>
      <c r="ET168" s="518">
        <f>((ET32-ET28)+(ER32-ER28)+(EQ32-EQ28)+(ES32-ES28))/(ES9+EQ9+ER9+ET9)</f>
        <v>-0.15613295880149813</v>
      </c>
      <c r="EU168" s="521">
        <f t="shared" si="220"/>
        <v>-0.15613295880149813</v>
      </c>
      <c r="EV168" s="518">
        <f>((EV32-EV28)+(ET32-ET28)+(ES32-ES28)+(ER32-ER28))/(ER9+ES9+ET9+EV9)</f>
        <v>-0.14059674502712477</v>
      </c>
      <c r="EW168" s="518">
        <f>((EW32-EW28)+(EV32-EV28)+(ET32-ET28)+(ES32-ES28))/(ES9+ET9+EV9+EW9)</f>
        <v>-0.15739337518943494</v>
      </c>
      <c r="EX168" s="518">
        <f>((EX32-EX28)+(EV32-EV28)+(EW32-EW28)+(ET32-ET28))/(ET9+EW9+EV9+EX9)</f>
        <v>-3.3905146316851667E-2</v>
      </c>
      <c r="EY168" s="518">
        <f>((EY32-EY28)+(EW32-EW28)+(EV32-EV28)+(EX32-EX28))/(EX9+EV9+EW9+EY9)</f>
        <v>-1.2385062863576657E-2</v>
      </c>
      <c r="EZ168" s="521">
        <f t="shared" si="221"/>
        <v>-1.2385062863576657E-2</v>
      </c>
      <c r="FA168" s="518">
        <f>((FA32-FA28)+(EY32-EY28)+(EX32-EX28)+(EW32-EW28))/(EW9+EX9+EY9+FA9)</f>
        <v>1.6188251001335113E-2</v>
      </c>
      <c r="FB168" s="518">
        <f>((FB32-FB28)+(FA32-FA28)+(EY32-EY28)+(EX32-EX28))/(EX9+EY9+FA9+FB9)</f>
        <v>3.6009806926141585E-2</v>
      </c>
      <c r="FC168" s="518">
        <f>((FC32-FC28)+(FA32-FA28)+(FB32-FB28)+(EY32-EY28))/(EY9+FB9+FA9+FC9)</f>
        <v>3.9014687882496943E-2</v>
      </c>
      <c r="FD168" s="518">
        <f>((FD32-FD28)+(FB32-FB28)+(FA32-FA28)+(FC32-FC28))/(FC9+FA9+FB9+FD9)</f>
        <v>3.227799227799228E-2</v>
      </c>
      <c r="FE168" s="521">
        <f t="shared" si="222"/>
        <v>3.227799227799228E-2</v>
      </c>
      <c r="FF168" s="518">
        <f>((FF32-FF28)+(FD32-FD28)+(FC32-FC28)+(FB32-FB28))/(FB9+FC9+FD9+FF9)</f>
        <v>2.9344262295081969E-2</v>
      </c>
      <c r="FG168" s="518">
        <f>((FG32-FG28)+(FF32-FF28)+(FD32-FD28)+(FC32-FC28))/(FC9+FD9+FF9+FG9)</f>
        <v>1.7191489361702127E-2</v>
      </c>
      <c r="FH168" s="518">
        <f>((FH32-FH28)+(FF32-FF28)+(FG32-FG28)+(FD32-FD28))/(FD9+FG9+FF9+FH9)</f>
        <v>1.4776689357463058E-2</v>
      </c>
      <c r="FI168" s="518">
        <f>((FI32-FI28)+(FG32-FG28)+(FF32-FF28)+(FH32-FH28))/(FH9+FF9+FG9+FI9)</f>
        <v>2.5701975932253752E-2</v>
      </c>
      <c r="FJ168" s="521">
        <f t="shared" si="223"/>
        <v>2.5701975932253752E-2</v>
      </c>
      <c r="FK168" s="518">
        <f>((FK32-FK28)+(FI32-FI28)+(FH32-FH28)+(FG32-FG28))/(FG9+FH9+FI9+FK9)</f>
        <v>4.168391994478951E-2</v>
      </c>
      <c r="FL168" s="518">
        <f>((FL32-FL28)+(FK32-FK28)+(FI32-FI28)+(FH32-FH28))/(FH9+FI9+FK9+FL9)</f>
        <v>5.728485482605284E-2</v>
      </c>
      <c r="FM168" s="518">
        <f>((FM32-FM28)+(FK32-FK28)+(FL32-FL28)+(FI32-FI28))/(FI9+FL9+FK9+FM9)</f>
        <v>8.3853805227851033E-2</v>
      </c>
      <c r="FN168" s="518">
        <f>((FN32-FN28)+(FL32-FL28)+(FK32-FK28)+(FM32-FM28))/(FM9+FK9+FL9+FN9)</f>
        <v>0.11953293045170542</v>
      </c>
      <c r="FO168" s="521">
        <f t="shared" si="224"/>
        <v>0.11953293045170542</v>
      </c>
      <c r="FP168" s="518">
        <f>((FP32-FP28)+(FN32-FN28)+(FM32-FM28)+(FL32-FL28))/(FL9+FM9+FN9+FP9)</f>
        <v>0.14270705655752058</v>
      </c>
      <c r="FQ168" s="518">
        <f>((FQ32-FQ28)+(FP32-FP28)+(FN32-FN28)+(FM32-FM28))/(FM9+FN9+FP9+FQ9)</f>
        <v>0.17166416791604197</v>
      </c>
      <c r="FR168" s="518">
        <f>((FR32-FR28)+(FP32-FP28)+(FQ32-FQ28)+(FN32-FN28))/(FN9+FQ9+FP9+FR9)</f>
        <v>0.20165634258012388</v>
      </c>
      <c r="FS168" s="518">
        <f>((FS32-FS28)+(FQ32-FQ28)+(FP32-FP28)+(FR32-FR28))/(FR9+FP9+FQ9+FS9)</f>
        <v>0.22453450164293537</v>
      </c>
      <c r="FT168" s="521">
        <f t="shared" si="225"/>
        <v>0.22453450164293537</v>
      </c>
      <c r="FU168" s="518">
        <f>((FU32-FU28)+(FS32-FS28)+(FR32-FR28)+(FQ32-FQ28))/(FQ9+FR9+FS9+FU9)</f>
        <v>0.20708836617927526</v>
      </c>
      <c r="FV168" s="518">
        <f>((FV32-FV28)+(FU32-FU28)+(FS32-FS28)+(FR32-FR28))/(FR9+FS9+FU9+FV9)</f>
        <v>0.16527623285131629</v>
      </c>
      <c r="FW168" s="518">
        <f>((FW32-FW28)+(FU32-FU28)+(FV32-FV28)+(FS32-FS28))/(FS9+FV9+FU9+FW9)</f>
        <v>0.10627299807254249</v>
      </c>
      <c r="FX168" s="518">
        <f>((FX32-FX28)+(FV32-FV28)+(FU32-FU28)+(FW32-FW28))/(FW9+FU9+FV9+FX9)</f>
        <v>4.6777678911910515E-2</v>
      </c>
      <c r="FY168" s="521">
        <f t="shared" si="226"/>
        <v>4.6777678911910515E-2</v>
      </c>
      <c r="FZ168" s="518">
        <f>((FZ32-FZ28)+(FX32-FX28)+(FW32-FW28)+(FV32-FV28))/(FV9+FW9+FX9+FZ9)</f>
        <v>6.6762041010968052E-3</v>
      </c>
      <c r="GA168" s="518">
        <f>((GA32-GA28)+(FZ32-FZ28)+(FX32-FX28)+(FW32-FW28))/(FW9+FX9+FZ9+GA9)</f>
        <v>-1.3622234412141158E-2</v>
      </c>
      <c r="GB168" s="518">
        <f>((GB32-GB28)+(FZ32-FZ28)+(GA32-GA28)+(FX32-FX28))/(FX9+GA9+FZ9+GB9)</f>
        <v>3.3467504861833478E-3</v>
      </c>
      <c r="GC168" s="518">
        <f>((GC32-GC28)+(GA32-GA28)+(FZ32-FZ28)+(GB32-GB28))/(GB9+FZ9+GA9+GC9)</f>
        <v>2.5705467372134038E-2</v>
      </c>
      <c r="GD168" s="521">
        <f t="shared" si="227"/>
        <v>2.5705467372134038E-2</v>
      </c>
      <c r="GE168" s="518">
        <f>((GE32-GE28)+(GC32-GC28)+(GB32-GB28)+(GA32-GA28))/(GA9+GB9+GC9+GE9)</f>
        <v>3.43859649122807E-2</v>
      </c>
      <c r="GF168" s="518">
        <f>((GF32-GF28)+(GE32-GE28)+(GC32-GC28)+(GB32-GB28))/(GB9+GC9+GE9+GF9)</f>
        <v>4.7130091080941745E-2</v>
      </c>
      <c r="GG168" s="518">
        <f>((GG32-GG28)+(GF32-GF28)+(GD32-GD28)+(GC32-GC28))/(GC9+GD9+GF9+GG9)</f>
        <v>4.9347019420750808E-2</v>
      </c>
      <c r="GH168" s="518">
        <f>((GH32-GH28)+(GF32-GF28)+(GE32-GE28)+(GG32-GG28))/(GG9+GE9+GF9+GH9)</f>
        <v>8.0589490013573781E-2</v>
      </c>
      <c r="GI168" s="521">
        <f t="shared" si="228"/>
        <v>8.0589490013573781E-2</v>
      </c>
      <c r="GJ168" s="518">
        <f>((GJ32-GJ28)+(GH32-GH28)+(GG32-GG28)+(GF32-GF28))/(GF9+GG9+GH9+GJ9)</f>
        <v>0.10198198198198198</v>
      </c>
      <c r="GK168" s="518">
        <f>((GK32-GK28)+(GJ32-GJ28)+(GH32-GH28)+(GG32-GG28))/(GG9+GH9+GJ9+GK9)</f>
        <v>8.4020270270270273E-2</v>
      </c>
      <c r="GL168" s="518">
        <f>((GL32-GL28)+(GJ32-GJ28)+(GK32-GK28)+(GH32-GH28))/(GH9+GK9+GJ9+GL9)</f>
        <v>9.6699659662160056E-2</v>
      </c>
      <c r="GM168" s="518">
        <f>((GM32-GM28)+(GK32-GK28)+(GJ32-GJ28)+(GL32-GL28))/(GL9+GJ9+GK9+GM9)</f>
        <v>0.13239412223216607</v>
      </c>
      <c r="GN168" s="521">
        <f t="shared" si="229"/>
        <v>0.13239412223216607</v>
      </c>
      <c r="GO168" s="518">
        <f>((GO32-GO28)+(GM32-GM28)+(GL32-GL28)+(GK32-GK28))/(GK9+GL9+GM9+GO9)</f>
        <v>0.14615261387301756</v>
      </c>
      <c r="GP168" s="518">
        <f>((GP32-GP28)+(GO32-GO28)+(GM32-GM28)+(GL32-GL28))/(GL9+GM9+GO9+GP9)</f>
        <v>0.19743644104267977</v>
      </c>
      <c r="GQ168" s="518">
        <f>((GQ32-GQ28)+(GO32-GO28)+(GP32-GP28)+(GM32-GM28))/(GM9+GP9+GO9+GQ9)</f>
        <v>0.21793820832662886</v>
      </c>
      <c r="GR168" s="518">
        <f>((GR32-GR28)+(GP32-GP28)+(GO32-GO28)+(GQ32-GQ28))/(GQ9+GO9+GP9+GR9)</f>
        <v>0.23584372664069689</v>
      </c>
      <c r="GS168" s="521">
        <f t="shared" si="230"/>
        <v>0.23584372664069689</v>
      </c>
      <c r="GT168" s="518">
        <f>((GT32-GT28)+(GR32-GR28)+(GQ32-GQ28)+(GP32-GP28))/(GP9+GQ9+GR9+GT9)</f>
        <v>0.26333631734147889</v>
      </c>
      <c r="GU168" s="518">
        <f>((GU32-GU28)+(GT32-GT28)+(GR32-GR28)+(GQ32-GQ28))/(GQ9+GR9+GT9+GU9)</f>
        <v>0.27689761819589798</v>
      </c>
      <c r="GV168" s="518">
        <f>((GV32-GV28)+(GT32-GT28)+(GU32-GU28)+(GR32-GR28))/(GR9+GU9+GT9+GV9)</f>
        <v>0.2897763004163556</v>
      </c>
      <c r="GW168" s="518">
        <f>((GW32-GW28)+(GU32-GU28)+(GT32-GT28)+(GV32-GV28))/(GV9+GT9+GU9+GW9)</f>
        <v>0.29305364870068351</v>
      </c>
      <c r="GX168" s="521">
        <f t="shared" si="231"/>
        <v>0.29305364870068351</v>
      </c>
      <c r="GY168" s="518">
        <f>((GY32-GY28)+(GW32-GW28)+(GV32-GV28)+(GU32-GU28))/(GU9+GV9+GW9+GY9)</f>
        <v>0.29896371400259597</v>
      </c>
      <c r="GZ168" s="518">
        <f>((GZ32-GZ28)+(GY32-GY28)+(GW32-GW28)+(GV32-GV28))/(GV9+GW9+GY9+GZ9)</f>
        <v>0.30612926506235449</v>
      </c>
      <c r="HA168" s="518">
        <f>((HA32-HA28)+(GY32-GY28)+(GZ32-GZ28)+(GW32-GW28))/(GW9+GZ9+GY9+HA9)</f>
        <v>0.31645543731684311</v>
      </c>
      <c r="HB168" s="518">
        <f>((HB32-HB28)+(GZ32-GZ28)+(GY32-GY28)+(HA32-HA28))/(HA9+GY9+GZ9+HB9)</f>
        <v>0.32980225109219413</v>
      </c>
      <c r="HC168" s="521">
        <f t="shared" si="232"/>
        <v>0.32980225109219413</v>
      </c>
      <c r="HD168" s="518">
        <f>((HD32-HD28)+(HB32-HB28)+(HA32-HA28)+(GZ32-GZ28))/(GZ9+HA9+HB9+HD9)</f>
        <v>0.33870626943179266</v>
      </c>
      <c r="HE168" s="518">
        <f>((HE32-HE28)+(HD32-HD28)+(HB32-HB28)+(HA32-HA28))/(HA9+HB9+HD9+HE9)</f>
        <v>0.34547519270441901</v>
      </c>
      <c r="HF168" s="518">
        <f>((HF32-HF28)+(HD32-HD28)+(HE32-HE28)+(HB32-HB28))/(HB9+HE9+HD9+HF9)</f>
        <v>0.35081658175393993</v>
      </c>
      <c r="HG168" s="518">
        <f>((HG32-HG28)+(HE32-HE28)+(HD32-HD28)+(HF32-HF28))/(HF9+HD9+HE9+HG9)</f>
        <v>0.35336755447559753</v>
      </c>
      <c r="HH168" s="521">
        <f t="shared" si="233"/>
        <v>0.35336755447559753</v>
      </c>
      <c r="HI168" s="518">
        <f>((HI32-HI28)+(HG32-HG28)+(HF32-HF28)+(HE32-HE28))/(HE9+HF9+HG9+HI9)</f>
        <v>0.35348211574580318</v>
      </c>
      <c r="HJ168" s="518">
        <f>((HJ32-HJ28)+(HI32-HI28)+(HG32-HG28)+(HF32-HF28))/(HF9+HG9+HI9+HJ9)</f>
        <v>0.35418459535676405</v>
      </c>
      <c r="HK168" s="518">
        <f>((HK32-HK28)+(HI32-HI28)+(HJ32-HJ28)+(HG32-HG28))/(HG9+HJ9+HI9+HK9)</f>
        <v>0.35659734993788722</v>
      </c>
      <c r="HL168" s="518">
        <f>((HL32-HL28)+(HJ32-HJ28)+(HI32-HI28)+(HK32-HK28))/(HK9+HI9+HJ9+HL9)</f>
        <v>0.36088123603745675</v>
      </c>
      <c r="HM168" s="521">
        <f t="shared" si="234"/>
        <v>0.36088123603745675</v>
      </c>
      <c r="HN168" s="521"/>
      <c r="HO168" s="521"/>
      <c r="HP168" s="563"/>
      <c r="HR168" s="563"/>
      <c r="HS168" s="563"/>
      <c r="HT168" s="563"/>
      <c r="HU168" s="563"/>
      <c r="HV168" s="563"/>
      <c r="HW168" s="563"/>
      <c r="HX168" s="563"/>
    </row>
    <row r="169" spans="1:232" s="509" customFormat="1" ht="11.25" hidden="1" customHeight="1" outlineLevel="1">
      <c r="A169" s="532" t="s">
        <v>478</v>
      </c>
      <c r="L169" s="619"/>
      <c r="M169" s="619"/>
      <c r="N169" s="619"/>
      <c r="O169" s="619"/>
      <c r="P169" s="541"/>
      <c r="Q169" s="619"/>
      <c r="R169" s="619"/>
      <c r="S169" s="619"/>
      <c r="T169" s="619"/>
      <c r="U169" s="541"/>
      <c r="V169" s="619"/>
      <c r="W169" s="619"/>
      <c r="X169" s="619"/>
      <c r="Y169" s="619"/>
      <c r="Z169" s="541"/>
      <c r="AA169" s="619"/>
      <c r="AB169" s="619"/>
      <c r="AC169" s="619"/>
      <c r="AD169" s="619"/>
      <c r="AE169" s="541"/>
      <c r="AF169" s="619"/>
      <c r="AG169" s="619"/>
      <c r="AH169" s="619"/>
      <c r="AI169" s="619"/>
      <c r="AJ169" s="541"/>
      <c r="AK169" s="619">
        <f>(AG9+AH9+AI9+AK9)/((AK92+AF92)/2)</f>
        <v>0.96615799874680675</v>
      </c>
      <c r="AL169" s="619">
        <f>(AH9+AI9+AK9+AL9)/((AL92+AG92)/2)</f>
        <v>0.98224114626493475</v>
      </c>
      <c r="AM169" s="619">
        <f>(AI9+AL9+AK9+AM9)/((AM92+AH92)/2)</f>
        <v>0.97853605676686062</v>
      </c>
      <c r="AN169" s="619">
        <f>(AM9+AK9+AL9+AN9)/((AN92+AI92)/2)</f>
        <v>0.97585905887015878</v>
      </c>
      <c r="AO169" s="541">
        <f t="shared" si="198"/>
        <v>0.97585905887015878</v>
      </c>
      <c r="AP169" s="619">
        <f>(AL9+AM9+AN9+AP9)/((AP92+AK92)/2)</f>
        <v>0.94182999478599261</v>
      </c>
      <c r="AQ169" s="619">
        <f>(AM9+AN9+AP9+AQ9)/((AQ92+AL92)/2)</f>
        <v>0.91994235859275841</v>
      </c>
      <c r="AR169" s="619">
        <f>(AN9+AQ9+AP9+AR9)/((AR92+AM92)/2)</f>
        <v>0.90097073643652759</v>
      </c>
      <c r="AS169" s="619">
        <f>(AR9+AP9+AQ9+AS9)/((AS92+AN92)/2)</f>
        <v>0.88725116259537684</v>
      </c>
      <c r="AT169" s="541">
        <f t="shared" si="199"/>
        <v>0.88725116259537684</v>
      </c>
      <c r="AU169" s="619">
        <f>(AQ9+AR9+AS9+AU9)/((AU92+AP92)/2)</f>
        <v>0.83221315155864961</v>
      </c>
      <c r="AV169" s="619">
        <f>(AR9+AS9+AU9+AV9)/((AV92+AQ92)/2)</f>
        <v>0.75971051195375539</v>
      </c>
      <c r="AW169" s="619">
        <f>(AS9+AV9+AU9+AW9)/((AW92+AR92)/2)</f>
        <v>0.68085867044201587</v>
      </c>
      <c r="AX169" s="619">
        <f>(AW9+AU9+AV9+AX9)/((AX92+AS92)/2)</f>
        <v>0.63239791916232868</v>
      </c>
      <c r="AY169" s="541">
        <f t="shared" si="200"/>
        <v>0.63239791916232868</v>
      </c>
      <c r="AZ169" s="619">
        <f>(AV9+AW9+AX9+AZ9)/((AZ92+AU92)/2)</f>
        <v>0.61458265912440735</v>
      </c>
      <c r="BA169" s="619">
        <f>(AW9+AX9+AZ9+BA9)/((BA92+AV92)/2)</f>
        <v>0.66499006768664159</v>
      </c>
      <c r="BB169" s="619">
        <f>(AX9+BA9+AZ9+BB9)/((BB92+AW92)/2)</f>
        <v>0.69138686203479105</v>
      </c>
      <c r="BC169" s="619">
        <f>(BB9+AZ9+BA9+BC9)/((BC92+AX92)/2)</f>
        <v>0.70756126292197319</v>
      </c>
      <c r="BD169" s="541">
        <f t="shared" si="201"/>
        <v>0.70756126292197319</v>
      </c>
      <c r="BE169" s="619">
        <f>(BA9+BB9+BC9+BE9)/((BE92+AZ92)/2)</f>
        <v>0.69404977043134397</v>
      </c>
      <c r="BF169" s="619">
        <f>(BB9+BC9+BE9+BF9)/((BF92+BA92)/2)</f>
        <v>0.62131272666999982</v>
      </c>
      <c r="BG169" s="619">
        <f>(BC9+BF9+BE9+BG9)/((BG92+BB92)/2)</f>
        <v>0.6275449266938069</v>
      </c>
      <c r="BH169" s="619">
        <f>(BG9+BE9+BF9+BH9)/((BH92+BC92)/2)</f>
        <v>0.65449608334656018</v>
      </c>
      <c r="BI169" s="541">
        <f t="shared" si="202"/>
        <v>0.65449608334656018</v>
      </c>
      <c r="BJ169" s="619">
        <f>(BF9+BG9+BH9+BJ9)/((BJ92+BE92)/2)</f>
        <v>0.68946285395855911</v>
      </c>
      <c r="BK169" s="619">
        <f>(BG9+BH9+BJ9+BK9)/((BK92+BF92)/2)</f>
        <v>0.66664643122733003</v>
      </c>
      <c r="BL169" s="619">
        <f>(BH9+BK9+BJ9+BL9)/((BL92+BG92)/2)</f>
        <v>0.64562705509694185</v>
      </c>
      <c r="BM169" s="619">
        <f>(BL9+BJ9+BK9+BM9)/((BM92+BH92)/2)</f>
        <v>0.66219779562782277</v>
      </c>
      <c r="BN169" s="541">
        <f t="shared" si="203"/>
        <v>0.66219779562782277</v>
      </c>
      <c r="BO169" s="619">
        <f>(BK9+BL9+BM9+BO9)/((BO92+BJ92)/2)</f>
        <v>0.74198208351782025</v>
      </c>
      <c r="BP169" s="619">
        <f>(BL9+BM9+BO9+BP9)/((BP92+BK92)/2)</f>
        <v>0.84551099011531883</v>
      </c>
      <c r="BQ169" s="619">
        <f>(BM9+BP9+BO9+BQ9)/((BQ92+BL92)/2)</f>
        <v>0.92928874327687161</v>
      </c>
      <c r="BR169" s="619">
        <f>(BQ9+BO9+BP9+BR9)/((BR92+BM92)/2)</f>
        <v>0.91552267902217666</v>
      </c>
      <c r="BS169" s="541">
        <f t="shared" si="204"/>
        <v>0.91552267902217666</v>
      </c>
      <c r="BT169" s="619">
        <f>(BP9+BQ9+BR9+BT9)/((BT92+BO92)/2)</f>
        <v>0.88883924754809673</v>
      </c>
      <c r="BU169" s="619">
        <f>(BQ9+BR9+BT9+BU9)/((BU92+BP92)/2)</f>
        <v>0.84408807602649771</v>
      </c>
      <c r="BV169" s="619">
        <f>(BR9+BU9+BT9+BV9)/((BV92+BQ92)/2)</f>
        <v>0.74070381435951493</v>
      </c>
      <c r="BW169" s="619">
        <f>(BV9+BT9+BU9+BW9)/((BW92+BR92)/2)</f>
        <v>0.68186804055759365</v>
      </c>
      <c r="BX169" s="541">
        <f t="shared" si="205"/>
        <v>0.68186804055759365</v>
      </c>
      <c r="BY169" s="619">
        <f>(BU9+BV9+BW9+BY9)/((BY92+BT92)/2)</f>
        <v>0.60112984891966192</v>
      </c>
      <c r="BZ169" s="619">
        <f>(BV9+BW9+BY9+BZ9)/((BZ92+BU92)/2)</f>
        <v>0.54432015024051916</v>
      </c>
      <c r="CA169" s="619">
        <f>(BW9+BZ9+BY9+CA9)/((CA92+BV92)/2)</f>
        <v>0.51652913203890927</v>
      </c>
      <c r="CB169" s="619">
        <f>(CA9+BY9+BZ9+CB9)/((CB92+BW92)/2)</f>
        <v>0.47877289890500302</v>
      </c>
      <c r="CC169" s="541">
        <f t="shared" si="206"/>
        <v>0.47877289890500302</v>
      </c>
      <c r="CD169" s="619">
        <f>(BZ9+CA9+CB9+CD9)/((CD92+BY92)/2)</f>
        <v>0.44166975250410423</v>
      </c>
      <c r="CE169" s="619">
        <f>(CA9+CB9+CD9+CE9)/((CE92+BZ92)/2)</f>
        <v>0.45233331288117057</v>
      </c>
      <c r="CF169" s="619">
        <f>(CB9+CE9+CD9+CF9)/((CF92+CA92)/2)</f>
        <v>0.48403388651053858</v>
      </c>
      <c r="CG169" s="619">
        <f>(CF9+CD9+CE9+CG9)/((CG92+CB92)/2)</f>
        <v>0.55361006852072359</v>
      </c>
      <c r="CH169" s="541">
        <f t="shared" si="207"/>
        <v>0.55361006852072359</v>
      </c>
      <c r="CI169" s="619">
        <f>(CE9+CF9+CG9+CI9)/((CI92+CD92)/2)</f>
        <v>0.65168927273772581</v>
      </c>
      <c r="CJ169" s="619">
        <f>(CF9+CG9+CI9+CJ9)/((CJ92+CE92)/2)</f>
        <v>0.75712953094392277</v>
      </c>
      <c r="CK169" s="619">
        <f>(CG9+CJ9+CI9+CK9)/((CK92+CF92)/2)</f>
        <v>0.70888240775449363</v>
      </c>
      <c r="CL169" s="619">
        <f>(CK9+CI9+CJ9+CL9)/((CL92+CG92)/2)</f>
        <v>0.66960090852160725</v>
      </c>
      <c r="CM169" s="541">
        <f t="shared" si="208"/>
        <v>0.66960090852160725</v>
      </c>
      <c r="CN169" s="619">
        <f>(CJ9+CK9+CL9+CN9)/((CN92+CI92)/2)</f>
        <v>0.67341939269176532</v>
      </c>
      <c r="CO169" s="619">
        <f>(CK9+CL9+CN9+CO9)/((CO92+CJ92)/2)</f>
        <v>0.6751052494570432</v>
      </c>
      <c r="CP169" s="619">
        <f>(CL9+CO9+CN9+CP9)/((CP92+CK92)/2)</f>
        <v>0.68292606166336256</v>
      </c>
      <c r="CQ169" s="619">
        <f>(CP9+CN9+CO9+CQ9)/((CQ92+CL92)/2)</f>
        <v>0.7728761385647227</v>
      </c>
      <c r="CR169" s="541">
        <f t="shared" si="209"/>
        <v>0.7728761385647227</v>
      </c>
      <c r="CS169" s="619">
        <f>(CO9+CP9+CQ9+CS9)/((CS92+CN92)/2)</f>
        <v>0.75005353154146448</v>
      </c>
      <c r="CT169" s="619">
        <f>(CP9+CQ9+CS9+CT9)/((CT92+CO92)/2)</f>
        <v>0.74641725952459259</v>
      </c>
      <c r="CU169" s="619">
        <f>(CQ9+CT9+CS9+CU9)/((CU92+CP92)/2)</f>
        <v>0.69101568945388459</v>
      </c>
      <c r="CV169" s="619">
        <f>(CU9+CS9+CT9+CV9)/((CV92+CQ92)/2)</f>
        <v>0.55289530888025218</v>
      </c>
      <c r="CW169" s="541">
        <f t="shared" si="210"/>
        <v>0.55289530888025218</v>
      </c>
      <c r="CX169" s="619">
        <f>(CT9+CU9+CV9+CX9)/((CX92+CS92)/2)</f>
        <v>0.5345768611077466</v>
      </c>
      <c r="CY169" s="619">
        <f>(CU9+CV9+CX9+CY9)/((CY92+CT92)/2)</f>
        <v>0.53665791360898851</v>
      </c>
      <c r="CZ169" s="619">
        <f>(CV9+CY9+CX9+CZ9)/((CZ92+CU92)/2)</f>
        <v>0.56453163885008018</v>
      </c>
      <c r="DA169" s="619">
        <f>(CZ9+CX9+CY9+DA9)/((DA92+CV92)/2)</f>
        <v>0.48694173381382355</v>
      </c>
      <c r="DB169" s="541">
        <f t="shared" si="211"/>
        <v>0.48694173381382355</v>
      </c>
      <c r="DC169" s="619">
        <f>(CY9+CZ9+DA9+DC9)/((DC92+CX92)/2)</f>
        <v>0.52550167224080269</v>
      </c>
      <c r="DD169" s="619">
        <f>(CZ9+DA9+DC9+DD9)/((DD92+CY92)/2)</f>
        <v>0.54381084840055638</v>
      </c>
      <c r="DE169" s="619">
        <f>(DA9+DD9+DC9+DE9)/((DE92+CZ92)/2)</f>
        <v>0.55560510122179618</v>
      </c>
      <c r="DF169" s="619">
        <f>(DE9+DC9+DD9+DF9)/((DF92+DA92)/2)</f>
        <v>0.58486345903771131</v>
      </c>
      <c r="DG169" s="541">
        <f t="shared" si="212"/>
        <v>0.58486345903771131</v>
      </c>
      <c r="DH169" s="619">
        <f>(DD9+DE9+DF9+DH9)/((DH92+DC92)/2)</f>
        <v>0.52260612043435339</v>
      </c>
      <c r="DI169" s="619">
        <f>(DE9+DF9+DH9+DI9)/((DI92+DD92)/2)</f>
        <v>0.55547733795418852</v>
      </c>
      <c r="DJ169" s="619">
        <f>(DF9+DI9+DH9+DJ9)/((DJ92+DE92)/2)</f>
        <v>0.53939360710565276</v>
      </c>
      <c r="DK169" s="619">
        <f>(DJ9+DH9+DI9+DK9)/((DK92+DF92)/2)</f>
        <v>0.64501880260251898</v>
      </c>
      <c r="DL169" s="541">
        <f t="shared" si="213"/>
        <v>0.64501880260251898</v>
      </c>
      <c r="DM169" s="619">
        <f>(DI9+DJ9+DK9+DM9)/((DM92+DH92)/2)</f>
        <v>0.81209745169420333</v>
      </c>
      <c r="DN169" s="619">
        <f>(DJ9+DK9+DM9+DN9)/((DN92+DI92)/2)</f>
        <v>0.91934301217187275</v>
      </c>
      <c r="DO169" s="619">
        <f>(DK9+DN9+DM9+DO9)/((DO92+DJ92)/2)</f>
        <v>0.97301753859991003</v>
      </c>
      <c r="DP169" s="619">
        <f>(DO9+DM9+DN9+DP9)/((DP92+DK92)/2)</f>
        <v>0.92493946731234866</v>
      </c>
      <c r="DQ169" s="541">
        <f t="shared" si="214"/>
        <v>0.92493946731234866</v>
      </c>
      <c r="DR169" s="619">
        <f>(DN9+DO9+DP9+DR9)/((DR92+DM92)/2)</f>
        <v>1.2514126999329567</v>
      </c>
      <c r="DS169" s="619">
        <f>(DO9+DP9+DR9+DS9)/((DS92+DN92)/2)</f>
        <v>1.2681009922389233</v>
      </c>
      <c r="DT169" s="619">
        <f>(DP9+DS9+DR9+DT9)/((DT92+DO92)/2)</f>
        <v>1.327637066422541</v>
      </c>
      <c r="DU169" s="619">
        <f>(DT9+DR9+DS9+DU9)/((DU92+DP92)/2)</f>
        <v>1.3244605767291793</v>
      </c>
      <c r="DV169" s="541">
        <f t="shared" si="215"/>
        <v>1.3244605767291793</v>
      </c>
      <c r="DW169" s="619">
        <f>(DS9+DT9+DU9+DW9)/((DW92+DR92)/2)</f>
        <v>1.2827302147690498</v>
      </c>
      <c r="DX169" s="619">
        <f>(DT9+DU9+DW9+DX9)/((DX92+DS92)/2)</f>
        <v>1.2428641013151485</v>
      </c>
      <c r="DY169" s="619">
        <f>(DU9+DX9+DW9+DY9)/((DY92+DT92)/2)</f>
        <v>1.2099918765231519</v>
      </c>
      <c r="DZ169" s="619">
        <f>(DY9+DW9+DX9+DZ9)/((DZ92+DU92)/2)</f>
        <v>1.2110788474424838</v>
      </c>
      <c r="EA169" s="541">
        <f t="shared" si="216"/>
        <v>1.2110788474424838</v>
      </c>
      <c r="EB169" s="619">
        <f>(DX9+DY9+DZ9+EB9)/((EB92+DW92)/2)</f>
        <v>1.1212293682413204</v>
      </c>
      <c r="EC169" s="619">
        <f>(DY9+DZ9+EB9+EC9)/((EC92+DX92)/2)</f>
        <v>1.0456477959275006</v>
      </c>
      <c r="ED169" s="619">
        <f>(DZ9+EC9+EB9+ED9)/((ED92+DY92)/2)</f>
        <v>1.0897076940306865</v>
      </c>
      <c r="EE169" s="619">
        <f>(ED9+EB9+EC9+EE9)/((EE92+DZ92)/2)</f>
        <v>1.2712006717044499</v>
      </c>
      <c r="EF169" s="541">
        <f t="shared" si="217"/>
        <v>1.2712006717044499</v>
      </c>
      <c r="EG169" s="619">
        <f>(EC9+ED9+EE9+EG9)/((EG92+EB92)/2)</f>
        <v>1.4188488298545225</v>
      </c>
      <c r="EH169" s="619">
        <f>(ED9+EE9+EG9+EH9)/((EH92+EC92)/2)</f>
        <v>1.4461500675426746</v>
      </c>
      <c r="EI169" s="619">
        <f>(EE9+EH9+EG9+EI9)/((EI92+ED92)/2)</f>
        <v>1.3552418421661652</v>
      </c>
      <c r="EJ169" s="619">
        <f>(EI9+EG9+EH9+EJ9)/((EJ92+EE92)/2)</f>
        <v>1.3588351431391905</v>
      </c>
      <c r="EK169" s="541">
        <f t="shared" si="218"/>
        <v>1.3588351431391905</v>
      </c>
      <c r="EL169" s="619">
        <f>(EH9+EI9+EJ9+EL9)/((EL92+EG92)/2)</f>
        <v>1.3638535031847134</v>
      </c>
      <c r="EM169" s="619">
        <f>(EI9+EJ9+EL9+EM9)/((EM92+EH92)/2)</f>
        <v>1.2167300380228137</v>
      </c>
      <c r="EN169" s="619">
        <f>(EJ9+EM9+EL9+EN9)/((EN92+EI92)/2)</f>
        <v>1.131056393963463</v>
      </c>
      <c r="EO169" s="619">
        <f>(EN9+EL9+EM9+EO9)/((EO92+EJ92)/2)</f>
        <v>1.160849331006399</v>
      </c>
      <c r="EP169" s="541">
        <f t="shared" si="219"/>
        <v>1.160849331006399</v>
      </c>
      <c r="EQ169" s="619">
        <f>(EM9+EN9+EO9+EQ9)/((EQ92+EL92)/2)</f>
        <v>1.1836479950070213</v>
      </c>
      <c r="ER169" s="619">
        <f>(EN9+EO9+EQ9+ER9)/((ER92+EM92)/2)</f>
        <v>1.1581305061968046</v>
      </c>
      <c r="ES169" s="619">
        <f>(EO9+ER9+EQ9+ES9)/((ES92+EN92)/2)</f>
        <v>1.2049671292914537</v>
      </c>
      <c r="ET169" s="619">
        <f>(ES9+EQ9+ER9+ET9)/((ET92+EO92)/2)</f>
        <v>1.3287713841368585</v>
      </c>
      <c r="EU169" s="541">
        <f t="shared" si="220"/>
        <v>1.3287713841368585</v>
      </c>
      <c r="EV169" s="619">
        <f>(ER9+ES9+ET9+EV9)/((EV92+EQ92)/2)</f>
        <v>1.4089171974522292</v>
      </c>
      <c r="EW169" s="619">
        <f>(ES9+ET9+EV9+EW9)/((EW92+ER92)/2)</f>
        <v>1.3816930900388873</v>
      </c>
      <c r="EX169" s="619">
        <f>(ET9+EW9+EV9+EX9)/((EX92+ES92)/2)</f>
        <v>1.3760066648153291</v>
      </c>
      <c r="EY169" s="619">
        <f>(EX9+EV9+EW9+EY9)/((EY92+ET92)/2)</f>
        <v>1.5534178691152893</v>
      </c>
      <c r="EZ169" s="541">
        <f t="shared" si="221"/>
        <v>1.5534178691152893</v>
      </c>
      <c r="FA169" s="619">
        <f>(EW9+EX9+EY9+FA9)/((FA92+EV92)/2)</f>
        <v>1.696969696969697</v>
      </c>
      <c r="FB169" s="619">
        <f>(EX9+EY9+FA9+FB9)/((FB92+EW92)/2)</f>
        <v>1.7465542620099024</v>
      </c>
      <c r="FC169" s="619">
        <f>(EY9+FB9+FA9+FC9)/((FC92+EX92)/2)</f>
        <v>1.6478003277448632</v>
      </c>
      <c r="FD169" s="619">
        <f>(FC9+FA9+FB9+FD9)/((FD92+EY92)/2)</f>
        <v>1.5995553359683794</v>
      </c>
      <c r="FE169" s="541">
        <f t="shared" si="222"/>
        <v>1.5995553359683794</v>
      </c>
      <c r="FF169" s="619">
        <f>(FB9+FC9+FD9+FF9)/((FF92+FA92)/2)</f>
        <v>1.403266620657925</v>
      </c>
      <c r="FG169" s="619">
        <f>(FC9+FD9+FF9+FG9)/((FG92+FB92)/2)</f>
        <v>1.2764801738185769</v>
      </c>
      <c r="FH169" s="619">
        <f>(FD9+FG9+FF9+FH9)/((FH92+FC92)/2)</f>
        <v>1.2547916666666667</v>
      </c>
      <c r="FI169" s="619">
        <f>(FH9+FF9+FG9+FI9)/((FI92+FD92)/2)</f>
        <v>1.2719198790627362</v>
      </c>
      <c r="FJ169" s="541">
        <f t="shared" si="223"/>
        <v>1.2719198790627362</v>
      </c>
      <c r="FK169" s="619">
        <f>(FG9+FH9+FI9+FK9)/((FK92+FF92)/2)</f>
        <v>1.3422880963408985</v>
      </c>
      <c r="FL169" s="619">
        <f>(FH9+FI9+FK9+FL9)/((FL92+FG92)/2)</f>
        <v>1.308686350021395</v>
      </c>
      <c r="FM169" s="619">
        <f>(FI9+FL9+FK9+FM9)/((FM92+FH92)/2)</f>
        <v>1.4086021505376345</v>
      </c>
      <c r="FN169" s="619">
        <f>(FM9+FK9+FL9+FN9)/((FN92+FI92)/2)</f>
        <v>1.3026017344896599</v>
      </c>
      <c r="FO169" s="541">
        <f t="shared" si="224"/>
        <v>1.3026017344896599</v>
      </c>
      <c r="FP169" s="619">
        <f>(FL9+FM9+FN9+FP9)/((FP92+FK92)/2)</f>
        <v>1.4357362830746025</v>
      </c>
      <c r="FQ169" s="619">
        <f>(FM9+FN9+FP9+FQ9)/((FQ92+FL92)/2)</f>
        <v>1.544517772374667</v>
      </c>
      <c r="FR169" s="619">
        <f>(FN9+FQ9+FP9+FR9)/((FR92+FM92)/2)</f>
        <v>1.6342429577464788</v>
      </c>
      <c r="FS169" s="619">
        <f>(FR9+FP9+FQ9+FS9)/((FS92+FN92)/2)</f>
        <v>1.5372527009962116</v>
      </c>
      <c r="FT169" s="541">
        <f t="shared" si="225"/>
        <v>1.5372527009962116</v>
      </c>
      <c r="FU169" s="619">
        <f>(FQ9+FR9+FS9+FU9)/((FU92+FP92)/2)</f>
        <v>0.49052779293677401</v>
      </c>
      <c r="FV169" s="619">
        <f>(FR9+FS9+FU9+FV9)/((FV92+FQ92)/2)</f>
        <v>0.55186525648075913</v>
      </c>
      <c r="FW169" s="619">
        <f>(FS9+FV9+FU9+FW9)/((FW92+FR92)/2)</f>
        <v>0.57818752849399724</v>
      </c>
      <c r="FX169" s="619">
        <f>(FW9+FU9+FV9+FX9)/((FX92+FS92)/2)</f>
        <v>0.59003237540469256</v>
      </c>
      <c r="FY169" s="541">
        <f t="shared" si="226"/>
        <v>0.59003237540469256</v>
      </c>
      <c r="FZ169" s="619">
        <f>(FV9+FW9+FX9+FZ9)/((FZ92+FU92)/2)</f>
        <v>0.34287880251804176</v>
      </c>
      <c r="GA169" s="619">
        <f>(FW9+FX9+FZ9+GA9)/((GA92+FV92)/2)</f>
        <v>0.32296687803113627</v>
      </c>
      <c r="GB169" s="619">
        <f>(FX9+GA9+FZ9+GB9)/((GB92+FW92)/2)</f>
        <v>0.32651343429048191</v>
      </c>
      <c r="GC169" s="619">
        <f>(GB9+FZ9+GA9+GC9)/((GC92+FX92)/2)</f>
        <v>0.33484663935333853</v>
      </c>
      <c r="GD169" s="541">
        <f t="shared" si="227"/>
        <v>0.33484663935333853</v>
      </c>
      <c r="GE169" s="619">
        <f>(GA9+GB9+GC9+GE9)/((GE92+FZ92)/2)</f>
        <v>0.33645935556227818</v>
      </c>
      <c r="GF169" s="619">
        <f>(GB9+GC9+GE9+GF9)/((GF92+GA92)/2)</f>
        <v>0.34266449765555418</v>
      </c>
      <c r="GG169" s="619">
        <f>(GC9+GD9+GF9+GG9)/((GG92+GB92)/2)</f>
        <v>0.60471215631420205</v>
      </c>
      <c r="GH169" s="619">
        <f>(GG9+GE9+GF9+GH9)/((GH92+GC92)/2)</f>
        <v>0.37611861922092321</v>
      </c>
      <c r="GI169" s="541">
        <f t="shared" si="228"/>
        <v>0.37611861922092321</v>
      </c>
      <c r="GJ169" s="619">
        <f>(GF9+GG9+GH9+GJ9)/((GJ92+GE92)/2)</f>
        <v>0.39800638244469144</v>
      </c>
      <c r="GK169" s="619">
        <f>(GG9+GH9+GJ9+GK9)/((GK92+GF92)/2)</f>
        <v>0.41483889955572995</v>
      </c>
      <c r="GL169" s="619">
        <f>(GH9+GK9+GJ9+GL9)/((GL92+GG92)/2)</f>
        <v>0.43714810239751034</v>
      </c>
      <c r="GM169" s="619">
        <f>(GL9+GJ9+GK9+GM9)/((GM92+GH92)/2)</f>
        <v>0.4740133559581805</v>
      </c>
      <c r="GN169" s="541">
        <f t="shared" si="229"/>
        <v>0.4740133559581805</v>
      </c>
      <c r="GO169" s="619">
        <f>(GK9+GL9+GM9+GO9)/((GO92+GJ92)/2)</f>
        <v>0.4954494946822583</v>
      </c>
      <c r="GP169" s="619">
        <f>(GL9+GM9+GO9+GP9)/((GP92+GK92)/2)</f>
        <v>0.52189519895763392</v>
      </c>
      <c r="GQ169" s="619">
        <f>(GM9+GP9+GO9+GQ9)/((GQ92+GL92)/2)</f>
        <v>0.5403523583147597</v>
      </c>
      <c r="GR169" s="619">
        <f>(GQ9+GO9+GP9+GR9)/((GR92+GM92)/2)</f>
        <v>0.5851171846089781</v>
      </c>
      <c r="GS169" s="541">
        <f t="shared" si="230"/>
        <v>0.5851171846089781</v>
      </c>
      <c r="GT169" s="619">
        <f>(GP9+GQ9+GR9+GT9)/((GT92+GO92)/2)</f>
        <v>0.63078292730904395</v>
      </c>
      <c r="GU169" s="619">
        <f>(GQ9+GR9+GT9+GU9)/((GU92+GP92)/2)</f>
        <v>0.67672293148549378</v>
      </c>
      <c r="GV169" s="619">
        <f>(GR9+GU9+GT9+GV9)/((GV92+GQ92)/2)</f>
        <v>0.73041942973507357</v>
      </c>
      <c r="GW169" s="619">
        <f>(GV9+GT9+GU9+GW9)/((GW92+GR92)/2)</f>
        <v>0.74040283160254672</v>
      </c>
      <c r="GX169" s="541">
        <f t="shared" si="231"/>
        <v>0.74040283160254672</v>
      </c>
      <c r="GY169" s="619">
        <f>(GU9+GV9+GW9+GY9)/((GY92+GT92)/2)</f>
        <v>0.73834172561600087</v>
      </c>
      <c r="GZ169" s="619">
        <f>(GV9+GW9+GY9+GZ9)/((GZ92+GU92)/2)</f>
        <v>0.72487037186556913</v>
      </c>
      <c r="HA169" s="619">
        <f>(GW9+GZ9+GY9+HA9)/((HA92+GV92)/2)</f>
        <v>0.6974206527317206</v>
      </c>
      <c r="HB169" s="619">
        <f>(HA9+GY9+GZ9+HB9)/((HB92+GW92)/2)</f>
        <v>0.66585410344966933</v>
      </c>
      <c r="HC169" s="541">
        <f t="shared" si="232"/>
        <v>0.66585410344966933</v>
      </c>
      <c r="HD169" s="619">
        <f>(GZ9+HA9+HB9+HD9)/((HD92+GY92)/2)</f>
        <v>0.64239317126105844</v>
      </c>
      <c r="HE169" s="619">
        <f>(HA9+HB9+HD9+HE9)/((HE92+GZ92)/2)</f>
        <v>0.61867057331449338</v>
      </c>
      <c r="HF169" s="619">
        <f>(HB9+HE9+HD9+HF9)/((HF92+HA92)/2)</f>
        <v>0.59613508641001434</v>
      </c>
      <c r="HG169" s="619">
        <f>(HF9+HD9+HE9+HG9)/((HG92+HB92)/2)</f>
        <v>0.57212539064978407</v>
      </c>
      <c r="HH169" s="541">
        <f t="shared" si="233"/>
        <v>0.57212539064978407</v>
      </c>
      <c r="HI169" s="619">
        <f>(HE9+HF9+HG9+HI9)/((HI92+HD92)/2)</f>
        <v>0.54803025675019057</v>
      </c>
      <c r="HJ169" s="619">
        <f>(HF9+HG9+HI9+HJ9)/((HJ92+HE92)/2)</f>
        <v>0.52492418080201564</v>
      </c>
      <c r="HK169" s="619">
        <f>(HG9+HJ9+HI9+HK9)/((HK92+HF92)/2)</f>
        <v>0.50450236449440966</v>
      </c>
      <c r="HL169" s="619">
        <f>(HK9+HI9+HJ9+HL9)/((HL92+HG92)/2)</f>
        <v>0.48664396612942845</v>
      </c>
      <c r="HM169" s="541">
        <f t="shared" si="234"/>
        <v>0.48664396612942845</v>
      </c>
      <c r="HN169" s="541"/>
      <c r="HO169" s="541"/>
      <c r="HP169" s="563"/>
      <c r="HR169" s="563"/>
      <c r="HS169" s="563"/>
      <c r="HT169" s="563"/>
      <c r="HU169" s="563"/>
      <c r="HV169" s="563"/>
      <c r="HW169" s="563"/>
      <c r="HX169" s="563"/>
    </row>
    <row r="170" spans="1:232" s="509" customFormat="1" ht="11.25" hidden="1" customHeight="1" outlineLevel="1">
      <c r="A170" s="532" t="s">
        <v>479</v>
      </c>
      <c r="L170" s="619"/>
      <c r="M170" s="619"/>
      <c r="N170" s="619"/>
      <c r="O170" s="619"/>
      <c r="P170" s="541"/>
      <c r="Q170" s="619"/>
      <c r="R170" s="619"/>
      <c r="S170" s="619"/>
      <c r="T170" s="619"/>
      <c r="U170" s="541"/>
      <c r="V170" s="619"/>
      <c r="W170" s="619"/>
      <c r="X170" s="619"/>
      <c r="Y170" s="619"/>
      <c r="Z170" s="541"/>
      <c r="AA170" s="619"/>
      <c r="AB170" s="619"/>
      <c r="AC170" s="619"/>
      <c r="AD170" s="619"/>
      <c r="AE170" s="541"/>
      <c r="AF170" s="619"/>
      <c r="AG170" s="619"/>
      <c r="AH170" s="619"/>
      <c r="AI170" s="619"/>
      <c r="AJ170" s="541"/>
      <c r="AK170" s="619">
        <f>((AK92+AF92)/2)/((AK97+AF97)/2)</f>
        <v>1.415997971978199</v>
      </c>
      <c r="AL170" s="619">
        <f>((AL92+AG92)/2)/((AL97+AG97)/2)</f>
        <v>1.3746236944105661</v>
      </c>
      <c r="AM170" s="619">
        <f>((AM92+AH92)/2)/((AM97+AH97)/2)</f>
        <v>1.3798164494413534</v>
      </c>
      <c r="AN170" s="619">
        <f>((AN92+AI92)/2)/((AN97+AI97)/2)</f>
        <v>1.416981889236635</v>
      </c>
      <c r="AO170" s="541">
        <f t="shared" si="198"/>
        <v>1.416981889236635</v>
      </c>
      <c r="AP170" s="619">
        <f>((AP92+AK92)/2)/((AP97+AK97)/2)</f>
        <v>1.4490650376310634</v>
      </c>
      <c r="AQ170" s="619">
        <f>((AQ92+AL92)/2)/((AQ97+AL97)/2)</f>
        <v>1.4470013921156024</v>
      </c>
      <c r="AR170" s="619">
        <f>((AR92+AM92)/2)/((AR97+AM97)/2)</f>
        <v>1.4350918163282591</v>
      </c>
      <c r="AS170" s="619">
        <f>((AS92+AN92)/2)/((AS97+AN97)/2)</f>
        <v>1.4280075079659371</v>
      </c>
      <c r="AT170" s="541">
        <f t="shared" si="199"/>
        <v>1.4280075079659371</v>
      </c>
      <c r="AU170" s="619">
        <f>((AU92+AP92)/2)/((AU97+AP97)/2)</f>
        <v>1.4269170472446406</v>
      </c>
      <c r="AV170" s="619">
        <f>((AV92+AQ92)/2)/((AV97+AQ97)/2)</f>
        <v>1.429343543290164</v>
      </c>
      <c r="AW170" s="619">
        <f>((AW92+AR92)/2)/((AW97+AR97)/2)</f>
        <v>1.4836656016236176</v>
      </c>
      <c r="AX170" s="619">
        <f>((AX92+AS92)/2)/((AX97+AS97)/2)</f>
        <v>1.4984332870937109</v>
      </c>
      <c r="AY170" s="541">
        <f t="shared" si="200"/>
        <v>1.4984332870937109</v>
      </c>
      <c r="AZ170" s="619">
        <f>((AZ92+AU92)/2)/((AZ97+AU97)/2)</f>
        <v>1.5317779343472473</v>
      </c>
      <c r="BA170" s="619">
        <f>((BA92+AV92)/2)/((BA97+AV97)/2)</f>
        <v>1.5177570255138155</v>
      </c>
      <c r="BB170" s="619">
        <f>((BB92+AW92)/2)/((BB97+AW97)/2)</f>
        <v>1.5881130561052872</v>
      </c>
      <c r="BC170" s="619">
        <f>((BC92+AX92)/2)/((BC97+AX97)/2)</f>
        <v>1.6440044122790496</v>
      </c>
      <c r="BD170" s="541">
        <f t="shared" si="201"/>
        <v>1.6440044122790496</v>
      </c>
      <c r="BE170" s="619">
        <f>((BE92+AZ92)/2)/((BE97+AZ97)/2)</f>
        <v>1.685537582542123</v>
      </c>
      <c r="BF170" s="619">
        <f>((BF92+BA92)/2)/((BF97+BA97)/2)</f>
        <v>1.8284656165954685</v>
      </c>
      <c r="BG170" s="619">
        <f>((BG92+BB92)/2)/((BG97+BB97)/2)</f>
        <v>1.8981801836402017</v>
      </c>
      <c r="BH170" s="619">
        <f>((BH92+BC92)/2)/((BH97+BC97)/2)</f>
        <v>1.9254088145715855</v>
      </c>
      <c r="BI170" s="541">
        <f t="shared" si="202"/>
        <v>1.9254088145715855</v>
      </c>
      <c r="BJ170" s="619">
        <f>((BJ92+BE92)/2)/((BJ97+BE97)/2)</f>
        <v>1.9892342693724678</v>
      </c>
      <c r="BK170" s="619">
        <f>((BK92+BF92)/2)/((BK97+BF97)/2)</f>
        <v>2.0884832083186877</v>
      </c>
      <c r="BL170" s="619">
        <f>((BL92+BG92)/2)/((BL97+BG97)/2)</f>
        <v>2.1553875692127318</v>
      </c>
      <c r="BM170" s="619">
        <f>((BM92+BH92)/2)/((BM97+BH97)/2)</f>
        <v>2.1661567513870619</v>
      </c>
      <c r="BN170" s="541">
        <f t="shared" si="203"/>
        <v>2.1661567513870619</v>
      </c>
      <c r="BO170" s="619">
        <f>((BO92+BJ92)/2)/((BO97+BJ97)/2)</f>
        <v>2.1963592928012465</v>
      </c>
      <c r="BP170" s="619">
        <f>((BP92+BK92)/2)/((BP97+BK97)/2)</f>
        <v>2.0905355146899258</v>
      </c>
      <c r="BQ170" s="619">
        <f>((BQ92+BL92)/2)/((BQ97+BL97)/2)</f>
        <v>1.9815022015656085</v>
      </c>
      <c r="BR170" s="619">
        <f>((BR92+BM92)/2)/((BR97+BM97)/2)</f>
        <v>1.9696274854686722</v>
      </c>
      <c r="BS170" s="541">
        <f t="shared" si="204"/>
        <v>1.9696274854686722</v>
      </c>
      <c r="BT170" s="619">
        <f>((BT92+BO92)/2)/((BT97+BO97)/2)</f>
        <v>1.9484230890621532</v>
      </c>
      <c r="BU170" s="619">
        <f>((BU92+BP92)/2)/((BU97+BP97)/2)</f>
        <v>1.7289162319195268</v>
      </c>
      <c r="BV170" s="619">
        <f>((BV92+BQ92)/2)/((BV97+BQ97)/2)</f>
        <v>1.7010400486711426</v>
      </c>
      <c r="BW170" s="619">
        <f>((BW92+BR92)/2)/((BW97+BR97)/2)</f>
        <v>1.6969598267923074</v>
      </c>
      <c r="BX170" s="541">
        <f t="shared" si="205"/>
        <v>1.6969598267923074</v>
      </c>
      <c r="BY170" s="619">
        <f>((BY92+BT92)/2)/((BY97+BT97)/2)</f>
        <v>1.7674513084493488</v>
      </c>
      <c r="BZ170" s="619">
        <f>((BZ92+BU92)/2)/((BZ97+BU97)/2)</f>
        <v>1.6179624443076051</v>
      </c>
      <c r="CA170" s="619">
        <f>((CA92+BV92)/2)/((CA97+BV97)/2)</f>
        <v>1.6692210865148984</v>
      </c>
      <c r="CB170" s="619">
        <f>((CB92+BW92)/2)/((CB97+BW97)/2)</f>
        <v>1.870777872979184</v>
      </c>
      <c r="CC170" s="541">
        <f t="shared" si="206"/>
        <v>1.870777872979184</v>
      </c>
      <c r="CD170" s="619">
        <f>((CD92+BY92)/2)/((CD97+BY97)/2)</f>
        <v>1.9354115916462045</v>
      </c>
      <c r="CE170" s="619">
        <f>((CE92+BZ92)/2)/((CE97+BZ97)/2)</f>
        <v>1.9488021094303212</v>
      </c>
      <c r="CF170" s="619">
        <f>((CF92+CA92)/2)/((CF97+CA97)/2)</f>
        <v>2.2440487440340799</v>
      </c>
      <c r="CG170" s="619">
        <f>((CG92+CB92)/2)/((CG97+CB97)/2)</f>
        <v>2.5916484815745346</v>
      </c>
      <c r="CH170" s="541">
        <f t="shared" si="207"/>
        <v>2.5916484815745346</v>
      </c>
      <c r="CI170" s="619">
        <f>((CI92+CD92)/2)/((CI97+CD97)/2)</f>
        <v>2.5770388034592253</v>
      </c>
      <c r="CJ170" s="619">
        <f>((CJ92+CE92)/2)/((CJ97+CE97)/2)</f>
        <v>2.5615336761933789</v>
      </c>
      <c r="CK170" s="619">
        <f>((CK92+CF92)/2)/((CK97+CF97)/2)</f>
        <v>2.8731262203284302</v>
      </c>
      <c r="CL170" s="619">
        <f>((CL92+CG92)/2)/((CL97+CG97)/2)</f>
        <v>2.7418428250834244</v>
      </c>
      <c r="CM170" s="541">
        <f t="shared" si="208"/>
        <v>2.7418428250834244</v>
      </c>
      <c r="CN170" s="619">
        <f>((CN92+CI92)/2)/((CN97+CI97)/2)</f>
        <v>2.7528558732441279</v>
      </c>
      <c r="CO170" s="619">
        <f>((CO92+CJ92)/2)/((CO97+CJ97)/2)</f>
        <v>2.7545230510644361</v>
      </c>
      <c r="CP170" s="619">
        <f>((CP92+CK92)/2)/((CP97+CK97)/2)</f>
        <v>2.7845774563187566</v>
      </c>
      <c r="CQ170" s="619">
        <f>((CQ92+CL92)/2)/((CQ97+CL97)/2)</f>
        <v>2.3785368813355783</v>
      </c>
      <c r="CR170" s="541">
        <f t="shared" si="209"/>
        <v>2.3785368813355783</v>
      </c>
      <c r="CS170" s="619">
        <f>((CS92+CN92)/2)/((CS97+CN97)/2)</f>
        <v>2.0764701488642272</v>
      </c>
      <c r="CT170" s="619">
        <f>((CT92+CO92)/2)/((CT97+CO97)/2)</f>
        <v>2.0566369306729175</v>
      </c>
      <c r="CU170" s="619">
        <f>((CU92+CP92)/2)/((CU97+CP97)/2)</f>
        <v>2.0708325387871072</v>
      </c>
      <c r="CV170" s="619">
        <f>((CV92+CQ92)/2)/((CV97+CQ97)/2)</f>
        <v>2.2362819560033738</v>
      </c>
      <c r="CW170" s="541">
        <f t="shared" si="210"/>
        <v>2.2362819560033738</v>
      </c>
      <c r="CX170" s="619">
        <f>((CX92+CS92)/2)/((CX97+CS97)/2)</f>
        <v>2.0942219307647534</v>
      </c>
      <c r="CY170" s="619">
        <f>((CY92+CT92)/2)/((CY97+CT97)/2)</f>
        <v>2.2827700735367453</v>
      </c>
      <c r="CZ170" s="619">
        <f>((CZ92+CU92)/2)/((CZ97+CU97)/2)</f>
        <v>2.332504185502065</v>
      </c>
      <c r="DA170" s="619">
        <f>((DA92+CV92)/2)/((DA97+CV97)/2)</f>
        <v>2.8141522333637194</v>
      </c>
      <c r="DB170" s="541">
        <f t="shared" si="211"/>
        <v>2.8141522333637194</v>
      </c>
      <c r="DC170" s="619">
        <f>((DC92+CX92)/2)/((DC97+CX97)/2)</f>
        <v>3.0502422851313442</v>
      </c>
      <c r="DD170" s="619">
        <f>((DD92+CY92)/2)/((DD97+CY97)/2)</f>
        <v>3.8694920955264043</v>
      </c>
      <c r="DE170" s="619">
        <f>((DE92+CZ92)/2)/((DE97+CZ97)/2)</f>
        <v>4.0663644605621032</v>
      </c>
      <c r="DF170" s="619">
        <f>((DF92+DA92)/2)/((DF97+DA97)/2)</f>
        <v>6.6110729023383765</v>
      </c>
      <c r="DG170" s="541">
        <f t="shared" si="212"/>
        <v>6.6110729023383765</v>
      </c>
      <c r="DH170" s="619">
        <f>((DH92+DC92)/2)/((DH97+DC97)/2)</f>
        <v>8.189167340339532</v>
      </c>
      <c r="DI170" s="619">
        <f>((DI92+DD92)/2)/((DI97+DD97)/2)</f>
        <v>18.302279484638255</v>
      </c>
      <c r="DJ170" s="619">
        <f>((DJ92+DE92)/2)/((DJ97+DE97)/2)</f>
        <v>22.215590742996344</v>
      </c>
      <c r="DK170" s="619">
        <f>((DK92+DF92)/2)/((DK97+DF97)/2)</f>
        <v>29.598939929328623</v>
      </c>
      <c r="DL170" s="541">
        <f t="shared" si="213"/>
        <v>29.598939929328623</v>
      </c>
      <c r="DM170" s="619">
        <f>((DM92+DH92)/2)/((DM97+DH97)/2)</f>
        <v>22.565560821484993</v>
      </c>
      <c r="DN170" s="619">
        <f>((DN92+DI92)/2)/((DN97+DI97)/2)</f>
        <v>47.519163763066203</v>
      </c>
      <c r="DO170" s="619">
        <f>((DO92+DJ92)/2)/((DO97+DJ97)/2)</f>
        <v>296.48888888888888</v>
      </c>
      <c r="DP170" s="619">
        <f>((DP92+DK92)/2)/((DP97+DK97)/2)</f>
        <v>8.4539434075857915</v>
      </c>
      <c r="DQ170" s="541">
        <f t="shared" si="214"/>
        <v>8.4539434075857915</v>
      </c>
      <c r="DR170" s="619">
        <f>((DR92+DM92)/2)/((DR97+DM97)/2)</f>
        <v>4.4354290569243844</v>
      </c>
      <c r="DS170" s="619">
        <f>((DS92+DN92)/2)/((DS97+DN97)/2)</f>
        <v>4.2536564981195149</v>
      </c>
      <c r="DT170" s="619">
        <f>((DT92+DO92)/2)/((DT97+DO97)/2)</f>
        <v>4.169211195928753</v>
      </c>
      <c r="DU170" s="619">
        <f>((DU92+DP92)/2)/((DU97+DP97)/2)</f>
        <v>3.8102189781021898</v>
      </c>
      <c r="DV170" s="541">
        <f t="shared" si="215"/>
        <v>3.8102189781021898</v>
      </c>
      <c r="DW170" s="619">
        <f>((DW92+DR92)/2)/((DW97+DR97)/2)</f>
        <v>3.9068965517241381</v>
      </c>
      <c r="DX170" s="619">
        <f>((DX92+DS92)/2)/((DX97+DS97)/2)</f>
        <v>3.7218999274836837</v>
      </c>
      <c r="DY170" s="619">
        <f>((DY92+DT92)/2)/((DY97+DT97)/2)</f>
        <v>3.6033662641785584</v>
      </c>
      <c r="DZ170" s="619">
        <f>((DZ92+DU92)/2)/((DZ97+DU97)/2)</f>
        <v>4.2077067669172932</v>
      </c>
      <c r="EA170" s="541">
        <f t="shared" si="216"/>
        <v>4.2077067669172932</v>
      </c>
      <c r="EB170" s="619">
        <f>((EB92+DW92)/2)/((EB97+DW97)/2)</f>
        <v>5.9884117246080439</v>
      </c>
      <c r="EC170" s="619">
        <f>((EC92+DX92)/2)/((EC97+DX97)/2)</f>
        <v>6.0555555555555554</v>
      </c>
      <c r="ED170" s="619">
        <f>((ED92+DY92)/2)/((ED97+DY97)/2)</f>
        <v>6.2747716092761774</v>
      </c>
      <c r="EE170" s="619">
        <f>((EE92+DZ92)/2)/((EE97+DZ97)/2)</f>
        <v>7.7051756007393717</v>
      </c>
      <c r="EF170" s="541">
        <f t="shared" si="217"/>
        <v>7.7051756007393717</v>
      </c>
      <c r="EG170" s="619">
        <f>((EG92+EB92)/2)/((EG97+EB97)/2)</f>
        <v>8.53671706263499</v>
      </c>
      <c r="EH170" s="619">
        <f>((EH92+EC92)/2)/((EH97+EC97)/2)</f>
        <v>9.4686046511627904</v>
      </c>
      <c r="EI170" s="619">
        <f>((EI92+ED92)/2)/((EI97+ED97)/2)</f>
        <v>8.9184726522187816</v>
      </c>
      <c r="EJ170" s="619">
        <f>((EJ92+EE92)/2)/((EJ97+EE97)/2)</f>
        <v>11.086183310533515</v>
      </c>
      <c r="EK170" s="541">
        <f t="shared" si="218"/>
        <v>11.086183310533515</v>
      </c>
      <c r="EL170" s="619">
        <f>((EL92+EG92)/2)/((EL97+EG97)/2)</f>
        <v>14.272727272727273</v>
      </c>
      <c r="EM170" s="619">
        <f>((EM92+EH92)/2)/((EM97+EH97)/2)</f>
        <v>21.18611111111111</v>
      </c>
      <c r="EN170" s="619">
        <f>((EN92+EI92)/2)/((EN97+EI97)/2)</f>
        <v>37.959798994974875</v>
      </c>
      <c r="EO170" s="619">
        <f>((EO92+EJ92)/2)/((EO97+EJ97)/2)</f>
        <v>-30.56</v>
      </c>
      <c r="EP170" s="541">
        <f t="shared" si="219"/>
        <v>-30.56</v>
      </c>
      <c r="EQ170" s="619">
        <f>((EQ92+EL92)/2)/((EQ97+EL97)/2)</f>
        <v>-13.187242798353909</v>
      </c>
      <c r="ER170" s="619">
        <f>((ER92+EM92)/2)/((ER97+EM97)/2)</f>
        <v>-12.088447653429602</v>
      </c>
      <c r="ES170" s="619">
        <f>((ES92+EN92)/2)/((ES97+EN97)/2)</f>
        <v>139.69387755102042</v>
      </c>
      <c r="ET170" s="619">
        <f>((ET92+EO92)/2)/((ET97+EO97)/2)</f>
        <v>1607.5</v>
      </c>
      <c r="EU170" s="541">
        <f t="shared" si="220"/>
        <v>1607.5</v>
      </c>
      <c r="EV170" s="619">
        <f>((EV92+EQ92)/2)/((EV97+EQ97)/2)</f>
        <v>-66.808510638297875</v>
      </c>
      <c r="EW170" s="619">
        <f>((EW92+ER92)/2)/((EW97+ER97)/2)</f>
        <v>1671.5</v>
      </c>
      <c r="EX170" s="619">
        <f>((EX92+ES92)/2)/((EX97+ES97)/2)</f>
        <v>7.9580110497237566</v>
      </c>
      <c r="EY170" s="619">
        <f>((EY92+ET92)/2)/((EY97+ET97)/2)</f>
        <v>6.6806231742940607</v>
      </c>
      <c r="EZ170" s="541">
        <f t="shared" si="221"/>
        <v>6.6806231742940607</v>
      </c>
      <c r="FA170" s="619">
        <f>((FA92+EV92)/2)/((FA97+EV97)/2)</f>
        <v>6.2829181494661919</v>
      </c>
      <c r="FB170" s="619">
        <f>((FB92+EW92)/2)/((FB97+EW97)/2)</f>
        <v>5.7662037037037033</v>
      </c>
      <c r="FC170" s="619">
        <f>((FC92+EX92)/2)/((FC97+EX97)/2)</f>
        <v>4.8224924012158059</v>
      </c>
      <c r="FD170" s="619">
        <f>((FD92+EY92)/2)/((FD97+EY97)/2)</f>
        <v>4.3132658497602554</v>
      </c>
      <c r="FE170" s="541">
        <f t="shared" si="222"/>
        <v>4.3132658497602554</v>
      </c>
      <c r="FF170" s="619">
        <f>((FF92+FA92)/2)/((FF97+FA97)/2)</f>
        <v>3.4734318817419099</v>
      </c>
      <c r="FG170" s="619">
        <f>((FG92+FB92)/2)/((FG97+FB97)/2)</f>
        <v>3.3111510791366907</v>
      </c>
      <c r="FH170" s="619">
        <f>((FH92+FC92)/2)/((FH97+FC97)/2)</f>
        <v>2.908209633444411</v>
      </c>
      <c r="FI170" s="619">
        <f>((FI92+FD92)/2)/((FI97+FD97)/2)</f>
        <v>2.5858783288541414</v>
      </c>
      <c r="FJ170" s="541">
        <f t="shared" si="223"/>
        <v>2.5858783288541414</v>
      </c>
      <c r="FK170" s="619">
        <f>((FK92+FF92)/2)/((FK97+FF97)/2)</f>
        <v>2.2373056994818654</v>
      </c>
      <c r="FL170" s="619">
        <f>((FL92+FG92)/2)/((FL97+FG97)/2)</f>
        <v>2.2445255474452557</v>
      </c>
      <c r="FM170" s="619">
        <f>((FM92+FH92)/2)/((FM97+FH97)/2)</f>
        <v>2.0314413370842295</v>
      </c>
      <c r="FN170" s="619">
        <f>((FN92+FI92)/2)/((FN97+FI97)/2)</f>
        <v>1.7301477377654664</v>
      </c>
      <c r="FO170" s="541">
        <f t="shared" si="224"/>
        <v>1.7301477377654664</v>
      </c>
      <c r="FP170" s="619">
        <f>((FP92+FK92)/2)/((FP97+FK97)/2)</f>
        <v>1.6723775488753416</v>
      </c>
      <c r="FQ170" s="619">
        <f>((FQ92+FL92)/2)/((FQ97+FL97)/2)</f>
        <v>1.6657666345226616</v>
      </c>
      <c r="FR170" s="619">
        <f>((FR92+FM92)/2)/((FR97+FM97)/2)</f>
        <v>1.6519131146051076</v>
      </c>
      <c r="FS170" s="619">
        <f>((FS92+FN92)/2)/((FS97+FN97)/2)</f>
        <v>1.6034948252587371</v>
      </c>
      <c r="FT170" s="541">
        <f t="shared" si="225"/>
        <v>1.6034948252587371</v>
      </c>
      <c r="FU170" s="619">
        <f>((FU92+FP92)/2)/((FU97+FP97)/2)</f>
        <v>1.2451383271315322</v>
      </c>
      <c r="FV170" s="619">
        <f>((FV92+FQ92)/2)/((FV97+FQ97)/2)</f>
        <v>1.2564353890156505</v>
      </c>
      <c r="FW170" s="619">
        <f>((FW92+FR92)/2)/((FW97+FR97)/2)</f>
        <v>1.2802620059016181</v>
      </c>
      <c r="FX170" s="619">
        <f>((FX92+FS92)/2)/((FX97+FS97)/2)</f>
        <v>1.2851864346876154</v>
      </c>
      <c r="FY170" s="541">
        <f t="shared" si="226"/>
        <v>1.2851864346876154</v>
      </c>
      <c r="FZ170" s="619">
        <f>((FZ92+FU92)/2)/((FZ97+FU97)/2)</f>
        <v>1.2228725676424879</v>
      </c>
      <c r="GA170" s="619">
        <f>((GA92+FV92)/2)/((GA97+FV97)/2)</f>
        <v>1.2281310910656815</v>
      </c>
      <c r="GB170" s="619">
        <f>((GB92+FW92)/2)/((GB97+FW97)/2)</f>
        <v>1.2367320476294836</v>
      </c>
      <c r="GC170" s="619">
        <f>((GC92+FX92)/2)/((GC97+FX97)/2)</f>
        <v>1.2243542235317511</v>
      </c>
      <c r="GD170" s="541">
        <f t="shared" si="227"/>
        <v>1.2243542235317511</v>
      </c>
      <c r="GE170" s="619">
        <f>((GE92+FZ92)/2)/((GE97+FZ97)/2)</f>
        <v>1.2221711214515023</v>
      </c>
      <c r="GF170" s="619">
        <f>((GF92+GA92)/2)/((GF97+GA97)/2)</f>
        <v>1.2165141393699519</v>
      </c>
      <c r="GG170" s="619">
        <f>((GG92+GB92)/2)/((GG97+GB97)/2)</f>
        <v>1.226046179268456</v>
      </c>
      <c r="GH170" s="619">
        <f>((GH92+GC92)/2)/((GH97+GC97)/2)</f>
        <v>1.2084523179975322</v>
      </c>
      <c r="GI170" s="541">
        <f t="shared" si="228"/>
        <v>1.2084523179975322</v>
      </c>
      <c r="GJ170" s="619">
        <f>((GJ92+GE92)/2)/((GJ97+GE97)/2)</f>
        <v>1.2223546840347479</v>
      </c>
      <c r="GK170" s="619">
        <f>((GK92+GF92)/2)/((GK97+GF97)/2)</f>
        <v>1.2280750066693631</v>
      </c>
      <c r="GL170" s="619">
        <f>((GL92+GG92)/2)/((GL97+GG97)/2)</f>
        <v>1.2441265124177456</v>
      </c>
      <c r="GM170" s="619">
        <f>((GM92+GH92)/2)/((GM97+GH97)/2)</f>
        <v>1.2122056615823567</v>
      </c>
      <c r="GN170" s="541">
        <f t="shared" si="229"/>
        <v>1.2122056615823567</v>
      </c>
      <c r="GO170" s="619">
        <f>((GO92+GJ92)/2)/((GO97+GJ97)/2)</f>
        <v>1.2358042552495851</v>
      </c>
      <c r="GP170" s="619">
        <f>((GP92+GK92)/2)/((GP97+GK97)/2)</f>
        <v>1.2426520536042007</v>
      </c>
      <c r="GQ170" s="619">
        <f>((GQ92+GL92)/2)/((GQ97+GL97)/2)</f>
        <v>1.2453075871513772</v>
      </c>
      <c r="GR170" s="619">
        <f>((GR92+GM92)/2)/((GR97+GM97)/2)</f>
        <v>1.2250674346404418</v>
      </c>
      <c r="GS170" s="541">
        <f t="shared" si="230"/>
        <v>1.2250674346404418</v>
      </c>
      <c r="GT170" s="619">
        <f>((GT92+GO92)/2)/((GT97+GO97)/2)</f>
        <v>1.2230916061174815</v>
      </c>
      <c r="GU170" s="619">
        <f>((GU92+GP92)/2)/((GU97+GP97)/2)</f>
        <v>1.214457103225534</v>
      </c>
      <c r="GV170" s="619">
        <f>((GV92+GQ92)/2)/((GV97+GQ97)/2)</f>
        <v>1.2064405126663027</v>
      </c>
      <c r="GW170" s="619">
        <f>((GW92+GR92)/2)/((GW97+GR97)/2)</f>
        <v>1.1995458610336247</v>
      </c>
      <c r="GX170" s="541">
        <f t="shared" si="231"/>
        <v>1.1995458610336247</v>
      </c>
      <c r="GY170" s="619">
        <f>((GY92+GT92)/2)/((GY97+GT97)/2)</f>
        <v>1.18319090155742</v>
      </c>
      <c r="GZ170" s="619">
        <f>((GZ92+GU92)/2)/((GZ97+GU97)/2)</f>
        <v>1.1717207623373498</v>
      </c>
      <c r="HA170" s="619">
        <f>((HA92+GV92)/2)/((HA97+GV97)/2)</f>
        <v>1.1629840058691048</v>
      </c>
      <c r="HB170" s="619">
        <f>((HB92+GW92)/2)/((HB97+GW97)/2)</f>
        <v>1.1535797618192318</v>
      </c>
      <c r="HC170" s="541">
        <f t="shared" si="232"/>
        <v>1.1535797618192318</v>
      </c>
      <c r="HD170" s="619">
        <f>((HD92+GY92)/2)/((HD97+GY97)/2)</f>
        <v>1.1392813243062676</v>
      </c>
      <c r="HE170" s="619">
        <f>((HE92+GZ92)/2)/((HE97+GZ97)/2)</f>
        <v>1.130470513373558</v>
      </c>
      <c r="HF170" s="619">
        <f>((HF92+HA92)/2)/((HF97+HA97)/2)</f>
        <v>1.1240198252348568</v>
      </c>
      <c r="HG170" s="619">
        <f>((HG92+HB92)/2)/((HG97+HB97)/2)</f>
        <v>1.1170684970886147</v>
      </c>
      <c r="HH170" s="541">
        <f t="shared" si="233"/>
        <v>1.1170684970886147</v>
      </c>
      <c r="HI170" s="619">
        <f>((HI92+HD92)/2)/((HI97+HD97)/2)</f>
        <v>1.1062696625623858</v>
      </c>
      <c r="HJ170" s="619">
        <f>((HJ92+HE92)/2)/((HJ97+HE97)/2)</f>
        <v>1.10035619337156</v>
      </c>
      <c r="HK170" s="619">
        <f>((HK92+HF92)/2)/((HK97+HF97)/2)</f>
        <v>1.0968930714445144</v>
      </c>
      <c r="HL170" s="619">
        <f>((HL92+HG92)/2)/((HL97+HG97)/2)</f>
        <v>1.0918197486707717</v>
      </c>
      <c r="HM170" s="541">
        <f t="shared" si="234"/>
        <v>1.0918197486707717</v>
      </c>
      <c r="HN170" s="541"/>
      <c r="HO170" s="541"/>
      <c r="HP170" s="563"/>
      <c r="HR170" s="563"/>
      <c r="HS170" s="563"/>
      <c r="HT170" s="563"/>
      <c r="HU170" s="563"/>
      <c r="HV170" s="563"/>
      <c r="HW170" s="563"/>
      <c r="HX170" s="563"/>
    </row>
    <row r="171" spans="1:232" s="509" customFormat="1" ht="11.25" hidden="1" customHeight="1" outlineLevel="1">
      <c r="A171" s="522" t="s">
        <v>480</v>
      </c>
      <c r="L171" s="518"/>
      <c r="M171" s="518"/>
      <c r="N171" s="518"/>
      <c r="O171" s="518"/>
      <c r="P171" s="521"/>
      <c r="Q171" s="518"/>
      <c r="R171" s="518"/>
      <c r="S171" s="518"/>
      <c r="T171" s="518"/>
      <c r="U171" s="521"/>
      <c r="V171" s="518"/>
      <c r="W171" s="518"/>
      <c r="X171" s="518"/>
      <c r="Y171" s="518"/>
      <c r="Z171" s="521"/>
      <c r="AA171" s="518"/>
      <c r="AB171" s="518"/>
      <c r="AC171" s="518"/>
      <c r="AD171" s="518"/>
      <c r="AE171" s="521"/>
      <c r="AF171" s="518"/>
      <c r="AG171" s="518"/>
      <c r="AH171" s="518"/>
      <c r="AI171" s="518"/>
      <c r="AJ171" s="521"/>
      <c r="AK171" s="518">
        <f>AK166*AK167*AK168*AK169*AK170</f>
        <v>0.19649737234675274</v>
      </c>
      <c r="AL171" s="518">
        <f>AL166*AL167*AL168*AL169*AL170</f>
        <v>0.20186909975301784</v>
      </c>
      <c r="AM171" s="518">
        <f>AM166*AM167*AM168*AM169*AM170</f>
        <v>0.20638045147451217</v>
      </c>
      <c r="AN171" s="518">
        <f>AN166*AN167*AN168*AN169*AN170</f>
        <v>0.1977430938483907</v>
      </c>
      <c r="AO171" s="521">
        <f t="shared" si="198"/>
        <v>0.1977430938483907</v>
      </c>
      <c r="AP171" s="518">
        <f>AP166*AP167*AP168*AP169*AP170</f>
        <v>0.19328765572051837</v>
      </c>
      <c r="AQ171" s="518">
        <f>AQ166*AQ167*AQ168*AQ169*AQ170</f>
        <v>0.18031132870777294</v>
      </c>
      <c r="AR171" s="518">
        <f>AR166*AR167*AR168*AR169*AR170</f>
        <v>0.15509435682971481</v>
      </c>
      <c r="AS171" s="518">
        <f>AS166*AS167*AS168*AS169*AS170</f>
        <v>0.15670936459444967</v>
      </c>
      <c r="AT171" s="521">
        <f t="shared" si="199"/>
        <v>0.15670936459444967</v>
      </c>
      <c r="AU171" s="518">
        <f>AU166*AU167*AU168*AU169*AU170</f>
        <v>0.11555293218459954</v>
      </c>
      <c r="AV171" s="518">
        <f>AV166*AV167*AV168*AV169*AV170</f>
        <v>5.0938676579452169E-2</v>
      </c>
      <c r="AW171" s="518">
        <f>AW166*AW167*AW168*AW169*AW170</f>
        <v>3.8771412085391488E-3</v>
      </c>
      <c r="AX171" s="518">
        <f>AX166*AX167*AX168*AX169*AX170</f>
        <v>-3.345458497634405E-2</v>
      </c>
      <c r="AY171" s="521">
        <f t="shared" si="200"/>
        <v>-3.345458497634405E-2</v>
      </c>
      <c r="AZ171" s="518">
        <f>AZ166*AZ167*AZ168*AZ169*AZ170</f>
        <v>-3.9045491699484257E-2</v>
      </c>
      <c r="BA171" s="518">
        <f>BA166*BA167*BA168*BA169*BA170</f>
        <v>-1.7629439616790615E-2</v>
      </c>
      <c r="BB171" s="518">
        <f>BB166*BB167*BB168*BB169*BB170</f>
        <v>-1.4704401051399758E-2</v>
      </c>
      <c r="BC171" s="518">
        <f>BC166*BC167*BC168*BC169*BC170</f>
        <v>-1.0411161910845582E-2</v>
      </c>
      <c r="BD171" s="521">
        <f t="shared" si="201"/>
        <v>-1.0411161910845582E-2</v>
      </c>
      <c r="BE171" s="518">
        <f>BE166*BE167*BE168*BE169*BE170</f>
        <v>-4.8269745512372196E-2</v>
      </c>
      <c r="BF171" s="518">
        <f>BF166*BF167*BF168*BF169*BF170</f>
        <v>-8.5455767251567533E-2</v>
      </c>
      <c r="BG171" s="518">
        <f>BG166*BG167*BG168*BG169*BG170</f>
        <v>-6.9773008066568068E-2</v>
      </c>
      <c r="BH171" s="518">
        <f>BH166*BH167*BH168*BH169*BH170</f>
        <v>-5.1534331104607319E-2</v>
      </c>
      <c r="BI171" s="521">
        <f t="shared" si="202"/>
        <v>-5.1534331104607319E-2</v>
      </c>
      <c r="BJ171" s="518">
        <f>BJ166*BJ167*BJ168*BJ169*BJ170</f>
        <v>-8.8347022520416485E-2</v>
      </c>
      <c r="BK171" s="518">
        <f>BK166*BK167*BK168*BK169*BK170</f>
        <v>-1.2958780728400515E-2</v>
      </c>
      <c r="BL171" s="518">
        <f>BL166*BL167*BL168*BL169*BL170</f>
        <v>-6.8440345374423617E-2</v>
      </c>
      <c r="BM171" s="518">
        <f>BM166*BM167*BM168*BM169*BM170</f>
        <v>-4.4642978152870098E-2</v>
      </c>
      <c r="BN171" s="521">
        <f t="shared" si="203"/>
        <v>-4.4642978152870098E-2</v>
      </c>
      <c r="BO171" s="518">
        <f>BO166*BO167*BO168*BO169*BO170</f>
        <v>0.11236556578405163</v>
      </c>
      <c r="BP171" s="518">
        <f>BP166*BP167*BP168*BP169*BP170</f>
        <v>0.16163412882388878</v>
      </c>
      <c r="BQ171" s="518">
        <f>BQ166*BQ167*BQ168*BQ169*BQ170</f>
        <v>0.36105468509302624</v>
      </c>
      <c r="BR171" s="518">
        <f>BR166*BR167*BR168*BR169*BR170</f>
        <v>0.3816880025781702</v>
      </c>
      <c r="BS171" s="521">
        <f t="shared" si="204"/>
        <v>0.3816880025781702</v>
      </c>
      <c r="BT171" s="518">
        <f>BT166*BT167*BT168*BT169*BT170</f>
        <v>0.33552973803873892</v>
      </c>
      <c r="BU171" s="518">
        <f>BU166*BU167*BU168*BU169*BU170</f>
        <v>0.23343534915486178</v>
      </c>
      <c r="BV171" s="518">
        <f>BV166*BV167*BV168*BV169*BV170</f>
        <v>4.0792700308420138E-2</v>
      </c>
      <c r="BW171" s="518">
        <f>BW166*BW167*BW168*BW169*BW170</f>
        <v>-1.8012042120961625E-2</v>
      </c>
      <c r="BX171" s="521">
        <f t="shared" si="205"/>
        <v>-1.8012042120961625E-2</v>
      </c>
      <c r="BY171" s="518">
        <f>BY166*BY167*BY168*BY169*BY170</f>
        <v>-5.7345755137713152E-2</v>
      </c>
      <c r="BZ171" s="518">
        <f>BZ166*BZ167*BZ168*BZ169*BZ170</f>
        <v>-0.10854275287434353</v>
      </c>
      <c r="CA171" s="518">
        <f>CA166*CA167*CA168*CA169*CA170</f>
        <v>-0.13507628189083631</v>
      </c>
      <c r="CB171" s="518">
        <f>CB166*CB167*CB168*CB169*CB170</f>
        <v>-0.43272758671076944</v>
      </c>
      <c r="CC171" s="521">
        <f t="shared" si="206"/>
        <v>-0.43272758671076944</v>
      </c>
      <c r="CD171" s="518">
        <f>CD166*CD167*CD168*CD169*CD170</f>
        <v>-0.49057589670214724</v>
      </c>
      <c r="CE171" s="518">
        <f>CE166*CE167*CE168*CE169*CE170</f>
        <v>-0.48151763863065095</v>
      </c>
      <c r="CF171" s="518">
        <f>CF166*CF167*CF168*CF169*CF170</f>
        <v>-0.42449287420644494</v>
      </c>
      <c r="CG171" s="518">
        <f>CG166*CG167*CG168*CG169*CG170</f>
        <v>-0.11190940919260227</v>
      </c>
      <c r="CH171" s="521">
        <f t="shared" si="207"/>
        <v>-0.11190940919260227</v>
      </c>
      <c r="CI171" s="518">
        <f>CI166*CI167*CI168*CI169*CI170</f>
        <v>-3.4512050728886925E-2</v>
      </c>
      <c r="CJ171" s="518">
        <f>CJ166*CJ167*CJ168*CJ169*CJ170</f>
        <v>3.7156218679251833E-2</v>
      </c>
      <c r="CK171" s="518">
        <f>CK166*CK167*CK168*CK169*CK170</f>
        <v>6.7698537315732749E-2</v>
      </c>
      <c r="CL171" s="518">
        <f>CL166*CL167*CL168*CL169*CL170</f>
        <v>3.3461793937004589E-2</v>
      </c>
      <c r="CM171" s="521">
        <f t="shared" si="208"/>
        <v>3.3461793937004589E-2</v>
      </c>
      <c r="CN171" s="518">
        <f>CN166*CN167*CN168*CN169*CN170</f>
        <v>1.0637266680754638E-2</v>
      </c>
      <c r="CO171" s="518">
        <f>CO166*CO167*CO168*CO169*CO170</f>
        <v>2.8998659263890104E-3</v>
      </c>
      <c r="CP171" s="518">
        <f>CP166*CP167*CP168*CP169*CP170</f>
        <v>1.4401461892818728E-2</v>
      </c>
      <c r="CQ171" s="518">
        <f>CQ166*CQ167*CQ168*CQ169*CQ170</f>
        <v>5.202321951495547E-2</v>
      </c>
      <c r="CR171" s="521">
        <f t="shared" si="209"/>
        <v>5.202321951495547E-2</v>
      </c>
      <c r="CS171" s="518">
        <f>CS166*CS167*CS168*CS169*CS170</f>
        <v>9.6127771999565167E-2</v>
      </c>
      <c r="CT171" s="518">
        <f>CT166*CT167*CT168*CT169*CT170</f>
        <v>0.11558553039088872</v>
      </c>
      <c r="CU171" s="518">
        <f>CU166*CU167*CU168*CU169*CU170</f>
        <v>0.12606221387727831</v>
      </c>
      <c r="CV171" s="518">
        <f>CV166*CV167*CV168*CV169*CV170</f>
        <v>-3.615188145728581E-2</v>
      </c>
      <c r="CW171" s="521">
        <f t="shared" si="210"/>
        <v>-3.615188145728581E-2</v>
      </c>
      <c r="CX171" s="518">
        <f>CX166*CX167*CX168*CX169*CX170</f>
        <v>-0.19378853346385716</v>
      </c>
      <c r="CY171" s="518">
        <f>CY166*CY167*CY168*CY169*CY170</f>
        <v>-0.35380558287281277</v>
      </c>
      <c r="CZ171" s="518">
        <f>CZ166*CZ167*CZ168*CZ169*CZ170</f>
        <v>-0.47715511495821511</v>
      </c>
      <c r="DA171" s="518">
        <f>DA166*DA167*DA168*DA169*DA170</f>
        <v>-0.77005469462169551</v>
      </c>
      <c r="DB171" s="521">
        <f t="shared" si="211"/>
        <v>-0.77005469462169551</v>
      </c>
      <c r="DC171" s="518">
        <f>DC166*DC167*DC168*DC169*DC170</f>
        <v>-0.79724560061208871</v>
      </c>
      <c r="DD171" s="518">
        <f>DD166*DD167*DD168*DD169*DD170</f>
        <v>-0.94012781701984527</v>
      </c>
      <c r="DE171" s="518">
        <f>DE166*DE167*DE168*DE169*DE170</f>
        <v>-0.86165004533091571</v>
      </c>
      <c r="DF171" s="518">
        <f>DF166*DF167*DF168*DF169*DF170</f>
        <v>-1.3878954607977989</v>
      </c>
      <c r="DG171" s="521">
        <f t="shared" si="212"/>
        <v>-1.3878954607977989</v>
      </c>
      <c r="DH171" s="518">
        <f>DH166*DH167*DH168*DH169*DH170</f>
        <v>-1.6717865804365399</v>
      </c>
      <c r="DI171" s="518">
        <f>DI166*DI167*DI168*DI169*DI170</f>
        <v>-4.1803766105054505</v>
      </c>
      <c r="DJ171" s="518">
        <f>DJ166*DJ167*DJ168*DJ169*DJ170</f>
        <v>-5.4518879415347135</v>
      </c>
      <c r="DK171" s="518">
        <f>DK166*DK167*DK168*DK169*DK170</f>
        <v>1.3392226148409894</v>
      </c>
      <c r="DL171" s="521">
        <f t="shared" si="213"/>
        <v>1.3392226148409894</v>
      </c>
      <c r="DM171" s="518">
        <f>DM166*DM167*DM168*DM169*DM170</f>
        <v>3.2985781990521335</v>
      </c>
      <c r="DN171" s="518">
        <f>DN166*DN167*DN168*DN169*DN170</f>
        <v>9.135888501742162</v>
      </c>
      <c r="DO171" s="518">
        <f>DO166*DO167*DO168*DO169*DO170</f>
        <v>57.733333333333334</v>
      </c>
      <c r="DP171" s="518">
        <f>DP166*DP167*DP168*DP169*DP170</f>
        <v>0.56712823600240814</v>
      </c>
      <c r="DQ171" s="521">
        <f t="shared" si="214"/>
        <v>0.56712823600240814</v>
      </c>
      <c r="DR171" s="518">
        <f>DR166*DR167*DR168*DR169*DR170</f>
        <v>0.61512319456244702</v>
      </c>
      <c r="DS171" s="518">
        <f>DS166*DS167*DS168*DS169*DS170</f>
        <v>0.69201838696197238</v>
      </c>
      <c r="DT171" s="518">
        <f>DT166*DT167*DT168*DT169*DT170</f>
        <v>0.88464800678541122</v>
      </c>
      <c r="DU171" s="518">
        <f>DU166*DU167*DU168*DU169*DU170</f>
        <v>0.37725701114099114</v>
      </c>
      <c r="DV171" s="521">
        <f t="shared" si="215"/>
        <v>0.37725701114099114</v>
      </c>
      <c r="DW171" s="518">
        <f>DW166*DW167*DW168*DW169*DW170</f>
        <v>-0.46666666666666673</v>
      </c>
      <c r="DX171" s="518">
        <f>DX166*DX167*DX168*DX169*DX170</f>
        <v>-0.4590282813633067</v>
      </c>
      <c r="DY171" s="518">
        <f>DY166*DY167*DY168*DY169*DY170</f>
        <v>-0.64910354921331881</v>
      </c>
      <c r="DZ171" s="518">
        <f>DZ166*DZ167*DZ168*DZ169*DZ170</f>
        <v>-1.1118421052631582</v>
      </c>
      <c r="EA171" s="521">
        <f t="shared" si="216"/>
        <v>-1.1118421052631582</v>
      </c>
      <c r="EB171" s="518">
        <f>EB166*EB167*EB168*EB169*EB170</f>
        <v>-1.0074982958418539</v>
      </c>
      <c r="EC171" s="518">
        <f>EC166*EC167*EC168*EC169*EC170</f>
        <v>-1.1517615176151761</v>
      </c>
      <c r="ED171" s="518">
        <f>ED166*ED167*ED168*ED169*ED170</f>
        <v>-0.9065354884047786</v>
      </c>
      <c r="EE171" s="518">
        <f>EE166*EE167*EE168*EE169*EE170</f>
        <v>-0.15341959334565619</v>
      </c>
      <c r="EF171" s="521">
        <f t="shared" si="217"/>
        <v>-0.15341959334565619</v>
      </c>
      <c r="EG171" s="518">
        <f>EG166*EG167*EG168*EG169*EG170</f>
        <v>9.2872570194384468E-2</v>
      </c>
      <c r="EH171" s="518">
        <f>EH166*EH167*EH168*EH169*EH170</f>
        <v>0.18837209302325578</v>
      </c>
      <c r="EI171" s="518">
        <f>EI166*EI167*EI168*EI169*EI170</f>
        <v>0.10319917440660475</v>
      </c>
      <c r="EJ171" s="518">
        <f>EJ166*EJ167*EJ168*EJ169*EJ170</f>
        <v>-1.1025991792065661</v>
      </c>
      <c r="EK171" s="521">
        <f t="shared" si="218"/>
        <v>-1.1025991792065661</v>
      </c>
      <c r="EL171" s="518">
        <f>EL166*EL167*EL168*EL169*EL170</f>
        <v>-2.1325757575757578</v>
      </c>
      <c r="EM171" s="518">
        <f>EM166*EM167*EM168*EM169*EM170</f>
        <v>-3.9333333333333327</v>
      </c>
      <c r="EN171" s="518">
        <f>EN166*EN167*EN168*EN169*EN170</f>
        <v>-9.2663316582914579</v>
      </c>
      <c r="EO171" s="518">
        <f>EO166*EO167*EO168*EO169*EO170</f>
        <v>5.8666666666666663</v>
      </c>
      <c r="EP171" s="521">
        <f t="shared" si="219"/>
        <v>5.8666666666666663</v>
      </c>
      <c r="EQ171" s="518">
        <f>EQ166*EQ167*EQ168*EQ169*EQ170</f>
        <v>2.4238683127572016</v>
      </c>
      <c r="ER171" s="518">
        <f>ER166*ER167*ER168*ER169*ER170</f>
        <v>1.2238267148014439</v>
      </c>
      <c r="ES171" s="518">
        <f>ES166*ES167*ES168*ES169*ES170</f>
        <v>-22.367346938775508</v>
      </c>
      <c r="ET171" s="518">
        <f>ET166*ET167*ET168*ET169*ET170</f>
        <v>-248.50000000000003</v>
      </c>
      <c r="EU171" s="521">
        <f t="shared" si="220"/>
        <v>-248.50000000000003</v>
      </c>
      <c r="EV171" s="518">
        <f>EV166*EV167*EV168*EV169*EV170</f>
        <v>9.8085106382978733</v>
      </c>
      <c r="EW171" s="518">
        <f>EW166*EW167*EW168*EW169*EW170</f>
        <v>-273.00000000000006</v>
      </c>
      <c r="EX171" s="518">
        <f>EX166*EX167*EX168*EX169*EX170</f>
        <v>-0.15248618784530385</v>
      </c>
      <c r="EY171" s="518">
        <f>EY166*EY167*EY168*EY169*EY170</f>
        <v>8.3739045764362224E-2</v>
      </c>
      <c r="EZ171" s="521">
        <f t="shared" si="221"/>
        <v>8.3739045764362224E-2</v>
      </c>
      <c r="FA171" s="518">
        <f>FA166*FA167*FA168*FA169*FA170</f>
        <v>0.35053380782918153</v>
      </c>
      <c r="FB171" s="518">
        <f>FB166*FB167*FB168*FB169*FB170</f>
        <v>0.50771604938271597</v>
      </c>
      <c r="FC171" s="518">
        <f>FC166*FC167*FC168*FC169*FC170</f>
        <v>0.43768996960486328</v>
      </c>
      <c r="FD171" s="518">
        <f>FD166*FD167*FD168*FD169*FD170</f>
        <v>0.35908364411294619</v>
      </c>
      <c r="FE171" s="521">
        <f t="shared" si="222"/>
        <v>0.35908364411294619</v>
      </c>
      <c r="FF171" s="518">
        <f>FF166*FF167*FF168*FF169*FF170</f>
        <v>0.21733919296843787</v>
      </c>
      <c r="FG171" s="518">
        <f>FG166*FG167*FG168*FG169*FG170</f>
        <v>0.13741007194244606</v>
      </c>
      <c r="FH171" s="518">
        <f>FH166*FH167*FH168*FH169*FH170</f>
        <v>0.12662829445622539</v>
      </c>
      <c r="FI171" s="518">
        <f>FI166*FI167*FI168*FI169*FI170</f>
        <v>0.16662594673833372</v>
      </c>
      <c r="FJ171" s="521">
        <f t="shared" si="223"/>
        <v>0.16662594673833372</v>
      </c>
      <c r="FK171" s="518">
        <f>FK166*FK167*FK168*FK169*FK170</f>
        <v>0.20186528497409328</v>
      </c>
      <c r="FL171" s="518">
        <f>FL166*FL167*FL168*FL169*FL170</f>
        <v>0.23396081444487135</v>
      </c>
      <c r="FM171" s="518">
        <f>FM166*FM167*FM168*FM169*FM170</f>
        <v>0.29091510838987256</v>
      </c>
      <c r="FN171" s="518">
        <f>FN166*FN167*FN168*FN169*FN170</f>
        <v>0.57479224376731319</v>
      </c>
      <c r="FO171" s="521">
        <f t="shared" si="224"/>
        <v>0.57479224376731319</v>
      </c>
      <c r="FP171" s="518">
        <f>FP166*FP167*FP168*FP169*FP170</f>
        <v>0.60605423586293894</v>
      </c>
      <c r="FQ171" s="518">
        <f>FQ166*FQ167*FQ168*FQ169*FQ170</f>
        <v>0.66268081002892965</v>
      </c>
      <c r="FR171" s="518">
        <f>FR166*FR167*FR168*FR169*FR170</f>
        <v>0.72143960737980539</v>
      </c>
      <c r="FS171" s="518">
        <f>FS166*FS167*FS168*FS169*FS170</f>
        <v>0.47427628618569068</v>
      </c>
      <c r="FT171" s="521">
        <f t="shared" si="225"/>
        <v>0.47427628618569068</v>
      </c>
      <c r="FU171" s="518">
        <f>FU166*FU167*FU168*FU169*FU170</f>
        <v>0.10978806018443615</v>
      </c>
      <c r="FV171" s="518">
        <f>FV166*FV167*FV168*FV169*FV170</f>
        <v>0.10058810296622424</v>
      </c>
      <c r="FW171" s="518">
        <f>FW166*FW167*FW168*FW169*FW170</f>
        <v>7.3705373066571558E-2</v>
      </c>
      <c r="FX171" s="518">
        <f>FX166*FX167*FX168*FX169*FX170</f>
        <v>4.2411682490722455E-2</v>
      </c>
      <c r="FY171" s="521">
        <f t="shared" si="226"/>
        <v>4.2411682490722455E-2</v>
      </c>
      <c r="FZ171" s="518">
        <f>FZ166*FZ167*FZ168*FZ169*FZ170</f>
        <v>7.1800558044843536E-3</v>
      </c>
      <c r="GA171" s="518">
        <f>GA166*GA167*GA168*GA169*GA170</f>
        <v>-4.5328860885725941E-4</v>
      </c>
      <c r="GB171" s="518">
        <f>GB166*GB167*GB168*GB169*GB170</f>
        <v>3.7986704653371331E-3</v>
      </c>
      <c r="GC171" s="518">
        <f>GC166*GC167*GC168*GC169*GC170</f>
        <v>1.5437175756042013E-2</v>
      </c>
      <c r="GD171" s="521">
        <f t="shared" si="227"/>
        <v>1.5437175756042013E-2</v>
      </c>
      <c r="GE171" s="518">
        <f>GE166*GE167*GE168*GE169*GE170</f>
        <v>2.0127691808245859E-2</v>
      </c>
      <c r="GF171" s="518">
        <f>GF166*GF167*GF168*GF169*GF170</f>
        <v>2.424915378691549E-2</v>
      </c>
      <c r="GG171" s="518">
        <f>GG166*GG167*GG168*GG169*GG170</f>
        <v>4.5679067482470637E-2</v>
      </c>
      <c r="GH171" s="518">
        <f>GH166*GH167*GH168*GH169*GH170</f>
        <v>2.8926493918561606E-2</v>
      </c>
      <c r="GI171" s="521">
        <f t="shared" si="228"/>
        <v>2.8926493918561606E-2</v>
      </c>
      <c r="GJ171" s="518">
        <f>GJ166*GJ167*GJ168*GJ169*GJ170</f>
        <v>3.9043119241928846E-2</v>
      </c>
      <c r="GK171" s="518">
        <f>GK166*GK167*GK168*GK169*GK170</f>
        <v>4.8776709723501115E-2</v>
      </c>
      <c r="GL171" s="518">
        <f>GL166*GL167*GL168*GL169*GL170</f>
        <v>5.6140946720441523E-2</v>
      </c>
      <c r="GM171" s="518">
        <f>GM166*GM167*GM168*GM169*GM170</f>
        <v>7.1910224190698951E-2</v>
      </c>
      <c r="GN171" s="521">
        <f t="shared" si="229"/>
        <v>7.1910224190698951E-2</v>
      </c>
      <c r="GO171" s="518">
        <f>GO166*GO167*GO168*GO169*GO170</f>
        <v>8.1884537734075502E-2</v>
      </c>
      <c r="GP171" s="518">
        <f>GP166*GP167*GP168*GP169*GP170</f>
        <v>9.9464028135216251E-2</v>
      </c>
      <c r="GQ171" s="518">
        <f>GQ166*GQ167*GQ168*GQ169*GQ170</f>
        <v>0.11324547211170503</v>
      </c>
      <c r="GR171" s="518">
        <f>GR166*GR167*GR168*GR169*GR170</f>
        <v>0.14017706541307912</v>
      </c>
      <c r="GS171" s="521">
        <f t="shared" si="230"/>
        <v>0.14017706541307912</v>
      </c>
      <c r="GT171" s="518">
        <f>GT166*GT167*GT168*GT169*GT170</f>
        <v>0.17008949418473027</v>
      </c>
      <c r="GU171" s="518">
        <f>GU166*GU167*GU168*GU169*GU170</f>
        <v>0.19148953623684156</v>
      </c>
      <c r="GV171" s="518">
        <f>GV166*GV167*GV168*GV169*GV170</f>
        <v>0.21588315280209655</v>
      </c>
      <c r="GW171" s="518">
        <f>GW166*GW167*GW168*GW169*GW170</f>
        <v>0.2205183553913366</v>
      </c>
      <c r="GX171" s="521">
        <f t="shared" si="231"/>
        <v>0.2205183553913366</v>
      </c>
      <c r="GY171" s="518">
        <f>GY166*GY167*GY168*GY169*GY170</f>
        <v>0.22055288679116661</v>
      </c>
      <c r="GZ171" s="518">
        <f>GZ166*GZ167*GZ168*GZ169*GZ170</f>
        <v>0.21896160054460195</v>
      </c>
      <c r="HA171" s="518">
        <f>HA166*HA167*HA168*HA169*HA170</f>
        <v>0.21565819097581893</v>
      </c>
      <c r="HB171" s="518">
        <f>HB166*HB167*HB168*HB169*HB170</f>
        <v>0.21248602326740199</v>
      </c>
      <c r="HC171" s="521">
        <f t="shared" si="232"/>
        <v>0.21248602326740199</v>
      </c>
      <c r="HD171" s="518">
        <f>HD166*HD167*HD168*HD169*HD170</f>
        <v>0.20736771563917894</v>
      </c>
      <c r="HE171" s="518">
        <f>HE166*HE167*HE168*HE169*HE170</f>
        <v>0.20162011340381727</v>
      </c>
      <c r="HF171" s="518">
        <f>HF166*HF167*HF168*HF169*HF170</f>
        <v>0.19572884818062147</v>
      </c>
      <c r="HG171" s="518">
        <f>HG166*HG167*HG168*HG169*HG170</f>
        <v>0.18758177395941017</v>
      </c>
      <c r="HH171" s="521">
        <f t="shared" si="233"/>
        <v>0.18758177395941017</v>
      </c>
      <c r="HI171" s="518">
        <f>HI166*HI167*HI168*HI169*HI170</f>
        <v>0.17821995266708865</v>
      </c>
      <c r="HJ171" s="518">
        <f>HJ166*HJ167*HJ168*HJ169*HJ170</f>
        <v>0.1703476206800271</v>
      </c>
      <c r="HK171" s="518">
        <f>HK166*HK167*HK168*HK169*HK170</f>
        <v>0.16459786887736805</v>
      </c>
      <c r="HL171" s="518">
        <f>HL166*HL167*HL168*HL169*HL170</f>
        <v>0.16023734640155579</v>
      </c>
      <c r="HM171" s="521">
        <f t="shared" si="234"/>
        <v>0.16023734640155579</v>
      </c>
      <c r="HN171" s="521"/>
      <c r="HO171" s="521"/>
      <c r="HP171" s="563"/>
      <c r="HR171" s="563"/>
      <c r="HS171" s="563"/>
      <c r="HT171" s="563"/>
      <c r="HU171" s="563"/>
      <c r="HV171" s="563"/>
      <c r="HW171" s="563"/>
      <c r="HX171" s="563"/>
    </row>
    <row r="172" spans="1:232" s="509" customFormat="1" ht="11.25" hidden="1" customHeight="1" outlineLevel="1">
      <c r="A172" s="522" t="s">
        <v>481</v>
      </c>
      <c r="L172" s="520"/>
      <c r="M172" s="518"/>
      <c r="N172" s="518"/>
      <c r="O172" s="518"/>
      <c r="P172" s="521"/>
      <c r="Q172" s="518"/>
      <c r="R172" s="518"/>
      <c r="S172" s="518"/>
      <c r="T172" s="518"/>
      <c r="U172" s="521"/>
      <c r="V172" s="518"/>
      <c r="W172" s="518"/>
      <c r="X172" s="518"/>
      <c r="Y172" s="518"/>
      <c r="Z172" s="521"/>
      <c r="AA172" s="518"/>
      <c r="AB172" s="518"/>
      <c r="AC172" s="518"/>
      <c r="AD172" s="518"/>
      <c r="AE172" s="521"/>
      <c r="AF172" s="518"/>
      <c r="AG172" s="518"/>
      <c r="AH172" s="518"/>
      <c r="AI172" s="518"/>
      <c r="AJ172" s="521"/>
      <c r="AK172" s="518">
        <f>IF(AND((AK18-AF18)&lt;0,(AK9-AF9)&lt;0),-((AK18-AF18)/(AK9-AF9)),(AK18-AF18)/(AK9-AF9))</f>
        <v>0.65588232510151734</v>
      </c>
      <c r="AL172" s="518">
        <f>IF(AND((AL18-AG18)&lt;0,(AL9-AG9)&lt;0),-((AL18-AG18)/(AL9-AG9)),(AL18-AG18)/(AL9-AG9))</f>
        <v>0.60797069361136857</v>
      </c>
      <c r="AM172" s="518">
        <f>IF(AND((AM18-AH18)&lt;0,(AM9-AH9)&lt;0),-((AM18-AH18)/(AM9-AH9)),(AM18-AH18)/(AM9-AH9))</f>
        <v>0.57992353502240279</v>
      </c>
      <c r="AN172" s="518">
        <f>IF(AND((AN18-AI18)&lt;0,(AN9-AI9)&lt;0),-((AN18-AI18)/(AN9-AI9)),(AN18-AI18)/(AN9-AI9))</f>
        <v>0.58042409155763341</v>
      </c>
      <c r="AO172" s="521">
        <f>IF(AND((AO18-AJ18)&lt;0,(AO9-AJ9)&lt;0),-((AO18-AJ18)/(AO9-AJ9)),(AO18-AJ18)/(AO9-AJ9))</f>
        <v>0.60372055536937264</v>
      </c>
      <c r="AP172" s="518">
        <f>IF(AND((AP18-AK18)&lt;0,(AP9-AK9)&lt;0),-((AP18-AK18)/(AP9-AK9)),(AP18-AK18)/(AP9-AK9))</f>
        <v>0.43620580100171935</v>
      </c>
      <c r="AQ172" s="518">
        <f>IF(AND((AQ18-AL18)&lt;0,(AQ9-AL9)&lt;0),-((AQ18-AL18)/(AQ9-AL9)),(AQ18-AL18)/(AQ9-AL9))</f>
        <v>0.29683480956122138</v>
      </c>
      <c r="AR172" s="518">
        <f>IF(AND((AR18-AM18)&lt;0,(AR9-AM9)&lt;0),-((AR18-AM18)/(AR9-AM9)),(AR18-AM18)/(AR9-AM9))</f>
        <v>-0.94484990797740864</v>
      </c>
      <c r="AS172" s="518">
        <f>IF(AND((AS18-AN18)&lt;0,(AS9-AN9)&lt;0),-((AS18-AN18)/(AS9-AN9)),(AS18-AN18)/(AS9-AN9))</f>
        <v>-1.0677378241156699</v>
      </c>
      <c r="AT172" s="521">
        <f>IF(AND((AT18-AO18)&lt;0,(AT9-AO9)&lt;0),-((AT18-AO18)/(AT9-AO9)),(AT18-AO18)/(AT9-AO9))</f>
        <v>-7.2882246284717289E-2</v>
      </c>
      <c r="AU172" s="518">
        <f>IF(AND((AU18-AP18)&lt;0,(AU9-AP9)&lt;0),-((AU18-AP18)/(AU9-AP9)),(AU18-AP18)/(AU9-AP9))</f>
        <v>-2.0273970797533076</v>
      </c>
      <c r="AV172" s="518">
        <f>IF(AND((AV18-AQ18)&lt;0,(AV9-AQ9)&lt;0),-((AV18-AQ18)/(AV9-AQ9)),(AV18-AQ18)/(AV9-AQ9))</f>
        <v>-1.4605666804957429</v>
      </c>
      <c r="AW172" s="518">
        <f>IF(AND((AW18-AR18)&lt;0,(AW9-AR9)&lt;0),-((AW18-AR18)/(AW9-AR9)),(AW18-AR18)/(AW9-AR9))</f>
        <v>-0.95018086771567456</v>
      </c>
      <c r="AX172" s="518">
        <f>IF(AND((AX18-AS18)&lt;0,(AX9-AS9)&lt;0),-((AX18-AS18)/(AX9-AS9)),(AX18-AS18)/(AX9-AS9))</f>
        <v>-0.91494472811222816</v>
      </c>
      <c r="AY172" s="521">
        <f>IF(AND((AY18-AT18)&lt;0,(AY9-AT9)&lt;0),-((AY18-AT18)/(AY9-AT9)),(AY18-AT18)/(AY9-AT9))</f>
        <v>-1.2977774514636928</v>
      </c>
      <c r="AZ172" s="518">
        <f>IF(AND((AZ18-AU18)&lt;0,(AZ9-AU9)&lt;0),-((AZ18-AU18)/(AZ9-AU9)),(AZ18-AU18)/(AZ9-AU9))</f>
        <v>3.5245922691665474</v>
      </c>
      <c r="BA172" s="518">
        <f>IF(AND((BA18-AV18)&lt;0,(BA9-AV9)&lt;0),-((BA18-AV18)/(BA9-AV9)),(BA18-AV18)/(BA9-AV9))</f>
        <v>1.0538628086375492</v>
      </c>
      <c r="BB172" s="518">
        <f>IF(AND((BB18-AW18)&lt;0,(BB9-AW9)&lt;0),-((BB18-AW18)/(BB9-AW9)),(BB18-AW18)/(BB9-AW9))</f>
        <v>0.35221988524988901</v>
      </c>
      <c r="BC172" s="518">
        <f>IF(AND((BC18-AX18)&lt;0,(BC9-AX9)&lt;0),-((BC18-AX18)/(BC9-AX9)),(BC18-AX18)/(BC9-AX9))</f>
        <v>0.3617189582383955</v>
      </c>
      <c r="BD172" s="521">
        <f>IF(AND((BD18-AY18)&lt;0,(BD9-AY9)&lt;0),-((BD18-AY18)/(BD9-AY9)),(BD18-AY18)/(BD9-AY9))</f>
        <v>0.65883735459494863</v>
      </c>
      <c r="BE172" s="518">
        <f>IF(AND((BE18-AZ18)&lt;0,(BE9-AZ9)&lt;0),-((BE18-AZ18)/(BE9-AZ9)),(BE18-AZ18)/(BE9-AZ9))</f>
        <v>-7.6871578569505337</v>
      </c>
      <c r="BF172" s="518">
        <f>IF(AND((BF18-BA18)&lt;0,(BF9-BA9)&lt;0),-((BF18-BA18)/(BF9-BA9)),(BF18-BA18)/(BF9-BA9))</f>
        <v>-1.262764065095628</v>
      </c>
      <c r="BG172" s="518">
        <f>IF(AND((BG18-BB18)&lt;0,(BG9-BB9)&lt;0),-((BG18-BB18)/(BG9-BB9)),(BG18-BB18)/(BG9-BB9))</f>
        <v>1.0588577892767939</v>
      </c>
      <c r="BH172" s="518">
        <f>IF(AND((BH18-BC18)&lt;0,(BH9-BC9)&lt;0),-((BH18-BC18)/(BH9-BC9)),(BH18-BC18)/(BH9-BC9))</f>
        <v>0.69751606897847362</v>
      </c>
      <c r="BI172" s="521">
        <f>IF(AND((BI18-BD18)&lt;0,(BI9-BD9)&lt;0),-((BI18-BD18)/(BI9-BD9)),(BI18-BD18)/(BI9-BD9))</f>
        <v>0.2449371790316848</v>
      </c>
      <c r="BJ172" s="518">
        <f>IF(AND((BJ18-BE18)&lt;0,(BJ9-BE9)&lt;0),-((BJ18-BE18)/(BJ9-BE9)),(BJ18-BE18)/(BJ9-BE9))</f>
        <v>0.70420005069596825</v>
      </c>
      <c r="BK172" s="518">
        <f>IF(AND((BK18-BF18)&lt;0,(BK9-BF9)&lt;0),-((BK18-BF18)/(BK9-BF9)),(BK18-BF18)/(BK9-BF9))</f>
        <v>5.425033906462119E-3</v>
      </c>
      <c r="BL172" s="518">
        <f>IF(AND((BL18-BG18)&lt;0,(BL9-BG9)&lt;0),-((BL18-BG18)/(BL9-BG9)),(BL18-BG18)/(BL9-BG9))</f>
        <v>-3.1543711817990254</v>
      </c>
      <c r="BM172" s="518">
        <f>IF(AND((BM18-BH18)&lt;0,(BM9-BH9)&lt;0),-((BM18-BH18)/(BM9-BH9)),(BM18-BH18)/(BM9-BH9))</f>
        <v>0.44656178775918587</v>
      </c>
      <c r="BN172" s="521">
        <f>IF(AND((BN18-BI18)&lt;0,(BN9-BI9)&lt;0),-((BN18-BI18)/(BN9-BI9)),(BN18-BI18)/(BN9-BI9))</f>
        <v>0.22104652526603732</v>
      </c>
      <c r="BO172" s="518">
        <f>IF(AND((BO18-BJ18)&lt;0,(BO9-BJ9)&lt;0),-((BO18-BJ18)/(BO9-BJ9)),(BO18-BJ18)/(BO9-BJ9))</f>
        <v>0.66265452744789699</v>
      </c>
      <c r="BP172" s="518">
        <f>IF(AND((BP18-BK18)&lt;0,(BP9-BK9)&lt;0),-((BP18-BK18)/(BP9-BK9)),(BP18-BK18)/(BP9-BK9))</f>
        <v>0.7319303075810667</v>
      </c>
      <c r="BQ172" s="518">
        <f>IF(AND((BQ18-BL18)&lt;0,(BQ9-BL9)&lt;0),-((BQ18-BL18)/(BQ9-BL9)),(BQ18-BL18)/(BQ9-BL9))</f>
        <v>0.69709032858951003</v>
      </c>
      <c r="BR172" s="518">
        <f>IF(AND((BR18-BM18)&lt;0,(BR9-BM9)&lt;0),-((BR18-BM18)/(BR9-BM9)),(BR18-BM18)/(BR9-BM9))</f>
        <v>0.63306564888454087</v>
      </c>
      <c r="BS172" s="521">
        <f>IF(AND((BS18-BN18)&lt;0,(BS9-BN9)&lt;0),-((BS18-BN18)/(BS9-BN9)),(BS18-BN18)/(BS9-BN9))</f>
        <v>0.69203613825945953</v>
      </c>
      <c r="BT172" s="518">
        <f>IF(AND((BT18-BO18)&lt;0,(BT9-BO9)&lt;0),-((BT18-BO18)/(BT9-BO9)),(BT18-BO18)/(BT9-BO9))</f>
        <v>-0.12774250915031218</v>
      </c>
      <c r="BU172" s="518">
        <f>IF(AND((BU18-BP18)&lt;0,(BU9-BP9)&lt;0),-((BU18-BP18)/(BU9-BP9)),(BU18-BP18)/(BU9-BP9))</f>
        <v>-1.1276211974747936</v>
      </c>
      <c r="BV172" s="518">
        <f>IF(AND((BV18-BQ18)&lt;0,(BV9-BQ9)&lt;0),-((BV18-BQ18)/(BV9-BQ9)),(BV18-BQ18)/(BV9-BQ9))</f>
        <v>-0.88232931453506969</v>
      </c>
      <c r="BW172" s="518">
        <f>IF(AND((BW18-BR18)&lt;0,(BW9-BR9)&lt;0),-((BW18-BR18)/(BW9-BR9)),(BW18-BR18)/(BW9-BR9))</f>
        <v>-0.94338980470131995</v>
      </c>
      <c r="BX172" s="521">
        <f>IF(AND((BX18-BS18)&lt;0,(BX9-BS9)&lt;0),-((BX18-BS18)/(BX9-BS9)),(BX18-BS18)/(BX9-BS9))</f>
        <v>-1.0906512606438044</v>
      </c>
      <c r="BY172" s="518">
        <f>IF(AND((BY18-BT18)&lt;0,(BY9-BT9)&lt;0),-((BY18-BT18)/(BY9-BT9)),(BY18-BT18)/(BY9-BT9))</f>
        <v>-0.55365327863705815</v>
      </c>
      <c r="BZ172" s="518">
        <f>IF(AND((BZ18-BU18)&lt;0,(BZ9-BU9)&lt;0),-((BZ18-BU18)/(BZ9-BU9)),(BZ18-BU18)/(BZ9-BU9))</f>
        <v>-0.7976205629083164</v>
      </c>
      <c r="CA172" s="518">
        <f>IF(AND((CA18-BV18)&lt;0,(CA9-BV9)&lt;0),-((CA18-BV18)/(CA9-BV9)),(CA18-BV18)/(CA9-BV9))</f>
        <v>-0.48272997907957932</v>
      </c>
      <c r="CB172" s="518">
        <f>IF(AND((CB18-BW18)&lt;0,(CB9-BW9)&lt;0),-((CB18-BW18)/(CB9-BW9)),(CB18-BW18)/(CB9-BW9))</f>
        <v>-0.47992977776773155</v>
      </c>
      <c r="CC172" s="521">
        <f>IF(AND((CC18-BX18)&lt;0,(CC9-BX9)&lt;0),-((CC18-BX18)/(CC9-BX9)),(CC18-BX18)/(CC9-BX9))</f>
        <v>-0.60059009395467577</v>
      </c>
      <c r="CD172" s="518">
        <f>IF(AND((CD18-BY18)&lt;0,(CD9-BY9)&lt;0),-((CD18-BY18)/(CD9-BY9)),(CD18-BY18)/(CD9-BY9))</f>
        <v>-0.51854221994688499</v>
      </c>
      <c r="CE172" s="518">
        <f>IF(AND((CE18-BZ18)&lt;0,(CE9-BZ9)&lt;0),-((CE18-BZ18)/(CE9-BZ9)),(CE18-BZ18)/(CE9-BZ9))</f>
        <v>3.9626128730928354</v>
      </c>
      <c r="CF172" s="518">
        <f>IF(AND((CF18-CA18)&lt;0,(CF9-CA9)&lt;0),-((CF18-CA18)/(CF9-CA9)),(CF18-CA18)/(CF9-CA9))</f>
        <v>0.61170914771554019</v>
      </c>
      <c r="CG172" s="518">
        <f>IF(AND((CG18-CB18)&lt;0,(CG9-CB9)&lt;0),-((CG18-CB18)/(CG9-CB9)),(CG18-CB18)/(CG9-CB9))</f>
        <v>0.47628201547490862</v>
      </c>
      <c r="CH172" s="521">
        <f>IF(AND((CH18-CC18)&lt;0,(CH9-CC9)&lt;0),-((CH18-CC18)/(CH9-CC9)),(CH18-CC18)/(CH9-CC9))</f>
        <v>0.73069760709563714</v>
      </c>
      <c r="CI172" s="518">
        <f>IF(AND((CI18-CD18)&lt;0,(CI9-CD9)&lt;0),-((CI18-CD18)/(CI9-CD9)),(CI18-CD18)/(CI9-CD9))</f>
        <v>0.47833018444923903</v>
      </c>
      <c r="CJ172" s="518">
        <f>IF(AND((CJ18-CE18)&lt;0,(CJ9-CE9)&lt;0),-((CJ18-CE18)/(CJ9-CE9)),(CJ18-CE18)/(CJ9-CE9))</f>
        <v>0.41940004151961796</v>
      </c>
      <c r="CK172" s="518">
        <f>IF(AND((CK18-CF18)&lt;0,(CK9-CF9)&lt;0),-((CK18-CF18)/(CK9-CF9)),(CK18-CF18)/(CK9-CF9))</f>
        <v>0.61096954847742369</v>
      </c>
      <c r="CL172" s="518">
        <f>IF(AND((CL18-CG18)&lt;0,(CL9-CG9)&lt;0),-((CL18-CG18)/(CL9-CG9)),(CL18-CG18)/(CL9-CG9))</f>
        <v>1.6170392166985059</v>
      </c>
      <c r="CM172" s="521">
        <f>IF(AND((CM18-CH18)&lt;0,(CM9-CH9)&lt;0),-((CM18-CH18)/(CM9-CH9)),(CM18-CH18)/(CM9-CH9))</f>
        <v>0.52402637311631406</v>
      </c>
      <c r="CN172" s="518">
        <f>IF(AND((CN18-CI18)&lt;0,(CN9-CI9)&lt;0),-((CN18-CI18)/(CN9-CI9)),(CN18-CI18)/(CN9-CI9))</f>
        <v>-4.9376848546659531</v>
      </c>
      <c r="CO172" s="518">
        <f>IF(AND((CO18-CJ18)&lt;0,(CO9-CJ9)&lt;0),-((CO18-CJ18)/(CO9-CJ9)),(CO18-CJ18)/(CO9-CJ9))</f>
        <v>-7.9187076602392645</v>
      </c>
      <c r="CP172" s="518">
        <f>IF(AND((CP18-CK18)&lt;0,(CP9-CK9)&lt;0),-((CP18-CK18)/(CP9-CK9)),(CP18-CK18)/(CP9-CK9))</f>
        <v>0.44144993222636442</v>
      </c>
      <c r="CQ172" s="518">
        <f>IF(AND((CQ18-CL18)&lt;0,(CQ9-CL9)&lt;0),-((CQ18-CL18)/(CQ9-CL9)),(CQ18-CL18)/(CQ9-CL9))</f>
        <v>0.57620829489879355</v>
      </c>
      <c r="CR172" s="521">
        <f>(CR18-CM18)/(CR9-CM9)</f>
        <v>0.49981563378250993</v>
      </c>
      <c r="CS172" s="518">
        <f>IF(AND((CS18-CN18)&lt;0,(CS9-CN9)&lt;0),-((CS18-CN18)/(CS9-CN9)),(CS18-CN18)/(CS9-CN9))</f>
        <v>3.4079313939164217</v>
      </c>
      <c r="CT172" s="518">
        <f>IF(AND((CT18-CO18)&lt;0,(CT9-CO9)&lt;0),-((CT18-CO18)/(CT9-CO9)),(CT18-CO18)/(CT9-CO9))</f>
        <v>-4.5083694978301381</v>
      </c>
      <c r="CU172" s="518">
        <f>IF(AND((CU18-CP18)&lt;0,(CU9-CP9)&lt;0),-((CU18-CP18)/(CU9-CP9)),(CU18-CP18)/(CU9-CP9))</f>
        <v>-0.28628678901057181</v>
      </c>
      <c r="CV172" s="518">
        <f>IF(AND((CV18-CQ18)&lt;0,(CV9-CQ9)&lt;0),-((CV18-CQ18)/(CV9-CQ9)),(CV18-CQ18)/(CV9-CQ9))</f>
        <v>-2.2845762608002906</v>
      </c>
      <c r="CW172" s="521">
        <f>(CW18-CR18)/(CW9-CR9)</f>
        <v>-2.3319004182835203</v>
      </c>
      <c r="CX172" s="518">
        <f>IF(AND((CX18-CS18)&lt;0,(CX9-CS9)&lt;0),-((CX18-CS18)/(CX9-CS9)),(CX18-CS18)/(CX9-CS9))</f>
        <v>-4.0623852840920582</v>
      </c>
      <c r="CY172" s="518">
        <f>IF(AND((CY18-CT18)&lt;0,(CY9-CT9)&lt;0),-((CY18-CT18)/(CY9-CT9)),(CY18-CT18)/(CY9-CT9))</f>
        <v>-1.220716066644806</v>
      </c>
      <c r="CZ172" s="518">
        <f>IF(AND((CZ18-CU18)&lt;0,(CZ9-CU9)&lt;0),-((CZ18-CU18)/(CZ9-CU9)),(CZ18-CU18)/(CZ9-CU9))</f>
        <v>-3.7315443297479003E-2</v>
      </c>
      <c r="DA172" s="518">
        <f>IF(AND((DA18-CV18)&lt;0,(DA9-CV9)&lt;0),-((DA18-CV18)/(DA9-CV9)),(DA18-CV18)/(DA9-CV9))</f>
        <v>-27.333333333333332</v>
      </c>
      <c r="DB172" s="521">
        <f>(DB18-CW18)/(DB9-CW9)</f>
        <v>-1.455214056226003</v>
      </c>
      <c r="DC172" s="518">
        <f>IF(AND((DC18-CX18)&lt;0,(DC9-CX9)&lt;0),-((DC18-CX18)/(DC9-CX9)),(DC18-CX18)/(DC9-CX9))</f>
        <v>0.92647058823529416</v>
      </c>
      <c r="DD172" s="518">
        <f>IF(AND((DD18-CY18)&lt;0,(DD9-CY9)&lt;0),-((DD18-CY18)/(DD9-CY9)),(DD18-CY18)/(DD9-CY9))</f>
        <v>-0.34482758620689657</v>
      </c>
      <c r="DE172" s="518">
        <f>IF(AND((DE18-CZ18)&lt;0,(DE9-CZ9)&lt;0),-((DE18-CZ18)/(DE9-CZ9)),(DE18-CZ18)/(DE9-CZ9))</f>
        <v>-2.0769230769230771</v>
      </c>
      <c r="DF172" s="518">
        <f>IF(AND((DF18-DA18)&lt;0,(DF9-DA9)&lt;0),-((DF18-DA18)/(DF9-DA9)),(DF18-DA18)/(DF9-DA9))</f>
        <v>-0.47039473684210525</v>
      </c>
      <c r="DG172" s="521">
        <f>(DG18-DB18)/(DG9-DB9)</f>
        <v>-7.6726342710997444E-2</v>
      </c>
      <c r="DH172" s="518">
        <f>IF(AND((DH18-DC18)&lt;0,(DH9-DC9)&lt;0),-((DH18-DC18)/(DH9-DC9)),(DH18-DC18)/(DH9-DC9))</f>
        <v>-0.65853658536585369</v>
      </c>
      <c r="DI172" s="518">
        <f>IF(AND((DI18-DD18)&lt;0,(DI9-DD9)&lt;0),-((DI18-DD18)/(DI9-DD9)),(DI18-DD18)/(DI9-DD9))</f>
        <v>-1.0909090909090908</v>
      </c>
      <c r="DJ172" s="518">
        <f>IF(AND((DJ18-DE18)&lt;0,(DJ9-DE9)&lt;0),-((DJ18-DE18)/(DJ9-DE9)),(DJ18-DE18)/(DJ9-DE9))</f>
        <v>-0.94285714285714284</v>
      </c>
      <c r="DK172" s="518">
        <f>IF(AND((DK18-DF18)&lt;0,(DK9-DF9)&lt;0),-((DK18-DF18)/(DK9-DF9)),(DK18-DF18)/(DK9-DF9))</f>
        <v>0.37190082644628097</v>
      </c>
      <c r="DL172" s="521">
        <f>(DL18-DG18)/(DL9-DG9)</f>
        <v>1.8904109589041096</v>
      </c>
      <c r="DM172" s="518">
        <f>IF(AND((DM18-DH18)&lt;0,(DM9-DH9)&lt;0),-((DM18-DH18)/(DM9-DH9)),(DM18-DH18)/(DM9-DH9))</f>
        <v>0.65491183879093195</v>
      </c>
      <c r="DN172" s="518">
        <f>IF(AND((DN18-DI18)&lt;0,(DN9-DI9)&lt;0),-((DN18-DI18)/(DN9-DI9)),(DN18-DI18)/(DN9-DI9))</f>
        <v>0.88486140724946694</v>
      </c>
      <c r="DO172" s="518">
        <f>IF(AND((DO18-DJ18)&lt;0,(DO9-DJ9)&lt;0),-((DO18-DJ18)/(DO9-DJ9)),(DO18-DJ18)/(DO9-DJ9))</f>
        <v>0.95495495495495497</v>
      </c>
      <c r="DP172" s="518">
        <f>IF(AND((DP18-DK18)&lt;0,(DP9-DK9)&lt;0),-((DP18-DK18)/(DP9-DK9)),(DP18-DK18)/(DP9-DK9))</f>
        <v>21.333333333333332</v>
      </c>
      <c r="DQ172" s="521">
        <f>(DQ18-DL18)/(DQ9-DL9)</f>
        <v>0.87167736021998166</v>
      </c>
      <c r="DR172" s="518">
        <f>IF(AND((DR18-DM18)&lt;0,(DR9-DM9)&lt;0),-((DR18-DM18)/(DR9-DM9)),(DR18-DM18)/(DR9-DM9))</f>
        <v>1.2307692307692308</v>
      </c>
      <c r="DS172" s="518">
        <f>IF(AND((DS18-DN18)&lt;0,(DS9-DN9)&lt;0),-((DS18-DN18)/(DS9-DN9)),(DS18-DN18)/(DS9-DN9))</f>
        <v>-0.22784810126582278</v>
      </c>
      <c r="DT172" s="518">
        <f>IF(AND((DT18-DO18)&lt;0,(DT9-DO9)&lt;0),-((DT18-DO18)/(DT9-DO9)),(DT18-DO18)/(DT9-DO9))</f>
        <v>0.2361111111111111</v>
      </c>
      <c r="DU172" s="518">
        <f>IF(AND((DU18-DP18)&lt;0,(DU9-DP9)&lt;0),-((DU18-DP18)/(DU9-DP9)),(DU18-DP18)/(DU9-DP9))</f>
        <v>0.7142857142857143</v>
      </c>
      <c r="DV172" s="521">
        <f>(DV18-DQ18)/(DV9-DQ9)</f>
        <v>1.0405405405405406</v>
      </c>
      <c r="DW172" s="518">
        <f>IF(AND((DW18-DR18)&lt;0,(DW9-DR9)&lt;0),-((DW18-DR18)/(DW9-DR9)),(DW18-DR18)/(DW9-DR9))</f>
        <v>-0.35714285714285715</v>
      </c>
      <c r="DX172" s="518">
        <f>IF(AND((DX18-DS18)&lt;0,(DX9-DS9)&lt;0),-((DX18-DS18)/(DX9-DS9)),(DX18-DS18)/(DX9-DS9))</f>
        <v>-0.47826086956521741</v>
      </c>
      <c r="DY172" s="518">
        <f>IF(AND((DY18-DT18)&lt;0,(DY9-DT9)&lt;0),-((DY18-DT18)/(DY9-DT9)),(DY18-DT18)/(DY9-DT9))</f>
        <v>-0.86460807600950118</v>
      </c>
      <c r="DZ172" s="518">
        <f>IF(AND((DZ18-DU18)&lt;0,(DZ9-DU9)&lt;0),-((DZ18-DU18)/(DZ9-DU9)),(DZ18-DU18)/(DZ9-DU9))</f>
        <v>-0.60074626865671643</v>
      </c>
      <c r="EA172" s="521">
        <f>(EA18-DV18)/(EA9-DV9)</f>
        <v>0.65706806282722519</v>
      </c>
      <c r="EB172" s="518">
        <f>IF(AND((EB18-DW18)&lt;0,(EB9-DW9)&lt;0),-((EB18-DW18)/(EB9-DW9)),(EB18-DW18)/(EB9-DW9))</f>
        <v>-0.57344064386317906</v>
      </c>
      <c r="EC172" s="518">
        <f>IF(AND((EC18-DX18)&lt;0,(EC9-DX9)&lt;0),-((EC18-DX18)/(EC9-DX9)),(EC18-DX18)/(EC9-DX9))</f>
        <v>-0.73015873015873012</v>
      </c>
      <c r="ED172" s="518">
        <f>IF(AND((ED18-DY18)&lt;0,(ED9-DY9)&lt;0),-((ED18-DY18)/(ED9-DY9)),(ED18-DY18)/(ED9-DY9))</f>
        <v>0.671875</v>
      </c>
      <c r="EE172" s="518">
        <f>IF(AND((EE18-DZ18)&lt;0,(EE9-DZ9)&lt;0),-((EE18-DZ18)/(EE9-DZ9)),(EE18-DZ18)/(EE9-DZ9))</f>
        <v>0.23502304147465439</v>
      </c>
      <c r="EF172" s="521">
        <f>(EF18-EA18)/(EF9-EA9)</f>
        <v>1.934959349593496</v>
      </c>
      <c r="EG172" s="518">
        <f>IF(AND((EG18-EB18)&lt;0,(EG9-EB9)&lt;0),-((EG18-EB18)/(EG9-EB9)),(EG18-EB18)/(EG9-EB9))</f>
        <v>0.13592233009708737</v>
      </c>
      <c r="EH172" s="518">
        <f>IF(AND((EH18-EC18)&lt;0,(EH9-EC9)&lt;0),-((EH18-EC18)/(EH9-EC9)),(EH18-EC18)/(EH9-EC9))</f>
        <v>0.13928571428571429</v>
      </c>
      <c r="EI172" s="518">
        <f>IF(AND((EI18-ED18)&lt;0,(EI9-ED9)&lt;0),-((EI18-ED18)/(EI9-ED9)),(EI18-ED18)/(EI9-ED9))</f>
        <v>-0.84375</v>
      </c>
      <c r="EJ172" s="518">
        <f>IF(AND((EJ18-EE18)&lt;0,(EJ9-EE9)&lt;0),-((EJ18-EE18)/(EJ9-EE9)),(EJ18-EE18)/(EJ9-EE9))</f>
        <v>-0.38571428571428573</v>
      </c>
      <c r="EK172" s="521">
        <f>(EK18-EF18)/(EK9-EF9)</f>
        <v>-0.39130434782608697</v>
      </c>
      <c r="EL172" s="518">
        <f>IF(AND((EL18-EG18)&lt;0,(EL9-EG9)&lt;0),-((EL18-EG18)/(EL9-EG9)),(EL18-EG18)/(EL9-EG9))</f>
        <v>-0.43869209809264303</v>
      </c>
      <c r="EM172" s="518">
        <f>IF(AND((EM18-EH18)&lt;0,(EM9-EH9)&lt;0),-((EM18-EH18)/(EM9-EH9)),(EM18-EH18)/(EM9-EH9))</f>
        <v>-0.46693386773547096</v>
      </c>
      <c r="EN172" s="518">
        <f>IF(AND((EN18-EI18)&lt;0,(EN9-EI9)&lt;0),-((EN18-EI18)/(EN9-EI9)),(EN18-EI18)/(EN9-EI9))</f>
        <v>-0.69293478260869568</v>
      </c>
      <c r="EO172" s="518">
        <f>IF(AND((EO18-EJ18)&lt;0,(EO9-EJ9)&lt;0),-((EO18-EJ18)/(EO9-EJ9)),(EO18-EJ18)/(EO9-EJ9))</f>
        <v>-0.4804270462633452</v>
      </c>
      <c r="EP172" s="521">
        <f>(EP18-EK18)/(EP9-EK9)</f>
        <v>0.51749174917491747</v>
      </c>
      <c r="EQ172" s="518">
        <f>IF(AND((EQ18-EL18)&lt;0,(EQ9-EL9)&lt;0),-((EQ18-EL18)/(EQ9-EL9)),(EQ18-EL18)/(EQ9-EL9))</f>
        <v>-0.2878787878787879</v>
      </c>
      <c r="ER172" s="518">
        <f>IF(AND((ER18-EM18)&lt;0,(ER9-EM9)&lt;0),-((ER18-EM18)/(ER9-EM9)),(ER18-EM18)/(ER9-EM9))</f>
        <v>0.63529411764705879</v>
      </c>
      <c r="ES172" s="518">
        <f>IF(AND((ES18-EN18)&lt;0,(ES9-EN9)&lt;0),-((ES18-EN18)/(ES9-EN9)),(ES18-EN18)/(ES9-EN9))</f>
        <v>0.65040650406504064</v>
      </c>
      <c r="ET172" s="518">
        <f>IF(AND((ET18-EO18)&lt;0,(ET9-EO9)&lt;0),-((ET18-EO18)/(ET9-EO9)),(ET18-EO18)/(ET9-EO9))</f>
        <v>0.45945945945945948</v>
      </c>
      <c r="EU172" s="521">
        <f>(EU18-EP18)/(EU9-EP9)</f>
        <v>0.80071174377224197</v>
      </c>
      <c r="EV172" s="518">
        <f>IF(AND((EV18-EQ18)&lt;0,(EV9-EQ9)&lt;0),-((EV18-EQ18)/(EV9-EQ9)),(EV18-EQ18)/(EV9-EQ9))</f>
        <v>0.40789473684210525</v>
      </c>
      <c r="EW172" s="518">
        <f>IF(AND((EW18-ER18)&lt;0,(EW9-ER9)&lt;0),-((EW18-ER18)/(EW9-ER9)),(EW18-ER18)/(EW9-ER9))</f>
        <v>0.4358974358974359</v>
      </c>
      <c r="EX172" s="518">
        <f>IF(AND((EX18-ES18)&lt;0,(EX9-ES9)&lt;0),-((EX18-ES18)/(EX9-ES9)),(EX18-ES18)/(EX9-ES9))</f>
        <v>0.5178571428571429</v>
      </c>
      <c r="EY172" s="518">
        <f>IF(AND((EY18-ET18)&lt;0,(EY9-ET9)&lt;0),-((EY18-ET18)/(EY9-ET9)),(EY18-ET18)/(EY9-ET9))</f>
        <v>0.43850267379679142</v>
      </c>
      <c r="EZ172" s="521">
        <f>(EZ18-EU18)/(EZ9-EU9)</f>
        <v>0.45884578997161779</v>
      </c>
      <c r="FA172" s="518">
        <f>IF(AND((FA18-EV18)&lt;0,(FA9-EV9)&lt;0),-((FA18-EV18)/(FA9-EV9)),(FA18-EV18)/(FA9-EV9))</f>
        <v>0.40120663650075417</v>
      </c>
      <c r="FB172" s="518">
        <f>IF(AND((FB18-EW18)&lt;0,(FB9-EW9)&lt;0),-((FB18-EW18)/(FB9-EW9)),(FB18-EW18)/(FB9-EW9))</f>
        <v>0.46441947565543074</v>
      </c>
      <c r="FC172" s="518">
        <f>IF(AND((FC18-EX18)&lt;0,(FC9-EX9)&lt;0),-((FC18-EX18)/(FC9-EX9)),(FC18-EX18)/(FC9-EX9))</f>
        <v>8.8000000000000007</v>
      </c>
      <c r="FD172" s="518">
        <f>IF(AND((FD18-EY18)&lt;0,(FD9-EY9)&lt;0),-((FD18-EY18)/(FD9-EY9)),(FD18-EY18)/(FD9-EY9))</f>
        <v>-0.36065573770491804</v>
      </c>
      <c r="FE172" s="521">
        <f>(FE18-EZ18)/(FE9-EZ9)</f>
        <v>0.54450261780104714</v>
      </c>
      <c r="FF172" s="518">
        <f>IF(AND((FF18-FA18)&lt;0,(FF9-FA9)&lt;0),-((FF18-FA18)/(FF9-FA9)),(FF18-FA18)/(FF9-FA9))</f>
        <v>-0.20266666666666666</v>
      </c>
      <c r="FG172" s="518">
        <f>IF(AND((FG18-FB18)&lt;0,(FG9-FB9)&lt;0),-((FG18-FB18)/(FG9-FB9)),(FG18-FB18)/(FG9-FB9))</f>
        <v>-0.13777777777777778</v>
      </c>
      <c r="FH172" s="518">
        <f>IF(AND((FH18-FC18)&lt;0,(FH9-FC9)&lt;0),-((FH18-FC18)/(FH9-FC9)),(FH18-FC18)/(FH9-FC9))</f>
        <v>0.78378378378378377</v>
      </c>
      <c r="FI172" s="518">
        <f>IF(AND((FI18-FD18)&lt;0,(FI9-FD9)&lt;0),-((FI18-FD18)/(FI9-FD9)),(FI18-FD18)/(FI9-FD9))</f>
        <v>0.58192090395480223</v>
      </c>
      <c r="FJ172" s="521">
        <f>(FJ18-FE18)/(FJ9-FE9)</f>
        <v>1.64453125</v>
      </c>
      <c r="FK172" s="518">
        <f>IF(AND((FK18-FF18)&lt;0,(FK9-FF9)&lt;0),-((FK18-FF18)/(FK9-FF9)),(FK18-FF18)/(FK9-FF9))</f>
        <v>0.5778210116731517</v>
      </c>
      <c r="FL172" s="518">
        <f>IF(AND((FL18-FG18)&lt;0,(FL9-FG9)&lt;0),-((FL18-FG18)/(FL9-FG9)),(FL18-FG18)/(FL9-FG9))</f>
        <v>0.56608478802992523</v>
      </c>
      <c r="FM172" s="518">
        <f>IF(AND((FM18-FH18)&lt;0,(FM9-FH9)&lt;0),-((FM18-FH18)/(FM9-FH9)),(FM18-FH18)/(FM9-FH9))</f>
        <v>0.45300000000000001</v>
      </c>
      <c r="FN172" s="518">
        <f>IF(AND((FN18-FI18)&lt;0,(FN9-FI9)&lt;0),-((FN18-FI18)/(FN9-FI9)),(FN18-FI18)/(FN9-FI9))</f>
        <v>0.44941808415398388</v>
      </c>
      <c r="FO172" s="521">
        <f>(FO18-FJ18)/(FO9-FJ9)</f>
        <v>0.48779683377308708</v>
      </c>
      <c r="FP172" s="518">
        <f>IF(AND((FP18-FK18)&lt;0,(FP9-FK9)&lt;0),-((FP18-FK18)/(FP9-FK9)),(FP18-FK18)/(FP9-FK9))</f>
        <v>0.46353224834237494</v>
      </c>
      <c r="FQ172" s="518">
        <f>IF(AND((FQ18-FL18)&lt;0,(FQ9-FL9)&lt;0),-((FQ18-FL18)/(FQ9-FL9)),(FQ18-FL18)/(FQ9-FL9))</f>
        <v>0.51199165797705948</v>
      </c>
      <c r="FR172" s="518">
        <f>IF(AND((FR18-FM18)&lt;0,(FR9-FM9)&lt;0),-((FR18-FM18)/(FR9-FM9)),(FR18-FM18)/(FR9-FM9))</f>
        <v>0.56613756613756616</v>
      </c>
      <c r="FS172" s="518">
        <f>IF(AND((FS18-FN18)&lt;0,(FS9-FN9)&lt;0),-((FS18-FN18)/(FS9-FN9)),(FS18-FN18)/(FS9-FN9))</f>
        <v>0.61630847029077118</v>
      </c>
      <c r="FT172" s="521">
        <f>(FT18-FO18)/(FT9-FO9)</f>
        <v>0.5369509818617898</v>
      </c>
      <c r="FU172" s="518">
        <f>IF(AND((FU18-FP18)&lt;0,(FU9-FP9)&lt;0),-((FU18-FP18)/(FU9-FP9)),(FU18-FP18)/(FU9-FP9))</f>
        <v>0.61793611793611791</v>
      </c>
      <c r="FV172" s="518">
        <f>IF(AND((FV18-FQ18)&lt;0,(FV9-FQ9)&lt;0),-((FV18-FQ18)/(FV9-FQ9)),(FV18-FQ18)/(FV9-FQ9))</f>
        <v>0.62962962962962965</v>
      </c>
      <c r="FW172" s="518">
        <f>IF(AND((FW18-FR18)&lt;0,(FW9-FR9)&lt;0),-((FW18-FR18)/(FW9-FR9)),(FW18-FR18)/(FW9-FR9))</f>
        <v>0.54472843450479236</v>
      </c>
      <c r="FX172" s="518">
        <f>IF(AND((FX18-FS18)&lt;0,(FX9-FS9)&lt;0),-((FX18-FS18)/(FX9-FS9)),(FX18-FS18)/(FX9-FS9))</f>
        <v>0.5485122897800776</v>
      </c>
      <c r="FY172" s="521">
        <f>(FY18-FT18)/(FY9-FT9)</f>
        <v>0.60206502023161712</v>
      </c>
      <c r="FZ172" s="518">
        <f>IF(AND((FZ18-FU18)&lt;0,(FZ9-FU9)&lt;0),-((FZ18-FU18)/(FZ9-FU9)),(FZ18-FU18)/(FZ9-FU9))</f>
        <v>-0.8033707865168539</v>
      </c>
      <c r="GA172" s="518">
        <f>IF(AND((GA18-FV18)&lt;0,(GA9-FV9)&lt;0),-((GA18-FV18)/(GA9-FV9)),(GA18-FV18)/(GA9-FV9))</f>
        <v>-0.73467674223341728</v>
      </c>
      <c r="GB172" s="518">
        <f>IF(AND((GB18-FW18)&lt;0,(GB9-FW9)&lt;0),-((GB18-FW18)/(GB9-FW9)),(GB18-FW18)/(GB9-FW9))</f>
        <v>0.80425531914893622</v>
      </c>
      <c r="GC172" s="518">
        <f>IF(AND((GC18-FX18)&lt;0,(GC9-FX9)&lt;0),-((GC18-FX18)/(GC9-FX9)),(GC18-FX18)/(GC9-FX9))</f>
        <v>0.4868189806678383</v>
      </c>
      <c r="GD172" s="521">
        <f>(GD18-FY18)/(GD9-FY9)</f>
        <v>0.9098805646036916</v>
      </c>
      <c r="GE172" s="518">
        <f>IF(AND((GE18-FZ18)&lt;0,(GE9-FZ9)&lt;0),-((GE18-FZ18)/(GE9-FZ9)),(GE18-FZ18)/(GE9-FZ9))</f>
        <v>1.5666666666666667</v>
      </c>
      <c r="GF172" s="518">
        <f>IF(AND((GF18-GA18)&lt;0,(GF9-GA9)&lt;0),-((GF18-GA18)/(GF9-GA9)),(GF18-GA18)/(GF9-GA9))</f>
        <v>0.92647058823529416</v>
      </c>
      <c r="GG172" s="518">
        <f>IF(AND((GG18-GB18)&lt;0,(GG9-GB9)&lt;0),-((GG18-GB18)/(GG9-GB9)),(GG18-GB18)/(GG9-GB9))</f>
        <v>0.68204121687929342</v>
      </c>
      <c r="GH172" s="518">
        <f>IF(AND((GH18-GC18)&lt;0,(GH9-GC9)&lt;0),-((GH18-GC18)/(GH9-GC9)),(GH18-GC18)/(GH9-GC9))</f>
        <v>0.67583892617449659</v>
      </c>
      <c r="GI172" s="521">
        <f>(GI18-GD18)/(GI9-GD9)</f>
        <v>0.75072463768115938</v>
      </c>
      <c r="GJ172" s="518">
        <f>IF(AND((GJ18-GE18)&lt;0,(GJ9-GE9)&lt;0),-((GJ18-GE18)/(GJ9-GE9)),(GJ18-GE18)/(GJ9-GE9))</f>
        <v>0.57608142493638681</v>
      </c>
      <c r="GK172" s="518">
        <f>IF(AND((GK18-GF18)&lt;0,(GK9-GF9)&lt;0),-((GK18-GF18)/(GK9-GF9)),(GK18-GF18)/(GK9-GF9))</f>
        <v>0.12108108108108108</v>
      </c>
      <c r="GL172" s="518">
        <f>IF(AND((GL18-GG18)&lt;0,(GL9-GG9)&lt;0),-((GL18-GG18)/(GL9-GG9)),(GL18-GG18)/(GL9-GG9))</f>
        <v>0.54923774206839715</v>
      </c>
      <c r="GM172" s="518">
        <f>IF(AND((GM18-GH18)&lt;0,(GM9-GH9)&lt;0),-((GM18-GH18)/(GM9-GH9)),(GM18-GH18)/(GM9-GH9))</f>
        <v>0.65581929555895868</v>
      </c>
      <c r="GN172" s="521">
        <f>(GN18-GI18)/(GN9-GI9)</f>
        <v>0.49717641743844593</v>
      </c>
      <c r="GO172" s="518">
        <f>IF(AND((GO18-GJ18)&lt;0,(GO9-GJ9)&lt;0),-((GO18-GJ18)/(GO9-GJ9)),(GO18-GJ18)/(GO9-GJ9))</f>
        <v>0.60035523978685612</v>
      </c>
      <c r="GP172" s="518">
        <f>IF(AND((GP18-GK18)&lt;0,(GP9-GK9)&lt;0),-((GP18-GK18)/(GP9-GK9)),(GP18-GK18)/(GP9-GK9))</f>
        <v>0.8396909350518339</v>
      </c>
      <c r="GQ172" s="518">
        <f>IF(AND((GQ18-GL18)&lt;0,(GQ9-GL9)&lt;0),-((GQ18-GL18)/(GQ9-GL9)),(GQ18-GL18)/(GQ9-GL9))</f>
        <v>0.63796680496836045</v>
      </c>
      <c r="GR172" s="518">
        <f>IF(AND((GR18-GM18)&lt;0,(GR9-GM9)&lt;0),-((GR18-GM18)/(GR9-GM9)),(GR18-GM18)/(GR9-GM9))</f>
        <v>0.49612976970329553</v>
      </c>
      <c r="GS172" s="521">
        <f>(GS18-GN18)/(GS9-GN9)</f>
        <v>0.62251095511215926</v>
      </c>
      <c r="GT172" s="518">
        <f>IF(AND((GT18-GO18)&lt;0,(GT9-GO9)&lt;0),-((GT18-GO18)/(GT9-GO9)),(GT18-GO18)/(GT9-GO9))</f>
        <v>0.52281325749463092</v>
      </c>
      <c r="GU172" s="518">
        <f>IF(AND((GU18-GP18)&lt;0,(GU9-GP9)&lt;0),-((GU18-GP18)/(GU9-GP9)),(GU18-GP18)/(GU9-GP9))</f>
        <v>0.5105607585433678</v>
      </c>
      <c r="GV172" s="518">
        <f>IF(AND((GV18-GQ18)&lt;0,(GV9-GQ9)&lt;0),-((GV18-GQ18)/(GV9-GQ9)),(GV18-GQ18)/(GV9-GQ9))</f>
        <v>0.50228791262888872</v>
      </c>
      <c r="GW172" s="518">
        <f>IF(AND((GW18-GR18)&lt;0,(GW9-GR9)&lt;0),-((GW18-GR18)/(GW9-GR9)),(GW18-GR18)/(GW9-GR9))</f>
        <v>0.51162181532443196</v>
      </c>
      <c r="GX172" s="521">
        <f>(GX18-GS18)/(GX9-GS9)</f>
        <v>0.51094499849090058</v>
      </c>
      <c r="GY172" s="518">
        <f>IF(AND((GY18-GT18)&lt;0,(GY9-GT9)&lt;0),-((GY18-GT18)/(GY9-GT9)),(GY18-GT18)/(GY9-GT9))</f>
        <v>0.53603138201989209</v>
      </c>
      <c r="GZ172" s="518">
        <f>IF(AND((GZ18-GU18)&lt;0,(GZ9-GU9)&lt;0),-((GZ18-GU18)/(GZ9-GU9)),(GZ18-GU18)/(GZ9-GU9))</f>
        <v>0.54595339398556419</v>
      </c>
      <c r="HA172" s="518">
        <f>IF(AND((HA18-GV18)&lt;0,(HA9-GV9)&lt;0),-((HA18-GV18)/(HA9-GV9)),(HA18-GV18)/(HA9-GV9))</f>
        <v>0.58294441284468979</v>
      </c>
      <c r="HB172" s="518">
        <f>IF(AND((HB18-GW18)&lt;0,(HB9-GW9)&lt;0),-((HB18-GW18)/(HB9-GW9)),(HB18-GW18)/(HB9-GW9))</f>
        <v>0.6013650042753429</v>
      </c>
      <c r="HC172" s="521">
        <f>(HC18-GX18)/(HC9-GX9)</f>
        <v>0.56216268768302313</v>
      </c>
      <c r="HD172" s="518">
        <f>IF(AND((HD18-GY18)&lt;0,(HD9-GY9)&lt;0),-((HD18-GY18)/(HD9-GY9)),(HD18-GY18)/(HD9-GY9))</f>
        <v>0.54756835123623426</v>
      </c>
      <c r="HE172" s="518">
        <f>IF(AND((HE18-GZ18)&lt;0,(HE9-GZ9)&lt;0),-((HE18-GZ18)/(HE9-GZ9)),(HE18-GZ18)/(HE9-GZ9))</f>
        <v>0.5335627157741063</v>
      </c>
      <c r="HF172" s="518">
        <f>IF(AND((HF18-HA18)&lt;0,(HF9-HA9)&lt;0),-((HF18-HA18)/(HF9-HA9)),(HF18-HA18)/(HF9-HA9))</f>
        <v>0.53197164757032023</v>
      </c>
      <c r="HG172" s="518">
        <f>IF(AND((HG18-HB18)&lt;0,(HG9-HB9)&lt;0),-((HG18-HB18)/(HG9-HB9)),(HG18-HB18)/(HG9-HB9))</f>
        <v>0.53748706957325376</v>
      </c>
      <c r="HH172" s="521">
        <f>(HH18-HC18)/(HH9-HC9)</f>
        <v>0.53742664908649429</v>
      </c>
      <c r="HI172" s="518">
        <f>IF(AND((HI18-HD18)&lt;0,(HI9-HD9)&lt;0),-((HI18-HD18)/(HI9-HD9)),(HI18-HD18)/(HI9-HD9))</f>
        <v>0.56043055722560908</v>
      </c>
      <c r="HJ172" s="518">
        <f>IF(AND((HJ18-HE18)&lt;0,(HJ9-HE9)&lt;0),-((HJ18-HE18)/(HJ9-HE9)),(HJ18-HE18)/(HJ9-HE9))</f>
        <v>0.55993715969585933</v>
      </c>
      <c r="HK172" s="518">
        <f>IF(AND((HK18-HF18)&lt;0,(HK9-HF9)&lt;0),-((HK18-HF18)/(HK9-HF9)),(HK18-HF18)/(HK9-HF9))</f>
        <v>0.55379124295226279</v>
      </c>
      <c r="HL172" s="518">
        <f>IF(AND((HL18-HG18)&lt;0,(HL9-HG9)&lt;0),-((HL18-HG18)/(HL9-HG9)),(HL18-HG18)/(HL9-HG9))</f>
        <v>0.5561534525658729</v>
      </c>
      <c r="HM172" s="521">
        <f>(HM18-HH18)/(HM9-HH9)</f>
        <v>0.5572407809901947</v>
      </c>
      <c r="HN172" s="521"/>
      <c r="HO172" s="521"/>
      <c r="HP172" s="563"/>
      <c r="HR172" s="563"/>
      <c r="HS172" s="563"/>
      <c r="HT172" s="563"/>
      <c r="HU172" s="563"/>
      <c r="HV172" s="563"/>
      <c r="HW172" s="563"/>
      <c r="HX172" s="563"/>
    </row>
    <row r="173" spans="1:232" s="509" customFormat="1" ht="11.25" hidden="1" customHeight="1" outlineLevel="1">
      <c r="A173" s="532" t="s">
        <v>482</v>
      </c>
      <c r="L173" s="520"/>
      <c r="M173" s="518"/>
      <c r="N173" s="518"/>
      <c r="O173" s="518"/>
      <c r="P173" s="521"/>
      <c r="Q173" s="518"/>
      <c r="R173" s="518"/>
      <c r="S173" s="518"/>
      <c r="T173" s="518"/>
      <c r="U173" s="521"/>
      <c r="V173" s="518"/>
      <c r="W173" s="518"/>
      <c r="X173" s="518"/>
      <c r="Y173" s="518"/>
      <c r="Z173" s="521"/>
      <c r="AA173" s="518"/>
      <c r="AB173" s="518"/>
      <c r="AC173" s="518"/>
      <c r="AD173" s="518"/>
      <c r="AE173" s="521"/>
      <c r="AF173" s="518"/>
      <c r="AG173" s="518"/>
      <c r="AH173" s="518"/>
      <c r="AI173" s="518"/>
      <c r="AJ173" s="521"/>
      <c r="AK173" s="518">
        <f>IF(AND((AK24-AF24)&lt;0,(AK9-AF9)&lt;0),-((AK24-AF24)/(AK9-AF9)),(AK24-AF24)/(AK9-AF9))</f>
        <v>0.36427915605743649</v>
      </c>
      <c r="AL173" s="518">
        <f>IF(AND((AL24-AG24)&lt;0,(AL9-AG9)&lt;0),-((AL24-AG24)/(AL9-AG9)),(AL24-AG24)/(AL9-AG9))</f>
        <v>0.42243871019685236</v>
      </c>
      <c r="AM173" s="518">
        <f>IF(AND((AM24-AH24)&lt;0,(AM9-AH9)&lt;0),-((AM24-AH24)/(AM9-AH9)),(AM24-AH24)/(AM9-AH9))</f>
        <v>0.43369428436315283</v>
      </c>
      <c r="AN173" s="518">
        <f>IF(AND((AN24-AI24)&lt;0,(AN9-AI9)&lt;0),-((AN24-AI24)/(AN9-AI9)),(AN24-AI24)/(AN9-AI9))</f>
        <v>0.47830211590419219</v>
      </c>
      <c r="AO173" s="521">
        <f>IF(AND((AO24-AJ24)&lt;0,(AO9-AJ9)&lt;0),-((AO24-AJ24)/(AO9-AJ9)),(AO24-AJ24)/(AO9-AJ9))</f>
        <v>0.42782685930108016</v>
      </c>
      <c r="AP173" s="518">
        <f>IF(AND((AP24-AK24)&lt;0,(AP9-AK9)&lt;0),-((AP24-AK24)/(AP9-AK9)),(AP24-AK24)/(AP9-AK9))</f>
        <v>0.17146968677580923</v>
      </c>
      <c r="AQ173" s="518">
        <f>IF(AND((AQ24-AL24)&lt;0,(AQ9-AL9)&lt;0),-((AQ24-AL24)/(AQ9-AL9)),(AQ24-AL24)/(AQ9-AL9))</f>
        <v>-0.12048387270359526</v>
      </c>
      <c r="AR173" s="518">
        <f>IF(AND((AR24-AM24)&lt;0,(AR9-AM9)&lt;0),-((AR24-AM24)/(AR9-AM9)),(AR24-AM24)/(AR9-AM9))</f>
        <v>-1.7997292208753808</v>
      </c>
      <c r="AS173" s="518">
        <f>IF(AND((AS24-AN24)&lt;0,(AS9-AN9)&lt;0),-((AS24-AN24)/(AS9-AN9)),(AS24-AN24)/(AS9-AN9))</f>
        <v>-1.8165520987860695</v>
      </c>
      <c r="AT173" s="521">
        <f>IF(AND((AT24-AO24)&lt;0,(AT9-AO9)&lt;0),-((AT24-AO24)/(AT9-AO9)),(AT24-AO24)/(AT9-AO9))</f>
        <v>-0.5587311270398051</v>
      </c>
      <c r="AU173" s="518">
        <f>IF(AND((AU24-AP24)&lt;0,(AU9-AP9)&lt;0),-((AU24-AP24)/(AU9-AP9)),(AU24-AP24)/(AU9-AP9))</f>
        <v>-2.1373675610141798</v>
      </c>
      <c r="AV173" s="518">
        <f>IF(AND((AV24-AQ24)&lt;0,(AV9-AQ9)&lt;0),-((AV24-AQ24)/(AV9-AQ9)),(AV24-AQ24)/(AV9-AQ9))</f>
        <v>-1.3287132531246895</v>
      </c>
      <c r="AW173" s="518">
        <f>IF(AND((AW24-AR24)&lt;0,(AW9-AR9)&lt;0),-((AW24-AR24)/(AW9-AR9)),(AW24-AR24)/(AW9-AR9))</f>
        <v>-0.95429251889187638</v>
      </c>
      <c r="AX173" s="518">
        <f>IF(AND((AX24-AS24)&lt;0,(AX9-AS9)&lt;0),-((AX24-AS24)/(AX9-AS9)),(AX24-AS24)/(AX9-AS9))</f>
        <v>-0.87959775792680994</v>
      </c>
      <c r="AY173" s="521">
        <f>IF(AND((AY24-AT24)&lt;0,(AY9-AT9)&lt;0),-((AY24-AT24)/(AY9-AT9)),(AY24-AT24)/(AY9-AT9))</f>
        <v>-1.2619691423416994</v>
      </c>
      <c r="AZ173" s="518">
        <f>IF(AND((AZ24-AU24)&lt;0,(AZ9-AU9)&lt;0),-((AZ24-AU24)/(AZ9-AU9)),(AZ24-AU24)/(AZ9-AU9))</f>
        <v>3.3144985231796458</v>
      </c>
      <c r="BA173" s="518">
        <f>IF(AND((BA24-AV24)&lt;0,(BA9-AV9)&lt;0),-((BA24-AV24)/(BA9-AV9)),(BA24-AV24)/(BA9-AV9))</f>
        <v>0.78735912362708216</v>
      </c>
      <c r="BB173" s="518">
        <f>IF(AND((BB24-AW24)&lt;0,(BB9-AW9)&lt;0),-((BB24-AW24)/(BB9-AW9)),(BB24-AW24)/(BB9-AW9))</f>
        <v>0.13227740338527122</v>
      </c>
      <c r="BC173" s="518">
        <f>IF(AND((BC24-AX24)&lt;0,(BC9-AX9)&lt;0),-((BC24-AX24)/(BC9-AX9)),(BC24-AX24)/(BC9-AX9))</f>
        <v>7.3368700721392496E-2</v>
      </c>
      <c r="BD173" s="521">
        <f>IF(AND((BD24-AY24)&lt;0,(BD9-AY9)&lt;0),-((BD24-AY24)/(BD9-AY9)),(BD24-AY24)/(BD9-AY9))</f>
        <v>0.40325915568381299</v>
      </c>
      <c r="BE173" s="518">
        <f>IF(AND((BE24-AZ24)&lt;0,(BE9-AZ9)&lt;0),-((BE24-AZ24)/(BE9-AZ9)),(BE24-AZ24)/(BE9-AZ9))</f>
        <v>-9.2044332764964327</v>
      </c>
      <c r="BF173" s="518">
        <f>IF(AND((BF24-BA24)&lt;0,(BF9-BA9)&lt;0),-((BF24-BA24)/(BF9-BA9)),(BF24-BA24)/(BF9-BA9))</f>
        <v>-1.6648633550416752</v>
      </c>
      <c r="BG173" s="518">
        <f>IF(AND((BG24-BB24)&lt;0,(BG9-BB9)&lt;0),-((BG24-BB24)/(BG9-BB9)),(BG24-BB24)/(BG9-BB9))</f>
        <v>0.76091753189296973</v>
      </c>
      <c r="BH173" s="518">
        <f>IF(AND((BH24-BC24)&lt;0,(BH9-BC9)&lt;0),-((BH24-BC24)/(BH9-BC9)),(BH24-BC24)/(BH9-BC9))</f>
        <v>0.42635027811146048</v>
      </c>
      <c r="BI173" s="521">
        <f>IF(AND((BI24-BD24)&lt;0,(BI9-BD9)&lt;0),-((BI24-BD24)/(BI9-BD9)),(BI24-BD24)/(BI9-BD9))</f>
        <v>-0.39290828246288312</v>
      </c>
      <c r="BJ173" s="518">
        <f>IF(AND((BJ24-BE24)&lt;0,(BJ9-BE9)&lt;0),-((BJ24-BE24)/(BJ9-BE9)),(BJ24-BE24)/(BJ9-BE9))</f>
        <v>-7.7421559011207688E-2</v>
      </c>
      <c r="BK173" s="518">
        <f>IF(AND((BK24-BF24)&lt;0,(BK9-BF9)&lt;0),-((BK24-BF24)/(BK9-BF9)),(BK24-BF24)/(BK9-BF9))</f>
        <v>-0.74477548818013428</v>
      </c>
      <c r="BL173" s="518">
        <f>IF(AND((BL24-BG24)&lt;0,(BL9-BG9)&lt;0),-((BL24-BG24)/(BL9-BG9)),(BL24-BG24)/(BL9-BG9))</f>
        <v>-4.571266062776485</v>
      </c>
      <c r="BM173" s="518">
        <f>IF(AND((BM24-BH24)&lt;0,(BM9-BH9)&lt;0),-((BM24-BH24)/(BM9-BH9)),(BM24-BH24)/(BM9-BH9))</f>
        <v>0.26432820056701284</v>
      </c>
      <c r="BN173" s="521">
        <f>IF(AND((BN24-BI24)&lt;0,(BN9-BI9)&lt;0),-((BN24-BI24)/(BN9-BI9)),(BN24-BI24)/(BN9-BI9))</f>
        <v>-0.37736279690486652</v>
      </c>
      <c r="BO173" s="518">
        <f>IF(AND((BO24-BJ24)&lt;0,(BO9-BJ9)&lt;0),-((BO24-BJ24)/(BO9-BJ9)),(BO24-BJ24)/(BO9-BJ9))</f>
        <v>0.62280751287909686</v>
      </c>
      <c r="BP173" s="518">
        <f>IF(AND((BP24-BK24)&lt;0,(BP9-BK9)&lt;0),-((BP24-BK24)/(BP9-BK9)),(BP24-BK24)/(BP9-BK9))</f>
        <v>0.70433735191056224</v>
      </c>
      <c r="BQ173" s="518">
        <f>IF(AND((BQ24-BL24)&lt;0,(BQ9-BL9)&lt;0),-((BQ24-BL24)/(BQ9-BL9)),(BQ24-BL24)/(BQ9-BL9))</f>
        <v>0.6646998201547879</v>
      </c>
      <c r="BR173" s="518">
        <f>IF(AND((BR24-BM24)&lt;0,(BR9-BM9)&lt;0),-((BR24-BM24)/(BR9-BM9)),(BR24-BM24)/(BR9-BM9))</f>
        <v>0.56959634218403432</v>
      </c>
      <c r="BS173" s="521">
        <f>IF(AND((BS24-BN24)&lt;0,(BS9-BN9)&lt;0),-((BS24-BN24)/(BS9-BN9)),(BS24-BN24)/(BS9-BN9))</f>
        <v>0.65567734608467665</v>
      </c>
      <c r="BT173" s="518">
        <f>IF(AND((BT24-BO24)&lt;0,(BT9-BO9)&lt;0),-((BT24-BO24)/(BT9-BO9)),(BT24-BO24)/(BT9-BO9))</f>
        <v>-0.14113195061932476</v>
      </c>
      <c r="BU173" s="518">
        <f>IF(AND((BU24-BP24)&lt;0,(BU9-BP9)&lt;0),-((BU24-BP24)/(BU9-BP9)),(BU24-BP24)/(BU9-BP9))</f>
        <v>-1.2341810091103993</v>
      </c>
      <c r="BV173" s="518">
        <f>IF(AND((BV24-BQ24)&lt;0,(BV9-BQ9)&lt;0),-((BV24-BQ24)/(BV9-BQ9)),(BV24-BQ24)/(BV9-BQ9))</f>
        <v>-0.89913973663369473</v>
      </c>
      <c r="BW173" s="518">
        <f>IF(AND((BW24-BR24)&lt;0,(BW9-BR9)&lt;0),-((BW24-BR24)/(BW9-BR9)),(BW24-BR24)/(BW9-BR9))</f>
        <v>-0.95105665497830283</v>
      </c>
      <c r="BX173" s="521">
        <f>IF(AND((BX24-BS24)&lt;0,(BX9-BS9)&lt;0),-((BX24-BS24)/(BX9-BS9)),(BX24-BS24)/(BX9-BS9))</f>
        <v>-1.1307172864560693</v>
      </c>
      <c r="BY173" s="518">
        <f>IF(AND((BY24-BT24)&lt;0,(BY9-BT9)&lt;0),-((BY24-BT24)/(BY9-BT9)),(BY24-BT24)/(BY9-BT9))</f>
        <v>-0.62985132938459731</v>
      </c>
      <c r="BZ173" s="518">
        <f>IF(AND((BZ24-BU24)&lt;0,(BZ9-BU9)&lt;0),-((BZ24-BU24)/(BZ9-BU9)),(BZ24-BU24)/(BZ9-BU9))</f>
        <v>-0.82689075630252107</v>
      </c>
      <c r="CA173" s="518">
        <f>IF(AND((CA24-BV24)&lt;0,(CA9-BV9)&lt;0),-((CA24-BV24)/(CA9-BV9)),(CA24-BV24)/(CA9-BV9))</f>
        <v>-0.74442542587999705</v>
      </c>
      <c r="CB173" s="518">
        <f>IF(AND((CB24-BW24)&lt;0,(CB9-BW9)&lt;0),-((CB24-BW24)/(CB9-BW9)),(CB24-BW24)/(CB9-BW9))</f>
        <v>-0.7537437415942404</v>
      </c>
      <c r="CC173" s="521">
        <f>IF(AND((CC24-BX24)&lt;0,(CC9-BX9)&lt;0),-((CC24-BX24)/(CC9-BX9)),(CC24-BX24)/(CC9-BX9))</f>
        <v>-0.74557576011215965</v>
      </c>
      <c r="CD173" s="518">
        <f>IF(AND((CD24-BY24)&lt;0,(CD9-BY9)&lt;0),-((CD24-BY24)/(CD9-BY9)),(CD24-BY24)/(CD9-BY9))</f>
        <v>-0.58545846265425172</v>
      </c>
      <c r="CE173" s="518">
        <f>IF(AND((CE24-BZ24)&lt;0,(CE9-BZ9)&lt;0),-((CE24-BZ24)/(CE9-BZ9)),(CE24-BZ24)/(CE9-BZ9))</f>
        <v>3.8513856145189287</v>
      </c>
      <c r="CF173" s="518">
        <f>IF(AND((CF24-CA24)&lt;0,(CF9-CA9)&lt;0),-((CF24-CA24)/(CF9-CA9)),(CF24-CA24)/(CF9-CA9))</f>
        <v>0.64407270409308437</v>
      </c>
      <c r="CG173" s="518">
        <f>IF(AND((CG24-CB24)&lt;0,(CG9-CB9)&lt;0),-((CG24-CB24)/(CG9-CB9)),(CG24-CB24)/(CG9-CB9))</f>
        <v>0.49155274932920873</v>
      </c>
      <c r="CH173" s="521">
        <f>IF(AND((CH24-CC24)&lt;0,(CH9-CC9)&lt;0),-((CH24-CC24)/(CH9-CC9)),(CH24-CC24)/(CH9-CC9))</f>
        <v>0.73653360319848604</v>
      </c>
      <c r="CI173" s="518">
        <f>IF(AND((CI24-CD24)&lt;0,(CI9-CD9)&lt;0),-((CI24-CD24)/(CI9-CD9)),(CI24-CD24)/(CI9-CD9))</f>
        <v>0.35374742755969785</v>
      </c>
      <c r="CJ173" s="518">
        <f>IF(AND((CJ24-CE24)&lt;0,(CJ9-CE9)&lt;0),-((CJ24-CE24)/(CJ9-CE9)),(CJ24-CE24)/(CJ9-CE9))</f>
        <v>0.32186137637533735</v>
      </c>
      <c r="CK173" s="518">
        <f>IF(AND((CK24-CF24)&lt;0,(CK9-CF9)&lt;0),-((CK24-CF24)/(CK9-CF9)),(CK24-CF24)/(CK9-CF9))</f>
        <v>0.3730731536576829</v>
      </c>
      <c r="CL173" s="518">
        <f>IF(AND((CL24-CG24)&lt;0,(CL9-CG9)&lt;0),-((CL24-CG24)/(CL9-CG9)),(CL24-CG24)/(CL9-CG9))</f>
        <v>-0.25999346101560844</v>
      </c>
      <c r="CM173" s="521">
        <f>IF(AND((CM24-CH24)&lt;0,(CM9-CH9)&lt;0),-((CM24-CH24)/(CM9-CH9)),(CM24-CH24)/(CM9-CH9))</f>
        <v>0.3201467751761321</v>
      </c>
      <c r="CN173" s="518">
        <f>IF(AND((CN24-CI24)&lt;0,(CN9-CI9)&lt;0),-((CN24-CI24)/(CN9-CI9)),(CN24-CI24)/(CN9-CI9))</f>
        <v>-10.906986231514461</v>
      </c>
      <c r="CO173" s="518">
        <f>IF(AND((CO24-CJ24)&lt;0,(CO9-CJ9)&lt;0),-((CO24-CJ24)/(CO9-CJ9)),(CO24-CJ24)/(CO9-CJ9))</f>
        <v>-42.774882751430937</v>
      </c>
      <c r="CP173" s="518">
        <f>IF(AND((CP24-CK24)&lt;0,(CP9-CK9)&lt;0),-((CP24-CK24)/(CP9-CK9)),(CP24-CK24)/(CP9-CK9))</f>
        <v>3.6604823223766465E-2</v>
      </c>
      <c r="CQ173" s="518">
        <f>IF(AND((CQ24-CL24)&lt;0,(CQ9-CL9)&lt;0),-((CQ24-CL24)/(CQ9-CL9)),(CQ24-CL24)/(CQ9-CL9))</f>
        <v>0.31858433263135899</v>
      </c>
      <c r="CR173" s="521">
        <f>(CR24-CM24)/(CR9-CM9)</f>
        <v>5.189436288471733E-3</v>
      </c>
      <c r="CS173" s="518">
        <f>IF(AND((CS24-CN24)&lt;0,(CS9-CN9)&lt;0),-((CS24-CN24)/(CS9-CN9)),(CS24-CN24)/(CS9-CN9))</f>
        <v>2.8831327584573105</v>
      </c>
      <c r="CT173" s="518">
        <f>IF(AND((CT24-CO24)&lt;0,(CT9-CO9)&lt;0),-((CT24-CO24)/(CT9-CO9)),(CT24-CO24)/(CT9-CO9))</f>
        <v>-2.5083235746596007</v>
      </c>
      <c r="CU173" s="518">
        <f>IF(AND((CU24-CP24)&lt;0,(CU9-CP9)&lt;0),-((CU24-CP24)/(CU9-CP9)),(CU24-CP24)/(CU9-CP9))</f>
        <v>-0.20726376368938054</v>
      </c>
      <c r="CV173" s="518">
        <f>IF(AND((CV24-CQ24)&lt;0,(CV9-CQ9)&lt;0),-((CV24-CQ24)/(CV9-CQ9)),(CV24-CQ24)/(CV9-CQ9))</f>
        <v>-2.7838102824927971</v>
      </c>
      <c r="CW173" s="521">
        <f>(CW24-CR24)/(CW9-CR9)</f>
        <v>-1.3718943708108629</v>
      </c>
      <c r="CX173" s="518">
        <f>IF(AND((CX24-CS24)&lt;0,(CX9-CS9)&lt;0),-((CX24-CS24)/(CX9-CS9)),(CX24-CS24)/(CX9-CS9))</f>
        <v>-6.5511607737146829</v>
      </c>
      <c r="CY173" s="518">
        <f>IF(AND((CY24-CT24)&lt;0,(CY9-CT9)&lt;0),-((CY24-CT24)/(CY9-CT9)),(CY24-CT24)/(CY9-CT9))</f>
        <v>-2.6610221922503445</v>
      </c>
      <c r="CZ173" s="518">
        <f>IF(AND((CZ24-CU24)&lt;0,(CZ9-CU9)&lt;0),-((CZ24-CU24)/(CZ9-CU9)),(CZ24-CU24)/(CZ9-CU9))</f>
        <v>-0.87776383312854456</v>
      </c>
      <c r="DA173" s="518">
        <f>IF(AND((DA24-CV24)&lt;0,(DA9-CV9)&lt;0),-((DA24-CV24)/(DA9-CV9)),(DA24-CV24)/(DA9-CV9))</f>
        <v>-11</v>
      </c>
      <c r="DB173" s="521">
        <f>(DB24-CW24)/(DB9-CW9)</f>
        <v>-3.7924134197052095</v>
      </c>
      <c r="DC173" s="518">
        <f>IF(AND((DC24-CX24)&lt;0,(DC9-CX9)&lt;0),-((DC24-CX24)/(DC9-CX9)),(DC24-CX24)/(DC9-CX9))</f>
        <v>0.65073529411764708</v>
      </c>
      <c r="DD173" s="518">
        <f>IF(AND((DD24-CY24)&lt;0,(DD9-CY9)&lt;0),-((DD24-CY24)/(DD9-CY9)),(DD24-CY24)/(DD9-CY9))</f>
        <v>-1.7931034482758621</v>
      </c>
      <c r="DE173" s="518">
        <f>IF(AND((DE24-CZ24)&lt;0,(DE9-CZ9)&lt;0),-((DE24-CZ24)/(DE9-CZ9)),(DE24-CZ24)/(DE9-CZ9))</f>
        <v>-4.615384615384615</v>
      </c>
      <c r="DF173" s="518">
        <f>IF(AND((DF24-DA24)&lt;0,(DF9-DA9)&lt;0),-((DF24-DA24)/(DF9-DA9)),(DF24-DA24)/(DF9-DA9))</f>
        <v>-0.41282894736842107</v>
      </c>
      <c r="DG173" s="521">
        <f>(DG24-DB24)/(DG9-DB9)</f>
        <v>-0.2506393861892583</v>
      </c>
      <c r="DH173" s="518">
        <f>IF(AND((DH24-DC24)&lt;0,(DH9-DC9)&lt;0),-((DH24-DC24)/(DH9-DC9)),(DH24-DC24)/(DH9-DC9))</f>
        <v>-0.21036585365853658</v>
      </c>
      <c r="DI173" s="518">
        <f>IF(AND((DI24-DD24)&lt;0,(DI9-DD9)&lt;0),-((DI24-DD24)/(DI9-DD9)),(DI24-DD24)/(DI9-DD9))</f>
        <v>-0.4303030303030303</v>
      </c>
      <c r="DJ173" s="518">
        <f>IF(AND((DJ24-DE24)&lt;0,(DJ9-DE9)&lt;0),-((DJ24-DE24)/(DJ9-DE9)),(DJ24-DE24)/(DJ9-DE9))</f>
        <v>-0.35714285714285715</v>
      </c>
      <c r="DK173" s="518">
        <f>IF(AND((DK24-DF24)&lt;0,(DK9-DF9)&lt;0),-((DK24-DF24)/(DK9-DF9)),(DK24-DF24)/(DK9-DF9))</f>
        <v>0.88636363636363635</v>
      </c>
      <c r="DL173" s="521">
        <f>(DL24-DG24)/(DL9-DG9)</f>
        <v>-2.9406392694063928</v>
      </c>
      <c r="DM173" s="518">
        <f>IF(AND((DM24-DH24)&lt;0,(DM9-DH9)&lt;0),-((DM24-DH24)/(DM9-DH9)),(DM24-DH24)/(DM9-DH9))</f>
        <v>0.69269521410579349</v>
      </c>
      <c r="DN173" s="518">
        <f>IF(AND((DN24-DI24)&lt;0,(DN9-DI9)&lt;0),-((DN24-DI24)/(DN9-DI9)),(DN24-DI24)/(DN9-DI9))</f>
        <v>0.73134328358208955</v>
      </c>
      <c r="DO173" s="518">
        <f>IF(AND((DO24-DJ24)&lt;0,(DO9-DJ9)&lt;0),-((DO24-DJ24)/(DO9-DJ9)),(DO24-DJ24)/(DO9-DJ9))</f>
        <v>0.43693693693693691</v>
      </c>
      <c r="DP173" s="518">
        <f>IF(AND((DP24-DK24)&lt;0,(DP9-DK9)&lt;0),-((DP24-DK24)/(DP9-DK9)),(DP24-DK24)/(DP9-DK9))</f>
        <v>-9.3333333333333339</v>
      </c>
      <c r="DQ173" s="521">
        <f>(DQ24-DL24)/(DQ9-DL9)</f>
        <v>0.62969752520623279</v>
      </c>
      <c r="DR173" s="518">
        <f>IF(AND((DR24-DM24)&lt;0,(DR9-DM9)&lt;0),-((DR24-DM24)/(DR9-DM9)),(DR24-DM24)/(DR9-DM9))</f>
        <v>-0.97435897435897434</v>
      </c>
      <c r="DS173" s="518">
        <f>IF(AND((DS24-DN24)&lt;0,(DS9-DN9)&lt;0),-((DS24-DN24)/(DS9-DN9)),(DS24-DN24)/(DS9-DN9))</f>
        <v>-0.30379746835443039</v>
      </c>
      <c r="DT173" s="518">
        <f>IF(AND((DT24-DO24)&lt;0,(DT9-DO9)&lt;0),-((DT24-DO24)/(DT9-DO9)),(DT24-DO24)/(DT9-DO9))</f>
        <v>2.7777777777777776E-2</v>
      </c>
      <c r="DU173" s="518">
        <f>IF(AND((DU24-DP24)&lt;0,(DU9-DP9)&lt;0),-((DU24-DP24)/(DU9-DP9)),(DU24-DP24)/(DU9-DP9))</f>
        <v>0.73809523809523814</v>
      </c>
      <c r="DV173" s="521">
        <f>(DV24-DQ24)/(DV9-DQ9)</f>
        <v>-0.39189189189189189</v>
      </c>
      <c r="DW173" s="518">
        <f>IF(AND((DW24-DR24)&lt;0,(DW9-DR9)&lt;0),-((DW24-DR24)/(DW9-DR9)),(DW24-DR24)/(DW9-DR9))</f>
        <v>-1.6428571428571428</v>
      </c>
      <c r="DX173" s="518">
        <f>IF(AND((DX24-DS24)&lt;0,(DX9-DS9)&lt;0),-((DX24-DS24)/(DX9-DS9)),(DX24-DS24)/(DX9-DS9))</f>
        <v>-0.17391304347826086</v>
      </c>
      <c r="DY173" s="518">
        <f>IF(AND((DY24-DT24)&lt;0,(DY9-DT9)&lt;0),-((DY24-DT24)/(DY9-DT9)),(DY24-DT24)/(DY9-DT9))</f>
        <v>-0.64133016627078387</v>
      </c>
      <c r="DZ173" s="518">
        <f>IF(AND((DZ24-DU24)&lt;0,(DZ9-DU9)&lt;0),-((DZ24-DU24)/(DZ9-DU9)),(DZ24-DU24)/(DZ9-DU9))</f>
        <v>-0.42350746268656714</v>
      </c>
      <c r="EA173" s="521">
        <f>(EA24-DV24)/(EA9-DV9)</f>
        <v>0.41797556719022688</v>
      </c>
      <c r="EB173" s="518">
        <f>IF(AND((EB24-DW24)&lt;0,(EB9-DW9)&lt;0),-((EB24-DW24)/(EB9-DW9)),(EB24-DW24)/(EB9-DW9))</f>
        <v>-0.37022132796780682</v>
      </c>
      <c r="EC173" s="518">
        <f>IF(AND((EC24-DX24)&lt;0,(EC9-DX9)&lt;0),-((EC24-DX24)/(EC9-DX9)),(EC24-DX24)/(EC9-DX9))</f>
        <v>-0.42063492063492064</v>
      </c>
      <c r="ED173" s="518">
        <f>IF(AND((ED24-DY24)&lt;0,(ED9-DY9)&lt;0),-((ED24-DY24)/(ED9-DY9)),(ED24-DY24)/(ED9-DY9))</f>
        <v>1.0520833333333333</v>
      </c>
      <c r="EE173" s="518">
        <f>IF(AND((EE24-DZ24)&lt;0,(EE9-DZ9)&lt;0),-((EE24-DZ24)/(EE9-DZ9)),(EE24-DZ24)/(EE9-DZ9))</f>
        <v>0.33640552995391704</v>
      </c>
      <c r="EF173" s="521">
        <f>(EF24-EA24)/(EF9-EA9)</f>
        <v>-0.47154471544715448</v>
      </c>
      <c r="EG173" s="518">
        <f>IF(AND((EG24-EB24)&lt;0,(EG9-EB9)&lt;0),-((EG24-EB24)/(EG9-EB9)),(EG24-EB24)/(EG9-EB9))</f>
        <v>0.36245954692556637</v>
      </c>
      <c r="EH173" s="518">
        <f>IF(AND((EH24-EC24)&lt;0,(EH9-EC9)&lt;0),-((EH24-EC24)/(EH9-EC9)),(EH24-EC24)/(EH9-EC9))</f>
        <v>0.31071428571428572</v>
      </c>
      <c r="EI173" s="518">
        <f>IF(AND((EI24-ED24)&lt;0,(EI9-ED9)&lt;0),-((EI24-ED24)/(EI9-ED9)),(EI24-ED24)/(EI9-ED9))</f>
        <v>-0.375</v>
      </c>
      <c r="EJ173" s="518">
        <f>IF(AND((EJ24-EE24)&lt;0,(EJ9-EE9)&lt;0),-((EJ24-EE24)/(EJ9-EE9)),(EJ24-EE24)/(EJ9-EE9))</f>
        <v>-0.15714285714285714</v>
      </c>
      <c r="EK173" s="521">
        <f>(EK24-EF24)/(EK9-EF9)</f>
        <v>0.6376811594202898</v>
      </c>
      <c r="EL173" s="518">
        <f>IF(AND((EL24-EG24)&lt;0,(EL9-EG9)&lt;0),-((EL24-EG24)/(EL9-EG9)),(EL24-EG24)/(EL9-EG9))</f>
        <v>-0.30790190735694822</v>
      </c>
      <c r="EM173" s="518">
        <f>IF(AND((EM24-EH24)&lt;0,(EM9-EH9)&lt;0),-((EM24-EH24)/(EM9-EH9)),(EM24-EH24)/(EM9-EH9))</f>
        <v>-0.34268537074148298</v>
      </c>
      <c r="EN173" s="518">
        <f>IF(AND((EN24-EI24)&lt;0,(EN9-EI9)&lt;0),-((EN24-EI24)/(EN9-EI9)),(EN24-EI24)/(EN9-EI9))</f>
        <v>-0.47826086956521741</v>
      </c>
      <c r="EO173" s="518">
        <f>IF(AND((EO24-EJ24)&lt;0,(EO9-EJ9)&lt;0),-((EO24-EJ24)/(EO9-EJ9)),(EO24-EJ24)/(EO9-EJ9))</f>
        <v>-0.32384341637010677</v>
      </c>
      <c r="EP173" s="521">
        <f>(EP24-EK24)/(EP9-EK9)</f>
        <v>0.36369636963696372</v>
      </c>
      <c r="EQ173" s="518">
        <f>IF(AND((EQ24-EL24)&lt;0,(EQ9-EL9)&lt;0),-((EQ24-EL24)/(EQ9-EL9)),(EQ24-EL24)/(EQ9-EL9))</f>
        <v>-0.15656565656565657</v>
      </c>
      <c r="ER173" s="518">
        <f>IF(AND((ER24-EM24)&lt;0,(ER9-EM9)&lt;0),-((ER24-EM24)/(ER9-EM9)),(ER24-EM24)/(ER9-EM9))</f>
        <v>0.74117647058823533</v>
      </c>
      <c r="ES173" s="518">
        <f>IF(AND((ES24-EN24)&lt;0,(ES9-EN9)&lt;0),-((ES24-EN24)/(ES9-EN9)),(ES24-EN24)/(ES9-EN9))</f>
        <v>0.54065040650406504</v>
      </c>
      <c r="ET173" s="518">
        <f>IF(AND((ET24-EO24)&lt;0,(ET9-EO9)&lt;0),-((ET24-EO24)/(ET9-EO9)),(ET24-EO24)/(ET9-EO9))</f>
        <v>0.14189189189189189</v>
      </c>
      <c r="EU173" s="521">
        <f>(EU24-EP24)/(EU9-EP9)</f>
        <v>0.66192170818505336</v>
      </c>
      <c r="EV173" s="518">
        <f>IF(AND((EV24-EQ24)&lt;0,(EV9-EQ9)&lt;0),-((EV24-EQ24)/(EV9-EQ9)),(EV24-EQ24)/(EV9-EQ9))</f>
        <v>0.14473684210526316</v>
      </c>
      <c r="EW173" s="518">
        <f>IF(AND((EW24-ER24)&lt;0,(EW9-ER9)&lt;0),-((EW24-ER24)/(EW9-ER9)),(EW24-ER24)/(EW9-ER9))</f>
        <v>0.21025641025641026</v>
      </c>
      <c r="EX173" s="518">
        <f>IF(AND((EX24-ES24)&lt;0,(EX9-ES9)&lt;0),-((EX24-ES24)/(EX9-ES9)),(EX24-ES24)/(EX9-ES9))</f>
        <v>0.30654761904761907</v>
      </c>
      <c r="EY173" s="518">
        <f>IF(AND((EY24-ET24)&lt;0,(EY9-ET9)&lt;0),-((EY24-ET24)/(EY9-ET9)),(EY24-ET24)/(EY9-ET9))</f>
        <v>0.31016042780748665</v>
      </c>
      <c r="EZ173" s="521">
        <f>(EZ24-EU24)/(EZ9-EU9)</f>
        <v>0.26679280983916748</v>
      </c>
      <c r="FA173" s="518">
        <f>IF(AND((FA24-EV24)&lt;0,(FA9-EV9)&lt;0),-((FA24-EV24)/(FA9-EV9)),(FA24-EV24)/(FA9-EV9))</f>
        <v>0.26546003016591252</v>
      </c>
      <c r="FB173" s="518">
        <f>IF(AND((FB24-EW24)&lt;0,(FB9-EW9)&lt;0),-((FB24-EW24)/(FB9-EW9)),(FB24-EW24)/(FB9-EW9))</f>
        <v>0.28651685393258425</v>
      </c>
      <c r="FC173" s="518">
        <f>IF(AND((FC24-EX24)&lt;0,(FC9-EX9)&lt;0),-((FC24-EX24)/(FC9-EX9)),(FC24-EX24)/(FC9-EX9))</f>
        <v>2.4</v>
      </c>
      <c r="FD173" s="518">
        <f>IF(AND((FD24-EY24)&lt;0,(FD9-EY9)&lt;0),-((FD24-EY24)/(FD9-EY9)),(FD24-EY24)/(FD9-EY9))</f>
        <v>-0.88524590163934425</v>
      </c>
      <c r="FE173" s="521">
        <f>(FE24-EZ24)/(FE9-EZ9)</f>
        <v>0.26090750436300175</v>
      </c>
      <c r="FF173" s="518">
        <f>IF(AND((FF24-FA24)&lt;0,(FF9-FA9)&lt;0),-((FF24-FA24)/(FF9-FA9)),(FF24-FA24)/(FF9-FA9))</f>
        <v>-0.36533333333333334</v>
      </c>
      <c r="FG173" s="518">
        <f>IF(AND((FG24-FB24)&lt;0,(FG9-FB9)&lt;0),-((FG24-FB24)/(FG9-FB9)),(FG24-FB24)/(FG9-FB9))</f>
        <v>-0.38666666666666666</v>
      </c>
      <c r="FH173" s="518">
        <f>IF(AND((FH24-FC24)&lt;0,(FH9-FC9)&lt;0),-((FH24-FC24)/(FH9-FC9)),(FH24-FC24)/(FH9-FC9))</f>
        <v>0.24324324324324326</v>
      </c>
      <c r="FI173" s="518">
        <f>IF(AND((FI24-FD24)&lt;0,(FI9-FD9)&lt;0),-((FI24-FD24)/(FI9-FD9)),(FI24-FD24)/(FI9-FD9))</f>
        <v>0.4519774011299435</v>
      </c>
      <c r="FJ173" s="521">
        <f>(FJ24-FE24)/(FJ9-FE9)</f>
        <v>0.515625</v>
      </c>
      <c r="FK173" s="518">
        <f>IF(AND((FK24-FF24)&lt;0,(FK9-FF9)&lt;0),-((FK24-FF24)/(FK9-FF9)),(FK24-FF24)/(FK9-FF9))</f>
        <v>0.37743190661478598</v>
      </c>
      <c r="FL173" s="518">
        <f>IF(AND((FL24-FG24)&lt;0,(FL9-FG9)&lt;0),-((FL24-FG24)/(FL9-FG9)),(FL24-FG24)/(FL9-FG9))</f>
        <v>0.26683291770573564</v>
      </c>
      <c r="FM173" s="518">
        <f>IF(AND((FM24-FH24)&lt;0,(FM9-FH9)&lt;0),-((FM24-FH24)/(FM9-FH9)),(FM24-FH24)/(FM9-FH9))</f>
        <v>0.26300000000000001</v>
      </c>
      <c r="FN173" s="518">
        <f>IF(AND((FN24-FI24)&lt;0,(FN9-FI9)&lt;0),-((FN24-FI24)/(FN9-FI9)),(FN24-FI24)/(FN9-FI9))</f>
        <v>0.21128021486123547</v>
      </c>
      <c r="FO173" s="521">
        <f>(FO24-FJ24)/(FO9-FJ9)</f>
        <v>0.26385224274406333</v>
      </c>
      <c r="FP173" s="518">
        <f>IF(AND((FP24-FK24)&lt;0,(FP9-FK9)&lt;0),-((FP24-FK24)/(FP9-FK9)),(FP24-FK24)/(FP9-FK9))</f>
        <v>0.30138637733574442</v>
      </c>
      <c r="FQ173" s="518">
        <f>IF(AND((FQ24-FL24)&lt;0,(FQ9-FL9)&lt;0),-((FQ24-FL24)/(FQ9-FL9)),(FQ24-FL24)/(FQ9-FL9))</f>
        <v>0.34827945776850888</v>
      </c>
      <c r="FR173" s="518">
        <f>IF(AND((FR24-FM24)&lt;0,(FR9-FM9)&lt;0),-((FR24-FM24)/(FR9-FM9)),(FR24-FM24)/(FR9-FM9))</f>
        <v>0.33531746031746029</v>
      </c>
      <c r="FS173" s="518">
        <f>IF(AND((FS24-FN24)&lt;0,(FS9-FN9)&lt;0),-((FS24-FN24)/(FS9-FN9)),(FS24-FN24)/(FS9-FN9))</f>
        <v>0.39949431099873578</v>
      </c>
      <c r="FT173" s="521">
        <f>(FT24-FO24)/(FT9-FO9)</f>
        <v>0.34582521361115276</v>
      </c>
      <c r="FU173" s="518">
        <f>IF(AND((FU24-FP24)&lt;0,(FU9-FP9)&lt;0),-((FU24-FP24)/(FU9-FP9)),(FU24-FP24)/(FU9-FP9))</f>
        <v>0.40376740376740378</v>
      </c>
      <c r="FV173" s="518">
        <f>IF(AND((FV24-FQ24)&lt;0,(FV9-FQ9)&lt;0),-((FV24-FQ24)/(FV9-FQ9)),(FV24-FQ24)/(FV9-FQ9))</f>
        <v>0.32666666666666666</v>
      </c>
      <c r="FW173" s="518">
        <f>IF(AND((FW24-FR24)&lt;0,(FW9-FR9)&lt;0),-((FW24-FR24)/(FW9-FR9)),(FW24-FR24)/(FW9-FR9))</f>
        <v>3.1150159744408944E-2</v>
      </c>
      <c r="FX173" s="518">
        <f>IF(AND((FX24-FS24)&lt;0,(FX9-FS9)&lt;0),-((FX24-FS24)/(FX9-FS9)),(FX24-FS24)/(FX9-FS9))</f>
        <v>-0.34152652005174644</v>
      </c>
      <c r="FY173" s="521">
        <f>(FY24-FT24)/(FY9-FT9)</f>
        <v>0.22924515138830753</v>
      </c>
      <c r="FZ173" s="518">
        <f>IF(AND((FZ24-FU24)&lt;0,(FZ9-FU9)&lt;0),-((FZ24-FU24)/(FZ9-FU9)),(FZ24-FU24)/(FZ9-FU9))</f>
        <v>-1.6292134831460674</v>
      </c>
      <c r="GA173" s="518">
        <f>IF(AND((GA24-FV24)&lt;0,(GA9-FV9)&lt;0),-((GA24-FV24)/(GA9-FV9)),(GA24-FV24)/(GA9-FV9))</f>
        <v>-0.84214945424013432</v>
      </c>
      <c r="GB173" s="518">
        <f>IF(AND((GB24-FW24)&lt;0,(GB9-FW9)&lt;0),-((GB24-FW24)/(GB9-FW9)),(GB24-FW24)/(GB9-FW9))</f>
        <v>-0.30638297872340425</v>
      </c>
      <c r="GC173" s="518">
        <f>IF(AND((GC24-FX24)&lt;0,(GC9-FX9)&lt;0),-((GC24-FX24)/(GC9-FX9)),(GC24-FX24)/(GC9-FX9))</f>
        <v>0.15114235500878734</v>
      </c>
      <c r="GD173" s="521">
        <f>(GD24-FY24)/(GD9-FY9)</f>
        <v>2.0184581976112921</v>
      </c>
      <c r="GE173" s="518">
        <f>IF(AND((GE24-FZ24)&lt;0,(GE9-FZ9)&lt;0),-((GE24-FZ24)/(GE9-FZ9)),(GE24-FZ24)/(GE9-FZ9))</f>
        <v>-0.25833333333333336</v>
      </c>
      <c r="GF173" s="518">
        <f>IF(AND((GF24-GA24)&lt;0,(GF9-GA9)&lt;0),-((GF24-GA24)/(GF9-GA9)),(GF24-GA24)/(GF9-GA9))</f>
        <v>0.41596638655462187</v>
      </c>
      <c r="GG173" s="518">
        <f>IF(AND((GG24-GB24)&lt;0,(GG9-GB9)&lt;0),-((GG24-GB24)/(GG9-GB9)),(GG24-GB24)/(GG9-GB9))</f>
        <v>0.43277723258096173</v>
      </c>
      <c r="GH173" s="518">
        <f>IF(AND((GH24-GC24)&lt;0,(GH9-GC9)&lt;0),-((GH24-GC24)/(GH9-GC9)),(GH24-GC24)/(GH9-GC9))</f>
        <v>0.43557046979865771</v>
      </c>
      <c r="GI173" s="521">
        <f>(GI24-GD24)/(GI9-GD9)</f>
        <v>0.40483091787439612</v>
      </c>
      <c r="GJ173" s="518">
        <f>IF(AND((GJ24-GE24)&lt;0,(GJ9-GE9)&lt;0),-((GJ24-GE24)/(GJ9-GE9)),(GJ24-GE24)/(GJ9-GE9))</f>
        <v>0.3323155216284987</v>
      </c>
      <c r="GK173" s="518">
        <f>IF(AND((GK24-GF24)&lt;0,(GK9-GF9)&lt;0),-((GK24-GF24)/(GK9-GF9)),(GK24-GF24)/(GK9-GF9))</f>
        <v>-0.21081081081081082</v>
      </c>
      <c r="GL173" s="518">
        <f>IF(AND((GL24-GG24)&lt;0,(GL9-GG9)&lt;0),-((GL24-GG24)/(GL9-GG9)),(GL24-GG24)/(GL9-GG9))</f>
        <v>0.18747424804285126</v>
      </c>
      <c r="GM173" s="518">
        <f>IF(AND((GM24-GH24)&lt;0,(GM9-GH9)&lt;0),-((GM24-GH24)/(GM9-GH9)),(GM24-GH24)/(GM9-GH9))</f>
        <v>0.26071975497702909</v>
      </c>
      <c r="GN173" s="521">
        <f>(GN24-GI24)/(GN9-GI9)</f>
        <v>0.15800768014456743</v>
      </c>
      <c r="GO173" s="518">
        <f>IF(AND((GO24-GJ24)&lt;0,(GO9-GJ9)&lt;0),-((GO24-GJ24)/(GO9-GJ9)),(GO24-GJ24)/(GO9-GJ9))</f>
        <v>0.2266429840142096</v>
      </c>
      <c r="GP173" s="518">
        <f>IF(AND((GP24-GK24)&lt;0,(GP9-GK9)&lt;0),-((GP24-GK24)/(GP9-GK9)),(GP24-GK24)/(GP9-GK9))</f>
        <v>0.5532751324875318</v>
      </c>
      <c r="GQ173" s="518">
        <f>IF(AND((GQ24-GL24)&lt;0,(GQ9-GL9)&lt;0),-((GQ24-GL24)/(GQ9-GL9)),(GQ24-GL24)/(GQ9-GL9))</f>
        <v>0.31307453858784196</v>
      </c>
      <c r="GR173" s="518">
        <f>IF(AND((GR24-GM24)&lt;0,(GR9-GM9)&lt;0),-((GR24-GM24)/(GR9-GM9)),(GR24-GM24)/(GR9-GM9))</f>
        <v>0.35256466567021322</v>
      </c>
      <c r="GS173" s="521">
        <f>(GS24-GN24)/(GS9-GN9)</f>
        <v>0.36901037992301688</v>
      </c>
      <c r="GT173" s="518">
        <f>IF(AND((GT24-GO24)&lt;0,(GT9-GO9)&lt;0),-((GT24-GO24)/(GT9-GO9)),(GT24-GO24)/(GT9-GO9))</f>
        <v>0.3864666251894488</v>
      </c>
      <c r="GU173" s="518">
        <f>IF(AND((GU24-GP24)&lt;0,(GU9-GP9)&lt;0),-((GU24-GP24)/(GU9-GP9)),(GU24-GP24)/(GU9-GP9))</f>
        <v>0.36838070587307808</v>
      </c>
      <c r="GV173" s="518">
        <f>IF(AND((GV24-GQ24)&lt;0,(GV9-GQ9)&lt;0),-((GV24-GQ24)/(GV9-GQ9)),(GV24-GQ24)/(GV9-GQ9))</f>
        <v>0.36815614502864941</v>
      </c>
      <c r="GW173" s="518">
        <f>IF(AND((GW24-GR24)&lt;0,(GW9-GR9)&lt;0),-((GW24-GR24)/(GW9-GR9)),(GW24-GR24)/(GW9-GR9))</f>
        <v>0.31775844074451226</v>
      </c>
      <c r="GX173" s="521">
        <f>(GX24-GS24)/(GX9-GS9)</f>
        <v>0.35964361417005242</v>
      </c>
      <c r="GY173" s="518">
        <f>IF(AND((GY24-GT24)&lt;0,(GY9-GT9)&lt;0),-((GY24-GT24)/(GY9-GT9)),(GY24-GT24)/(GY9-GT9))</f>
        <v>0.33005699070039685</v>
      </c>
      <c r="GZ173" s="518">
        <f>IF(AND((GZ24-GU24)&lt;0,(GZ9-GU9)&lt;0),-((GZ24-GU24)/(GZ9-GU9)),(GZ24-GU24)/(GZ9-GU9))</f>
        <v>0.36685499610487432</v>
      </c>
      <c r="HA173" s="518">
        <f>IF(AND((HA24-GV24)&lt;0,(HA9-GV9)&lt;0),-((HA24-GV24)/(HA9-GV9)),(HA24-GV24)/(HA9-GV9))</f>
        <v>0.46372443850076062</v>
      </c>
      <c r="HB173" s="518">
        <f>IF(AND((HB24-GW24)&lt;0,(HB9-GW9)&lt;0),-((HB24-GW24)/(HB9-GW9)),(HB24-GW24)/(HB9-GW9))</f>
        <v>0.57771384442035667</v>
      </c>
      <c r="HC173" s="521">
        <f>(HC24-GX24)/(HC9-GX9)</f>
        <v>0.41906861861196693</v>
      </c>
      <c r="HD173" s="518">
        <f>IF(AND((HD24-GY24)&lt;0,(HD9-GY9)&lt;0),-((HD24-GY24)/(HD9-GY9)),(HD24-GY24)/(HD9-GY9))</f>
        <v>0.4759752950631489</v>
      </c>
      <c r="HE173" s="518">
        <f>IF(AND((HE24-GZ24)&lt;0,(HE9-GZ9)&lt;0),-((HE24-GZ24)/(HE9-GZ9)),(HE24-GZ24)/(HE9-GZ9))</f>
        <v>0.43446703219705801</v>
      </c>
      <c r="HF173" s="518">
        <f>IF(AND((HF24-HA24)&lt;0,(HF9-HA9)&lt;0),-((HF24-HA24)/(HF9-HA9)),(HF24-HA24)/(HF9-HA9))</f>
        <v>0.40336031697086749</v>
      </c>
      <c r="HG173" s="518">
        <f>IF(AND((HG24-HB24)&lt;0,(HG9-HB9)&lt;0),-((HG24-HB24)/(HG9-HB9)),(HG24-HB24)/(HG9-HB9))</f>
        <v>0.34215141387649389</v>
      </c>
      <c r="HH173" s="521">
        <f>(HH24-HC24)/(HH9-HC9)</f>
        <v>0.41323819803320588</v>
      </c>
      <c r="HI173" s="518">
        <f>IF(AND((HI24-HD24)&lt;0,(HI9-HD9)&lt;0),-((HI24-HD24)/(HI9-HD9)),(HI24-HD24)/(HI9-HD9))</f>
        <v>0.35744605659270151</v>
      </c>
      <c r="HJ173" s="518">
        <f>IF(AND((HJ24-HE24)&lt;0,(HJ9-HE9)&lt;0),-((HJ24-HE24)/(HJ9-HE9)),(HJ24-HE24)/(HJ9-HE9))</f>
        <v>0.37824389601494729</v>
      </c>
      <c r="HK173" s="518">
        <f>IF(AND((HK24-HF24)&lt;0,(HK9-HF9)&lt;0),-((HK24-HF24)/(HK9-HF9)),(HK24-HF24)/(HK9-HF9))</f>
        <v>0.42449333943813838</v>
      </c>
      <c r="HL173" s="518">
        <f>IF(AND((HL24-HG24)&lt;0,(HL9-HG9)&lt;0),-((HL24-HG24)/(HL9-HG9)),(HL24-HG24)/(HL9-HG9))</f>
        <v>0.47861995917042593</v>
      </c>
      <c r="HM173" s="521">
        <f>(HM24-HH24)/(HM9-HH9)</f>
        <v>0.41593796686566342</v>
      </c>
      <c r="HN173" s="521"/>
      <c r="HO173" s="521"/>
      <c r="HP173" s="563"/>
      <c r="HR173" s="563"/>
      <c r="HS173" s="563"/>
      <c r="HT173" s="563"/>
      <c r="HU173" s="563"/>
      <c r="HV173" s="563"/>
      <c r="HW173" s="563"/>
      <c r="HX173" s="563"/>
    </row>
    <row r="174" spans="1:232" s="291" customFormat="1" ht="11.25" customHeight="1" collapsed="1">
      <c r="A174" s="654" t="s">
        <v>483</v>
      </c>
      <c r="M174" s="624"/>
      <c r="N174" s="624"/>
      <c r="O174" s="624"/>
      <c r="P174" s="625"/>
      <c r="Q174" s="624"/>
      <c r="R174" s="624"/>
      <c r="S174" s="624"/>
      <c r="T174" s="624"/>
      <c r="U174" s="339"/>
      <c r="Z174" s="339"/>
      <c r="AE174" s="339"/>
      <c r="AJ174" s="339"/>
      <c r="AK174" s="624">
        <f>(AK18-AI18)/(AK9-AI9)</f>
        <v>0.78043862113246909</v>
      </c>
      <c r="AL174" s="624">
        <f>(AL18-AK18)/(AL9-AK9)</f>
        <v>0.74348320720186067</v>
      </c>
      <c r="AM174" s="624">
        <f>(AM18-AL18)/(AM9-AL9)</f>
        <v>-0.7098910053987969</v>
      </c>
      <c r="AN174" s="624">
        <f>(AN18-AM18)/(AN9-AM9)</f>
        <v>-4.5637779941578112</v>
      </c>
      <c r="AO174" s="339">
        <f>(AO18-AN18)/(AO9-AN9)</f>
        <v>0.54798800370684708</v>
      </c>
      <c r="AP174" s="624">
        <f>(AP18-AN18)/(AP9-AN9)</f>
        <v>0.64052156737134314</v>
      </c>
      <c r="AQ174" s="624">
        <f>(AQ18-AP18)/(AQ9-AP9)</f>
        <v>-0.66508662961750986</v>
      </c>
      <c r="AR174" s="624">
        <f>(AR18-AQ18)/(AR9-AQ9)</f>
        <v>2.2108906193307072</v>
      </c>
      <c r="AS174" s="624">
        <f>(AS18-AR18)/(AS9-AR9)</f>
        <v>-5.9807110438729243</v>
      </c>
      <c r="AT174" s="339">
        <f>(AT18-AS18)/(AT9-AS9)</f>
        <v>0.49034815252396285</v>
      </c>
      <c r="AU174" s="624">
        <f>(AU18-AS18)/(AU9-AS9)</f>
        <v>1.1215560153225304</v>
      </c>
      <c r="AV174" s="624">
        <f>(AV18-AU18)/(AV9-AU9)</f>
        <v>1.1239019464856677</v>
      </c>
      <c r="AW174" s="624">
        <f>(AW18-AV18)/(AW9-AV9)</f>
        <v>24.578151260503866</v>
      </c>
      <c r="AX174" s="624">
        <f>(AX18-AW18)/(AX9-AW9)</f>
        <v>0.57681347797830274</v>
      </c>
      <c r="AY174" s="339">
        <f>(AY18-AX18)/(AY9-AX9)</f>
        <v>0.25405675647649184</v>
      </c>
      <c r="AZ174" s="624">
        <f>(AZ18-AX18)/(AZ9-AX9)</f>
        <v>1.1005967604433076</v>
      </c>
      <c r="BA174" s="624">
        <f>(BA18-AZ18)/(BA9-AZ9)</f>
        <v>0.4551477844086263</v>
      </c>
      <c r="BB174" s="624">
        <f>(BB18-BA18)/(BB9-BA9)</f>
        <v>-25.871819491118934</v>
      </c>
      <c r="BC174" s="624">
        <f>(BC18-BB18)/(BC9-BB9)</f>
        <v>0.96272765777213487</v>
      </c>
      <c r="BD174" s="339">
        <f>(BD18-BC18)/(BD9-BC9)</f>
        <v>0.34053501483475263</v>
      </c>
      <c r="BE174" s="624">
        <f>(BE18-BC18)/(BE9-BC9)</f>
        <v>0.92719352831362889</v>
      </c>
      <c r="BF174" s="624">
        <f>(BF18-BE18)/(BF9-BE9)</f>
        <v>-1.3362899846347298</v>
      </c>
      <c r="BG174" s="624">
        <f>(BG18-BF18)/(BG9-BF9)</f>
        <v>0.79393182716498611</v>
      </c>
      <c r="BH174" s="624">
        <f>(BH18-BG18)/(BH9-BG9)</f>
        <v>0.42656934874092511</v>
      </c>
      <c r="BI174" s="339">
        <f>(BI18-BH18)/(BI9-BH9)</f>
        <v>0.29464370756980612</v>
      </c>
      <c r="BJ174" s="624">
        <f>(BJ18-BH18)/(BJ9-BH9)</f>
        <v>0.79929655847914116</v>
      </c>
      <c r="BK174" s="624">
        <f>(BK18-BJ18)/(BK9-BJ9)</f>
        <v>1.2167525490626052</v>
      </c>
      <c r="BL174" s="624">
        <f>(BL18-BK18)/(BL9-BK9)</f>
        <v>0.76476901748580228</v>
      </c>
      <c r="BM174" s="624">
        <f>(BM18-BL18)/(BM9-BL9)</f>
        <v>0.64952792331934783</v>
      </c>
      <c r="BN174" s="339">
        <f>(BN18-BM18)/(BN9-BM9)</f>
        <v>0.26788427513666729</v>
      </c>
      <c r="BO174" s="624">
        <f>(BO18-BM18)/(BO9-BM9)</f>
        <v>0.8036636690209944</v>
      </c>
      <c r="BP174" s="624">
        <f>(BP18-BO18)/(BP9-BO9)</f>
        <v>0.91314661769207284</v>
      </c>
      <c r="BQ174" s="624">
        <f>(BQ18-BP18)/(BQ9-BP9)</f>
        <v>0.26775033229951473</v>
      </c>
      <c r="BR174" s="624">
        <f>(BR18-BQ18)/(BR9-BQ9)</f>
        <v>1.5830066609299815</v>
      </c>
      <c r="BS174" s="339">
        <f>(BS18-BR18)/(BS9-BR9)</f>
        <v>0.46459326350563479</v>
      </c>
      <c r="BT174" s="624">
        <f>(BT18-BR18)/(BT9-BR9)</f>
        <v>-3.2377163904235617</v>
      </c>
      <c r="BU174" s="624">
        <f>(BU18-BT18)/(BU9-BT9)</f>
        <v>0.61357459836939665</v>
      </c>
      <c r="BV174" s="624">
        <f>(BV18-BU18)/(BV9-BU9)</f>
        <v>0.77645696782956697</v>
      </c>
      <c r="BW174" s="624">
        <f>(BW18-BV18)/(BW9-BV9)</f>
        <v>0.69082756729730144</v>
      </c>
      <c r="BX174" s="339">
        <f>(BX18-BW18)/(BX9-BW9)</f>
        <v>0.34072705663936742</v>
      </c>
      <c r="BY174" s="624">
        <f>(BY18-BW18)/(BY9-BW9)</f>
        <v>-0.16040160642570145</v>
      </c>
      <c r="BZ174" s="624">
        <f>(BZ18-BY18)/(BZ9-BY9)</f>
        <v>0.90528011028120359</v>
      </c>
      <c r="CA174" s="624">
        <f>(CA18-BZ18)/(CA9-BZ9)</f>
        <v>-0.13396037883395545</v>
      </c>
      <c r="CB174" s="624">
        <f>(CB18-CA18)/(CB9-CA9)</f>
        <v>0.70410711379718671</v>
      </c>
      <c r="CC174" s="339">
        <f>(CC18-CB18)/(CC9-CB9)</f>
        <v>0.2046907414158666</v>
      </c>
      <c r="CD174" s="624">
        <f>(CD18-CB18)/(CD9-CB9)</f>
        <v>1.3563022222222207</v>
      </c>
      <c r="CE174" s="624">
        <f>(CE18-CD18)/(CE9-CD9)</f>
        <v>-3.193638698877363E-2</v>
      </c>
      <c r="CF174" s="624">
        <f>(CF18-CE18)/(CF9-CE9)</f>
        <v>0.34587906566655202</v>
      </c>
      <c r="CG174" s="624">
        <f>(CG18-CF18)/(CG9-CF9)</f>
        <v>0.39790496914634238</v>
      </c>
      <c r="CH174" s="339">
        <f>(CH18-CG18)/(CH9-CG9)</f>
        <v>0.33066488010978684</v>
      </c>
      <c r="CI174" s="624">
        <f>(CI18-CG18)/(CI9-CG9)</f>
        <v>1.3134889753566807</v>
      </c>
      <c r="CJ174" s="624">
        <f>(CJ18-CI18)/(CJ9-CI9)</f>
        <v>0.43989135569201976</v>
      </c>
      <c r="CK174" s="624">
        <f>(CK18-CJ18)/(CK9-CJ9)</f>
        <v>-1.0128250960765053</v>
      </c>
      <c r="CL174" s="624">
        <f>(CL18-CK18)/(CL9-CK9)</f>
        <v>0.80929599538087904</v>
      </c>
      <c r="CM174" s="339">
        <f>(CM18-CL18)/(CM9-CL9)</f>
        <v>0.38734589907400985</v>
      </c>
      <c r="CN174" s="624">
        <f>(CN18-CL18)/(CN9-CL9)</f>
        <v>2.7476401100383012</v>
      </c>
      <c r="CO174" s="624">
        <f>(CO18-CN18)/(CO9-CN9)</f>
        <v>2.2464704115349972</v>
      </c>
      <c r="CP174" s="624">
        <f>(CP18-CO18)/(CP9-CO9)</f>
        <v>0.50422885666782113</v>
      </c>
      <c r="CQ174" s="624">
        <f>(CQ18-CP18)/(CQ9-CP9)</f>
        <v>0.71511563414162549</v>
      </c>
      <c r="CR174" s="339">
        <f>(CR18-CM18)/(CR9-CM9)</f>
        <v>0.49981563378250993</v>
      </c>
      <c r="CS174" s="624">
        <f>(CS18-CQ18)/(CS9-CQ9)</f>
        <v>0.14484764422525978</v>
      </c>
      <c r="CT174" s="624">
        <f>(CT18-CS18)/(CT9-CS9)</f>
        <v>0.76439446934563071</v>
      </c>
      <c r="CU174" s="624">
        <f>(CU18-CT18)/(CU9-CT9)</f>
        <v>-7.145746258595051E-2</v>
      </c>
      <c r="CV174" s="624">
        <f>(CV18-CU18)/(CV9-CU9)</f>
        <v>4.6347147816012339E-2</v>
      </c>
      <c r="CW174" s="339">
        <f>(CW18-CR18)/(CW9-CR9)</f>
        <v>-2.3319004182835203</v>
      </c>
      <c r="CX174" s="624">
        <f>(CX18-CV18)/(CX9-CV9)</f>
        <v>0.60555555555555551</v>
      </c>
      <c r="CY174" s="624">
        <f>(CY18-CX18)/(CY9-CX9)</f>
        <v>0.80689655172413788</v>
      </c>
      <c r="CZ174" s="624">
        <f>(CZ18-CY18)/(CZ9-CY9)</f>
        <v>0.70078740157480313</v>
      </c>
      <c r="DA174" s="624">
        <f>(DA18-CZ18)/(DA9-CZ9)</f>
        <v>0.82608695652173914</v>
      </c>
      <c r="DB174" s="339">
        <f>(DB18-CW18)/(DB9-CW9)</f>
        <v>-1.455214056226003</v>
      </c>
      <c r="DC174" s="624">
        <f>(DC18-DA18)/(DC9-DA9)</f>
        <v>0.59245283018867922</v>
      </c>
      <c r="DD174" s="624">
        <f>(DD18-DC18)/(DD9-DC9)</f>
        <v>0.80128205128205132</v>
      </c>
      <c r="DE174" s="624">
        <f>(DE18-DD18)/(DE9-DD9)</f>
        <v>0.86381322957198448</v>
      </c>
      <c r="DF174" s="624">
        <f>(DF18-DE18)/(DF9-DE9)</f>
        <v>0.50900900900900903</v>
      </c>
      <c r="DG174" s="339">
        <f>(DG18-DB18)/(DG9-DB9)</f>
        <v>-7.6726342710997444E-2</v>
      </c>
      <c r="DH174" s="624">
        <f>(DH18-DF18)/(DH9-DF9)</f>
        <v>-5.8</v>
      </c>
      <c r="DI174" s="624">
        <f>(DI18-DH18)/(DI9-DH9)</f>
        <v>-12.714285714285714</v>
      </c>
      <c r="DJ174" s="624">
        <f>(DJ18-DI18)/(DJ9-DI9)</f>
        <v>0.96226415094339623</v>
      </c>
      <c r="DK174" s="624">
        <f>(DK18-DJ18)/(DK9-DJ9)</f>
        <v>0.60799999999999998</v>
      </c>
      <c r="DL174" s="339">
        <f>(DL18-DG18)/(DL9-DG9)</f>
        <v>1.8904109589041096</v>
      </c>
      <c r="DM174" s="624">
        <f>(DM18-DK18)/(DM9-DK9)</f>
        <v>9.7222222222222224E-2</v>
      </c>
      <c r="DN174" s="624">
        <f>(DN18-DM18)/(DN9-DM9)</f>
        <v>0.83544303797468356</v>
      </c>
      <c r="DO174" s="624">
        <f>(DO18-DN18)/(DO9-DN9)</f>
        <v>-2.8571428571428571E-2</v>
      </c>
      <c r="DP174" s="624">
        <f>(DP18-DO18)/(DP9-DO9)</f>
        <v>0.12903225806451613</v>
      </c>
      <c r="DQ174" s="339">
        <f>(DQ18-DL18)/(DQ9-DL9)</f>
        <v>0.87167736021998166</v>
      </c>
      <c r="DR174" s="624">
        <f>(DR18-DP18)/(DR9-DP9)</f>
        <v>0.63888888888888884</v>
      </c>
      <c r="DS174" s="624">
        <f>(DS18-DR18)/(DS9-DR9)</f>
        <v>0</v>
      </c>
      <c r="DT174" s="624">
        <f>(DT18-DS18)/(DT9-DS9)</f>
        <v>0.31034482758620691</v>
      </c>
      <c r="DU174" s="624">
        <f>(DU18-DT18)/(DU9-DT9)</f>
        <v>17</v>
      </c>
      <c r="DV174" s="339">
        <f>(DV18-DQ18)/(DV9-DQ9)</f>
        <v>1.0405405405405406</v>
      </c>
      <c r="DW174" s="624">
        <f>(DW18-DU18)/(DW9-DU9)</f>
        <v>0.40566037735849059</v>
      </c>
      <c r="DX174" s="624">
        <f>(DX18-DW18)/(DX9-DW9)</f>
        <v>0.5058139534883721</v>
      </c>
      <c r="DY174" s="624">
        <f>(DY18-DX18)/(DY9-DX9)</f>
        <v>1.7430555555555556</v>
      </c>
      <c r="DZ174" s="624">
        <f>(DZ18-DY18)/(DZ9-DY9)</f>
        <v>-0.51754385964912286</v>
      </c>
      <c r="EA174" s="339">
        <f>(EA18-DV18)/(EA9-DV9)</f>
        <v>0.65706806282722519</v>
      </c>
      <c r="EB174" s="624">
        <f>(EB18-DZ18)/(EB9-DZ9)</f>
        <v>8.9552238805970144E-2</v>
      </c>
      <c r="EC174" s="624">
        <f>(EC18-EB18)/(EC9-EB9)</f>
        <v>0.19178082191780821</v>
      </c>
      <c r="ED174" s="624">
        <f>(ED18-EC18)/(ED9-EC9)</f>
        <v>0.20666666666666667</v>
      </c>
      <c r="EE174" s="624">
        <f>(EE18-ED18)/(EE9-ED9)</f>
        <v>0.25</v>
      </c>
      <c r="EF174" s="339">
        <f>(EF18-EA18)/(EF9-EA9)</f>
        <v>1.934959349593496</v>
      </c>
      <c r="EG174" s="624">
        <f>(EG18-EE18)/(EG9-EE9)</f>
        <v>0.34375</v>
      </c>
      <c r="EH174" s="624">
        <f>(EH18-EG18)/(EH9-EG9)</f>
        <v>0.25</v>
      </c>
      <c r="EI174" s="291">
        <f>(EI18-EH18)/(EI9-EH9)</f>
        <v>0.33333333333333331</v>
      </c>
      <c r="EJ174" s="624">
        <f>(EJ18-EI18)/(EJ9-EI9)</f>
        <v>0.4</v>
      </c>
      <c r="EK174" s="339">
        <f>(EK18-EF18)/(EK9-EF9)</f>
        <v>-0.39130434782608697</v>
      </c>
      <c r="EL174" s="624">
        <f>(EL18-EJ18)/(EL9-EJ9)</f>
        <v>0.44019138755980863</v>
      </c>
      <c r="EM174" s="624">
        <f>(EM18-EL18)/(EM9-EL9)</f>
        <v>0.69318181818181823</v>
      </c>
      <c r="EN174" s="624">
        <f>(EN18-EM18)/(EN9-EM9)</f>
        <v>-0.21848739495798319</v>
      </c>
      <c r="EO174" s="624">
        <f>(EO18-EN18)/(EO9-EN9)</f>
        <v>-0.42718446601941745</v>
      </c>
      <c r="EP174" s="339">
        <f>(EP18-EK18)/(EP9-EK9)</f>
        <v>0.51749174917491747</v>
      </c>
      <c r="EQ174" s="624">
        <f>(EQ18-EO18)/(EQ9-EO9)</f>
        <v>0.1111111111111111</v>
      </c>
      <c r="ER174" s="624">
        <f>(ER18-EQ18)/(ER9-EQ9)</f>
        <v>0.25641025641025639</v>
      </c>
      <c r="ES174" s="624">
        <f>(ES18-ER18)/(ES9-ER9)</f>
        <v>0.2857142857142857</v>
      </c>
      <c r="ET174" s="624">
        <f>(ET18-ES18)/(ET9-ES9)</f>
        <v>0.23880597014925373</v>
      </c>
      <c r="EU174" s="339">
        <f>(EU18-EP18)/(EU9-EP9)</f>
        <v>0.80071174377224197</v>
      </c>
      <c r="EV174" s="624">
        <f>(EV18-ET18)/(EV9-ET9)</f>
        <v>0.16393442622950818</v>
      </c>
      <c r="EW174" s="624">
        <f>(EW18-EV18)/(EW9-EV9)</f>
        <v>0.30672268907563027</v>
      </c>
      <c r="EX174" s="624">
        <f>(EX18-EW18)/(EX9-EW9)</f>
        <v>0.40142517814726841</v>
      </c>
      <c r="EY174" s="624">
        <f>(EY18-EX18)/(EY9-EX9)</f>
        <v>0.35582822085889571</v>
      </c>
      <c r="EZ174" s="339">
        <f>(EZ18-EU18)/(EZ9-EU9)</f>
        <v>0.45884578997161779</v>
      </c>
      <c r="FA174" s="624">
        <f>(FA18-EY18)/(FA9-EY9)</f>
        <v>0.49101796407185627</v>
      </c>
      <c r="FB174" s="624">
        <f>(FB18-FA18)/(FB9-FA9)</f>
        <v>0.50458715596330272</v>
      </c>
      <c r="FC174" s="624">
        <f>(FC18-FB18)/(FC9-FB9)</f>
        <v>-8.7378640776699032E-2</v>
      </c>
      <c r="FD174" s="624">
        <f>(FD18-FC18)/(FD9-FC9)</f>
        <v>0.52991452991452992</v>
      </c>
      <c r="FE174" s="339">
        <f>(FE18-EZ18)/(FE9-EZ9)</f>
        <v>0.54450261780104714</v>
      </c>
      <c r="FF174" s="624">
        <f>(FF18-FD18)/(FF9-FD9)</f>
        <v>0.10884353741496598</v>
      </c>
      <c r="FG174" s="624">
        <f>(FG18-FF18)/(FG9-FF9)</f>
        <v>0.38610038610038611</v>
      </c>
      <c r="FH174" s="624">
        <f>(FH18-FG18)/(FH9-FG9)</f>
        <v>0.57777777777777772</v>
      </c>
      <c r="FI174" s="624">
        <f>(FI18-FH18)/(FI9-FH9)</f>
        <v>0.52760736196319014</v>
      </c>
      <c r="FJ174" s="339">
        <f>(FJ18-FE18)/(FJ9-FE9)</f>
        <v>1.64453125</v>
      </c>
      <c r="FK174" s="624">
        <f>(FK18-FI18)/(FK9-FI9)</f>
        <v>0.38416422287390029</v>
      </c>
      <c r="FL174" s="624">
        <f>(FL18-FK18)/(FL9-FK9)</f>
        <v>0.20547945205479451</v>
      </c>
      <c r="FM174" s="624">
        <f>(FM18-FL18)/(FM9-FL9)</f>
        <v>0.43958573072497126</v>
      </c>
      <c r="FN174" s="624">
        <f>(FN18-FM18)/(FN9-FM9)</f>
        <v>0.49887133182844245</v>
      </c>
      <c r="FO174" s="339">
        <f>(FO18-FJ18)/(FO9-FJ9)</f>
        <v>0.48779683377308708</v>
      </c>
      <c r="FP174" s="624">
        <f>(FP18-FN18)/(FP9-FN9)</f>
        <v>0.6766169154228856</v>
      </c>
      <c r="FQ174" s="624">
        <f>(FQ18-FP18)/(FQ9-FP9)</f>
        <v>0.6</v>
      </c>
      <c r="FR174" s="624">
        <f>(FR18-FQ18)/(FR9-FQ9)</f>
        <v>0.55291576673866094</v>
      </c>
      <c r="FS174" s="655">
        <f>(FS18-FR18)/(FS9-FR9)</f>
        <v>0.66276803118908378</v>
      </c>
      <c r="FT174" s="339">
        <f>(FT18-FO18)/(FT9-FO9)</f>
        <v>0.5369509818617898</v>
      </c>
      <c r="FU174" s="624">
        <f>(FU18-FS18)/(FU9-FS9)</f>
        <v>0.63147973609802077</v>
      </c>
      <c r="FV174" s="624">
        <f>(FV18-FU18)/(FV9-FU9)</f>
        <v>0.65460030165912519</v>
      </c>
      <c r="FW174" s="624">
        <f>(FW18-FV18)/(FW9-FV9)</f>
        <v>0.77360406091370559</v>
      </c>
      <c r="FX174" s="624">
        <f>(FX18-FW18)/(FX9-FW9)</f>
        <v>2.4117647058823528</v>
      </c>
      <c r="FY174" s="339">
        <f>(FY18-FT18)/(FY9-FT9)</f>
        <v>0.60206502023161712</v>
      </c>
      <c r="FZ174" s="624">
        <f>(FZ18-FX18)/(FZ9-FX9)</f>
        <v>0.74390243902439024</v>
      </c>
      <c r="GA174" s="624">
        <f>(GA18-FZ18)/(GA9-FZ9)</f>
        <v>-2</v>
      </c>
      <c r="GB174" s="624">
        <f>(GB18-GA18)/(GB9-GA9)</f>
        <v>0.68480725623582761</v>
      </c>
      <c r="GC174" s="624">
        <f>(GC18-GB18)/(GC9-GB9)</f>
        <v>0.46195652173913043</v>
      </c>
      <c r="GD174" s="339">
        <f>(GD18-FY18)/(GD9-FY9)</f>
        <v>0.9098805646036916</v>
      </c>
      <c r="GE174" s="624">
        <f>(GE18-GC18)/(GE9-GC9)</f>
        <v>0.39136690647482014</v>
      </c>
      <c r="GF174" s="624">
        <f>(GF18-GE18)/(GF9-GE9)</f>
        <v>0.66574585635359118</v>
      </c>
      <c r="GG174" s="624">
        <f>(GG18-GF18)/(GG9-GF9)</f>
        <v>0.56504065040650409</v>
      </c>
      <c r="GH174" s="624">
        <f>(GH18-GG18)/(GH9-GG9)</f>
        <v>0.57449344457687723</v>
      </c>
      <c r="GI174" s="339">
        <f>(GI18-GD18)/(GI9-GD9)</f>
        <v>0.75072463768115938</v>
      </c>
      <c r="GJ174" s="624">
        <f>(GJ18-GH18)/(GJ9-GH9)</f>
        <v>0.66818181818181821</v>
      </c>
      <c r="GK174" s="624">
        <f>(GK18-GJ18)/(GK9-GJ9)</f>
        <v>-2.7004048582995952</v>
      </c>
      <c r="GL174" s="624">
        <f>(GL18-GK18)/(GL9-GK9)</f>
        <v>1.0666239590006406</v>
      </c>
      <c r="GM174" s="624">
        <f>(GM18-GL18)/(GM9-GL9)</f>
        <v>0.841796875</v>
      </c>
      <c r="GN174" s="339">
        <f>(GN18-GI18)/(GN9-GI9)</f>
        <v>0.49717641743844593</v>
      </c>
      <c r="GO174" s="624">
        <f>(GO18-GM18)/(GO9-GM9)</f>
        <v>10</v>
      </c>
      <c r="GP174" s="624">
        <f>(GP18-GO18)/(GP9-GO9)</f>
        <v>0.63270721459705381</v>
      </c>
      <c r="GQ174" s="624">
        <f>(GQ18-GP18)/(GQ9-GP9)</f>
        <v>0.58029873449539393</v>
      </c>
      <c r="GR174" s="624">
        <f>(GR18-GQ18)/(GR9-GQ9)</f>
        <v>0.48761344245762883</v>
      </c>
      <c r="GS174" s="339">
        <f>(GS18-GN18)/(GS9-GN9)</f>
        <v>0.62251095511215926</v>
      </c>
      <c r="GT174" s="624">
        <f>(GT18-GR18)/(GT9-GR9)</f>
        <v>0.52031668866788872</v>
      </c>
      <c r="GU174" s="624">
        <f>(GU18-GT18)/(GU9-GT9)</f>
        <v>0.5276866540469547</v>
      </c>
      <c r="GV174" s="624">
        <f>(GV18-GU18)/(GV9-GU9)</f>
        <v>0.5002576170989157</v>
      </c>
      <c r="GW174" s="624">
        <f>(GW18-GV18)/(GW9-GV9)</f>
        <v>0.50905341319167385</v>
      </c>
      <c r="GX174" s="339">
        <f>(GX18-GS18)/(GX9-GS9)</f>
        <v>0.51094499849090058</v>
      </c>
      <c r="GY174" s="624">
        <f>(GY18-GW18)/(GY9-GW9)</f>
        <v>0.2176488627555066</v>
      </c>
      <c r="GZ174" s="624">
        <f>(GZ18-GY18)/(GZ9-GY9)</f>
        <v>0.57536351385564133</v>
      </c>
      <c r="HA174" s="624">
        <f>(HA18-GZ18)/(HA9-GZ9)</f>
        <v>0.5685569699804558</v>
      </c>
      <c r="HB174" s="624">
        <f>(HB18-HA18)/(HB9-HA9)</f>
        <v>0.53078205071253037</v>
      </c>
      <c r="HC174" s="339">
        <f>(HC18-GX18)/(HC9-GX9)</f>
        <v>0.56216268768302313</v>
      </c>
      <c r="HD174" s="624">
        <f>(HD18-HB18)/(HD9-HB9)</f>
        <v>0.61251067887697253</v>
      </c>
      <c r="HE174" s="624">
        <f>(HE18-HD18)/(HE9-HD9)</f>
        <v>0.52217512381119824</v>
      </c>
      <c r="HF174" s="624">
        <f>(HF18-HE18)/(HF9-HE9)</f>
        <v>0.55779074475581614</v>
      </c>
      <c r="HG174" s="624">
        <f>(HG18-HF18)/(HG9-HF9)</f>
        <v>0.54758029679142284</v>
      </c>
      <c r="HH174" s="339">
        <f>(HH18-HC18)/(HH9-HC9)</f>
        <v>0.53742664908649429</v>
      </c>
      <c r="HI174" s="624">
        <f>(HI18-HG18)/(HI9-HG9)</f>
        <v>0.51037464929599263</v>
      </c>
      <c r="HJ174" s="624">
        <f>(HJ18-HI18)/(HJ9-HI9)</f>
        <v>0.52480473652874349</v>
      </c>
      <c r="HK174" s="624">
        <f>(HK18-HJ18)/(HK9-HJ9)</f>
        <v>0.54973622693972612</v>
      </c>
      <c r="HL174" s="624">
        <f>(HL18-HK18)/(HL9-HK9)</f>
        <v>0.55549274147274996</v>
      </c>
      <c r="HM174" s="339">
        <f>(HM18-HH18)/(HM9-HH9)</f>
        <v>0.5572407809901947</v>
      </c>
      <c r="HN174" s="339"/>
      <c r="HO174" s="331"/>
      <c r="HP174" s="290"/>
      <c r="HR174" s="290"/>
      <c r="HS174" s="290"/>
      <c r="HT174" s="290"/>
      <c r="HU174" s="290"/>
      <c r="HV174" s="290"/>
      <c r="HW174" s="290"/>
      <c r="HX174" s="290"/>
    </row>
    <row r="175" spans="1:232" s="291" customFormat="1" ht="11.25" customHeight="1">
      <c r="A175" s="654" t="s">
        <v>484</v>
      </c>
      <c r="M175" s="624"/>
      <c r="N175" s="624"/>
      <c r="O175" s="624"/>
      <c r="P175" s="625"/>
      <c r="Q175" s="624"/>
      <c r="R175" s="624"/>
      <c r="S175" s="624"/>
      <c r="T175" s="624"/>
      <c r="U175" s="339"/>
      <c r="Z175" s="339"/>
      <c r="AE175" s="339"/>
      <c r="AJ175" s="339"/>
      <c r="AK175" s="624">
        <f>(AK24-AI24)/(AK9-AI9)</f>
        <v>0.66787391147317277</v>
      </c>
      <c r="AL175" s="624">
        <f>(AL24-AK24)/(AL9-AK9)</f>
        <v>0.81743087500618405</v>
      </c>
      <c r="AM175" s="624">
        <f>(AM24-AL24)/(AM9-AL9)</f>
        <v>-0.25231740857695856</v>
      </c>
      <c r="AN175" s="624">
        <f>(AN24-AM24)/(AN9-AM9)</f>
        <v>-8.5671859785785038</v>
      </c>
      <c r="AO175" s="339">
        <f>(AO24-AN24)/(AO9-AN9)</f>
        <v>0.24860725855006421</v>
      </c>
      <c r="AP175" s="624">
        <f>(AP24-AN24)/(AP9-AN9)</f>
        <v>0.29225389707452504</v>
      </c>
      <c r="AQ175" s="624">
        <f>(AQ24-AP24)/(AQ9-AP9)</f>
        <v>-2.1279830009806862</v>
      </c>
      <c r="AR175" s="624">
        <f>(AR24-AQ24)/(AR9-AQ9)</f>
        <v>2.1311507438108781</v>
      </c>
      <c r="AS175" s="624">
        <f>(AS24-AR24)/(AS9-AR9)</f>
        <v>-7.3615733736762428</v>
      </c>
      <c r="AT175" s="339">
        <f>(AT24-AS24)/(AT9-AS9)</f>
        <v>0.1727227438415197</v>
      </c>
      <c r="AU175" s="624">
        <f>(AU24-AS24)/(AU9-AS9)</f>
        <v>1.0928979658725437</v>
      </c>
      <c r="AV175" s="624">
        <f>(AV24-AU24)/(AV9-AU9)</f>
        <v>0.8775340775228585</v>
      </c>
      <c r="AW175" s="624">
        <f>(AW24-AV24)/(AW9-AV9)</f>
        <v>13.22969187675052</v>
      </c>
      <c r="AX175" s="624">
        <f>(AX24-AW24)/(AX9-AW9)</f>
        <v>0.58423736439534046</v>
      </c>
      <c r="AY175" s="339">
        <f>(AY24-AX24)/(AY9-AX9)</f>
        <v>-0.13718700876488771</v>
      </c>
      <c r="AZ175" s="624">
        <f>(AZ24-AX24)/(AZ9-AX9)</f>
        <v>1.0346447552193863</v>
      </c>
      <c r="BA175" s="624">
        <f>(BA24-AZ24)/(BA9-AZ9)</f>
        <v>0.1361543160565753</v>
      </c>
      <c r="BB175" s="624">
        <f>(BB24-BA24)/(BB9-BA9)</f>
        <v>-32.510321651464686</v>
      </c>
      <c r="BC175" s="624">
        <f>(BC24-BB24)/(BC9-BB9)</f>
        <v>0.8117625703394491</v>
      </c>
      <c r="BD175" s="339">
        <f>(BD24-BC24)/(BD9-BC9)</f>
        <v>-2.6182248319760661E-2</v>
      </c>
      <c r="BE175" s="624">
        <f>(BE24-BC24)/(BE9-BC9)</f>
        <v>0.74752126114914019</v>
      </c>
      <c r="BF175" s="624">
        <f>(BF24-BE24)/(BF9-BE9)</f>
        <v>0.34145830423243084</v>
      </c>
      <c r="BG175" s="624">
        <f>(BG24-BF24)/(BG9-BF9)</f>
        <v>0.71188726951044279</v>
      </c>
      <c r="BH175" s="624">
        <f>(BH24-BG24)/(BH9-BG9)</f>
        <v>0.19794349469837597</v>
      </c>
      <c r="BI175" s="339">
        <f>(BI24-BH24)/(BI9-BH9)</f>
        <v>-0.11037225927254621</v>
      </c>
      <c r="BJ175" s="624">
        <f>(BJ24-BH24)/(BJ9-BH9)</f>
        <v>0.86480057496485907</v>
      </c>
      <c r="BK175" s="624">
        <f>(BK24-BJ24)/(BK9-BJ9)</f>
        <v>1.3412454774695783</v>
      </c>
      <c r="BL175" s="624">
        <f>(BL24-BK24)/(BL9-BK9)</f>
        <v>0.83535321914643146</v>
      </c>
      <c r="BM175" s="624">
        <f>(BM24-BL24)/(BM9-BL9)</f>
        <v>0.57554858115999674</v>
      </c>
      <c r="BN175" s="339">
        <f>(BN24-BM24)/(BN9-BM9)</f>
        <v>-0.19064701354337502</v>
      </c>
      <c r="BO175" s="624">
        <f>(BO24-BM24)/(BO9-BM9)</f>
        <v>0.83720270193563018</v>
      </c>
      <c r="BP175" s="624">
        <f>(BP24-BO24)/(BP9-BO9)</f>
        <v>0.88674625038261501</v>
      </c>
      <c r="BQ175" s="624">
        <f>(BQ24-BP24)/(BQ9-BP9)</f>
        <v>0.35021599468320835</v>
      </c>
      <c r="BR175" s="624">
        <f>(BR24-BQ24)/(BR9-BQ9)</f>
        <v>2.1613921024954585</v>
      </c>
      <c r="BS175" s="339">
        <f>(BS24-BR24)/(BS9-BR9)</f>
        <v>0.19997319123728197</v>
      </c>
      <c r="BT175" s="624">
        <f>(BT24-BR24)/(BT9-BR9)</f>
        <v>-2.0631307550644502</v>
      </c>
      <c r="BU175" s="624">
        <f>(BU24-BT24)/(BU9-BT9)</f>
        <v>0.71435451610208189</v>
      </c>
      <c r="BV175" s="624">
        <f>(BV24-BU24)/(BV9-BU9)</f>
        <v>0.70671030201372886</v>
      </c>
      <c r="BW175" s="624">
        <f>(BW24-BV24)/(BW9-BV9)</f>
        <v>0.62388241049875515</v>
      </c>
      <c r="BX175" s="339">
        <f>(BX24-BW24)/(BX9-BW9)</f>
        <v>1.8807223829808116E-2</v>
      </c>
      <c r="BY175" s="624">
        <f>(BY24-BW24)/(BY9-BW9)</f>
        <v>-7.6325301204817786E-2</v>
      </c>
      <c r="BZ175" s="624">
        <f>(BZ24-BY24)/(BZ9-BY9)</f>
        <v>0.93818884330658014</v>
      </c>
      <c r="CA175" s="624">
        <f>(CA24-BZ24)/(CA9-BZ9)</f>
        <v>0.30975758102354783</v>
      </c>
      <c r="CB175" s="624">
        <f>(CB24-CA24)/(CB9-CA9)</f>
        <v>0.60472607082933549</v>
      </c>
      <c r="CC175" s="339">
        <f>(CC24-CB24)/(CC9-CB9)</f>
        <v>-0.31602074804573171</v>
      </c>
      <c r="CD175" s="624">
        <f>(CD24-CB24)/(CD9-CB9)</f>
        <v>3.3455288888888877</v>
      </c>
      <c r="CE175" s="624">
        <f>(CE24-CD24)/(CE9-CD9)</f>
        <v>2.4677461252043042E-3</v>
      </c>
      <c r="CF175" s="624">
        <f>(CF24-CE24)/(CF9-CE9)</f>
        <v>0.27640049530304883</v>
      </c>
      <c r="CG175" s="624">
        <f>(CG24-CF24)/(CG9-CF9)</f>
        <v>0.30180595153950618</v>
      </c>
      <c r="CH175" s="339">
        <f>(CH24-CG24)/(CH9-CG9)</f>
        <v>-0.12320931891120884</v>
      </c>
      <c r="CI175" s="624">
        <f>(CI24-CG24)/(CI9-CG9)</f>
        <v>0.76232166018158132</v>
      </c>
      <c r="CJ175" s="624">
        <f>(CJ24-CI24)/(CJ9-CI9)</f>
        <v>0.53802550779405189</v>
      </c>
      <c r="CK175" s="624">
        <f>(CK24-CJ24)/(CK9-CJ9)</f>
        <v>0.29475377603003061</v>
      </c>
      <c r="CL175" s="624">
        <f>(CL24-CK24)/(CL9-CK9)</f>
        <v>-1.8843980698643255</v>
      </c>
      <c r="CM175" s="339">
        <f>(CM24-CL24)/(CM9-CL9)</f>
        <v>5.4738585916742494E-2</v>
      </c>
      <c r="CN175" s="624">
        <f>(CN24-CL24)/(CN9-CL9)</f>
        <v>1.8427099627811672</v>
      </c>
      <c r="CO175" s="624">
        <f>(CO24-CN24)/(CO9-CN9)</f>
        <v>1.1572844698107547</v>
      </c>
      <c r="CP175" s="624">
        <f>(CP24-CO24)/(CP9-CO9)</f>
        <v>0.32666253229187736</v>
      </c>
      <c r="CQ175" s="624">
        <f>(CQ24-CP24)/(CQ9-CP9)</f>
        <v>0.40247083395399941</v>
      </c>
      <c r="CR175" s="339">
        <f>(CR24-CM24)/(CR9-CM9)</f>
        <v>5.189436288471733E-3</v>
      </c>
      <c r="CS175" s="624">
        <f>(CS24-CQ24)/(CS9-CQ9)</f>
        <v>-0.10448946688321661</v>
      </c>
      <c r="CT175" s="624">
        <f>(CT24-CS24)/(CT9-CS9)</f>
        <v>1.3514953666519842</v>
      </c>
      <c r="CU175" s="624">
        <f>(CU24-CT24)/(CU9-CT9)</f>
        <v>0.15336838793762103</v>
      </c>
      <c r="CV175" s="624">
        <f>(CV24-CU24)/(CV9-CU9)</f>
        <v>-0.21368814804503164</v>
      </c>
      <c r="CW175" s="339">
        <f>(CW24-CR24)/(CW9-CR9)</f>
        <v>-1.3718943708108629</v>
      </c>
      <c r="CX175" s="624">
        <f>(CX24-CV24)/(CX9-CV9)</f>
        <v>0.76851851851851849</v>
      </c>
      <c r="CY175" s="624">
        <f>(CY24-CX24)/(CY9-CX9)</f>
        <v>0.43448275862068964</v>
      </c>
      <c r="CZ175" s="624">
        <f>(CZ24-CY24)/(CZ9-CY9)</f>
        <v>0.70866141732283461</v>
      </c>
      <c r="DA175" s="624">
        <f>(DA24-CZ24)/(DA9-CZ9)</f>
        <v>1.0072463768115942</v>
      </c>
      <c r="DB175" s="339">
        <f>(DB24-CW24)/(DB9-CW9)</f>
        <v>-3.7924134197052095</v>
      </c>
      <c r="DC175" s="624">
        <f>(DC24-DA24)/(DC9-DA9)</f>
        <v>0.77358490566037741</v>
      </c>
      <c r="DD175" s="624">
        <f>(DD24-DC24)/(DD9-DC9)</f>
        <v>0.39743589743589741</v>
      </c>
      <c r="DE175" s="624">
        <f>(DE24-DD24)/(DE9-DD9)</f>
        <v>0.96498054474708173</v>
      </c>
      <c r="DF175" s="624">
        <f>(DF24-DE24)/(DF9-DE9)</f>
        <v>0.52252252252252251</v>
      </c>
      <c r="DG175" s="339">
        <f>(DG24-DB24)/(DG9-DB9)</f>
        <v>-0.2506393861892583</v>
      </c>
      <c r="DH175" s="624">
        <f>(DH24-DF24)/(DH9-DF9)</f>
        <v>7.666666666666667</v>
      </c>
      <c r="DI175" s="624">
        <f>(DI24-DH24)/(DI9-DH9)</f>
        <v>-8.5714285714285712</v>
      </c>
      <c r="DJ175" s="624">
        <f>(DJ24-DI24)/(DJ9-DI9)</f>
        <v>1.1886792452830188</v>
      </c>
      <c r="DK175" s="624">
        <f>(DK24-DJ24)/(DK9-DJ9)</f>
        <v>0.48799999999999999</v>
      </c>
      <c r="DL175" s="339">
        <f>(DL24-DG24)/(DL9-DG9)</f>
        <v>-2.9406392694063928</v>
      </c>
      <c r="DM175" s="624">
        <f>(DM24-DK24)/(DM9-DK9)</f>
        <v>0.54166666666666663</v>
      </c>
      <c r="DN175" s="624">
        <f>(DN24-DM24)/(DN9-DM9)</f>
        <v>0.10126582278481013</v>
      </c>
      <c r="DO175" s="624">
        <f>(DO24-DN24)/(DO9-DN9)</f>
        <v>-0.17142857142857143</v>
      </c>
      <c r="DP175" s="624">
        <f>(DP24-DO24)/(DP9-DO9)</f>
        <v>-9.6774193548387094E-2</v>
      </c>
      <c r="DQ175" s="339">
        <f>(DQ24-DL24)/(DQ9-DL9)</f>
        <v>0.62969752520623279</v>
      </c>
      <c r="DR175" s="624">
        <f>(DR24-DP24)/(DR9-DP9)</f>
        <v>1.3611111111111112</v>
      </c>
      <c r="DS175" s="624">
        <f>(DS24-DR24)/(DS9-DR9)</f>
        <v>-0.5641025641025641</v>
      </c>
      <c r="DT175" s="624">
        <f>(DT24-DS24)/(DT9-DS9)</f>
        <v>0.27586206896551724</v>
      </c>
      <c r="DU175" s="624">
        <f>(DU24-DT24)/(DU9-DT9)</f>
        <v>26</v>
      </c>
      <c r="DV175" s="339">
        <f>(DV24-DQ24)/(DV9-DQ9)</f>
        <v>-0.39189189189189189</v>
      </c>
      <c r="DW175" s="624">
        <f>(DW24-DU24)/(DW9-DU9)</f>
        <v>0.32075471698113206</v>
      </c>
      <c r="DX175" s="624">
        <f>(DX24-DW24)/(DX9-DW9)</f>
        <v>0.30232558139534882</v>
      </c>
      <c r="DY175" s="624">
        <f>(DY24-DX24)/(DY9-DX9)</f>
        <v>1.4583333333333333</v>
      </c>
      <c r="DZ175" s="624">
        <f>(DZ24-DY24)/(DZ9-DY9)</f>
        <v>-0.60526315789473684</v>
      </c>
      <c r="EA175" s="339">
        <f>(EA24-DV24)/(EA9-DV9)</f>
        <v>0.41797556719022688</v>
      </c>
      <c r="EB175" s="624">
        <f>(EB24-DZ24)/(EB9-DZ9)</f>
        <v>-0.13432835820895522</v>
      </c>
      <c r="EC175" s="624">
        <f>(EC24-EB24)/(EC9-EB9)</f>
        <v>0.35616438356164382</v>
      </c>
      <c r="ED175" s="624">
        <f>(ED24-EC24)/(ED9-EC9)</f>
        <v>0.32666666666666666</v>
      </c>
      <c r="EE175" s="624">
        <f>(EE24-ED24)/(EE9-ED9)</f>
        <v>0.1015625</v>
      </c>
      <c r="EF175" s="339">
        <f>(EF24-EA24)/(EF9-EA9)</f>
        <v>-0.47154471544715448</v>
      </c>
      <c r="EG175" s="624">
        <f>(EG24-EE24)/(EG9-EE9)</f>
        <v>0.13020833333333334</v>
      </c>
      <c r="EH175" s="624">
        <f>(EH24-EG24)/(EH9-EG9)</f>
        <v>2.2727272727272728E-2</v>
      </c>
      <c r="EI175" s="291">
        <f>(EI24-EH24)/(EI9-EH9)</f>
        <v>8.3333333333333329E-2</v>
      </c>
      <c r="EJ175" s="624">
        <f>(EJ24-EI24)/(EJ9-EI9)</f>
        <v>0.15789473684210525</v>
      </c>
      <c r="EK175" s="339">
        <f>(EK24-EF24)/(EK9-EF9)</f>
        <v>0.6376811594202898</v>
      </c>
      <c r="EL175" s="624">
        <f>(EL24-EJ24)/(EL9-EJ9)</f>
        <v>0.39712918660287083</v>
      </c>
      <c r="EM175" s="624">
        <f>(EM24-EL24)/(EM9-EL9)</f>
        <v>0.64772727272727271</v>
      </c>
      <c r="EN175" s="624">
        <f>(EN24-EM24)/(EN9-EM9)</f>
        <v>-5.0420168067226892E-2</v>
      </c>
      <c r="EO175" s="624">
        <f>(EO24-EN24)/(EO9-EN9)</f>
        <v>-0.53398058252427183</v>
      </c>
      <c r="EP175" s="339">
        <f>(EP24-EK24)/(EP9-EK9)</f>
        <v>0.36369636963696372</v>
      </c>
      <c r="EQ175" s="624">
        <f>(EQ24-EO24)/(EQ9-EO9)</f>
        <v>0.18253968253968253</v>
      </c>
      <c r="ER175" s="624">
        <f>(ER24-EQ24)/(ER9-EQ9)</f>
        <v>0.18974358974358974</v>
      </c>
      <c r="ES175" s="624">
        <f>(ES24-ER24)/(ES9-ER9)</f>
        <v>0.22857142857142856</v>
      </c>
      <c r="ET175" s="624">
        <f>(ET24-ES24)/(ET9-ES9)</f>
        <v>0.28358208955223879</v>
      </c>
      <c r="EU175" s="339">
        <f>(EU24-EP24)/(EU9-EP9)</f>
        <v>0.66192170818505336</v>
      </c>
      <c r="EV175" s="624">
        <f>(EV24-ET24)/(EV9-ET9)</f>
        <v>0.18032786885245902</v>
      </c>
      <c r="EW175" s="624">
        <f>(EW24-EV24)/(EW9-EV9)</f>
        <v>0.23529411764705882</v>
      </c>
      <c r="EX175" s="624">
        <f>(EX24-EW24)/(EX9-EW9)</f>
        <v>0.29928741092636579</v>
      </c>
      <c r="EY175" s="624">
        <f>(EY24-EX24)/(EY9-EX9)</f>
        <v>0.26993865030674846</v>
      </c>
      <c r="EZ175" s="339">
        <f>(EZ24-EU24)/(EZ9-EU9)</f>
        <v>0.26679280983916748</v>
      </c>
      <c r="FA175" s="624">
        <f>(FA24-EY24)/(FA9-EY9)</f>
        <v>0.22754491017964071</v>
      </c>
      <c r="FB175" s="624">
        <f>(FB24-FA24)/(FB9-FA9)</f>
        <v>0.30275229357798167</v>
      </c>
      <c r="FC175" s="624">
        <f>(FC24-FB24)/(FC9-FB9)</f>
        <v>2.9126213592233011E-2</v>
      </c>
      <c r="FD175" s="624">
        <f>(FD24-FC24)/(FD9-FC9)</f>
        <v>0.5213675213675214</v>
      </c>
      <c r="FE175" s="339">
        <f>(FE24-EZ24)/(FE9-EZ9)</f>
        <v>0.26090750436300175</v>
      </c>
      <c r="FF175" s="624">
        <f>(FF24-FD24)/(FF9-FD9)</f>
        <v>0.30612244897959184</v>
      </c>
      <c r="FG175" s="624">
        <f>(FG24-FF24)/(FG9-FF9)</f>
        <v>0.32046332046332049</v>
      </c>
      <c r="FH175" s="624">
        <f>(FH24-FG24)/(FH9-FG9)</f>
        <v>0.44444444444444442</v>
      </c>
      <c r="FI175" s="624">
        <f>(FI24-FH24)/(FI9-FH9)</f>
        <v>0.49693251533742333</v>
      </c>
      <c r="FJ175" s="339">
        <f>(FJ24-FE24)/(FJ9-FE9)</f>
        <v>0.515625</v>
      </c>
      <c r="FK175" s="624">
        <f>(FK24-FI24)/(FK9-FI9)</f>
        <v>0.50146627565982405</v>
      </c>
      <c r="FL175" s="624">
        <f>(FL24-FK24)/(FL9-FK9)</f>
        <v>-2.7397260273972601E-2</v>
      </c>
      <c r="FM175" s="624">
        <f>(FM24-FL24)/(FM9-FL9)</f>
        <v>0.31760644418872269</v>
      </c>
      <c r="FN175" s="624">
        <f>(FN24-FM24)/(FN9-FM9)</f>
        <v>0.30474040632054178</v>
      </c>
      <c r="FO175" s="339">
        <f>(FO24-FJ24)/(FO9-FJ9)</f>
        <v>0.26385224274406333</v>
      </c>
      <c r="FP175" s="624">
        <f>(FP24-FN24)/(FP9-FN9)</f>
        <v>0.46268656716417911</v>
      </c>
      <c r="FQ175" s="624">
        <f>(FQ24-FP24)/(FQ9-FP9)</f>
        <v>0.40493827160493828</v>
      </c>
      <c r="FR175" s="624">
        <f>(FR24-FQ24)/(FR9-FQ9)</f>
        <v>0.24838012958963282</v>
      </c>
      <c r="FS175" s="655">
        <f>(FS24-FR24)/(FS9-FR9)</f>
        <v>0.50682261208576995</v>
      </c>
      <c r="FT175" s="339">
        <f>(FT24-FO24)/(FT9-FO9)</f>
        <v>0.34582521361115276</v>
      </c>
      <c r="FU175" s="624">
        <f>(FU24-FS24)/(FU9-FS9)</f>
        <v>0.42130065975494818</v>
      </c>
      <c r="FV175" s="624">
        <f>(FV24-FU24)/(FV9-FU9)</f>
        <v>9.0497737556561084E-2</v>
      </c>
      <c r="FW175" s="624">
        <f>(FW24-FV24)/(FW9-FV9)</f>
        <v>0.73908629441624363</v>
      </c>
      <c r="FX175" s="624">
        <f>(FX24-FW24)/(FX9-FW9)</f>
        <v>-1.2647058823529411</v>
      </c>
      <c r="FY175" s="339">
        <f>(FY24-FT24)/(FY9-FT9)</f>
        <v>0.22924515138830753</v>
      </c>
      <c r="FZ175" s="624">
        <f>(FZ24-FX24)/(FZ9-FX9)</f>
        <v>0.64634146341463417</v>
      </c>
      <c r="GA175" s="624">
        <f>(GA24-FZ24)/(GA9-FZ9)</f>
        <v>-12.166666666666666</v>
      </c>
      <c r="GB175" s="624">
        <f>(GB24-GA24)/(GB9-GA9)</f>
        <v>0.46031746031746029</v>
      </c>
      <c r="GC175" s="624">
        <f>(GC24-GB24)/(GC9-GB9)</f>
        <v>0.3125</v>
      </c>
      <c r="GD175" s="339">
        <f>(GD24-FY24)/(GD9-FY9)</f>
        <v>2.0184581976112921</v>
      </c>
      <c r="GE175" s="624">
        <f>(GE24-GC24)/(GE9-GC9)</f>
        <v>0.39712230215827338</v>
      </c>
      <c r="GF175" s="624">
        <f>(GF24-GE24)/(GF9-GE9)</f>
        <v>0.43093922651933703</v>
      </c>
      <c r="GG175" s="624">
        <f>(GG24-GF24)/(GG9-GF9)</f>
        <v>0.4532520325203252</v>
      </c>
      <c r="GH175" s="624">
        <f>(GH24-GG24)/(GH9-GG9)</f>
        <v>0.38498212157330153</v>
      </c>
      <c r="GI175" s="339">
        <f>(GI24-GD24)/(GI9-GD9)</f>
        <v>0.40483091787439612</v>
      </c>
      <c r="GJ175" s="624">
        <f>(GJ24-GH24)/(GJ9-GH9)</f>
        <v>1.2363636363636363</v>
      </c>
      <c r="GK175" s="624">
        <f>(GK24-GJ24)/(GK9-GJ9)</f>
        <v>-3.5910931174089069</v>
      </c>
      <c r="GL175" s="624">
        <f>(GL24-GK24)/(GL9-GK9)</f>
        <v>0.82703395259449075</v>
      </c>
      <c r="GM175" s="624">
        <f>(GM24-GL24)/(GM9-GL9)</f>
        <v>0.5361328125</v>
      </c>
      <c r="GN175" s="339">
        <f>(GN24-GI24)/(GN9-GI9)</f>
        <v>0.15800768014456743</v>
      </c>
      <c r="GO175" s="624">
        <f>(GO24-GM24)/(GO9-GM9)</f>
        <v>18.529411764705884</v>
      </c>
      <c r="GP175" s="624">
        <f>(GP24-GO24)/(GP9-GO9)</f>
        <v>0.44580950896304394</v>
      </c>
      <c r="GQ175" s="624">
        <f>(GQ24-GP24)/(GQ9-GP9)</f>
        <v>0.25157532874017857</v>
      </c>
      <c r="GR175" s="624">
        <f>(GR24-GQ24)/(GR9-GQ9)</f>
        <v>0.4231889584004796</v>
      </c>
      <c r="GS175" s="339">
        <f>(GS24-GN24)/(GS9-GN9)</f>
        <v>0.36901037992301688</v>
      </c>
      <c r="GT175" s="624">
        <f>(GT24-GR24)/(GT9-GR9)</f>
        <v>0.29985795741452215</v>
      </c>
      <c r="GU175" s="624">
        <f>(GU24-GT24)/(GU9-GT9)</f>
        <v>0.33752448711918664</v>
      </c>
      <c r="GV175" s="624">
        <f>(GV24-GU24)/(GV9-GU9)</f>
        <v>0.33680170665475123</v>
      </c>
      <c r="GW175" s="624">
        <f>(GW24-GV24)/(GW9-GV9)</f>
        <v>0.28898763653893061</v>
      </c>
      <c r="GX175" s="339">
        <f>(GX24-GS24)/(GX9-GS9)</f>
        <v>0.35964361417005242</v>
      </c>
      <c r="GY175" s="624">
        <f>(GY24-GW24)/(GY9-GW9)</f>
        <v>0.2176488627555066</v>
      </c>
      <c r="GZ175" s="624">
        <f>(GZ24-GY24)/(GZ9-GY9)</f>
        <v>0.53845330480350584</v>
      </c>
      <c r="HA175" s="624">
        <f>(HA24-GZ24)/(HA9-GZ9)</f>
        <v>0.56855696998045679</v>
      </c>
      <c r="HB175" s="624">
        <f>(HB24-HA24)/(HB9-HA9)</f>
        <v>0.49895643895133307</v>
      </c>
      <c r="HC175" s="339">
        <f>(HC24-GX24)/(HC9-GX9)</f>
        <v>0.41906861861196693</v>
      </c>
      <c r="HD175" s="624">
        <f>(HD24-HB24)/(HD9-HB9)</f>
        <v>0.9653644222956409</v>
      </c>
      <c r="HE175" s="624">
        <f>(HE24-HD24)/(HE9-HD9)</f>
        <v>0.38264276273598302</v>
      </c>
      <c r="HF175" s="624">
        <f>(HF24-HE24)/(HF9-HE9)</f>
        <v>0.4754804137632061</v>
      </c>
      <c r="HG175" s="624">
        <f>(HG24-HF24)/(HG9-HF9)</f>
        <v>0.3409424480036633</v>
      </c>
      <c r="HH175" s="339">
        <f>(HH24-HC24)/(HH9-HC9)</f>
        <v>0.41323819803320588</v>
      </c>
      <c r="HI175" s="624">
        <f>(HI24-HG24)/(HI9-HG9)</f>
        <v>0.55960715280353868</v>
      </c>
      <c r="HJ175" s="624">
        <f>(HJ24-HI24)/(HJ9-HI9)</f>
        <v>0.43702772161801762</v>
      </c>
      <c r="HK175" s="624">
        <f>(HK24-HJ24)/(HK9-HJ9)</f>
        <v>0.51303844347881311</v>
      </c>
      <c r="HL175" s="624">
        <f>(HL24-HK24)/(HL9-HK9)</f>
        <v>0.51251116335981917</v>
      </c>
      <c r="HM175" s="339">
        <f>(HM24-HH24)/(HM9-HH9)</f>
        <v>0.41593796686566342</v>
      </c>
      <c r="HN175" s="339"/>
      <c r="HO175" s="331"/>
      <c r="HP175" s="290"/>
      <c r="HR175" s="290"/>
      <c r="HS175" s="290"/>
      <c r="HT175" s="290"/>
      <c r="HU175" s="290"/>
      <c r="HV175" s="290"/>
      <c r="HW175" s="290"/>
      <c r="HX175" s="290"/>
    </row>
    <row r="176" spans="1:232" s="509" customFormat="1">
      <c r="A176" s="538"/>
      <c r="L176" s="523"/>
      <c r="M176" s="523"/>
      <c r="N176" s="523"/>
      <c r="O176" s="523"/>
      <c r="P176" s="524"/>
      <c r="Q176" s="619"/>
      <c r="R176" s="619"/>
      <c r="S176" s="619"/>
      <c r="T176" s="619"/>
      <c r="U176" s="541"/>
      <c r="V176" s="619"/>
      <c r="W176" s="619"/>
      <c r="X176" s="619"/>
      <c r="Y176" s="619"/>
      <c r="Z176" s="541"/>
      <c r="AA176" s="619"/>
      <c r="AB176" s="619"/>
      <c r="AC176" s="619"/>
      <c r="AD176" s="619"/>
      <c r="AE176" s="541"/>
      <c r="AF176" s="523"/>
      <c r="AG176" s="523"/>
      <c r="AH176" s="523"/>
      <c r="AI176" s="523"/>
      <c r="AJ176" s="541"/>
      <c r="AK176" s="523"/>
      <c r="AL176" s="523"/>
      <c r="AM176" s="523"/>
      <c r="AN176" s="523"/>
      <c r="AO176" s="541"/>
      <c r="AP176" s="523"/>
      <c r="AQ176" s="523"/>
      <c r="AR176" s="523"/>
      <c r="AS176" s="523"/>
      <c r="AT176" s="541"/>
      <c r="AU176" s="523"/>
      <c r="AV176" s="523"/>
      <c r="AW176" s="523"/>
      <c r="AX176" s="523"/>
      <c r="AY176" s="541"/>
      <c r="AZ176" s="523"/>
      <c r="BA176" s="523"/>
      <c r="BB176" s="523"/>
      <c r="BC176" s="523"/>
      <c r="BD176" s="541"/>
      <c r="BE176" s="523"/>
      <c r="BF176" s="523"/>
      <c r="BG176" s="523"/>
      <c r="BH176" s="523"/>
      <c r="BI176" s="541"/>
      <c r="BJ176" s="523"/>
      <c r="BK176" s="523"/>
      <c r="BL176" s="523"/>
      <c r="BM176" s="523"/>
      <c r="BN176" s="541"/>
      <c r="BO176" s="523"/>
      <c r="BP176" s="523"/>
      <c r="BQ176" s="523"/>
      <c r="BR176" s="523"/>
      <c r="BS176" s="541"/>
      <c r="BT176" s="523"/>
      <c r="BU176" s="523"/>
      <c r="BV176" s="523"/>
      <c r="BW176" s="523"/>
      <c r="BX176" s="591"/>
      <c r="BY176" s="523"/>
      <c r="BZ176" s="523"/>
      <c r="CA176" s="523"/>
      <c r="CB176" s="523"/>
      <c r="CC176" s="591"/>
      <c r="CD176" s="523"/>
      <c r="CE176" s="523"/>
      <c r="CF176" s="523"/>
      <c r="CG176" s="523"/>
      <c r="CH176" s="591"/>
      <c r="CI176" s="539"/>
      <c r="CJ176" s="539"/>
      <c r="CK176" s="539"/>
      <c r="CL176" s="539"/>
      <c r="CM176" s="542"/>
      <c r="CN176" s="539"/>
      <c r="CO176" s="539"/>
      <c r="CP176" s="539"/>
      <c r="CQ176" s="539"/>
      <c r="CR176" s="542"/>
      <c r="CS176" s="539"/>
      <c r="CT176" s="539"/>
      <c r="CU176" s="539"/>
      <c r="CV176" s="539"/>
      <c r="CW176" s="542"/>
      <c r="CX176" s="539"/>
      <c r="CY176" s="539"/>
      <c r="CZ176" s="539"/>
      <c r="DA176" s="539"/>
      <c r="DB176" s="542"/>
      <c r="DC176" s="539"/>
      <c r="DD176" s="539"/>
      <c r="DE176" s="539"/>
      <c r="DF176" s="539"/>
      <c r="DG176" s="542"/>
      <c r="DH176" s="539"/>
      <c r="DI176" s="539"/>
      <c r="DJ176" s="539"/>
      <c r="DK176" s="539"/>
      <c r="DL176" s="542"/>
      <c r="DM176" s="539"/>
      <c r="DN176" s="539"/>
      <c r="DO176" s="539"/>
      <c r="DP176" s="539"/>
      <c r="DQ176" s="542"/>
      <c r="DR176" s="539"/>
      <c r="DS176" s="539"/>
      <c r="DT176" s="539"/>
      <c r="DU176" s="539"/>
      <c r="DV176" s="542"/>
      <c r="DW176" s="539"/>
      <c r="DX176" s="539"/>
      <c r="DY176" s="539"/>
      <c r="DZ176" s="539"/>
      <c r="EA176" s="542"/>
      <c r="EB176" s="539"/>
      <c r="EC176" s="539"/>
      <c r="ED176" s="539"/>
      <c r="EE176" s="539"/>
      <c r="EF176" s="542"/>
      <c r="EG176" s="539"/>
      <c r="EH176" s="539"/>
      <c r="EI176" s="539"/>
      <c r="EJ176" s="539"/>
      <c r="EK176" s="542"/>
      <c r="EL176" s="539"/>
      <c r="EM176" s="539"/>
      <c r="EN176" s="539"/>
      <c r="EO176" s="539"/>
      <c r="EP176" s="542"/>
      <c r="EQ176" s="539"/>
      <c r="ER176" s="539"/>
      <c r="ES176" s="539"/>
      <c r="ET176" s="539"/>
      <c r="EU176" s="542"/>
      <c r="EV176" s="539"/>
      <c r="EW176" s="539"/>
      <c r="EX176" s="539"/>
      <c r="EY176" s="539"/>
      <c r="EZ176" s="542"/>
      <c r="FA176" s="539"/>
      <c r="FB176" s="539"/>
      <c r="FC176" s="539"/>
      <c r="FD176" s="539"/>
      <c r="FE176" s="542"/>
      <c r="FF176" s="539"/>
      <c r="FG176" s="539"/>
      <c r="FH176" s="539"/>
      <c r="FI176" s="539"/>
      <c r="FJ176" s="542"/>
      <c r="FK176" s="542"/>
      <c r="FL176" s="542"/>
      <c r="FM176" s="542"/>
      <c r="FN176" s="542"/>
      <c r="FO176" s="542"/>
      <c r="FP176" s="542"/>
      <c r="FQ176" s="542"/>
      <c r="FR176" s="542"/>
      <c r="FS176" s="542"/>
      <c r="FT176" s="542"/>
      <c r="FU176" s="542"/>
      <c r="FV176" s="542"/>
      <c r="FW176" s="542"/>
      <c r="FX176" s="542"/>
      <c r="FY176" s="542"/>
      <c r="FZ176" s="542"/>
      <c r="GA176" s="542"/>
      <c r="GB176" s="542"/>
      <c r="GC176" s="542"/>
      <c r="GD176" s="542"/>
      <c r="GE176" s="542"/>
      <c r="GF176" s="542"/>
      <c r="GG176" s="542"/>
      <c r="GH176" s="542"/>
      <c r="GI176" s="542"/>
      <c r="GJ176" s="542"/>
      <c r="GK176" s="542"/>
      <c r="GL176" s="542"/>
      <c r="GM176" s="542"/>
      <c r="GN176" s="542"/>
      <c r="GO176" s="542"/>
      <c r="GP176" s="542"/>
      <c r="GQ176" s="542"/>
      <c r="GR176" s="542"/>
      <c r="GS176" s="542"/>
      <c r="GT176" s="542"/>
      <c r="GU176" s="542"/>
      <c r="GV176" s="542"/>
      <c r="GW176" s="542"/>
      <c r="GX176" s="542"/>
      <c r="GY176" s="542"/>
      <c r="GZ176" s="542"/>
      <c r="HA176" s="542"/>
      <c r="HB176" s="542"/>
      <c r="HC176" s="542"/>
      <c r="HD176" s="542"/>
      <c r="HE176" s="542"/>
      <c r="HF176" s="542"/>
      <c r="HG176" s="542"/>
      <c r="HH176" s="542"/>
      <c r="HI176" s="542"/>
      <c r="HJ176" s="542"/>
      <c r="HK176" s="542"/>
      <c r="HL176" s="542"/>
      <c r="HM176" s="542"/>
      <c r="HN176" s="542"/>
      <c r="HO176" s="542"/>
      <c r="HP176" s="563"/>
      <c r="HR176" s="563"/>
      <c r="HS176" s="563"/>
      <c r="HT176" s="563"/>
      <c r="HU176" s="563"/>
      <c r="HV176" s="563"/>
      <c r="HW176" s="563"/>
      <c r="HX176" s="563"/>
    </row>
    <row r="177" spans="1:232" s="509" customFormat="1">
      <c r="L177" s="523"/>
      <c r="M177" s="523"/>
      <c r="N177" s="523"/>
      <c r="O177" s="523"/>
      <c r="P177" s="524"/>
      <c r="Q177" s="619"/>
      <c r="R177" s="619"/>
      <c r="S177" s="619"/>
      <c r="T177" s="619"/>
      <c r="U177" s="541"/>
      <c r="V177" s="523"/>
      <c r="W177" s="523"/>
      <c r="X177" s="523"/>
      <c r="Y177" s="523"/>
      <c r="Z177" s="524"/>
      <c r="AA177" s="523"/>
      <c r="AB177" s="523"/>
      <c r="AC177" s="523"/>
      <c r="AD177" s="523"/>
      <c r="AE177" s="524"/>
      <c r="AF177" s="523"/>
      <c r="AG177" s="523"/>
      <c r="AH177" s="523"/>
      <c r="AI177" s="523"/>
      <c r="AJ177" s="524"/>
      <c r="AK177" s="523"/>
      <c r="AL177" s="523"/>
      <c r="AM177" s="523"/>
      <c r="AN177" s="523"/>
      <c r="AO177" s="524"/>
      <c r="AP177" s="523"/>
      <c r="AQ177" s="523"/>
      <c r="AR177" s="523"/>
      <c r="AS177" s="523"/>
      <c r="AT177" s="524"/>
      <c r="AU177" s="523"/>
      <c r="AV177" s="523"/>
      <c r="AW177" s="523"/>
      <c r="AX177" s="523"/>
      <c r="AY177" s="524"/>
      <c r="AZ177" s="523"/>
      <c r="BA177" s="523"/>
      <c r="BB177" s="523"/>
      <c r="BC177" s="523"/>
      <c r="BD177" s="524"/>
      <c r="BE177" s="523"/>
      <c r="BF177" s="523"/>
      <c r="BG177" s="523"/>
      <c r="BH177" s="523"/>
      <c r="BI177" s="524"/>
      <c r="BJ177" s="523"/>
      <c r="BK177" s="523"/>
      <c r="BL177" s="523"/>
      <c r="BM177" s="523"/>
      <c r="BN177" s="524"/>
      <c r="BO177" s="523"/>
      <c r="BP177" s="523"/>
      <c r="BQ177" s="523"/>
      <c r="BR177" s="523"/>
      <c r="BS177" s="524"/>
      <c r="BT177" s="523"/>
      <c r="BU177" s="523"/>
      <c r="BV177" s="523"/>
      <c r="BW177" s="523"/>
      <c r="BX177" s="542"/>
      <c r="BY177" s="523"/>
      <c r="BZ177" s="523"/>
      <c r="CA177" s="523"/>
      <c r="CB177" s="523"/>
      <c r="CC177" s="542"/>
      <c r="CD177" s="523"/>
      <c r="CE177" s="523"/>
      <c r="CF177" s="523"/>
      <c r="CG177" s="523"/>
      <c r="CH177" s="542"/>
      <c r="CI177" s="539"/>
      <c r="CJ177" s="539"/>
      <c r="CK177" s="539"/>
      <c r="CL177" s="539"/>
      <c r="CM177" s="542"/>
      <c r="CN177" s="539"/>
      <c r="CO177" s="539"/>
      <c r="CP177" s="539"/>
      <c r="CQ177" s="539"/>
      <c r="CR177" s="542"/>
      <c r="CS177" s="539"/>
      <c r="CT177" s="539"/>
      <c r="CU177" s="539"/>
      <c r="CV177" s="539"/>
      <c r="CW177" s="542"/>
      <c r="CX177" s="539"/>
      <c r="CY177" s="539"/>
      <c r="CZ177" s="539"/>
      <c r="DA177" s="539"/>
      <c r="DB177" s="542"/>
      <c r="DC177" s="539"/>
      <c r="DD177" s="539"/>
      <c r="DE177" s="539"/>
      <c r="DF177" s="539"/>
      <c r="DG177" s="542"/>
      <c r="DH177" s="539"/>
      <c r="DI177" s="539"/>
      <c r="DJ177" s="539"/>
      <c r="DK177" s="539"/>
      <c r="DL177" s="542"/>
      <c r="DM177" s="539"/>
      <c r="DN177" s="539"/>
      <c r="DO177" s="539"/>
      <c r="DP177" s="539"/>
      <c r="DQ177" s="542"/>
      <c r="DR177" s="539"/>
      <c r="DS177" s="539"/>
      <c r="DT177" s="539"/>
      <c r="DU177" s="539"/>
      <c r="DV177" s="542"/>
      <c r="DW177" s="539"/>
      <c r="DX177" s="539"/>
      <c r="DY177" s="539"/>
      <c r="DZ177" s="539"/>
      <c r="EA177" s="542"/>
      <c r="EB177" s="539"/>
      <c r="EC177" s="539"/>
      <c r="ED177" s="539"/>
      <c r="EE177" s="539"/>
      <c r="EF177" s="542"/>
      <c r="EG177" s="539"/>
      <c r="EH177" s="539"/>
      <c r="EI177" s="539"/>
      <c r="EJ177" s="539"/>
      <c r="EK177" s="542"/>
      <c r="EL177" s="539"/>
      <c r="EM177" s="539"/>
      <c r="EN177" s="539"/>
      <c r="EO177" s="539"/>
      <c r="EP177" s="542"/>
      <c r="EQ177" s="539"/>
      <c r="ER177" s="539"/>
      <c r="ES177" s="539"/>
      <c r="ET177" s="539"/>
      <c r="EU177" s="542"/>
      <c r="EV177" s="539"/>
      <c r="EW177" s="539"/>
      <c r="EX177" s="539"/>
      <c r="EY177" s="539"/>
      <c r="EZ177" s="542"/>
      <c r="FA177" s="539"/>
      <c r="FB177" s="539"/>
      <c r="FC177" s="539"/>
      <c r="FD177" s="539"/>
      <c r="FE177" s="542"/>
      <c r="FF177" s="539"/>
      <c r="FG177" s="539"/>
      <c r="FH177" s="539"/>
      <c r="FI177" s="539"/>
      <c r="FJ177" s="542"/>
      <c r="FK177" s="542"/>
      <c r="FL177" s="542"/>
      <c r="FM177" s="542"/>
      <c r="FN177" s="542"/>
      <c r="FO177" s="542"/>
      <c r="FP177" s="542"/>
      <c r="FQ177" s="542"/>
      <c r="FR177" s="542"/>
      <c r="FS177" s="542"/>
      <c r="FT177" s="542"/>
      <c r="FU177" s="542"/>
      <c r="FV177" s="542"/>
      <c r="FW177" s="542"/>
      <c r="FX177" s="542"/>
      <c r="FY177" s="542"/>
      <c r="FZ177" s="542"/>
      <c r="GA177" s="542"/>
      <c r="GB177" s="542"/>
      <c r="GC177" s="542"/>
      <c r="GD177" s="542"/>
      <c r="GE177" s="542"/>
      <c r="GF177" s="542"/>
      <c r="GG177" s="542"/>
      <c r="GH177" s="542"/>
      <c r="GI177" s="542"/>
      <c r="GJ177" s="542"/>
      <c r="GK177" s="542"/>
      <c r="GL177" s="542"/>
      <c r="GM177" s="542"/>
      <c r="GN177" s="542"/>
      <c r="GO177" s="542"/>
      <c r="GP177" s="542"/>
      <c r="GQ177" s="542"/>
      <c r="GR177" s="542"/>
      <c r="GS177" s="542"/>
      <c r="GT177" s="542"/>
      <c r="GU177" s="542"/>
      <c r="GV177" s="542"/>
      <c r="GW177" s="542"/>
      <c r="GX177" s="542"/>
      <c r="GY177" s="542"/>
      <c r="GZ177" s="542"/>
      <c r="HA177" s="542"/>
      <c r="HB177" s="542"/>
      <c r="HC177" s="542"/>
      <c r="HD177" s="542"/>
      <c r="HE177" s="542"/>
      <c r="HF177" s="542"/>
      <c r="HG177" s="542"/>
      <c r="HH177" s="542"/>
      <c r="HI177" s="542"/>
      <c r="HJ177" s="542"/>
      <c r="HK177" s="542"/>
      <c r="HL177" s="542"/>
      <c r="HM177" s="542"/>
      <c r="HN177" s="542"/>
      <c r="HO177" s="542"/>
      <c r="HP177" s="563"/>
      <c r="HR177" s="563"/>
      <c r="HS177" s="563"/>
      <c r="HT177" s="563"/>
      <c r="HU177" s="563"/>
      <c r="HV177" s="563"/>
      <c r="HW177" s="563"/>
      <c r="HX177" s="563"/>
    </row>
    <row r="178" spans="1:232" s="509" customFormat="1" hidden="1" outlineLevel="1">
      <c r="A178" s="656" t="s">
        <v>485</v>
      </c>
      <c r="B178" s="657"/>
      <c r="C178" s="657"/>
      <c r="D178" s="657"/>
      <c r="E178" s="657"/>
      <c r="F178" s="657"/>
      <c r="G178" s="657"/>
      <c r="H178" s="657"/>
      <c r="I178" s="657"/>
      <c r="J178" s="657"/>
      <c r="K178" s="657"/>
      <c r="L178" s="658"/>
      <c r="M178" s="658"/>
      <c r="N178" s="658"/>
      <c r="O178" s="658"/>
      <c r="P178" s="659"/>
      <c r="Q178" s="660"/>
      <c r="R178" s="660"/>
      <c r="S178" s="660"/>
      <c r="T178" s="660"/>
      <c r="U178" s="661"/>
      <c r="V178" s="660"/>
      <c r="W178" s="660"/>
      <c r="X178" s="660"/>
      <c r="Y178" s="660"/>
      <c r="Z178" s="661"/>
      <c r="AA178" s="660"/>
      <c r="AB178" s="660"/>
      <c r="AC178" s="660"/>
      <c r="AD178" s="660"/>
      <c r="AE178" s="661"/>
      <c r="AF178" s="658"/>
      <c r="AG178" s="658"/>
      <c r="AH178" s="658"/>
      <c r="AI178" s="658"/>
      <c r="AJ178" s="661"/>
      <c r="AK178" s="658"/>
      <c r="AL178" s="658"/>
      <c r="AM178" s="658"/>
      <c r="AN178" s="658"/>
      <c r="AO178" s="661"/>
      <c r="AP178" s="658"/>
      <c r="AQ178" s="658"/>
      <c r="AR178" s="658"/>
      <c r="AS178" s="658"/>
      <c r="AT178" s="661"/>
      <c r="AU178" s="658"/>
      <c r="AV178" s="658"/>
      <c r="AW178" s="658"/>
      <c r="AX178" s="658"/>
      <c r="AY178" s="661"/>
      <c r="AZ178" s="658"/>
      <c r="BA178" s="658"/>
      <c r="BB178" s="658"/>
      <c r="BC178" s="658"/>
      <c r="BD178" s="661"/>
      <c r="BE178" s="658"/>
      <c r="BF178" s="658"/>
      <c r="BG178" s="658"/>
      <c r="BH178" s="658"/>
      <c r="BI178" s="661"/>
      <c r="BJ178" s="658"/>
      <c r="BK178" s="658"/>
      <c r="BL178" s="658"/>
      <c r="BM178" s="658"/>
      <c r="BN178" s="661"/>
      <c r="BO178" s="658"/>
      <c r="BP178" s="658"/>
      <c r="BQ178" s="658"/>
      <c r="BR178" s="658"/>
      <c r="BS178" s="661"/>
      <c r="BT178" s="658"/>
      <c r="BU178" s="658"/>
      <c r="BV178" s="658"/>
      <c r="BW178" s="658"/>
      <c r="BX178" s="662"/>
      <c r="BY178" s="658"/>
      <c r="BZ178" s="658"/>
      <c r="CA178" s="658"/>
      <c r="CB178" s="658"/>
      <c r="CC178" s="662"/>
      <c r="CD178" s="658"/>
      <c r="CE178" s="658"/>
      <c r="CF178" s="658"/>
      <c r="CG178" s="658"/>
      <c r="CH178" s="662"/>
      <c r="CI178" s="663"/>
      <c r="CJ178" s="663"/>
      <c r="CK178" s="663"/>
      <c r="CL178" s="663"/>
      <c r="CM178" s="664"/>
      <c r="CN178" s="663"/>
      <c r="CO178" s="663"/>
      <c r="CP178" s="663"/>
      <c r="CQ178" s="663"/>
      <c r="CR178" s="664"/>
      <c r="CS178" s="663"/>
      <c r="CT178" s="663"/>
      <c r="CU178" s="663"/>
      <c r="CV178" s="663"/>
      <c r="CW178" s="664"/>
      <c r="CX178" s="663"/>
      <c r="CY178" s="663"/>
      <c r="CZ178" s="663"/>
      <c r="DA178" s="663"/>
      <c r="DB178" s="664"/>
      <c r="DC178" s="663"/>
      <c r="DD178" s="663"/>
      <c r="DE178" s="663"/>
      <c r="DF178" s="663"/>
      <c r="DG178" s="664"/>
      <c r="DH178" s="663"/>
      <c r="DI178" s="663"/>
      <c r="DJ178" s="663"/>
      <c r="DK178" s="663"/>
      <c r="DL178" s="664"/>
      <c r="DM178" s="663"/>
      <c r="DN178" s="663"/>
      <c r="DO178" s="663"/>
      <c r="DP178" s="663"/>
      <c r="DQ178" s="664"/>
      <c r="DR178" s="663"/>
      <c r="DS178" s="663"/>
      <c r="DT178" s="663"/>
      <c r="DU178" s="663"/>
      <c r="DV178" s="664"/>
      <c r="DW178" s="663"/>
      <c r="DX178" s="663"/>
      <c r="DY178" s="663"/>
      <c r="DZ178" s="663"/>
      <c r="EA178" s="664"/>
      <c r="EB178" s="663"/>
      <c r="EC178" s="663"/>
      <c r="ED178" s="663"/>
      <c r="EE178" s="663"/>
      <c r="EF178" s="664"/>
      <c r="EG178" s="663"/>
      <c r="EH178" s="663"/>
      <c r="EI178" s="663"/>
      <c r="EJ178" s="663"/>
      <c r="EK178" s="664"/>
      <c r="EL178" s="663"/>
      <c r="EM178" s="663"/>
      <c r="EN178" s="663"/>
      <c r="EO178" s="663"/>
      <c r="EP178" s="664"/>
      <c r="EQ178" s="663"/>
      <c r="ER178" s="663"/>
      <c r="ES178" s="663"/>
      <c r="ET178" s="663"/>
      <c r="EU178" s="664"/>
      <c r="EV178" s="663"/>
      <c r="EW178" s="663"/>
      <c r="EX178" s="663"/>
      <c r="EY178" s="663"/>
      <c r="EZ178" s="664"/>
      <c r="FA178" s="663"/>
      <c r="FB178" s="663"/>
      <c r="FC178" s="663"/>
      <c r="FD178" s="663"/>
      <c r="FE178" s="664"/>
      <c r="FF178" s="663"/>
      <c r="FG178" s="663"/>
      <c r="FH178" s="663"/>
      <c r="FI178" s="663"/>
      <c r="FJ178" s="664"/>
      <c r="FK178" s="664"/>
      <c r="FL178" s="664"/>
      <c r="FM178" s="664"/>
      <c r="FN178" s="664"/>
      <c r="FO178" s="664"/>
      <c r="FP178" s="664"/>
      <c r="FQ178" s="664"/>
      <c r="FR178" s="664"/>
      <c r="FS178" s="664"/>
      <c r="FT178" s="664"/>
      <c r="FU178" s="664"/>
      <c r="FV178" s="664"/>
      <c r="FW178" s="664"/>
      <c r="FX178" s="664"/>
      <c r="FY178" s="664"/>
      <c r="FZ178" s="664"/>
      <c r="GA178" s="664"/>
      <c r="GB178" s="664"/>
      <c r="GC178" s="664"/>
      <c r="GD178" s="664"/>
      <c r="GE178" s="664"/>
      <c r="GF178" s="664"/>
      <c r="GG178" s="664"/>
      <c r="GH178" s="664"/>
      <c r="GI178" s="664"/>
      <c r="GJ178" s="664"/>
      <c r="GK178" s="664"/>
      <c r="GL178" s="664"/>
      <c r="GM178" s="664"/>
      <c r="GN178" s="664"/>
      <c r="GO178" s="664"/>
      <c r="GP178" s="664"/>
      <c r="GQ178" s="664"/>
      <c r="GR178" s="664"/>
      <c r="GS178" s="664"/>
      <c r="GT178" s="664"/>
      <c r="GU178" s="664"/>
      <c r="GV178" s="664"/>
      <c r="GW178" s="664"/>
      <c r="GX178" s="664"/>
      <c r="GY178" s="664"/>
      <c r="GZ178" s="664"/>
      <c r="HA178" s="664"/>
      <c r="HB178" s="664"/>
      <c r="HC178" s="664"/>
      <c r="HD178" s="664"/>
      <c r="HE178" s="664"/>
      <c r="HF178" s="664"/>
      <c r="HG178" s="664"/>
      <c r="HH178" s="664"/>
      <c r="HI178" s="664"/>
      <c r="HJ178" s="664"/>
      <c r="HK178" s="664"/>
      <c r="HL178" s="664"/>
      <c r="HM178" s="664"/>
      <c r="HN178" s="664"/>
      <c r="HO178" s="542"/>
      <c r="HP178" s="563"/>
      <c r="HR178" s="563"/>
      <c r="HS178" s="563"/>
      <c r="HT178" s="563"/>
      <c r="HU178" s="563"/>
      <c r="HV178" s="563"/>
      <c r="HW178" s="563"/>
      <c r="HX178" s="563"/>
    </row>
    <row r="179" spans="1:232" s="509" customFormat="1" hidden="1" outlineLevel="1">
      <c r="A179" s="656"/>
      <c r="B179" s="657"/>
      <c r="C179" s="657"/>
      <c r="D179" s="657"/>
      <c r="E179" s="657"/>
      <c r="F179" s="657"/>
      <c r="G179" s="657"/>
      <c r="H179" s="657"/>
      <c r="I179" s="657"/>
      <c r="J179" s="657"/>
      <c r="K179" s="657"/>
      <c r="L179" s="658"/>
      <c r="M179" s="658"/>
      <c r="N179" s="658"/>
      <c r="O179" s="658"/>
      <c r="P179" s="659"/>
      <c r="Q179" s="660"/>
      <c r="R179" s="660"/>
      <c r="S179" s="660"/>
      <c r="T179" s="660"/>
      <c r="U179" s="661"/>
      <c r="V179" s="660"/>
      <c r="W179" s="660"/>
      <c r="X179" s="660"/>
      <c r="Y179" s="660"/>
      <c r="Z179" s="661"/>
      <c r="AA179" s="660"/>
      <c r="AB179" s="660"/>
      <c r="AC179" s="660"/>
      <c r="AD179" s="660"/>
      <c r="AE179" s="661"/>
      <c r="AF179" s="658"/>
      <c r="AG179" s="658"/>
      <c r="AH179" s="658"/>
      <c r="AI179" s="658"/>
      <c r="AJ179" s="661"/>
      <c r="AK179" s="658"/>
      <c r="AL179" s="658"/>
      <c r="AM179" s="658"/>
      <c r="AN179" s="658"/>
      <c r="AO179" s="661"/>
      <c r="AP179" s="658"/>
      <c r="AQ179" s="658"/>
      <c r="AR179" s="658"/>
      <c r="AS179" s="658"/>
      <c r="AT179" s="661"/>
      <c r="AU179" s="658"/>
      <c r="AV179" s="658"/>
      <c r="AW179" s="658"/>
      <c r="AX179" s="658"/>
      <c r="AY179" s="661"/>
      <c r="AZ179" s="658"/>
      <c r="BA179" s="658"/>
      <c r="BB179" s="658"/>
      <c r="BC179" s="658"/>
      <c r="BD179" s="661"/>
      <c r="BE179" s="658"/>
      <c r="BF179" s="658"/>
      <c r="BG179" s="658"/>
      <c r="BH179" s="658"/>
      <c r="BI179" s="661"/>
      <c r="BJ179" s="658"/>
      <c r="BK179" s="658"/>
      <c r="BL179" s="658"/>
      <c r="BM179" s="658"/>
      <c r="BN179" s="661"/>
      <c r="BO179" s="658"/>
      <c r="BP179" s="658"/>
      <c r="BQ179" s="658"/>
      <c r="BR179" s="658"/>
      <c r="BS179" s="661"/>
      <c r="BT179" s="658"/>
      <c r="BU179" s="658"/>
      <c r="BV179" s="658"/>
      <c r="BW179" s="658"/>
      <c r="BX179" s="662"/>
      <c r="BY179" s="658"/>
      <c r="BZ179" s="658"/>
      <c r="CA179" s="658"/>
      <c r="CB179" s="658"/>
      <c r="CC179" s="662"/>
      <c r="CD179" s="658"/>
      <c r="CE179" s="658"/>
      <c r="CF179" s="658"/>
      <c r="CG179" s="658"/>
      <c r="CH179" s="662"/>
      <c r="CI179" s="663"/>
      <c r="CJ179" s="663"/>
      <c r="CK179" s="663"/>
      <c r="CL179" s="663"/>
      <c r="CM179" s="664"/>
      <c r="CN179" s="663"/>
      <c r="CO179" s="663"/>
      <c r="CP179" s="663"/>
      <c r="CQ179" s="663"/>
      <c r="CR179" s="664"/>
      <c r="CS179" s="663"/>
      <c r="CT179" s="663"/>
      <c r="CU179" s="663"/>
      <c r="CV179" s="663"/>
      <c r="CW179" s="663"/>
      <c r="CX179" s="663"/>
      <c r="CY179" s="663"/>
      <c r="CZ179" s="663"/>
      <c r="DA179" s="663"/>
      <c r="DB179" s="663"/>
      <c r="DC179" s="663"/>
      <c r="DD179" s="663"/>
      <c r="DE179" s="663"/>
      <c r="DF179" s="663"/>
      <c r="DG179" s="663"/>
      <c r="DH179" s="663"/>
      <c r="DI179" s="663"/>
      <c r="DJ179" s="663"/>
      <c r="DK179" s="663"/>
      <c r="DL179" s="663"/>
      <c r="DM179" s="663"/>
      <c r="DN179" s="663"/>
      <c r="DO179" s="663"/>
      <c r="DP179" s="663"/>
      <c r="DQ179" s="663"/>
      <c r="DR179" s="663"/>
      <c r="DS179" s="663"/>
      <c r="DT179" s="663"/>
      <c r="DU179" s="663"/>
      <c r="DV179" s="663"/>
      <c r="DW179" s="663"/>
      <c r="DX179" s="663"/>
      <c r="DY179" s="663"/>
      <c r="DZ179" s="663"/>
      <c r="EA179" s="663"/>
      <c r="EB179" s="663"/>
      <c r="EC179" s="663"/>
      <c r="ED179" s="663"/>
      <c r="EE179" s="665"/>
      <c r="EF179" s="663"/>
      <c r="EG179" s="663"/>
      <c r="EH179" s="663"/>
      <c r="EI179" s="665"/>
      <c r="EJ179" s="665"/>
      <c r="EK179" s="664"/>
      <c r="EL179" s="666"/>
      <c r="EM179" s="666"/>
      <c r="EN179" s="666"/>
      <c r="EO179" s="666"/>
      <c r="EP179" s="666"/>
      <c r="EQ179" s="666"/>
      <c r="ER179" s="666"/>
      <c r="ES179" s="666"/>
      <c r="ET179" s="666"/>
      <c r="EU179" s="666"/>
      <c r="EV179" s="666"/>
      <c r="EW179" s="666"/>
      <c r="EX179" s="666"/>
      <c r="EY179" s="666"/>
      <c r="EZ179" s="666"/>
      <c r="FA179" s="666"/>
      <c r="FB179" s="666"/>
      <c r="FC179" s="666"/>
      <c r="FD179" s="666"/>
      <c r="FE179" s="666"/>
      <c r="FF179" s="666"/>
      <c r="FG179" s="666"/>
      <c r="FH179" s="666"/>
      <c r="FI179" s="666"/>
      <c r="FJ179" s="666"/>
      <c r="FK179" s="666"/>
      <c r="FL179" s="666"/>
      <c r="FM179" s="666"/>
      <c r="FN179" s="666"/>
      <c r="FO179" s="666"/>
      <c r="FP179" s="666"/>
      <c r="FQ179" s="666"/>
      <c r="FR179" s="666"/>
      <c r="FS179" s="666"/>
      <c r="FT179" s="666"/>
      <c r="FU179" s="666"/>
      <c r="FV179" s="666"/>
      <c r="FW179" s="666"/>
      <c r="FX179" s="666"/>
      <c r="FY179" s="666"/>
      <c r="FZ179" s="666"/>
      <c r="GA179" s="666"/>
      <c r="GB179" s="666"/>
      <c r="GC179" s="666"/>
      <c r="GD179" s="666"/>
      <c r="GE179" s="666"/>
      <c r="GF179" s="666"/>
      <c r="GG179" s="666"/>
      <c r="GH179" s="666"/>
      <c r="GI179" s="666"/>
      <c r="GJ179" s="666"/>
      <c r="GK179" s="666"/>
      <c r="GL179" s="666"/>
      <c r="GM179" s="666"/>
      <c r="GN179" s="666"/>
      <c r="GO179" s="666"/>
      <c r="GP179" s="666"/>
      <c r="GQ179" s="666"/>
      <c r="GR179" s="666"/>
      <c r="GS179" s="666"/>
      <c r="GT179" s="666"/>
      <c r="GU179" s="666"/>
      <c r="GV179" s="666"/>
      <c r="GW179" s="666"/>
      <c r="GX179" s="666"/>
      <c r="GY179" s="666"/>
      <c r="GZ179" s="666"/>
      <c r="HA179" s="666"/>
      <c r="HB179" s="666"/>
      <c r="HC179" s="666"/>
      <c r="HD179" s="666"/>
      <c r="HE179" s="666"/>
      <c r="HF179" s="666"/>
      <c r="HG179" s="666"/>
      <c r="HH179" s="666"/>
      <c r="HI179" s="666"/>
      <c r="HJ179" s="666"/>
      <c r="HK179" s="666"/>
      <c r="HL179" s="666"/>
      <c r="HM179" s="666"/>
      <c r="HN179" s="666"/>
      <c r="HO179" s="542"/>
      <c r="HP179" s="563"/>
      <c r="HR179" s="563"/>
      <c r="HS179" s="563"/>
      <c r="HT179" s="563"/>
      <c r="HU179" s="563"/>
      <c r="HV179" s="563"/>
      <c r="HW179" s="563"/>
      <c r="HX179" s="563"/>
    </row>
    <row r="180" spans="1:232" s="509" customFormat="1" ht="15" hidden="1" customHeight="1" outlineLevel="1">
      <c r="A180" s="538" t="s">
        <v>486</v>
      </c>
      <c r="L180" s="523"/>
      <c r="M180" s="523"/>
      <c r="N180" s="523"/>
      <c r="O180" s="523"/>
      <c r="P180" s="524"/>
      <c r="Q180" s="619"/>
      <c r="R180" s="619"/>
      <c r="S180" s="619"/>
      <c r="T180" s="619"/>
      <c r="U180" s="541"/>
      <c r="V180" s="619"/>
      <c r="W180" s="619"/>
      <c r="X180" s="619"/>
      <c r="Y180" s="619"/>
      <c r="Z180" s="541"/>
      <c r="AA180" s="619"/>
      <c r="AB180" s="619"/>
      <c r="AC180" s="619"/>
      <c r="AD180" s="619"/>
      <c r="AE180" s="541"/>
      <c r="AF180" s="523"/>
      <c r="AG180" s="523"/>
      <c r="AH180" s="523"/>
      <c r="AI180" s="523"/>
      <c r="AJ180" s="541"/>
      <c r="AK180" s="523"/>
      <c r="AL180" s="523"/>
      <c r="AM180" s="523"/>
      <c r="AN180" s="523"/>
      <c r="AO180" s="541"/>
      <c r="AP180" s="523"/>
      <c r="AQ180" s="523"/>
      <c r="AR180" s="523"/>
      <c r="AS180" s="523"/>
      <c r="AT180" s="541"/>
      <c r="AU180" s="523"/>
      <c r="AV180" s="523"/>
      <c r="AW180" s="523"/>
      <c r="AX180" s="523"/>
      <c r="AY180" s="541"/>
      <c r="AZ180" s="523"/>
      <c r="BA180" s="523"/>
      <c r="BB180" s="523"/>
      <c r="BC180" s="523"/>
      <c r="BD180" s="541"/>
      <c r="BE180" s="523"/>
      <c r="BF180" s="523"/>
      <c r="BG180" s="523"/>
      <c r="BH180" s="523"/>
      <c r="BI180" s="541"/>
      <c r="BJ180" s="523"/>
      <c r="BK180" s="523"/>
      <c r="BL180" s="523"/>
      <c r="BM180" s="523"/>
      <c r="BN180" s="541"/>
      <c r="BO180" s="523"/>
      <c r="BP180" s="523"/>
      <c r="BQ180" s="523"/>
      <c r="BR180" s="523"/>
      <c r="BS180" s="541"/>
      <c r="BT180" s="523"/>
      <c r="BU180" s="523"/>
      <c r="BV180" s="523"/>
      <c r="BW180" s="523"/>
      <c r="BX180" s="591"/>
      <c r="BY180" s="523"/>
      <c r="BZ180" s="523"/>
      <c r="CA180" s="523"/>
      <c r="CB180" s="523"/>
      <c r="CC180" s="591"/>
      <c r="CD180" s="523"/>
      <c r="CE180" s="523"/>
      <c r="CF180" s="523"/>
      <c r="CG180" s="523"/>
      <c r="CH180" s="591"/>
      <c r="CI180" s="539"/>
      <c r="CJ180" s="539"/>
      <c r="CK180" s="539"/>
      <c r="CL180" s="539"/>
      <c r="CM180" s="542"/>
      <c r="CN180" s="539"/>
      <c r="CO180" s="667"/>
      <c r="CP180" s="667"/>
      <c r="CQ180" s="667"/>
      <c r="CR180" s="542"/>
      <c r="CS180" s="539"/>
      <c r="CT180" s="539"/>
      <c r="CU180" s="539"/>
      <c r="CV180" s="539"/>
      <c r="CW180" s="542"/>
      <c r="CX180" s="539"/>
      <c r="CY180" s="539"/>
      <c r="CZ180" s="539"/>
      <c r="DA180" s="539"/>
      <c r="DB180" s="542"/>
      <c r="DC180" s="539"/>
      <c r="DD180" s="539"/>
      <c r="DE180" s="539"/>
      <c r="DF180" s="348"/>
      <c r="DG180" s="542"/>
      <c r="DH180" s="668"/>
      <c r="DI180" s="668"/>
      <c r="DJ180" s="668"/>
      <c r="DK180" s="668"/>
      <c r="DL180" s="669"/>
      <c r="DM180" s="668"/>
      <c r="DN180" s="668"/>
      <c r="DO180" s="668"/>
      <c r="DP180" s="668"/>
      <c r="DQ180" s="669"/>
      <c r="DR180" s="668"/>
      <c r="DS180" s="668"/>
      <c r="DT180" s="668"/>
      <c r="DU180" s="668"/>
      <c r="DV180" s="669"/>
      <c r="DW180" s="668"/>
      <c r="DX180" s="668"/>
      <c r="DY180" s="668"/>
      <c r="DZ180" s="668"/>
      <c r="EA180" s="669"/>
      <c r="EB180" s="668"/>
      <c r="EC180" s="668"/>
      <c r="ED180" s="668"/>
      <c r="EE180" s="666"/>
      <c r="EF180" s="669"/>
      <c r="EG180" s="668"/>
      <c r="EH180" s="668"/>
      <c r="EI180" s="666"/>
      <c r="EJ180" s="666"/>
      <c r="EK180" s="538"/>
      <c r="EL180" s="668">
        <f>+EL179</f>
        <v>0</v>
      </c>
      <c r="EM180" s="668"/>
      <c r="EN180" s="668"/>
      <c r="EO180" s="668"/>
      <c r="EP180" s="669"/>
      <c r="EQ180" s="668"/>
      <c r="ER180" s="668"/>
      <c r="ES180" s="668"/>
      <c r="ET180" s="668"/>
      <c r="EU180" s="669"/>
      <c r="EV180" s="668"/>
      <c r="EW180" s="668"/>
      <c r="EX180" s="668"/>
      <c r="EY180" s="668"/>
      <c r="EZ180" s="669"/>
      <c r="FA180" s="668"/>
      <c r="FB180" s="668"/>
      <c r="FC180" s="668"/>
      <c r="FD180" s="668"/>
      <c r="FE180" s="669"/>
      <c r="FF180" s="668"/>
      <c r="FG180" s="668"/>
      <c r="FH180" s="668"/>
      <c r="FI180" s="668"/>
      <c r="FJ180" s="669"/>
      <c r="FK180" s="669"/>
      <c r="FL180" s="669"/>
      <c r="FM180" s="669"/>
      <c r="FN180" s="669"/>
      <c r="FO180" s="669"/>
      <c r="FP180" s="669"/>
      <c r="FQ180" s="669"/>
      <c r="FR180" s="669"/>
      <c r="FS180" s="669"/>
      <c r="FT180" s="669"/>
      <c r="FU180" s="669"/>
      <c r="FV180" s="669"/>
      <c r="FW180" s="669"/>
      <c r="FX180" s="669"/>
      <c r="FY180" s="669"/>
      <c r="FZ180" s="669"/>
      <c r="GA180" s="669"/>
      <c r="GB180" s="669"/>
      <c r="GC180" s="669"/>
      <c r="GD180" s="669"/>
      <c r="GE180" s="669"/>
      <c r="GF180" s="669"/>
      <c r="GG180" s="669"/>
      <c r="GH180" s="669"/>
      <c r="GI180" s="669"/>
      <c r="GJ180" s="669"/>
      <c r="GK180" s="669"/>
      <c r="GL180" s="669"/>
      <c r="GM180" s="669"/>
      <c r="GN180" s="669"/>
      <c r="GO180" s="669"/>
      <c r="GP180" s="669"/>
      <c r="GQ180" s="669"/>
      <c r="GR180" s="669"/>
      <c r="GS180" s="669"/>
      <c r="GT180" s="669"/>
      <c r="GU180" s="669"/>
      <c r="GV180" s="669"/>
      <c r="GW180" s="669"/>
      <c r="GX180" s="669"/>
      <c r="GY180" s="669"/>
      <c r="GZ180" s="669"/>
      <c r="HA180" s="669"/>
      <c r="HB180" s="669"/>
      <c r="HC180" s="669"/>
      <c r="HD180" s="669"/>
      <c r="HE180" s="669"/>
      <c r="HF180" s="669"/>
      <c r="HG180" s="669"/>
      <c r="HH180" s="669"/>
      <c r="HI180" s="669"/>
      <c r="HJ180" s="669"/>
      <c r="HK180" s="669"/>
      <c r="HL180" s="669"/>
      <c r="HM180" s="669"/>
      <c r="HN180" s="669"/>
      <c r="HO180" s="669"/>
      <c r="HP180" s="563"/>
      <c r="HR180" s="563"/>
      <c r="HS180" s="563"/>
      <c r="HT180" s="563"/>
      <c r="HU180" s="563"/>
      <c r="HV180" s="563"/>
      <c r="HW180" s="563"/>
      <c r="HX180" s="563"/>
    </row>
    <row r="181" spans="1:232" s="509" customFormat="1" ht="15" hidden="1" customHeight="1" outlineLevel="1">
      <c r="A181" s="509" t="s">
        <v>487</v>
      </c>
      <c r="L181" s="523"/>
      <c r="M181" s="523"/>
      <c r="N181" s="523"/>
      <c r="O181" s="523"/>
      <c r="P181" s="524"/>
      <c r="Q181" s="619"/>
      <c r="R181" s="619"/>
      <c r="S181" s="619"/>
      <c r="T181" s="619"/>
      <c r="U181" s="541"/>
      <c r="V181" s="619"/>
      <c r="W181" s="619"/>
      <c r="X181" s="619"/>
      <c r="Y181" s="619"/>
      <c r="Z181" s="541"/>
      <c r="AA181" s="619"/>
      <c r="AB181" s="619"/>
      <c r="AC181" s="619"/>
      <c r="AD181" s="619"/>
      <c r="AE181" s="541"/>
      <c r="AF181" s="523"/>
      <c r="AG181" s="523"/>
      <c r="AH181" s="523"/>
      <c r="AI181" s="523"/>
      <c r="AJ181" s="541"/>
      <c r="AK181" s="523"/>
      <c r="AL181" s="523"/>
      <c r="AM181" s="523"/>
      <c r="AN181" s="523"/>
      <c r="AO181" s="541"/>
      <c r="AP181" s="523"/>
      <c r="AQ181" s="523"/>
      <c r="AR181" s="523"/>
      <c r="AS181" s="523"/>
      <c r="AT181" s="541"/>
      <c r="AU181" s="523"/>
      <c r="AV181" s="523"/>
      <c r="AW181" s="523"/>
      <c r="AX181" s="523"/>
      <c r="AY181" s="541"/>
      <c r="AZ181" s="523"/>
      <c r="BA181" s="523"/>
      <c r="BB181" s="523"/>
      <c r="BC181" s="523"/>
      <c r="BD181" s="541"/>
      <c r="BE181" s="523"/>
      <c r="BF181" s="523"/>
      <c r="BG181" s="523"/>
      <c r="BH181" s="523"/>
      <c r="BI181" s="541"/>
      <c r="BJ181" s="523"/>
      <c r="BK181" s="523"/>
      <c r="BL181" s="523"/>
      <c r="BM181" s="523"/>
      <c r="BN181" s="541"/>
      <c r="BO181" s="523"/>
      <c r="BP181" s="523"/>
      <c r="BQ181" s="523"/>
      <c r="BR181" s="523"/>
      <c r="BS181" s="541"/>
      <c r="BT181" s="670">
        <v>6434</v>
      </c>
      <c r="BU181" s="670">
        <v>7057</v>
      </c>
      <c r="BV181" s="670">
        <v>6970</v>
      </c>
      <c r="BW181" s="670">
        <v>7066</v>
      </c>
      <c r="BX181" s="591">
        <f>SUM(BT181:BW181)</f>
        <v>27527</v>
      </c>
      <c r="BY181" s="670">
        <v>7071</v>
      </c>
      <c r="BZ181" s="670">
        <v>5260</v>
      </c>
      <c r="CA181" s="670">
        <v>3793</v>
      </c>
      <c r="CB181" s="670">
        <v>5267</v>
      </c>
      <c r="CC181" s="591">
        <f>SUM(BY181:CB181)</f>
        <v>21391</v>
      </c>
      <c r="CD181" s="670">
        <v>6394</v>
      </c>
      <c r="CE181" s="670">
        <v>5844</v>
      </c>
      <c r="CF181" s="670">
        <v>5936</v>
      </c>
      <c r="CG181" s="670">
        <v>6554</v>
      </c>
      <c r="CH181" s="542">
        <f>SUM(CD181:CG181)</f>
        <v>24728</v>
      </c>
      <c r="CI181" s="670">
        <v>6407</v>
      </c>
      <c r="CJ181" s="670">
        <v>6299</v>
      </c>
      <c r="CK181" s="670">
        <v>6560</v>
      </c>
      <c r="CL181" s="670">
        <v>7808</v>
      </c>
      <c r="CM181" s="542">
        <f>SUM(CI181:CL181)</f>
        <v>27074</v>
      </c>
      <c r="CN181" s="670">
        <v>7796</v>
      </c>
      <c r="CO181" s="670">
        <v>7280</v>
      </c>
      <c r="CP181" s="670">
        <v>8523.4834437086101</v>
      </c>
      <c r="CQ181" s="670">
        <v>10795</v>
      </c>
      <c r="CR181" s="542">
        <f>SUM(CN181:CQ181)</f>
        <v>34394.48344370861</v>
      </c>
      <c r="CS181" s="523">
        <v>9980</v>
      </c>
      <c r="CT181" s="523">
        <v>9522</v>
      </c>
      <c r="CU181" s="523">
        <v>10593.225</v>
      </c>
      <c r="CV181" s="523">
        <v>12012.717149999999</v>
      </c>
      <c r="CW181" s="542">
        <f>SUM(CS181:CV181)</f>
        <v>42107.942149999995</v>
      </c>
      <c r="CX181" s="523">
        <v>7312</v>
      </c>
      <c r="CY181" s="523">
        <v>10812</v>
      </c>
      <c r="CZ181" s="523">
        <v>11602</v>
      </c>
      <c r="DA181" s="523">
        <v>12498</v>
      </c>
      <c r="DB181" s="542">
        <f>SUM(CX181:DA181)</f>
        <v>42224</v>
      </c>
      <c r="DC181" s="523">
        <v>10630</v>
      </c>
      <c r="DD181" s="523">
        <v>10454</v>
      </c>
      <c r="DE181" s="523">
        <v>10822</v>
      </c>
      <c r="DF181" s="523">
        <v>8812</v>
      </c>
      <c r="DG181" s="542">
        <f>SUM(DC181:DF181)</f>
        <v>40718</v>
      </c>
      <c r="DH181" s="523">
        <v>9772</v>
      </c>
      <c r="DI181" s="523">
        <v>10190</v>
      </c>
      <c r="DJ181" s="523">
        <v>10753</v>
      </c>
      <c r="DK181" s="523">
        <v>11662</v>
      </c>
      <c r="DL181" s="542">
        <f>SUM(DH181:DK181)</f>
        <v>42377</v>
      </c>
      <c r="DM181" s="523">
        <v>10810</v>
      </c>
      <c r="DN181" s="523">
        <v>10179</v>
      </c>
      <c r="DO181" s="523">
        <v>10962</v>
      </c>
      <c r="DP181" s="523">
        <v>10861</v>
      </c>
      <c r="DQ181" s="542">
        <f>SUM(DM181:DP181)</f>
        <v>42812</v>
      </c>
      <c r="DR181" s="523">
        <v>11050</v>
      </c>
      <c r="DS181" s="523">
        <v>11231</v>
      </c>
      <c r="DT181" s="523">
        <v>9776</v>
      </c>
      <c r="DU181" s="523">
        <v>9654</v>
      </c>
      <c r="DV181" s="542">
        <f>SUM(DR181:DU181)</f>
        <v>41711</v>
      </c>
      <c r="DW181" s="597">
        <v>9654</v>
      </c>
      <c r="DX181" s="597">
        <v>8703</v>
      </c>
      <c r="DY181" s="523">
        <v>7418</v>
      </c>
      <c r="DZ181" s="523">
        <v>6631</v>
      </c>
      <c r="EA181" s="542">
        <f>SUM(DW181:DZ181)</f>
        <v>32406</v>
      </c>
      <c r="EB181" s="571">
        <v>5842</v>
      </c>
      <c r="EC181" s="571">
        <v>6605</v>
      </c>
      <c r="ED181" s="523">
        <v>7143</v>
      </c>
      <c r="EE181" s="523">
        <v>7505</v>
      </c>
      <c r="EF181" s="542">
        <f>SUM(EB181:EE181)</f>
        <v>27095</v>
      </c>
      <c r="EG181" s="571">
        <v>5732</v>
      </c>
      <c r="EH181" s="571">
        <v>5633</v>
      </c>
      <c r="EI181" s="571">
        <v>6462</v>
      </c>
      <c r="EJ181" s="571">
        <v>4180</v>
      </c>
      <c r="EK181" s="542">
        <f>SUM(EG181:EJ181)</f>
        <v>22007</v>
      </c>
      <c r="EL181" s="571">
        <v>3098</v>
      </c>
      <c r="EM181" s="571">
        <v>2924</v>
      </c>
      <c r="EN181" s="571">
        <v>3226</v>
      </c>
      <c r="EO181" s="523">
        <f>EN181*(1+EO182)</f>
        <v>3355.04</v>
      </c>
      <c r="EP181" s="542">
        <f>SUM(EL181:EO181)</f>
        <v>12603.04</v>
      </c>
      <c r="EQ181" s="571">
        <f>EO181*(1+EQ182)</f>
        <v>3254.3887999999997</v>
      </c>
      <c r="ER181" s="571">
        <f>EQ181*(1+ER182)</f>
        <v>3417.10824</v>
      </c>
      <c r="ES181" s="571">
        <f>ER181*(1+ES182)</f>
        <v>3622.1347344000001</v>
      </c>
      <c r="ET181" s="571">
        <f>ES181*(1+ET182)</f>
        <v>3730.7987764320001</v>
      </c>
      <c r="EU181" s="542">
        <f>SUM(EQ181:ET181)</f>
        <v>14024.430550832001</v>
      </c>
      <c r="EV181" s="668"/>
      <c r="EW181" s="668"/>
      <c r="EX181" s="668"/>
      <c r="EY181" s="668"/>
      <c r="EZ181" s="668"/>
      <c r="FA181" s="668"/>
      <c r="FB181" s="668"/>
      <c r="FC181" s="668"/>
      <c r="FD181" s="668"/>
      <c r="FE181" s="668"/>
      <c r="FF181" s="668"/>
      <c r="FG181" s="668"/>
      <c r="FH181" s="668"/>
      <c r="FI181" s="668"/>
      <c r="FJ181" s="668"/>
      <c r="FK181" s="668"/>
      <c r="FL181" s="668"/>
      <c r="FM181" s="668"/>
      <c r="FN181" s="668"/>
      <c r="FO181" s="668"/>
      <c r="FP181" s="668"/>
      <c r="FQ181" s="668"/>
      <c r="FR181" s="668"/>
      <c r="FS181" s="668"/>
      <c r="FT181" s="668"/>
      <c r="FU181" s="668"/>
      <c r="FV181" s="668"/>
      <c r="FW181" s="668"/>
      <c r="FX181" s="668"/>
      <c r="FY181" s="668"/>
      <c r="FZ181" s="668"/>
      <c r="GA181" s="668"/>
      <c r="GB181" s="668"/>
      <c r="GC181" s="668"/>
      <c r="GD181" s="668"/>
      <c r="GE181" s="668"/>
      <c r="GF181" s="668"/>
      <c r="GG181" s="668"/>
      <c r="GH181" s="668"/>
      <c r="GI181" s="668"/>
      <c r="GJ181" s="668"/>
      <c r="GK181" s="668"/>
      <c r="GL181" s="668"/>
      <c r="GM181" s="668"/>
      <c r="GN181" s="668"/>
      <c r="GO181" s="668"/>
      <c r="GP181" s="668"/>
      <c r="GQ181" s="668"/>
      <c r="GR181" s="668"/>
      <c r="GS181" s="668"/>
      <c r="GT181" s="668"/>
      <c r="GU181" s="668"/>
      <c r="GV181" s="668"/>
      <c r="GW181" s="668"/>
      <c r="GX181" s="668"/>
      <c r="GY181" s="668"/>
      <c r="GZ181" s="668"/>
      <c r="HA181" s="668"/>
      <c r="HB181" s="668"/>
      <c r="HC181" s="668"/>
      <c r="HD181" s="668"/>
      <c r="HE181" s="668"/>
      <c r="HF181" s="668"/>
      <c r="HG181" s="668"/>
      <c r="HH181" s="668"/>
      <c r="HI181" s="668"/>
      <c r="HJ181" s="668"/>
      <c r="HK181" s="668"/>
      <c r="HL181" s="668"/>
      <c r="HM181" s="668"/>
      <c r="HN181" s="668"/>
      <c r="HO181" s="542"/>
      <c r="HP181" s="606"/>
      <c r="HQ181" s="523"/>
      <c r="HR181" s="606"/>
      <c r="HS181" s="671"/>
      <c r="HT181" s="563"/>
      <c r="HU181" s="563"/>
      <c r="HV181" s="563"/>
      <c r="HW181" s="563"/>
      <c r="HX181" s="563"/>
    </row>
    <row r="182" spans="1:232" s="509" customFormat="1" hidden="1" outlineLevel="1">
      <c r="A182" s="509" t="s">
        <v>488</v>
      </c>
      <c r="L182" s="523"/>
      <c r="M182" s="523"/>
      <c r="N182" s="523"/>
      <c r="O182" s="523"/>
      <c r="P182" s="524"/>
      <c r="Q182" s="619"/>
      <c r="R182" s="619"/>
      <c r="S182" s="619"/>
      <c r="T182" s="619"/>
      <c r="U182" s="541"/>
      <c r="V182" s="619"/>
      <c r="W182" s="619"/>
      <c r="X182" s="619"/>
      <c r="Y182" s="619"/>
      <c r="Z182" s="541"/>
      <c r="AA182" s="619"/>
      <c r="AB182" s="619"/>
      <c r="AC182" s="619"/>
      <c r="AD182" s="619"/>
      <c r="AE182" s="541"/>
      <c r="AF182" s="523"/>
      <c r="AG182" s="523"/>
      <c r="AH182" s="523"/>
      <c r="AI182" s="523"/>
      <c r="AJ182" s="541"/>
      <c r="AK182" s="523"/>
      <c r="AL182" s="523"/>
      <c r="AM182" s="523"/>
      <c r="AN182" s="523"/>
      <c r="AO182" s="541"/>
      <c r="AP182" s="523"/>
      <c r="AQ182" s="523"/>
      <c r="AR182" s="523"/>
      <c r="AS182" s="523"/>
      <c r="AT182" s="541"/>
      <c r="AU182" s="523"/>
      <c r="AV182" s="523"/>
      <c r="AW182" s="523"/>
      <c r="AX182" s="523"/>
      <c r="AY182" s="541"/>
      <c r="AZ182" s="523"/>
      <c r="BA182" s="523"/>
      <c r="BB182" s="523"/>
      <c r="BC182" s="523"/>
      <c r="BD182" s="541"/>
      <c r="BE182" s="523"/>
      <c r="BF182" s="523"/>
      <c r="BG182" s="523"/>
      <c r="BH182" s="523"/>
      <c r="BI182" s="541"/>
      <c r="BJ182" s="523"/>
      <c r="BK182" s="523"/>
      <c r="BL182" s="523"/>
      <c r="BM182" s="523"/>
      <c r="BN182" s="541"/>
      <c r="BO182" s="523"/>
      <c r="BP182" s="523"/>
      <c r="BQ182" s="523"/>
      <c r="BR182" s="523"/>
      <c r="BS182" s="541"/>
      <c r="BT182" s="648" t="s">
        <v>199</v>
      </c>
      <c r="BU182" s="340">
        <f>(BU181/BT181)-1</f>
        <v>9.6829344109418791E-2</v>
      </c>
      <c r="BV182" s="340">
        <f>(BV181/BU181)-1</f>
        <v>-1.2328184781068452E-2</v>
      </c>
      <c r="BW182" s="340">
        <f>(BW181/BV181)-1</f>
        <v>1.377331420373018E-2</v>
      </c>
      <c r="BX182" s="648" t="s">
        <v>199</v>
      </c>
      <c r="BY182" s="340">
        <f>(BY181/BW181)-1</f>
        <v>7.0761392584195448E-4</v>
      </c>
      <c r="BZ182" s="340">
        <f>(BZ181/BY181)-1</f>
        <v>-0.2561165323150898</v>
      </c>
      <c r="CA182" s="340">
        <f>(CA181/BZ181)-1</f>
        <v>-0.27889733840304187</v>
      </c>
      <c r="CB182" s="340">
        <f>(CB181/CA181)-1</f>
        <v>0.38861059847086743</v>
      </c>
      <c r="CC182" s="648" t="s">
        <v>199</v>
      </c>
      <c r="CD182" s="340">
        <f>(CD181/CB181)-1</f>
        <v>0.2139737991266375</v>
      </c>
      <c r="CE182" s="340">
        <f>(CE181/CD181)-1</f>
        <v>-8.6018142008132625E-2</v>
      </c>
      <c r="CF182" s="340">
        <f>(CF181/CE181)-1</f>
        <v>1.5742642026009612E-2</v>
      </c>
      <c r="CG182" s="340">
        <f>(CG181/CF181)-1</f>
        <v>0.10411051212938016</v>
      </c>
      <c r="CH182" s="648" t="s">
        <v>199</v>
      </c>
      <c r="CI182" s="340">
        <f>(CI181/CG181)-1</f>
        <v>-2.2429050961245034E-2</v>
      </c>
      <c r="CJ182" s="340">
        <f>(CJ181/CI181)-1</f>
        <v>-1.6856563134072133E-2</v>
      </c>
      <c r="CK182" s="340">
        <f>(CK181/CJ181)-1</f>
        <v>4.1435148436259617E-2</v>
      </c>
      <c r="CL182" s="340">
        <f>(CL181/CK181)-1</f>
        <v>0.19024390243902434</v>
      </c>
      <c r="CM182" s="648" t="s">
        <v>199</v>
      </c>
      <c r="CN182" s="340">
        <f>(CN181/CL181)-1</f>
        <v>-1.5368852459016757E-3</v>
      </c>
      <c r="CO182" s="340">
        <f>(CO181/CN181)-1</f>
        <v>-6.618778860954333E-2</v>
      </c>
      <c r="CP182" s="340">
        <f>(CP181/CO181)-1</f>
        <v>0.1708081653445892</v>
      </c>
      <c r="CQ182" s="340">
        <f>(CQ181/CP181)-1</f>
        <v>0.26650096422350078</v>
      </c>
      <c r="CR182" s="648" t="s">
        <v>199</v>
      </c>
      <c r="CS182" s="672">
        <f>(CS181-CQ181)/CQ181</f>
        <v>-7.5497915701713755E-2</v>
      </c>
      <c r="CT182" s="340">
        <f>(CT181/CS181)-1</f>
        <v>-4.5891783567134303E-2</v>
      </c>
      <c r="CU182" s="340">
        <f>(CU181/CT181)-1</f>
        <v>0.11250000000000004</v>
      </c>
      <c r="CV182" s="340">
        <f>(CV181/CU181)-1</f>
        <v>0.1339999999999999</v>
      </c>
      <c r="CW182" s="648" t="s">
        <v>199</v>
      </c>
      <c r="CX182" s="672">
        <f>(CX181-CV181)/CV181</f>
        <v>-0.39131173166763517</v>
      </c>
      <c r="CY182" s="340">
        <f>(CY181/CX181)-1</f>
        <v>0.47866520787746181</v>
      </c>
      <c r="CZ182" s="340">
        <f>(CZ181/CY181)-1</f>
        <v>7.3066962634110277E-2</v>
      </c>
      <c r="DA182" s="340">
        <f>(DA181/CZ181)-1</f>
        <v>7.7228064126874774E-2</v>
      </c>
      <c r="DB182" s="648" t="s">
        <v>199</v>
      </c>
      <c r="DC182" s="672">
        <f>(DC181-DA181)/DA181</f>
        <v>-0.1494639142262762</v>
      </c>
      <c r="DD182" s="340">
        <f>(DD181/DC181)-1</f>
        <v>-1.6556914393226707E-2</v>
      </c>
      <c r="DE182" s="340">
        <f>(DE181/DD181)-1</f>
        <v>3.5201836617562599E-2</v>
      </c>
      <c r="DF182" s="340">
        <f>(DF181/DE181)-1</f>
        <v>-0.18573276658658289</v>
      </c>
      <c r="DG182" s="648" t="s">
        <v>199</v>
      </c>
      <c r="DH182" s="672">
        <f>(DH181-DF181)/DF181</f>
        <v>0.10894235133908307</v>
      </c>
      <c r="DI182" s="340">
        <f>(DI181/DH181)-1</f>
        <v>4.2775276299631626E-2</v>
      </c>
      <c r="DJ182" s="340">
        <f>(DJ181/DI181)-1</f>
        <v>5.5250245338567261E-2</v>
      </c>
      <c r="DK182" s="340">
        <f>(DK181/DJ181)-1</f>
        <v>8.4534548498093498E-2</v>
      </c>
      <c r="DL182" s="648" t="s">
        <v>199</v>
      </c>
      <c r="DM182" s="672">
        <f>(DM181-DK181)/DK181</f>
        <v>-7.3057794546389984E-2</v>
      </c>
      <c r="DN182" s="340">
        <f>(DN181/DM181)-1</f>
        <v>-5.8371877890841861E-2</v>
      </c>
      <c r="DO182" s="340">
        <f>(DO181/DN181)-1</f>
        <v>7.6923076923076872E-2</v>
      </c>
      <c r="DP182" s="340">
        <f>(DP181/DO181)-1</f>
        <v>-9.213647144681647E-3</v>
      </c>
      <c r="DQ182" s="648" t="s">
        <v>199</v>
      </c>
      <c r="DR182" s="672">
        <f>(DR181-DP181)/DP181</f>
        <v>1.7401712549488996E-2</v>
      </c>
      <c r="DS182" s="340">
        <f>(DS181/DR181)-1</f>
        <v>1.6380090497737587E-2</v>
      </c>
      <c r="DT182" s="340">
        <f>(DT181/DS181)-1</f>
        <v>-0.1295521324904283</v>
      </c>
      <c r="DU182" s="340">
        <f>(DU181/DT181)-1</f>
        <v>-1.2479541734860877E-2</v>
      </c>
      <c r="DV182" s="648" t="s">
        <v>199</v>
      </c>
      <c r="DW182" s="672">
        <f>(DW181-DU181)/DU181</f>
        <v>0</v>
      </c>
      <c r="DX182" s="672">
        <f>(DX181/DW181)-1</f>
        <v>-9.8508390304536952E-2</v>
      </c>
      <c r="DY182" s="672">
        <f>(DY181/DX181)-1</f>
        <v>-0.14765023555095946</v>
      </c>
      <c r="DZ182" s="672">
        <f>(DZ181/DY181)-1</f>
        <v>-0.10609328660016182</v>
      </c>
      <c r="EA182" s="648" t="s">
        <v>199</v>
      </c>
      <c r="EB182" s="672">
        <f>(EB181-DZ181)/DZ181</f>
        <v>-0.11898657819333434</v>
      </c>
      <c r="EC182" s="672">
        <f>EC181/EB181-1</f>
        <v>0.1306059568640876</v>
      </c>
      <c r="ED182" s="672">
        <f>ED181/EC181-1</f>
        <v>8.1453444360332972E-2</v>
      </c>
      <c r="EE182" s="672">
        <f>EE181/ED181-1</f>
        <v>5.0678986420271688E-2</v>
      </c>
      <c r="EF182" s="648" t="s">
        <v>199</v>
      </c>
      <c r="EG182" s="672">
        <f>(EG181-EE181)/EE181</f>
        <v>-0.23624250499666888</v>
      </c>
      <c r="EH182" s="672">
        <f>EH181/EG181-1</f>
        <v>-1.7271458478716029E-2</v>
      </c>
      <c r="EI182" s="672">
        <f>EI181/EH181-1</f>
        <v>0.1471684715071897</v>
      </c>
      <c r="EJ182" s="672">
        <f>EJ181/EI181-1</f>
        <v>-0.35314144227793254</v>
      </c>
      <c r="EK182" s="648" t="s">
        <v>199</v>
      </c>
      <c r="EL182" s="672">
        <f>(EL181-EJ181)/EJ181</f>
        <v>-0.25885167464114833</v>
      </c>
      <c r="EM182" s="672">
        <f>EM181/EL181-1</f>
        <v>-5.6165267914783712E-2</v>
      </c>
      <c r="EN182" s="672">
        <f>EN181/EM181-1</f>
        <v>0.10328317373461005</v>
      </c>
      <c r="EO182" s="673">
        <v>0.04</v>
      </c>
      <c r="EP182" s="648" t="s">
        <v>199</v>
      </c>
      <c r="EQ182" s="674">
        <v>-0.03</v>
      </c>
      <c r="ER182" s="673">
        <v>0.05</v>
      </c>
      <c r="ES182" s="673">
        <v>0.06</v>
      </c>
      <c r="ET182" s="673">
        <v>0.03</v>
      </c>
      <c r="EU182" s="648" t="s">
        <v>199</v>
      </c>
      <c r="EV182" s="668"/>
      <c r="EW182" s="668"/>
      <c r="EX182" s="668"/>
      <c r="EY182" s="668"/>
      <c r="EZ182" s="668"/>
      <c r="FA182" s="668"/>
      <c r="FB182" s="668"/>
      <c r="FC182" s="668"/>
      <c r="FD182" s="668"/>
      <c r="FE182" s="668"/>
      <c r="FF182" s="668"/>
      <c r="FG182" s="668"/>
      <c r="FH182" s="668"/>
      <c r="FI182" s="668"/>
      <c r="FJ182" s="668"/>
      <c r="FK182" s="668"/>
      <c r="FL182" s="668"/>
      <c r="FM182" s="668"/>
      <c r="FN182" s="668"/>
      <c r="FO182" s="668"/>
      <c r="FP182" s="668"/>
      <c r="FQ182" s="668"/>
      <c r="FR182" s="668"/>
      <c r="FS182" s="668"/>
      <c r="FT182" s="668"/>
      <c r="FU182" s="668"/>
      <c r="FV182" s="668"/>
      <c r="FW182" s="668"/>
      <c r="FX182" s="668"/>
      <c r="FY182" s="668"/>
      <c r="FZ182" s="668"/>
      <c r="GA182" s="668"/>
      <c r="GB182" s="668"/>
      <c r="GC182" s="668"/>
      <c r="GD182" s="668"/>
      <c r="GE182" s="668"/>
      <c r="GF182" s="668"/>
      <c r="GG182" s="668"/>
      <c r="GH182" s="668"/>
      <c r="GI182" s="668"/>
      <c r="GJ182" s="668"/>
      <c r="GK182" s="668"/>
      <c r="GL182" s="668"/>
      <c r="GM182" s="668"/>
      <c r="GN182" s="668"/>
      <c r="GO182" s="668"/>
      <c r="GP182" s="668"/>
      <c r="GQ182" s="668"/>
      <c r="GR182" s="668"/>
      <c r="GS182" s="668"/>
      <c r="GT182" s="668"/>
      <c r="GU182" s="668"/>
      <c r="GV182" s="668"/>
      <c r="GW182" s="668"/>
      <c r="GX182" s="668"/>
      <c r="GY182" s="668"/>
      <c r="GZ182" s="668"/>
      <c r="HA182" s="668"/>
      <c r="HB182" s="668"/>
      <c r="HC182" s="668"/>
      <c r="HD182" s="668"/>
      <c r="HE182" s="668"/>
      <c r="HF182" s="668"/>
      <c r="HG182" s="668"/>
      <c r="HH182" s="668"/>
      <c r="HI182" s="668"/>
      <c r="HJ182" s="668"/>
      <c r="HK182" s="668"/>
      <c r="HL182" s="668"/>
      <c r="HM182" s="668"/>
      <c r="HN182" s="668"/>
      <c r="HO182" s="675"/>
      <c r="HP182" s="676"/>
      <c r="HQ182" s="672"/>
      <c r="HR182" s="676"/>
      <c r="HS182" s="677"/>
      <c r="HT182" s="563"/>
      <c r="HU182" s="563"/>
      <c r="HV182" s="563"/>
      <c r="HW182" s="563"/>
      <c r="HX182" s="563"/>
    </row>
    <row r="183" spans="1:232" s="509" customFormat="1" hidden="1" outlineLevel="1">
      <c r="A183" s="509" t="s">
        <v>489</v>
      </c>
      <c r="L183" s="523"/>
      <c r="M183" s="523"/>
      <c r="N183" s="523"/>
      <c r="O183" s="523"/>
      <c r="P183" s="524"/>
      <c r="Q183" s="619"/>
      <c r="R183" s="619"/>
      <c r="S183" s="619"/>
      <c r="T183" s="619"/>
      <c r="U183" s="541"/>
      <c r="V183" s="619"/>
      <c r="W183" s="619"/>
      <c r="X183" s="619"/>
      <c r="Y183" s="619"/>
      <c r="Z183" s="541"/>
      <c r="AA183" s="619"/>
      <c r="AB183" s="619"/>
      <c r="AC183" s="619"/>
      <c r="AD183" s="619"/>
      <c r="AE183" s="541"/>
      <c r="AF183" s="523"/>
      <c r="AG183" s="523"/>
      <c r="AH183" s="523"/>
      <c r="AI183" s="523"/>
      <c r="AJ183" s="541"/>
      <c r="AK183" s="523"/>
      <c r="AL183" s="523"/>
      <c r="AM183" s="523"/>
      <c r="AN183" s="523"/>
      <c r="AO183" s="541"/>
      <c r="AP183" s="523"/>
      <c r="AQ183" s="523"/>
      <c r="AR183" s="523"/>
      <c r="AS183" s="523"/>
      <c r="AT183" s="541"/>
      <c r="AU183" s="523"/>
      <c r="AV183" s="523"/>
      <c r="AW183" s="523"/>
      <c r="AX183" s="523"/>
      <c r="AY183" s="541"/>
      <c r="AZ183" s="523"/>
      <c r="BA183" s="523"/>
      <c r="BB183" s="523"/>
      <c r="BC183" s="523"/>
      <c r="BD183" s="541"/>
      <c r="BE183" s="523"/>
      <c r="BF183" s="523"/>
      <c r="BG183" s="523"/>
      <c r="BH183" s="523"/>
      <c r="BI183" s="541"/>
      <c r="BJ183" s="523"/>
      <c r="BK183" s="523"/>
      <c r="BL183" s="523"/>
      <c r="BM183" s="523"/>
      <c r="BN183" s="541"/>
      <c r="BO183" s="523"/>
      <c r="BP183" s="523"/>
      <c r="BQ183" s="523"/>
      <c r="BR183" s="523"/>
      <c r="BS183" s="541"/>
      <c r="BT183" s="648" t="s">
        <v>199</v>
      </c>
      <c r="BU183" s="648" t="s">
        <v>199</v>
      </c>
      <c r="BV183" s="648" t="s">
        <v>199</v>
      </c>
      <c r="BW183" s="648" t="s">
        <v>199</v>
      </c>
      <c r="BX183" s="648" t="s">
        <v>199</v>
      </c>
      <c r="BY183" s="340">
        <f t="shared" ref="BY183:DB183" si="235">(BY181/BT181)-1</f>
        <v>9.9005284426484375E-2</v>
      </c>
      <c r="BZ183" s="340">
        <f t="shared" si="235"/>
        <v>-0.25464078220206887</v>
      </c>
      <c r="CA183" s="340">
        <f t="shared" si="235"/>
        <v>-0.45581061692969871</v>
      </c>
      <c r="CB183" s="340">
        <f t="shared" si="235"/>
        <v>-0.25459949051797337</v>
      </c>
      <c r="CC183" s="321">
        <f t="shared" si="235"/>
        <v>-0.22290841719039489</v>
      </c>
      <c r="CD183" s="340">
        <f t="shared" si="235"/>
        <v>-9.5743176354122439E-2</v>
      </c>
      <c r="CE183" s="340">
        <f t="shared" si="235"/>
        <v>0.11102661596958185</v>
      </c>
      <c r="CF183" s="340">
        <f t="shared" si="235"/>
        <v>0.56498813604007392</v>
      </c>
      <c r="CG183" s="340">
        <f t="shared" si="235"/>
        <v>0.24435162331498006</v>
      </c>
      <c r="CH183" s="321">
        <f t="shared" si="235"/>
        <v>0.15600018699453044</v>
      </c>
      <c r="CI183" s="340">
        <f t="shared" si="235"/>
        <v>2.0331560838284801E-3</v>
      </c>
      <c r="CJ183" s="340">
        <f t="shared" si="235"/>
        <v>7.7857631759069124E-2</v>
      </c>
      <c r="CK183" s="340">
        <f t="shared" si="235"/>
        <v>0.10512129380053903</v>
      </c>
      <c r="CL183" s="340">
        <f t="shared" si="235"/>
        <v>0.19133353677143727</v>
      </c>
      <c r="CM183" s="321">
        <f t="shared" si="235"/>
        <v>9.4872209640892935E-2</v>
      </c>
      <c r="CN183" s="340">
        <f t="shared" si="235"/>
        <v>0.21679413141876069</v>
      </c>
      <c r="CO183" s="340">
        <f t="shared" si="235"/>
        <v>0.15573900619145897</v>
      </c>
      <c r="CP183" s="340">
        <f t="shared" si="235"/>
        <v>0.29931150056533684</v>
      </c>
      <c r="CQ183" s="340">
        <f t="shared" si="235"/>
        <v>0.38255635245901631</v>
      </c>
      <c r="CR183" s="321">
        <f t="shared" si="235"/>
        <v>0.27038795315463582</v>
      </c>
      <c r="CS183" s="340">
        <f t="shared" si="235"/>
        <v>0.28014366341713703</v>
      </c>
      <c r="CT183" s="340">
        <f t="shared" si="235"/>
        <v>0.30796703296703298</v>
      </c>
      <c r="CU183" s="340">
        <f t="shared" si="235"/>
        <v>0.24282813124006442</v>
      </c>
      <c r="CV183" s="340">
        <f t="shared" si="235"/>
        <v>0.1128038119499768</v>
      </c>
      <c r="CW183" s="321">
        <f t="shared" si="235"/>
        <v>0.22426441492908422</v>
      </c>
      <c r="CX183" s="340">
        <f>(CX181/CS181)-1</f>
        <v>-0.26733466933867733</v>
      </c>
      <c r="CY183" s="340">
        <f>(CY181/CT181)-1</f>
        <v>0.13547574039067434</v>
      </c>
      <c r="CZ183" s="340">
        <f>(CZ181/CU181)-1</f>
        <v>9.522831809953991E-2</v>
      </c>
      <c r="DA183" s="340">
        <f>(DA181/CV181)-1</f>
        <v>4.039742582301642E-2</v>
      </c>
      <c r="DB183" s="321">
        <f t="shared" si="235"/>
        <v>2.7561985714374959E-3</v>
      </c>
      <c r="DC183" s="340">
        <f>(DC181/CX181)-1</f>
        <v>0.45377461706783362</v>
      </c>
      <c r="DD183" s="340">
        <f>(DD181/CY181)-1</f>
        <v>-3.3111357750647441E-2</v>
      </c>
      <c r="DE183" s="340">
        <f>(DE181/CZ181)-1</f>
        <v>-6.7229787967591825E-2</v>
      </c>
      <c r="DF183" s="340">
        <f>(DF181/DA181)-1</f>
        <v>-0.29492718835013598</v>
      </c>
      <c r="DG183" s="321">
        <f t="shared" ref="DG183:EG183" si="236">(DG181/DB181)-1</f>
        <v>-3.56669192876089E-2</v>
      </c>
      <c r="DH183" s="340">
        <f>(DH181/DC181)-1</f>
        <v>-8.0714957666980225E-2</v>
      </c>
      <c r="DI183" s="340">
        <f>(DI181/DD181)-1</f>
        <v>-2.5253491486512347E-2</v>
      </c>
      <c r="DJ183" s="340">
        <f>(DJ181/DE181)-1</f>
        <v>-6.3759009425244928E-3</v>
      </c>
      <c r="DK183" s="340">
        <f>(DK181/DF181)-1</f>
        <v>0.32342260553790281</v>
      </c>
      <c r="DL183" s="321">
        <f t="shared" si="236"/>
        <v>4.0743651456358387E-2</v>
      </c>
      <c r="DM183" s="340">
        <f>(DM181/DH181)-1</f>
        <v>0.1062218583708554</v>
      </c>
      <c r="DN183" s="340">
        <f>(DN181/DI181)-1</f>
        <v>-1.0794896957802003E-3</v>
      </c>
      <c r="DO183" s="340">
        <f>(DO181/DJ181)-1</f>
        <v>1.9436436343346131E-2</v>
      </c>
      <c r="DP183" s="340">
        <f>(DP181/DK181)-1</f>
        <v>-6.8684616703824419E-2</v>
      </c>
      <c r="DQ183" s="321">
        <f t="shared" si="236"/>
        <v>1.0265002241782062E-2</v>
      </c>
      <c r="DR183" s="340">
        <f t="shared" si="236"/>
        <v>2.2201665124884418E-2</v>
      </c>
      <c r="DS183" s="340">
        <f t="shared" si="236"/>
        <v>0.10335003438451706</v>
      </c>
      <c r="DT183" s="340">
        <f t="shared" si="236"/>
        <v>-0.10819193577814268</v>
      </c>
      <c r="DU183" s="340">
        <f t="shared" si="236"/>
        <v>-0.11113157167848264</v>
      </c>
      <c r="DV183" s="321">
        <f t="shared" si="236"/>
        <v>-2.5717088666728949E-2</v>
      </c>
      <c r="DW183" s="340">
        <f t="shared" si="236"/>
        <v>-0.12633484162895925</v>
      </c>
      <c r="DX183" s="340">
        <f t="shared" si="236"/>
        <v>-0.2250912652479744</v>
      </c>
      <c r="DY183" s="340">
        <f t="shared" si="236"/>
        <v>-0.24120294599018</v>
      </c>
      <c r="DZ183" s="340">
        <f t="shared" si="236"/>
        <v>-0.31313445204060497</v>
      </c>
      <c r="EA183" s="321">
        <f t="shared" si="236"/>
        <v>-0.22308264007096446</v>
      </c>
      <c r="EB183" s="340">
        <f t="shared" si="236"/>
        <v>-0.39486223327118297</v>
      </c>
      <c r="EC183" s="340">
        <f t="shared" si="236"/>
        <v>-0.24106629897736409</v>
      </c>
      <c r="ED183" s="340">
        <f t="shared" si="236"/>
        <v>-3.7071987058506339E-2</v>
      </c>
      <c r="EE183" s="340">
        <f t="shared" si="236"/>
        <v>0.13180515759312317</v>
      </c>
      <c r="EF183" s="321">
        <f t="shared" si="236"/>
        <v>-0.16388940319693879</v>
      </c>
      <c r="EG183" s="340">
        <f t="shared" si="236"/>
        <v>-1.8829168093118742E-2</v>
      </c>
      <c r="EH183" s="340">
        <v>-0.05</v>
      </c>
      <c r="EI183" s="342">
        <f t="shared" ref="EI183:EU183" si="237">(EI181/ED181)-1</f>
        <v>-9.5338093238135246E-2</v>
      </c>
      <c r="EJ183" s="340">
        <f t="shared" si="237"/>
        <v>-0.44303797468354433</v>
      </c>
      <c r="EK183" s="321">
        <f t="shared" si="237"/>
        <v>-0.1877837239343052</v>
      </c>
      <c r="EL183" s="340">
        <f t="shared" si="237"/>
        <v>-0.4595254710397767</v>
      </c>
      <c r="EM183" s="340">
        <f t="shared" si="237"/>
        <v>-0.48091603053435117</v>
      </c>
      <c r="EN183" s="340">
        <f t="shared" si="237"/>
        <v>-0.50077375425564841</v>
      </c>
      <c r="EO183" s="340">
        <f t="shared" si="237"/>
        <v>-0.19735885167464118</v>
      </c>
      <c r="EP183" s="321">
        <f t="shared" si="237"/>
        <v>-0.42731676284818465</v>
      </c>
      <c r="EQ183" s="340">
        <f t="shared" si="237"/>
        <v>5.0480568108457025E-2</v>
      </c>
      <c r="ER183" s="340">
        <f t="shared" si="237"/>
        <v>0.16864166894664834</v>
      </c>
      <c r="ES183" s="340">
        <f t="shared" si="237"/>
        <v>0.12279440000000008</v>
      </c>
      <c r="ET183" s="340">
        <f t="shared" si="237"/>
        <v>0.1119983</v>
      </c>
      <c r="EU183" s="321">
        <f t="shared" si="237"/>
        <v>0.11278156308573162</v>
      </c>
      <c r="EV183" s="668"/>
      <c r="EW183" s="668"/>
      <c r="EX183" s="668"/>
      <c r="EY183" s="668"/>
      <c r="EZ183" s="668"/>
      <c r="FA183" s="668"/>
      <c r="FB183" s="668"/>
      <c r="FC183" s="668"/>
      <c r="FD183" s="668"/>
      <c r="FE183" s="668"/>
      <c r="FF183" s="668"/>
      <c r="FG183" s="668"/>
      <c r="FH183" s="668"/>
      <c r="FI183" s="668"/>
      <c r="FJ183" s="668"/>
      <c r="FK183" s="668"/>
      <c r="FL183" s="668"/>
      <c r="FM183" s="668"/>
      <c r="FN183" s="668"/>
      <c r="FO183" s="668"/>
      <c r="FP183" s="668"/>
      <c r="FQ183" s="668"/>
      <c r="FR183" s="668"/>
      <c r="FS183" s="668"/>
      <c r="FT183" s="668"/>
      <c r="FU183" s="668"/>
      <c r="FV183" s="668"/>
      <c r="FW183" s="668"/>
      <c r="FX183" s="668"/>
      <c r="FY183" s="668"/>
      <c r="FZ183" s="668"/>
      <c r="GA183" s="668"/>
      <c r="GB183" s="668"/>
      <c r="GC183" s="668"/>
      <c r="GD183" s="668"/>
      <c r="GE183" s="668"/>
      <c r="GF183" s="668"/>
      <c r="GG183" s="668"/>
      <c r="GH183" s="668"/>
      <c r="GI183" s="668"/>
      <c r="GJ183" s="668"/>
      <c r="GK183" s="668"/>
      <c r="GL183" s="668"/>
      <c r="GM183" s="668"/>
      <c r="GN183" s="668"/>
      <c r="GO183" s="668"/>
      <c r="GP183" s="668"/>
      <c r="GQ183" s="668"/>
      <c r="GR183" s="668"/>
      <c r="GS183" s="668"/>
      <c r="GT183" s="668"/>
      <c r="GU183" s="668"/>
      <c r="GV183" s="668"/>
      <c r="GW183" s="668"/>
      <c r="GX183" s="668"/>
      <c r="GY183" s="668"/>
      <c r="GZ183" s="668"/>
      <c r="HA183" s="668"/>
      <c r="HB183" s="668"/>
      <c r="HC183" s="668"/>
      <c r="HD183" s="668"/>
      <c r="HE183" s="668"/>
      <c r="HF183" s="668"/>
      <c r="HG183" s="668"/>
      <c r="HH183" s="668"/>
      <c r="HI183" s="668"/>
      <c r="HJ183" s="668"/>
      <c r="HK183" s="668"/>
      <c r="HL183" s="668"/>
      <c r="HM183" s="668"/>
      <c r="HN183" s="668"/>
      <c r="HO183" s="341"/>
      <c r="HP183" s="293"/>
      <c r="HQ183" s="342"/>
      <c r="HR183" s="293"/>
      <c r="HS183" s="343"/>
      <c r="HT183" s="563"/>
      <c r="HU183" s="563"/>
      <c r="HV183" s="563"/>
      <c r="HW183" s="563"/>
      <c r="HX183" s="563"/>
    </row>
    <row r="184" spans="1:232" s="509" customFormat="1" ht="15" hidden="1" customHeight="1" outlineLevel="1">
      <c r="A184" s="509" t="s">
        <v>490</v>
      </c>
      <c r="B184" s="608"/>
      <c r="C184" s="608"/>
      <c r="D184" s="608"/>
      <c r="E184" s="608"/>
      <c r="F184" s="608"/>
      <c r="G184" s="608"/>
      <c r="H184" s="608"/>
      <c r="I184" s="608"/>
      <c r="J184" s="608"/>
      <c r="K184" s="608"/>
      <c r="L184" s="609"/>
      <c r="M184" s="609"/>
      <c r="N184" s="609"/>
      <c r="O184" s="609"/>
      <c r="P184" s="678"/>
      <c r="Q184" s="679"/>
      <c r="R184" s="679"/>
      <c r="S184" s="679"/>
      <c r="T184" s="679"/>
      <c r="U184" s="680"/>
      <c r="V184" s="679"/>
      <c r="W184" s="679"/>
      <c r="X184" s="679"/>
      <c r="Y184" s="679"/>
      <c r="Z184" s="680"/>
      <c r="AA184" s="679"/>
      <c r="AB184" s="679"/>
      <c r="AC184" s="679"/>
      <c r="AD184" s="679"/>
      <c r="AE184" s="680"/>
      <c r="AF184" s="609"/>
      <c r="AG184" s="609"/>
      <c r="AH184" s="609"/>
      <c r="AI184" s="609"/>
      <c r="AJ184" s="680"/>
      <c r="AK184" s="609"/>
      <c r="AL184" s="609"/>
      <c r="AM184" s="609"/>
      <c r="AN184" s="609"/>
      <c r="AO184" s="680"/>
      <c r="AP184" s="609"/>
      <c r="AQ184" s="609"/>
      <c r="AR184" s="609"/>
      <c r="AS184" s="609"/>
      <c r="AT184" s="680"/>
      <c r="AU184" s="609"/>
      <c r="AV184" s="609"/>
      <c r="AW184" s="609"/>
      <c r="AX184" s="609"/>
      <c r="AY184" s="680"/>
      <c r="AZ184" s="609"/>
      <c r="BA184" s="609"/>
      <c r="BB184" s="609"/>
      <c r="BC184" s="609"/>
      <c r="BD184" s="680"/>
      <c r="BE184" s="609"/>
      <c r="BF184" s="609"/>
      <c r="BG184" s="609"/>
      <c r="BH184" s="609"/>
      <c r="BI184" s="680"/>
      <c r="BJ184" s="609"/>
      <c r="BK184" s="609"/>
      <c r="BL184" s="609"/>
      <c r="BM184" s="609"/>
      <c r="BN184" s="680"/>
      <c r="BO184" s="609"/>
      <c r="BP184" s="609"/>
      <c r="BQ184" s="609"/>
      <c r="BR184" s="609"/>
      <c r="BS184" s="680"/>
      <c r="BT184" s="523">
        <f t="shared" ref="BT184:CN184" si="238">BT187/BT181*1000</f>
        <v>102.25001243394468</v>
      </c>
      <c r="BU184" s="523">
        <f t="shared" si="238"/>
        <v>78.169533796230695</v>
      </c>
      <c r="BV184" s="523">
        <f t="shared" si="238"/>
        <v>59.410533715925389</v>
      </c>
      <c r="BW184" s="523">
        <f t="shared" si="238"/>
        <v>92.053223889046137</v>
      </c>
      <c r="BX184" s="524">
        <f t="shared" si="238"/>
        <v>82.611925745631552</v>
      </c>
      <c r="BY184" s="523">
        <f t="shared" si="238"/>
        <v>83.540234761702749</v>
      </c>
      <c r="BZ184" s="523">
        <f t="shared" si="238"/>
        <v>57.921292775665407</v>
      </c>
      <c r="CA184" s="523">
        <f t="shared" si="238"/>
        <v>49.107830213551281</v>
      </c>
      <c r="CB184" s="523">
        <f t="shared" si="238"/>
        <v>66.414277577368523</v>
      </c>
      <c r="CC184" s="524">
        <f t="shared" si="238"/>
        <v>66.918283390210846</v>
      </c>
      <c r="CD184" s="523">
        <f t="shared" si="238"/>
        <v>64.699092899593367</v>
      </c>
      <c r="CE184" s="523">
        <f t="shared" si="238"/>
        <v>61.242984257357975</v>
      </c>
      <c r="CF184" s="523">
        <f t="shared" si="238"/>
        <v>71.018699460916437</v>
      </c>
      <c r="CG184" s="523">
        <f t="shared" si="238"/>
        <v>75.508544400366176</v>
      </c>
      <c r="CH184" s="524">
        <f t="shared" si="238"/>
        <v>68.264315755418949</v>
      </c>
      <c r="CI184" s="523">
        <f t="shared" si="238"/>
        <v>74.77071952551897</v>
      </c>
      <c r="CJ184" s="523">
        <f t="shared" si="238"/>
        <v>67.201936815367517</v>
      </c>
      <c r="CK184" s="523">
        <f t="shared" si="238"/>
        <v>81.674847560975621</v>
      </c>
      <c r="CL184" s="523">
        <f t="shared" si="238"/>
        <v>72.832095286885249</v>
      </c>
      <c r="CM184" s="524">
        <f t="shared" si="238"/>
        <v>74.12355026963138</v>
      </c>
      <c r="CN184" s="523">
        <f t="shared" si="238"/>
        <v>73.913288866085182</v>
      </c>
      <c r="CO184" s="523">
        <v>69</v>
      </c>
      <c r="CP184" s="523">
        <v>75.5</v>
      </c>
      <c r="CQ184" s="523">
        <v>81</v>
      </c>
      <c r="CR184" s="524">
        <f>CR187/CR181*1000</f>
        <v>75.49076886848674</v>
      </c>
      <c r="CS184" s="523">
        <v>85</v>
      </c>
      <c r="CT184" s="523">
        <v>72.25</v>
      </c>
      <c r="CU184" s="523">
        <v>64.302499999999995</v>
      </c>
      <c r="CV184" s="523">
        <v>62.694937499999995</v>
      </c>
      <c r="CW184" s="524">
        <f>CW187/CW181*1000</f>
        <v>70.546594058311825</v>
      </c>
      <c r="CX184" s="523">
        <v>54.301042806345727</v>
      </c>
      <c r="CY184" s="523">
        <v>48.6039465408805</v>
      </c>
      <c r="CZ184" s="523">
        <v>51.798081365281845</v>
      </c>
      <c r="DA184" s="523">
        <v>56.388890222435585</v>
      </c>
      <c r="DB184" s="524">
        <f>DB187/DB181*1000</f>
        <v>52.772470277567258</v>
      </c>
      <c r="DC184" s="523">
        <v>56.989998118532462</v>
      </c>
      <c r="DD184" s="523">
        <v>51.88606753395829</v>
      </c>
      <c r="DE184" s="523">
        <v>50.218205507299949</v>
      </c>
      <c r="DF184" s="523">
        <v>49.935497049477981</v>
      </c>
      <c r="DG184" s="524">
        <f>DG187/DG181*1000</f>
        <v>52.353103050248052</v>
      </c>
      <c r="DH184" s="523">
        <v>49.300634465820714</v>
      </c>
      <c r="DI184" s="523">
        <v>48.097158979391558</v>
      </c>
      <c r="DJ184" s="523">
        <v>49.103292104528961</v>
      </c>
      <c r="DK184" s="523">
        <v>50.384097924884237</v>
      </c>
      <c r="DL184" s="524">
        <f>DL187/DL181*1000</f>
        <v>49.259336432498763</v>
      </c>
      <c r="DM184" s="523">
        <v>51.15962072155412</v>
      </c>
      <c r="DN184" s="523">
        <v>52.120218096080158</v>
      </c>
      <c r="DO184" s="523">
        <v>49.264559386973175</v>
      </c>
      <c r="DP184" s="523">
        <v>52.905747629131753</v>
      </c>
      <c r="DQ184" s="524">
        <f>DQ187/DQ181*1000</f>
        <v>51.345758782584312</v>
      </c>
      <c r="DR184" s="523">
        <v>54.16262895927602</v>
      </c>
      <c r="DS184" s="523">
        <v>51.142497551420178</v>
      </c>
      <c r="DT184" s="523">
        <v>52.340936988543369</v>
      </c>
      <c r="DU184" s="523">
        <v>49.810337683861611</v>
      </c>
      <c r="DV184" s="524">
        <f>DV187/DV181*1000</f>
        <v>51.915140850135451</v>
      </c>
      <c r="DW184" s="523">
        <v>46.752004350528281</v>
      </c>
      <c r="DX184" s="523">
        <v>43.621268528093765</v>
      </c>
      <c r="DY184" s="597">
        <v>43.739552440010783</v>
      </c>
      <c r="DZ184" s="597">
        <v>48.005813602774843</v>
      </c>
      <c r="EA184" s="524">
        <f>EA187/EA181*1000</f>
        <v>45.478192310066035</v>
      </c>
      <c r="EB184" s="597">
        <v>47.53397808969531</v>
      </c>
      <c r="EC184" s="597">
        <v>47.073618470855415</v>
      </c>
      <c r="ED184" s="681">
        <v>46.482920341593172</v>
      </c>
      <c r="EE184" s="523">
        <v>48.368494337108594</v>
      </c>
      <c r="EF184" s="524">
        <f>EF187/EF181*1000</f>
        <v>47.375818416682037</v>
      </c>
      <c r="EG184" s="523">
        <v>56.120167480809485</v>
      </c>
      <c r="EH184" s="523">
        <v>51.471258654358245</v>
      </c>
      <c r="EI184" s="523">
        <v>50.76732435778397</v>
      </c>
      <c r="EJ184" s="523">
        <f>EI184*(1+EJ185)</f>
        <v>50.259651114206129</v>
      </c>
      <c r="EK184" s="524">
        <f>EK187/EK181*1000</f>
        <v>52.245294299876477</v>
      </c>
      <c r="EL184" s="571">
        <v>46.892947062621047</v>
      </c>
      <c r="EM184" s="571">
        <v>52.065013679890562</v>
      </c>
      <c r="EN184" s="571">
        <f>EM184*(1+EN185)</f>
        <v>52.065013679890562</v>
      </c>
      <c r="EO184" s="523">
        <f>EN184*(1+EO185)</f>
        <v>52.065013679890562</v>
      </c>
      <c r="EP184" s="524">
        <f>EP187/EP181*1000</f>
        <v>50.793648804408058</v>
      </c>
      <c r="EQ184" s="571">
        <f>EO184*(1+EQ185)</f>
        <v>53.626964090287281</v>
      </c>
      <c r="ER184" s="523">
        <f>EQ184*(1+ER185)</f>
        <v>55.235773012995899</v>
      </c>
      <c r="ES184" s="523">
        <f>ER184*(1+ES185)</f>
        <v>55.788130743125862</v>
      </c>
      <c r="ET184" s="523">
        <f>ES184*(1+ET185)</f>
        <v>55.788130743125862</v>
      </c>
      <c r="EU184" s="524">
        <f>EU187/EU181*1000</f>
        <v>55.152044830856369</v>
      </c>
      <c r="EV184" s="668"/>
      <c r="EW184" s="668"/>
      <c r="EX184" s="668"/>
      <c r="EY184" s="668"/>
      <c r="EZ184" s="668"/>
      <c r="FA184" s="668"/>
      <c r="FB184" s="668"/>
      <c r="FC184" s="668"/>
      <c r="FD184" s="668"/>
      <c r="FE184" s="668"/>
      <c r="FF184" s="668"/>
      <c r="FG184" s="668"/>
      <c r="FH184" s="668"/>
      <c r="FI184" s="668"/>
      <c r="FJ184" s="668"/>
      <c r="FK184" s="668"/>
      <c r="FL184" s="668"/>
      <c r="FM184" s="668"/>
      <c r="FN184" s="668"/>
      <c r="FO184" s="668"/>
      <c r="FP184" s="668"/>
      <c r="FQ184" s="668"/>
      <c r="FR184" s="668"/>
      <c r="FS184" s="668"/>
      <c r="FT184" s="668"/>
      <c r="FU184" s="668"/>
      <c r="FV184" s="668"/>
      <c r="FW184" s="668"/>
      <c r="FX184" s="668"/>
      <c r="FY184" s="668"/>
      <c r="FZ184" s="668"/>
      <c r="GA184" s="668"/>
      <c r="GB184" s="668"/>
      <c r="GC184" s="668"/>
      <c r="GD184" s="668"/>
      <c r="GE184" s="668"/>
      <c r="GF184" s="668"/>
      <c r="GG184" s="668"/>
      <c r="GH184" s="668"/>
      <c r="GI184" s="668"/>
      <c r="GJ184" s="668"/>
      <c r="GK184" s="668"/>
      <c r="GL184" s="668"/>
      <c r="GM184" s="668"/>
      <c r="GN184" s="668"/>
      <c r="GO184" s="668"/>
      <c r="GP184" s="668"/>
      <c r="GQ184" s="668"/>
      <c r="GR184" s="668"/>
      <c r="GS184" s="668"/>
      <c r="GT184" s="668"/>
      <c r="GU184" s="668"/>
      <c r="GV184" s="668"/>
      <c r="GW184" s="668"/>
      <c r="GX184" s="668"/>
      <c r="GY184" s="668"/>
      <c r="GZ184" s="668"/>
      <c r="HA184" s="668"/>
      <c r="HB184" s="668"/>
      <c r="HC184" s="668"/>
      <c r="HD184" s="668"/>
      <c r="HE184" s="668"/>
      <c r="HF184" s="668"/>
      <c r="HG184" s="668"/>
      <c r="HH184" s="668"/>
      <c r="HI184" s="668"/>
      <c r="HJ184" s="668"/>
      <c r="HK184" s="668"/>
      <c r="HL184" s="668"/>
      <c r="HM184" s="668"/>
      <c r="HN184" s="668"/>
      <c r="HO184" s="566"/>
      <c r="HP184" s="606"/>
      <c r="HQ184" s="523"/>
      <c r="HR184" s="606"/>
      <c r="HS184" s="682"/>
      <c r="HT184" s="563"/>
      <c r="HU184" s="563"/>
      <c r="HV184" s="563"/>
      <c r="HW184" s="563"/>
      <c r="HX184" s="563"/>
    </row>
    <row r="185" spans="1:232" s="509" customFormat="1" hidden="1" outlineLevel="1">
      <c r="A185" s="509" t="s">
        <v>488</v>
      </c>
      <c r="B185" s="608"/>
      <c r="C185" s="608"/>
      <c r="D185" s="608"/>
      <c r="E185" s="608"/>
      <c r="F185" s="608"/>
      <c r="G185" s="608"/>
      <c r="H185" s="608"/>
      <c r="I185" s="608"/>
      <c r="J185" s="608"/>
      <c r="K185" s="608"/>
      <c r="L185" s="609"/>
      <c r="M185" s="609"/>
      <c r="N185" s="609"/>
      <c r="O185" s="609"/>
      <c r="P185" s="678"/>
      <c r="Q185" s="679"/>
      <c r="R185" s="679"/>
      <c r="S185" s="679"/>
      <c r="T185" s="679"/>
      <c r="U185" s="680"/>
      <c r="V185" s="679"/>
      <c r="W185" s="679"/>
      <c r="X185" s="679"/>
      <c r="Y185" s="679"/>
      <c r="Z185" s="680"/>
      <c r="AA185" s="679"/>
      <c r="AB185" s="679"/>
      <c r="AC185" s="679"/>
      <c r="AD185" s="679"/>
      <c r="AE185" s="680"/>
      <c r="AF185" s="609"/>
      <c r="AG185" s="609"/>
      <c r="AH185" s="609"/>
      <c r="AI185" s="609"/>
      <c r="AJ185" s="680"/>
      <c r="AK185" s="609"/>
      <c r="AL185" s="609"/>
      <c r="AM185" s="609"/>
      <c r="AN185" s="609"/>
      <c r="AO185" s="680"/>
      <c r="AP185" s="609"/>
      <c r="AQ185" s="609"/>
      <c r="AR185" s="609"/>
      <c r="AS185" s="609"/>
      <c r="AT185" s="680"/>
      <c r="AU185" s="609"/>
      <c r="AV185" s="609"/>
      <c r="AW185" s="609"/>
      <c r="AX185" s="609"/>
      <c r="AY185" s="680"/>
      <c r="AZ185" s="609"/>
      <c r="BA185" s="609"/>
      <c r="BB185" s="609"/>
      <c r="BC185" s="609"/>
      <c r="BD185" s="680"/>
      <c r="BE185" s="609"/>
      <c r="BF185" s="609"/>
      <c r="BG185" s="609"/>
      <c r="BH185" s="609"/>
      <c r="BI185" s="680"/>
      <c r="BJ185" s="609"/>
      <c r="BK185" s="609"/>
      <c r="BL185" s="609"/>
      <c r="BM185" s="609"/>
      <c r="BN185" s="680"/>
      <c r="BO185" s="609"/>
      <c r="BP185" s="609"/>
      <c r="BQ185" s="609"/>
      <c r="BR185" s="609"/>
      <c r="BS185" s="680"/>
      <c r="BT185" s="648" t="s">
        <v>199</v>
      </c>
      <c r="BU185" s="340">
        <f>(BU184/BT184)-1</f>
        <v>-0.23550587490901675</v>
      </c>
      <c r="BV185" s="340">
        <f>(BV184/BU184)-1</f>
        <v>-0.23997840551544725</v>
      </c>
      <c r="BW185" s="340">
        <f>(BW184/BV184)-1</f>
        <v>0.54944280300869708</v>
      </c>
      <c r="BX185" s="648" t="s">
        <v>199</v>
      </c>
      <c r="BY185" s="340">
        <f>(BY184/BW184)-1</f>
        <v>-9.2478989520283328E-2</v>
      </c>
      <c r="BZ185" s="340">
        <f>(BZ184/BY184)-1</f>
        <v>-0.3066659084585408</v>
      </c>
      <c r="CA185" s="340">
        <f>(CA184/BZ184)-1</f>
        <v>-0.15216273911995526</v>
      </c>
      <c r="CB185" s="340">
        <f>(CB184/CA184)-1</f>
        <v>0.35241726805191931</v>
      </c>
      <c r="CC185" s="648" t="s">
        <v>199</v>
      </c>
      <c r="CD185" s="340">
        <f>(CD184/CB184)-1</f>
        <v>-2.5825541439897015E-2</v>
      </c>
      <c r="CE185" s="340">
        <f>(CE184/CD184)-1</f>
        <v>-5.3418193166926309E-2</v>
      </c>
      <c r="CF185" s="340">
        <f>(CF184/CE184)-1</f>
        <v>0.15962179704500556</v>
      </c>
      <c r="CG185" s="340">
        <f>(CG184/CF184)-1</f>
        <v>6.3220602088336353E-2</v>
      </c>
      <c r="CH185" s="648" t="s">
        <v>199</v>
      </c>
      <c r="CI185" s="340">
        <f>(CI184/CG184)-1</f>
        <v>-9.771409059815328E-3</v>
      </c>
      <c r="CJ185" s="340">
        <f>(CJ184/CI184)-1</f>
        <v>-0.10122655978411788</v>
      </c>
      <c r="CK185" s="340">
        <f>(CK184/CJ184)-1</f>
        <v>0.21536448845769707</v>
      </c>
      <c r="CL185" s="340">
        <f>(CL184/CK184)-1</f>
        <v>-0.10826775363723429</v>
      </c>
      <c r="CM185" s="648" t="s">
        <v>199</v>
      </c>
      <c r="CN185" s="340">
        <f>(CN184/CL184)-1</f>
        <v>1.4845015441902643E-2</v>
      </c>
      <c r="CO185" s="340">
        <f>(CO184/CN184)-1</f>
        <v>-6.647368749869853E-2</v>
      </c>
      <c r="CP185" s="340">
        <f>(CP184/CO184)-1</f>
        <v>9.4202898550724612E-2</v>
      </c>
      <c r="CQ185" s="340">
        <f>(CQ184/CP184)-1</f>
        <v>7.2847682119205226E-2</v>
      </c>
      <c r="CR185" s="648" t="s">
        <v>199</v>
      </c>
      <c r="CS185" s="672">
        <f>(CS184-CQ184)/CQ184</f>
        <v>4.9382716049382713E-2</v>
      </c>
      <c r="CT185" s="340">
        <f>(CT184/CS184)-1</f>
        <v>-0.15000000000000002</v>
      </c>
      <c r="CU185" s="340">
        <f>(CU184/CT184)-1</f>
        <v>-0.1100000000000001</v>
      </c>
      <c r="CV185" s="340">
        <f>(CV184/CU184)-1</f>
        <v>-2.5000000000000022E-2</v>
      </c>
      <c r="CW185" s="648" t="s">
        <v>199</v>
      </c>
      <c r="CX185" s="672">
        <f>(CX184-CV184)/CV184</f>
        <v>-0.13388472862987172</v>
      </c>
      <c r="CY185" s="340">
        <f>(CY184/CX184)-1</f>
        <v>-0.10491688503631191</v>
      </c>
      <c r="CZ185" s="340">
        <f>(CZ184/CY184)-1</f>
        <v>6.5717602205713321E-2</v>
      </c>
      <c r="DA185" s="340">
        <f>(DA184/CZ184)-1</f>
        <v>8.8628936365020783E-2</v>
      </c>
      <c r="DB185" s="648" t="s">
        <v>199</v>
      </c>
      <c r="DC185" s="672">
        <f>(DC184-DA184)/DA184</f>
        <v>1.0660041255036319E-2</v>
      </c>
      <c r="DD185" s="340">
        <f>(DD184/DC184)-1</f>
        <v>-8.9558356783213111E-2</v>
      </c>
      <c r="DE185" s="340">
        <f>(DE184/DD184)-1</f>
        <v>-3.214469906717754E-2</v>
      </c>
      <c r="DF185" s="340">
        <f>(DF184/DE184)-1</f>
        <v>-5.6296009577815331E-3</v>
      </c>
      <c r="DG185" s="648" t="s">
        <v>199</v>
      </c>
      <c r="DH185" s="672">
        <f>(DH184-DF184)/DF184</f>
        <v>-1.2713653035799778E-2</v>
      </c>
      <c r="DI185" s="340">
        <f>(DI184/DH184)-1</f>
        <v>-2.4410953316706396E-2</v>
      </c>
      <c r="DJ185" s="340">
        <f>(DJ184/DI184)-1</f>
        <v>2.0918764153377678E-2</v>
      </c>
      <c r="DK185" s="340">
        <f>(DK184/DJ184)-1</f>
        <v>2.608390935639826E-2</v>
      </c>
      <c r="DL185" s="648" t="s">
        <v>199</v>
      </c>
      <c r="DM185" s="672">
        <f>(DM184-DK184)/DK184</f>
        <v>1.5392213587431503E-2</v>
      </c>
      <c r="DN185" s="340">
        <f>(DN184/DM184)-1</f>
        <v>1.8776475684881833E-2</v>
      </c>
      <c r="DO185" s="340">
        <f>(DO184/DN184)-1</f>
        <v>-5.4789845734006026E-2</v>
      </c>
      <c r="DP185" s="340">
        <f>(DP184/DO184)-1</f>
        <v>7.3910906490750161E-2</v>
      </c>
      <c r="DQ185" s="648" t="s">
        <v>199</v>
      </c>
      <c r="DR185" s="672">
        <f>(DR184-DP184)/DP184</f>
        <v>2.3756990241494757E-2</v>
      </c>
      <c r="DS185" s="340">
        <f>(DS184/DR184)-1</f>
        <v>-5.5760428655090344E-2</v>
      </c>
      <c r="DT185" s="340">
        <f>(DT184/DS184)-1</f>
        <v>2.3433338114124069E-2</v>
      </c>
      <c r="DU185" s="340">
        <f>(DU184/DT184)-1</f>
        <v>-4.8348376056692843E-2</v>
      </c>
      <c r="DV185" s="648" t="s">
        <v>199</v>
      </c>
      <c r="DW185" s="672">
        <f>(DW184-DU184)/DU184</f>
        <v>-6.1399570361158583E-2</v>
      </c>
      <c r="DX185" s="672">
        <f>(DX184/DW184)-1</f>
        <v>-6.6964740141652102E-2</v>
      </c>
      <c r="DY185" s="672">
        <f>(DY184/DX184)-1</f>
        <v>2.7116110078466704E-3</v>
      </c>
      <c r="DZ185" s="672">
        <f>(DZ184/DY184)-1</f>
        <v>9.7537833031448473E-2</v>
      </c>
      <c r="EA185" s="648" t="s">
        <v>199</v>
      </c>
      <c r="EB185" s="672">
        <f>(EB184-DZ184)/DZ184</f>
        <v>-9.8287161005903654E-3</v>
      </c>
      <c r="EC185" s="672">
        <f>EC184/EB184-1</f>
        <v>-9.6848536003278918E-3</v>
      </c>
      <c r="ED185" s="672">
        <f>ED184/EC184-1</f>
        <v>-1.2548390127008369E-2</v>
      </c>
      <c r="EE185" s="672">
        <f>EE184/ED184-1</f>
        <v>4.0564878059698772E-2</v>
      </c>
      <c r="EF185" s="648" t="s">
        <v>199</v>
      </c>
      <c r="EG185" s="672">
        <f>(EG184-EE184)/EE184</f>
        <v>0.16026285808433285</v>
      </c>
      <c r="EH185" s="672">
        <f>EH184/EG184-1</f>
        <v>-8.2838470288616906E-2</v>
      </c>
      <c r="EI185" s="672">
        <f>EI184/EH184-1</f>
        <v>-1.3676259624839537E-2</v>
      </c>
      <c r="EJ185" s="672">
        <v>-0.01</v>
      </c>
      <c r="EK185" s="648" t="s">
        <v>199</v>
      </c>
      <c r="EL185" s="672">
        <f>(EL184-EJ184)/EJ184</f>
        <v>-6.6986220098003563E-2</v>
      </c>
      <c r="EM185" s="672">
        <f>EM184/EL184-1</f>
        <v>0.11029519237429697</v>
      </c>
      <c r="EN185" s="672">
        <v>0</v>
      </c>
      <c r="EO185" s="673">
        <v>0</v>
      </c>
      <c r="EP185" s="648" t="s">
        <v>199</v>
      </c>
      <c r="EQ185" s="674">
        <v>0.03</v>
      </c>
      <c r="ER185" s="674">
        <v>0.03</v>
      </c>
      <c r="ES185" s="673">
        <v>0.01</v>
      </c>
      <c r="ET185" s="673">
        <v>0</v>
      </c>
      <c r="EU185" s="648" t="s">
        <v>199</v>
      </c>
      <c r="EV185" s="668"/>
      <c r="EW185" s="668"/>
      <c r="EX185" s="668"/>
      <c r="EY185" s="668"/>
      <c r="EZ185" s="668"/>
      <c r="FA185" s="668"/>
      <c r="FB185" s="668"/>
      <c r="FC185" s="668"/>
      <c r="FD185" s="668"/>
      <c r="FE185" s="668"/>
      <c r="FF185" s="668"/>
      <c r="FG185" s="668"/>
      <c r="FH185" s="668"/>
      <c r="FI185" s="668"/>
      <c r="FJ185" s="668"/>
      <c r="FK185" s="668"/>
      <c r="FL185" s="668"/>
      <c r="FM185" s="668"/>
      <c r="FN185" s="668"/>
      <c r="FO185" s="668"/>
      <c r="FP185" s="668"/>
      <c r="FQ185" s="668"/>
      <c r="FR185" s="668"/>
      <c r="FS185" s="668"/>
      <c r="FT185" s="668"/>
      <c r="FU185" s="668"/>
      <c r="FV185" s="668"/>
      <c r="FW185" s="668"/>
      <c r="FX185" s="668"/>
      <c r="FY185" s="668"/>
      <c r="FZ185" s="668"/>
      <c r="GA185" s="668"/>
      <c r="GB185" s="668"/>
      <c r="GC185" s="668"/>
      <c r="GD185" s="668"/>
      <c r="GE185" s="668"/>
      <c r="GF185" s="668"/>
      <c r="GG185" s="668"/>
      <c r="GH185" s="668"/>
      <c r="GI185" s="668"/>
      <c r="GJ185" s="668"/>
      <c r="GK185" s="668"/>
      <c r="GL185" s="668"/>
      <c r="GM185" s="668"/>
      <c r="GN185" s="668"/>
      <c r="GO185" s="668"/>
      <c r="GP185" s="668"/>
      <c r="GQ185" s="668"/>
      <c r="GR185" s="668"/>
      <c r="GS185" s="668"/>
      <c r="GT185" s="668"/>
      <c r="GU185" s="668"/>
      <c r="GV185" s="668"/>
      <c r="GW185" s="668"/>
      <c r="GX185" s="668"/>
      <c r="GY185" s="668"/>
      <c r="GZ185" s="668"/>
      <c r="HA185" s="668"/>
      <c r="HB185" s="668"/>
      <c r="HC185" s="668"/>
      <c r="HD185" s="668"/>
      <c r="HE185" s="668"/>
      <c r="HF185" s="668"/>
      <c r="HG185" s="668"/>
      <c r="HH185" s="668"/>
      <c r="HI185" s="668"/>
      <c r="HJ185" s="668"/>
      <c r="HK185" s="668"/>
      <c r="HL185" s="668"/>
      <c r="HM185" s="668"/>
      <c r="HN185" s="668"/>
      <c r="HO185" s="675"/>
      <c r="HP185" s="676"/>
      <c r="HQ185" s="672"/>
      <c r="HR185" s="676"/>
      <c r="HS185" s="677"/>
      <c r="HT185" s="563"/>
      <c r="HU185" s="563"/>
      <c r="HV185" s="563"/>
      <c r="HW185" s="563"/>
      <c r="HX185" s="563"/>
    </row>
    <row r="186" spans="1:232" s="509" customFormat="1" hidden="1" outlineLevel="1">
      <c r="A186" s="509" t="s">
        <v>489</v>
      </c>
      <c r="B186" s="608"/>
      <c r="C186" s="608"/>
      <c r="D186" s="608"/>
      <c r="E186" s="608"/>
      <c r="F186" s="608"/>
      <c r="G186" s="608"/>
      <c r="H186" s="608"/>
      <c r="I186" s="608"/>
      <c r="J186" s="608"/>
      <c r="K186" s="608"/>
      <c r="L186" s="609"/>
      <c r="M186" s="609"/>
      <c r="N186" s="609"/>
      <c r="O186" s="609"/>
      <c r="P186" s="678"/>
      <c r="Q186" s="679"/>
      <c r="R186" s="679"/>
      <c r="S186" s="679"/>
      <c r="T186" s="679"/>
      <c r="U186" s="680"/>
      <c r="V186" s="679"/>
      <c r="W186" s="679"/>
      <c r="X186" s="679"/>
      <c r="Y186" s="679"/>
      <c r="Z186" s="680"/>
      <c r="AA186" s="679"/>
      <c r="AB186" s="679"/>
      <c r="AC186" s="679"/>
      <c r="AD186" s="679"/>
      <c r="AE186" s="680"/>
      <c r="AF186" s="609"/>
      <c r="AG186" s="609"/>
      <c r="AH186" s="609"/>
      <c r="AI186" s="609"/>
      <c r="AJ186" s="680"/>
      <c r="AK186" s="609"/>
      <c r="AL186" s="609"/>
      <c r="AM186" s="609"/>
      <c r="AN186" s="609"/>
      <c r="AO186" s="680"/>
      <c r="AP186" s="609"/>
      <c r="AQ186" s="609"/>
      <c r="AR186" s="609"/>
      <c r="AS186" s="609"/>
      <c r="AT186" s="680"/>
      <c r="AU186" s="609"/>
      <c r="AV186" s="609"/>
      <c r="AW186" s="609"/>
      <c r="AX186" s="609"/>
      <c r="AY186" s="680"/>
      <c r="AZ186" s="609"/>
      <c r="BA186" s="609"/>
      <c r="BB186" s="609"/>
      <c r="BC186" s="609"/>
      <c r="BD186" s="680"/>
      <c r="BE186" s="609"/>
      <c r="BF186" s="609"/>
      <c r="BG186" s="609"/>
      <c r="BH186" s="609"/>
      <c r="BI186" s="680"/>
      <c r="BJ186" s="609"/>
      <c r="BK186" s="609"/>
      <c r="BL186" s="609"/>
      <c r="BM186" s="609"/>
      <c r="BN186" s="680"/>
      <c r="BO186" s="609"/>
      <c r="BP186" s="609"/>
      <c r="BQ186" s="609"/>
      <c r="BR186" s="609"/>
      <c r="BS186" s="680"/>
      <c r="BT186" s="648" t="s">
        <v>199</v>
      </c>
      <c r="BU186" s="648" t="s">
        <v>199</v>
      </c>
      <c r="BV186" s="648" t="s">
        <v>199</v>
      </c>
      <c r="BW186" s="648" t="s">
        <v>199</v>
      </c>
      <c r="BX186" s="648" t="s">
        <v>199</v>
      </c>
      <c r="BY186" s="340">
        <f t="shared" ref="BY186:EJ186" si="239">(BY184/BT184)-1</f>
        <v>-0.1829806884799039</v>
      </c>
      <c r="BZ186" s="340">
        <f t="shared" si="239"/>
        <v>-0.25902982961811716</v>
      </c>
      <c r="CA186" s="340">
        <f t="shared" si="239"/>
        <v>-0.17341543423321237</v>
      </c>
      <c r="CB186" s="340">
        <f t="shared" si="239"/>
        <v>-0.27852306772634949</v>
      </c>
      <c r="CC186" s="321">
        <f t="shared" si="239"/>
        <v>-0.18996824264504664</v>
      </c>
      <c r="CD186" s="340">
        <f t="shared" si="239"/>
        <v>-0.22553374330169706</v>
      </c>
      <c r="CE186" s="340">
        <f t="shared" si="239"/>
        <v>5.7348365730678585E-2</v>
      </c>
      <c r="CF186" s="340">
        <f t="shared" si="239"/>
        <v>0.44617872856697427</v>
      </c>
      <c r="CG186" s="340">
        <f t="shared" si="239"/>
        <v>0.1369324060237409</v>
      </c>
      <c r="CH186" s="321">
        <f t="shared" si="239"/>
        <v>2.0114568052488346E-2</v>
      </c>
      <c r="CI186" s="340">
        <f t="shared" si="239"/>
        <v>0.1556687454885306</v>
      </c>
      <c r="CJ186" s="340">
        <f t="shared" si="239"/>
        <v>9.7300166382627173E-2</v>
      </c>
      <c r="CK186" s="340">
        <f t="shared" si="239"/>
        <v>0.15004707465705636</v>
      </c>
      <c r="CL186" s="340">
        <f t="shared" si="239"/>
        <v>-3.5445645717783858E-2</v>
      </c>
      <c r="CM186" s="321">
        <f t="shared" si="239"/>
        <v>8.5831586376771352E-2</v>
      </c>
      <c r="CN186" s="340">
        <f t="shared" si="239"/>
        <v>-1.1467465672055588E-2</v>
      </c>
      <c r="CO186" s="340">
        <f t="shared" si="239"/>
        <v>2.6756121472697014E-2</v>
      </c>
      <c r="CP186" s="340">
        <f t="shared" si="239"/>
        <v>-7.5602804845955718E-2</v>
      </c>
      <c r="CQ186" s="340">
        <f t="shared" si="239"/>
        <v>0.11214705111725021</v>
      </c>
      <c r="CR186" s="321">
        <f t="shared" si="239"/>
        <v>1.8445131053247854E-2</v>
      </c>
      <c r="CS186" s="340">
        <f t="shared" si="239"/>
        <v>0.14999618206682053</v>
      </c>
      <c r="CT186" s="340">
        <f t="shared" si="239"/>
        <v>4.7101449275362306E-2</v>
      </c>
      <c r="CU186" s="340">
        <f t="shared" si="239"/>
        <v>-0.14831125827814573</v>
      </c>
      <c r="CV186" s="340">
        <f t="shared" si="239"/>
        <v>-0.22598842592592594</v>
      </c>
      <c r="CW186" s="321">
        <f t="shared" si="239"/>
        <v>-6.5493766778137008E-2</v>
      </c>
      <c r="CX186" s="340">
        <f t="shared" si="239"/>
        <v>-0.36116420227828561</v>
      </c>
      <c r="CY186" s="340">
        <f t="shared" si="239"/>
        <v>-0.32728101673521803</v>
      </c>
      <c r="CZ186" s="340">
        <f t="shared" si="239"/>
        <v>-0.19446240246830448</v>
      </c>
      <c r="DA186" s="340">
        <f t="shared" si="239"/>
        <v>-0.10058303794567802</v>
      </c>
      <c r="DB186" s="321">
        <f t="shared" si="239"/>
        <v>-0.25194871585229162</v>
      </c>
      <c r="DC186" s="340">
        <f t="shared" si="239"/>
        <v>4.9519404659987387E-2</v>
      </c>
      <c r="DD186" s="340">
        <f t="shared" si="239"/>
        <v>6.752787019706763E-2</v>
      </c>
      <c r="DE186" s="340">
        <f t="shared" si="239"/>
        <v>-3.0500663660504301E-2</v>
      </c>
      <c r="DF186" s="340">
        <f t="shared" si="239"/>
        <v>-0.11444440824249413</v>
      </c>
      <c r="DG186" s="321">
        <f t="shared" si="239"/>
        <v>-7.9467045054639751E-3</v>
      </c>
      <c r="DH186" s="340">
        <f t="shared" si="239"/>
        <v>-0.13492479218403863</v>
      </c>
      <c r="DI186" s="340">
        <f t="shared" si="239"/>
        <v>-7.3023621458438215E-2</v>
      </c>
      <c r="DJ186" s="340">
        <f t="shared" si="239"/>
        <v>-2.2201378792974125E-2</v>
      </c>
      <c r="DK186" s="340">
        <f t="shared" si="239"/>
        <v>8.9836068911413047E-3</v>
      </c>
      <c r="DL186" s="321">
        <f t="shared" si="239"/>
        <v>-5.9094235823613284E-2</v>
      </c>
      <c r="DM186" s="340">
        <f t="shared" si="239"/>
        <v>3.7707146690418636E-2</v>
      </c>
      <c r="DN186" s="340">
        <f t="shared" si="239"/>
        <v>8.3644423123045097E-2</v>
      </c>
      <c r="DO186" s="340">
        <f t="shared" si="239"/>
        <v>3.2842458322532853E-3</v>
      </c>
      <c r="DP186" s="340">
        <f t="shared" si="239"/>
        <v>5.0048523405280543E-2</v>
      </c>
      <c r="DQ186" s="321">
        <f t="shared" si="239"/>
        <v>4.2355876087462496E-2</v>
      </c>
      <c r="DR186" s="340">
        <f t="shared" si="239"/>
        <v>5.8698797906777678E-2</v>
      </c>
      <c r="DS186" s="340">
        <f t="shared" si="239"/>
        <v>-1.8758949604885E-2</v>
      </c>
      <c r="DT186" s="340">
        <f t="shared" si="239"/>
        <v>6.2446059395462106E-2</v>
      </c>
      <c r="DU186" s="340">
        <f t="shared" si="239"/>
        <v>-5.8508008751126717E-2</v>
      </c>
      <c r="DV186" s="321">
        <f t="shared" si="239"/>
        <v>1.1089174277511438E-2</v>
      </c>
      <c r="DW186" s="340">
        <f t="shared" si="239"/>
        <v>-0.13682173024355349</v>
      </c>
      <c r="DX186" s="340">
        <f t="shared" si="239"/>
        <v>-0.1470641713530777</v>
      </c>
      <c r="DY186" s="340">
        <f t="shared" si="239"/>
        <v>-0.16433379002013848</v>
      </c>
      <c r="DZ186" s="340">
        <f t="shared" si="239"/>
        <v>-3.6227902981501581E-2</v>
      </c>
      <c r="EA186" s="321">
        <f t="shared" si="239"/>
        <v>-0.12398981173240176</v>
      </c>
      <c r="EB186" s="340">
        <f t="shared" si="239"/>
        <v>1.6725993891173019E-2</v>
      </c>
      <c r="EC186" s="340">
        <f t="shared" si="239"/>
        <v>7.9143731011357632E-2</v>
      </c>
      <c r="ED186" s="340">
        <f t="shared" si="239"/>
        <v>6.2720529784682677E-2</v>
      </c>
      <c r="EE186" s="340">
        <f t="shared" si="239"/>
        <v>7.5549336031415226E-3</v>
      </c>
      <c r="EF186" s="321">
        <f t="shared" si="239"/>
        <v>4.1726067159357783E-2</v>
      </c>
      <c r="EG186" s="340">
        <f t="shared" si="239"/>
        <v>0.18063267027456176</v>
      </c>
      <c r="EH186" s="340">
        <f t="shared" si="239"/>
        <v>9.3420483199640358E-2</v>
      </c>
      <c r="EI186" s="342">
        <f t="shared" si="239"/>
        <v>9.2171575811192952E-2</v>
      </c>
      <c r="EJ186" s="340">
        <f t="shared" si="239"/>
        <v>3.9098938327849275E-2</v>
      </c>
      <c r="EK186" s="321">
        <f t="shared" ref="EK186:EU186" si="240">(EK184/EF184)-1</f>
        <v>0.10278399499859181</v>
      </c>
      <c r="EL186" s="340">
        <f t="shared" si="240"/>
        <v>-0.16441897507422309</v>
      </c>
      <c r="EM186" s="340">
        <f t="shared" si="240"/>
        <v>1.1535661669350716E-2</v>
      </c>
      <c r="EN186" s="340">
        <f t="shared" si="240"/>
        <v>2.5561507101715453E-2</v>
      </c>
      <c r="EO186" s="340">
        <f t="shared" si="240"/>
        <v>3.5920714244157104E-2</v>
      </c>
      <c r="EP186" s="321">
        <f t="shared" si="240"/>
        <v>-2.7785191277443944E-2</v>
      </c>
      <c r="EQ186" s="340">
        <f t="shared" si="240"/>
        <v>0.14360404814552608</v>
      </c>
      <c r="ER186" s="340">
        <f t="shared" si="240"/>
        <v>6.0899999999999954E-2</v>
      </c>
      <c r="ES186" s="340">
        <f t="shared" si="240"/>
        <v>7.1509000000000045E-2</v>
      </c>
      <c r="ET186" s="340">
        <f t="shared" si="240"/>
        <v>7.1509000000000045E-2</v>
      </c>
      <c r="EU186" s="321">
        <f t="shared" si="240"/>
        <v>8.5805925131137162E-2</v>
      </c>
      <c r="EV186" s="668"/>
      <c r="EW186" s="668"/>
      <c r="EX186" s="668"/>
      <c r="EY186" s="668"/>
      <c r="EZ186" s="668"/>
      <c r="FA186" s="668"/>
      <c r="FB186" s="668"/>
      <c r="FC186" s="668"/>
      <c r="FD186" s="668"/>
      <c r="FE186" s="668"/>
      <c r="FF186" s="668"/>
      <c r="FG186" s="668"/>
      <c r="FH186" s="668"/>
      <c r="FI186" s="668"/>
      <c r="FJ186" s="668"/>
      <c r="FK186" s="668"/>
      <c r="FL186" s="668"/>
      <c r="FM186" s="668"/>
      <c r="FN186" s="668"/>
      <c r="FO186" s="668"/>
      <c r="FP186" s="668"/>
      <c r="FQ186" s="668"/>
      <c r="FR186" s="668"/>
      <c r="FS186" s="668"/>
      <c r="FT186" s="668"/>
      <c r="FU186" s="668"/>
      <c r="FV186" s="668"/>
      <c r="FW186" s="668"/>
      <c r="FX186" s="668"/>
      <c r="FY186" s="668"/>
      <c r="FZ186" s="668"/>
      <c r="GA186" s="668"/>
      <c r="GB186" s="668"/>
      <c r="GC186" s="668"/>
      <c r="GD186" s="668"/>
      <c r="GE186" s="668"/>
      <c r="GF186" s="668"/>
      <c r="GG186" s="668"/>
      <c r="GH186" s="668"/>
      <c r="GI186" s="668"/>
      <c r="GJ186" s="668"/>
      <c r="GK186" s="668"/>
      <c r="GL186" s="668"/>
      <c r="GM186" s="668"/>
      <c r="GN186" s="668"/>
      <c r="GO186" s="668"/>
      <c r="GP186" s="668"/>
      <c r="GQ186" s="668"/>
      <c r="GR186" s="668"/>
      <c r="GS186" s="668"/>
      <c r="GT186" s="668"/>
      <c r="GU186" s="668"/>
      <c r="GV186" s="668"/>
      <c r="GW186" s="668"/>
      <c r="GX186" s="668"/>
      <c r="GY186" s="668"/>
      <c r="GZ186" s="668"/>
      <c r="HA186" s="668"/>
      <c r="HB186" s="668"/>
      <c r="HC186" s="668"/>
      <c r="HD186" s="668"/>
      <c r="HE186" s="668"/>
      <c r="HF186" s="668"/>
      <c r="HG186" s="668"/>
      <c r="HH186" s="668"/>
      <c r="HI186" s="668"/>
      <c r="HJ186" s="668"/>
      <c r="HK186" s="668"/>
      <c r="HL186" s="668"/>
      <c r="HM186" s="668"/>
      <c r="HN186" s="668"/>
      <c r="HO186" s="341"/>
      <c r="HP186" s="293"/>
      <c r="HQ186" s="342"/>
      <c r="HR186" s="293"/>
      <c r="HS186" s="343"/>
      <c r="HT186" s="563"/>
      <c r="HU186" s="563"/>
      <c r="HV186" s="563"/>
      <c r="HW186" s="563"/>
      <c r="HX186" s="563"/>
    </row>
    <row r="187" spans="1:232" s="509" customFormat="1" ht="15" hidden="1" customHeight="1" outlineLevel="1">
      <c r="A187" s="683" t="s">
        <v>491</v>
      </c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5"/>
      <c r="M187" s="685"/>
      <c r="N187" s="685"/>
      <c r="O187" s="685"/>
      <c r="P187" s="686"/>
      <c r="Q187" s="687"/>
      <c r="R187" s="687"/>
      <c r="S187" s="687"/>
      <c r="T187" s="687"/>
      <c r="U187" s="688"/>
      <c r="V187" s="687"/>
      <c r="W187" s="687"/>
      <c r="X187" s="687"/>
      <c r="Y187" s="687"/>
      <c r="Z187" s="688"/>
      <c r="AA187" s="687"/>
      <c r="AB187" s="687"/>
      <c r="AC187" s="687"/>
      <c r="AD187" s="687"/>
      <c r="AE187" s="688"/>
      <c r="AF187" s="685"/>
      <c r="AG187" s="685"/>
      <c r="AH187" s="685"/>
      <c r="AI187" s="685"/>
      <c r="AJ187" s="688"/>
      <c r="AK187" s="685"/>
      <c r="AL187" s="685"/>
      <c r="AM187" s="685"/>
      <c r="AN187" s="685"/>
      <c r="AO187" s="688"/>
      <c r="AP187" s="685"/>
      <c r="AQ187" s="685"/>
      <c r="AR187" s="685"/>
      <c r="AS187" s="685"/>
      <c r="AT187" s="688"/>
      <c r="AU187" s="685"/>
      <c r="AV187" s="685"/>
      <c r="AW187" s="685"/>
      <c r="AX187" s="685"/>
      <c r="AY187" s="688"/>
      <c r="AZ187" s="685"/>
      <c r="BA187" s="685"/>
      <c r="BB187" s="685"/>
      <c r="BC187" s="685"/>
      <c r="BD187" s="688"/>
      <c r="BE187" s="685"/>
      <c r="BF187" s="685"/>
      <c r="BG187" s="685"/>
      <c r="BH187" s="685"/>
      <c r="BI187" s="688"/>
      <c r="BJ187" s="685"/>
      <c r="BK187" s="685"/>
      <c r="BL187" s="685"/>
      <c r="BM187" s="685"/>
      <c r="BN187" s="688"/>
      <c r="BO187" s="685"/>
      <c r="BP187" s="685"/>
      <c r="BQ187" s="685"/>
      <c r="BR187" s="685"/>
      <c r="BS187" s="688"/>
      <c r="BT187" s="689">
        <v>657.87657999999999</v>
      </c>
      <c r="BU187" s="689">
        <v>551.64239999999995</v>
      </c>
      <c r="BV187" s="689">
        <v>414.09141999999997</v>
      </c>
      <c r="BW187" s="689">
        <v>650.44808</v>
      </c>
      <c r="BX187" s="690">
        <f>SUM(BT187:BW187)</f>
        <v>2274.0584799999997</v>
      </c>
      <c r="BY187" s="689">
        <v>590.71300000000008</v>
      </c>
      <c r="BZ187" s="689">
        <v>304.66600000000005</v>
      </c>
      <c r="CA187" s="689">
        <v>186.26599999999999</v>
      </c>
      <c r="CB187" s="689">
        <v>349.80399999999997</v>
      </c>
      <c r="CC187" s="690">
        <f>SUM(BY187:CB187)</f>
        <v>1431.4490000000001</v>
      </c>
      <c r="CD187" s="689">
        <v>413.68600000000004</v>
      </c>
      <c r="CE187" s="689">
        <v>357.904</v>
      </c>
      <c r="CF187" s="689">
        <v>421.56699999999995</v>
      </c>
      <c r="CG187" s="689">
        <v>494.88299999999998</v>
      </c>
      <c r="CH187" s="690">
        <f>SUM(CD187:CG187)</f>
        <v>1688.04</v>
      </c>
      <c r="CI187" s="689">
        <v>479.05600000000004</v>
      </c>
      <c r="CJ187" s="689">
        <v>423.30500000000001</v>
      </c>
      <c r="CK187" s="689">
        <v>535.78700000000003</v>
      </c>
      <c r="CL187" s="689">
        <v>568.673</v>
      </c>
      <c r="CM187" s="690">
        <f>SUM(CI187:CL187)</f>
        <v>2006.8210000000001</v>
      </c>
      <c r="CN187" s="689">
        <v>576.22800000000007</v>
      </c>
      <c r="CO187" s="685">
        <f>(CO184*CO181)/1000</f>
        <v>502.32</v>
      </c>
      <c r="CP187" s="685">
        <f>(CP184*CP181)/1000</f>
        <v>643.52300000000014</v>
      </c>
      <c r="CQ187" s="685">
        <f>(CQ184*CQ181)/1000</f>
        <v>874.39499999999998</v>
      </c>
      <c r="CR187" s="690">
        <f>SUM(CN187:CQ187)</f>
        <v>2596.4660000000003</v>
      </c>
      <c r="CS187" s="685">
        <f>(CS184*CS181)/1000</f>
        <v>848.3</v>
      </c>
      <c r="CT187" s="685">
        <f>(CT184*CT181)/1000</f>
        <v>687.96450000000004</v>
      </c>
      <c r="CU187" s="685">
        <f>(CU184*CU181)/1000</f>
        <v>681.17085056249994</v>
      </c>
      <c r="CV187" s="685">
        <f>(CV184*CV181)/1000</f>
        <v>753.13655092442798</v>
      </c>
      <c r="CW187" s="691">
        <f>SUM(CS187:CV187)</f>
        <v>2970.5719014869278</v>
      </c>
      <c r="CX187" s="685">
        <f>(CX184*CX181)/1000</f>
        <v>397.04922499999998</v>
      </c>
      <c r="CY187" s="685">
        <f>(CY184*CY181)/1000</f>
        <v>525.50586999999996</v>
      </c>
      <c r="CZ187" s="685">
        <f>(CZ184*CZ181)/1000</f>
        <v>600.96133999999995</v>
      </c>
      <c r="DA187" s="685">
        <f>(DA184*DA181)/1000</f>
        <v>704.74834999999996</v>
      </c>
      <c r="DB187" s="691">
        <f>SUM(CX187:DA187)</f>
        <v>2228.2647849999998</v>
      </c>
      <c r="DC187" s="685">
        <f>(DC184*DC181)/1000</f>
        <v>605.8036800000001</v>
      </c>
      <c r="DD187" s="685">
        <f>(DD184*DD181)/1000</f>
        <v>542.41694999999993</v>
      </c>
      <c r="DE187" s="685">
        <f>(DE184*DE181)/1000</f>
        <v>543.46142000000009</v>
      </c>
      <c r="DF187" s="685">
        <f>(DF184*DF181)/1000</f>
        <v>440.03159999999997</v>
      </c>
      <c r="DG187" s="691">
        <f>SUM(DC187:DF187)</f>
        <v>2131.7136500000001</v>
      </c>
      <c r="DH187" s="685">
        <f>(DH184*DH181)/1000</f>
        <v>481.76580000000007</v>
      </c>
      <c r="DI187" s="685">
        <f>(DI184*DI181)/1000</f>
        <v>490.11005</v>
      </c>
      <c r="DJ187" s="685">
        <f>(DJ184*DJ181)/1000</f>
        <v>528.0077</v>
      </c>
      <c r="DK187" s="685">
        <f>(DK184*DK181)/1000</f>
        <v>587.57934999999998</v>
      </c>
      <c r="DL187" s="691">
        <f>SUM(DH187:DK187)</f>
        <v>2087.4629</v>
      </c>
      <c r="DM187" s="685">
        <f>(DM184*DM181)/1000</f>
        <v>553.03549999999996</v>
      </c>
      <c r="DN187" s="685">
        <f>(DN184*DN181)/1000</f>
        <v>530.5317</v>
      </c>
      <c r="DO187" s="685">
        <f>(DO184*DO181)/1000</f>
        <v>540.03809999999999</v>
      </c>
      <c r="DP187" s="685">
        <f>(DP184*DP181)/1000</f>
        <v>574.6093249999999</v>
      </c>
      <c r="DQ187" s="691">
        <f>SUM(DM187:DP187)</f>
        <v>2198.2146249999996</v>
      </c>
      <c r="DR187" s="685">
        <f>(DR184*DR181)/1000</f>
        <v>598.49705000000006</v>
      </c>
      <c r="DS187" s="685">
        <f>(DS184*DS181)/1000</f>
        <v>574.38139000000001</v>
      </c>
      <c r="DT187" s="685">
        <f>(DT184*DT181)/1000</f>
        <v>511.685</v>
      </c>
      <c r="DU187" s="685">
        <f>(DU184*DU181)/1000</f>
        <v>480.86900000000003</v>
      </c>
      <c r="DV187" s="691">
        <f>SUM(DR187:DU187)</f>
        <v>2165.43244</v>
      </c>
      <c r="DW187" s="685">
        <f>(DW184*DW181)/1000</f>
        <v>451.34385000000003</v>
      </c>
      <c r="DX187" s="685">
        <f>(DX184*DX181)/1000</f>
        <v>379.63590000000005</v>
      </c>
      <c r="DY187" s="685">
        <f>(DY184*DY181)/1000</f>
        <v>324.45999999999998</v>
      </c>
      <c r="DZ187" s="685">
        <f>(DZ184*DZ181)/1000</f>
        <v>318.32655</v>
      </c>
      <c r="EA187" s="691">
        <f>SUM(DW187:DZ187)</f>
        <v>1473.7663</v>
      </c>
      <c r="EB187" s="685">
        <f>(EB184*EB181)/1000</f>
        <v>277.69349999999997</v>
      </c>
      <c r="EC187" s="685">
        <f>(EC184*EC181)/1000</f>
        <v>310.92124999999999</v>
      </c>
      <c r="ED187" s="685">
        <f>(ED184*ED181)/1000</f>
        <v>332.02749999999997</v>
      </c>
      <c r="EE187" s="685">
        <f>(EE184*EE181)/1000</f>
        <v>363.00554999999997</v>
      </c>
      <c r="EF187" s="691">
        <f>SUM(EB187:EE187)</f>
        <v>1283.6477999999997</v>
      </c>
      <c r="EG187" s="685">
        <f>(EG184*EG181)/1000</f>
        <v>321.68079999999998</v>
      </c>
      <c r="EH187" s="685">
        <f>(EH184*EH181)/1000</f>
        <v>289.93759999999997</v>
      </c>
      <c r="EI187" s="685">
        <f>(EI184*EI181)/1000</f>
        <v>328.05844999999999</v>
      </c>
      <c r="EJ187" s="685">
        <f>(EJ184*EJ181)/1000</f>
        <v>210.08534165738163</v>
      </c>
      <c r="EK187" s="691">
        <f>SUM(EG187:EJ187)</f>
        <v>1149.7621916573817</v>
      </c>
      <c r="EL187" s="685">
        <f>(EL184*EL181)/1000</f>
        <v>145.27435</v>
      </c>
      <c r="EM187" s="685">
        <f>(EM184*EM181)/1000</f>
        <v>152.2381</v>
      </c>
      <c r="EN187" s="685">
        <f>(EN184*EN181)/1000</f>
        <v>167.96173413132695</v>
      </c>
      <c r="EO187" s="685">
        <f>(EO184*EO181)/1000</f>
        <v>174.68020349658005</v>
      </c>
      <c r="EP187" s="691">
        <f>SUM(EL187:EO187)</f>
        <v>640.154387627907</v>
      </c>
      <c r="EQ187" s="685">
        <f>(EQ184*EQ181)/1000</f>
        <v>174.5229913134331</v>
      </c>
      <c r="ER187" s="685">
        <f>(ER184*ER181)/1000</f>
        <v>188.74661510547793</v>
      </c>
      <c r="ES187" s="685">
        <f>(ES184*ES181)/1000</f>
        <v>202.07212613192468</v>
      </c>
      <c r="ET187" s="685">
        <f>(ET184*ET181)/1000</f>
        <v>208.13428991588239</v>
      </c>
      <c r="EU187" s="691">
        <f>SUM(EQ187:ET187)</f>
        <v>773.47602246671818</v>
      </c>
      <c r="EV187" s="668"/>
      <c r="EW187" s="668"/>
      <c r="EX187" s="668"/>
      <c r="EY187" s="668"/>
      <c r="EZ187" s="668"/>
      <c r="FA187" s="668"/>
      <c r="FB187" s="668"/>
      <c r="FC187" s="668"/>
      <c r="FD187" s="668"/>
      <c r="FE187" s="668"/>
      <c r="FF187" s="668"/>
      <c r="FG187" s="668"/>
      <c r="FH187" s="668"/>
      <c r="FI187" s="668"/>
      <c r="FJ187" s="668"/>
      <c r="FK187" s="668"/>
      <c r="FL187" s="668"/>
      <c r="FM187" s="668"/>
      <c r="FN187" s="668"/>
      <c r="FO187" s="668"/>
      <c r="FP187" s="668"/>
      <c r="FQ187" s="668"/>
      <c r="FR187" s="668"/>
      <c r="FS187" s="668"/>
      <c r="FT187" s="668"/>
      <c r="FU187" s="668"/>
      <c r="FV187" s="668"/>
      <c r="FW187" s="668"/>
      <c r="FX187" s="668"/>
      <c r="FY187" s="668"/>
      <c r="FZ187" s="668"/>
      <c r="GA187" s="668"/>
      <c r="GB187" s="668"/>
      <c r="GC187" s="668"/>
      <c r="GD187" s="668"/>
      <c r="GE187" s="668"/>
      <c r="GF187" s="668"/>
      <c r="GG187" s="668"/>
      <c r="GH187" s="668"/>
      <c r="GI187" s="668"/>
      <c r="GJ187" s="668"/>
      <c r="GK187" s="668"/>
      <c r="GL187" s="668"/>
      <c r="GM187" s="668"/>
      <c r="GN187" s="668"/>
      <c r="GO187" s="668"/>
      <c r="GP187" s="668"/>
      <c r="GQ187" s="668"/>
      <c r="GR187" s="668"/>
      <c r="GS187" s="668"/>
      <c r="GT187" s="668"/>
      <c r="GU187" s="668"/>
      <c r="GV187" s="668"/>
      <c r="GW187" s="668"/>
      <c r="GX187" s="668"/>
      <c r="GY187" s="668"/>
      <c r="GZ187" s="668"/>
      <c r="HA187" s="668"/>
      <c r="HB187" s="668"/>
      <c r="HC187" s="668"/>
      <c r="HD187" s="668"/>
      <c r="HE187" s="668"/>
      <c r="HF187" s="668"/>
      <c r="HG187" s="668"/>
      <c r="HH187" s="668"/>
      <c r="HI187" s="668"/>
      <c r="HJ187" s="668"/>
      <c r="HK187" s="668"/>
      <c r="HL187" s="668"/>
      <c r="HM187" s="668"/>
      <c r="HN187" s="668"/>
      <c r="HO187" s="542"/>
      <c r="HP187" s="606"/>
      <c r="HQ187" s="523"/>
      <c r="HR187" s="606"/>
      <c r="HS187" s="682"/>
      <c r="HT187" s="563"/>
      <c r="HU187" s="563"/>
      <c r="HV187" s="563"/>
      <c r="HW187" s="563"/>
      <c r="HX187" s="563"/>
    </row>
    <row r="188" spans="1:232" s="509" customFormat="1" hidden="1" outlineLevel="1">
      <c r="A188" s="509" t="s">
        <v>488</v>
      </c>
      <c r="L188" s="523"/>
      <c r="M188" s="523"/>
      <c r="N188" s="523"/>
      <c r="O188" s="523"/>
      <c r="P188" s="524"/>
      <c r="Q188" s="619"/>
      <c r="R188" s="619"/>
      <c r="S188" s="619"/>
      <c r="T188" s="619"/>
      <c r="U188" s="541"/>
      <c r="V188" s="619"/>
      <c r="W188" s="619"/>
      <c r="X188" s="619"/>
      <c r="Y188" s="619"/>
      <c r="Z188" s="541"/>
      <c r="AA188" s="619"/>
      <c r="AB188" s="619"/>
      <c r="AC188" s="619"/>
      <c r="AD188" s="619"/>
      <c r="AE188" s="541"/>
      <c r="AF188" s="523"/>
      <c r="AG188" s="523"/>
      <c r="AH188" s="523"/>
      <c r="AI188" s="523"/>
      <c r="AJ188" s="541"/>
      <c r="AK188" s="523"/>
      <c r="AL188" s="523"/>
      <c r="AM188" s="523"/>
      <c r="AN188" s="523"/>
      <c r="AO188" s="541"/>
      <c r="AP188" s="523"/>
      <c r="AQ188" s="523"/>
      <c r="AR188" s="523"/>
      <c r="AS188" s="523"/>
      <c r="AT188" s="541"/>
      <c r="AU188" s="523"/>
      <c r="AV188" s="523"/>
      <c r="AW188" s="523"/>
      <c r="AX188" s="523"/>
      <c r="AY188" s="541"/>
      <c r="AZ188" s="523"/>
      <c r="BA188" s="523"/>
      <c r="BB188" s="523"/>
      <c r="BC188" s="523"/>
      <c r="BD188" s="541"/>
      <c r="BE188" s="523"/>
      <c r="BF188" s="523"/>
      <c r="BG188" s="523"/>
      <c r="BH188" s="523"/>
      <c r="BI188" s="541"/>
      <c r="BJ188" s="523"/>
      <c r="BK188" s="523"/>
      <c r="BL188" s="523"/>
      <c r="BM188" s="523"/>
      <c r="BN188" s="541"/>
      <c r="BO188" s="523"/>
      <c r="BP188" s="523"/>
      <c r="BQ188" s="523"/>
      <c r="BR188" s="523"/>
      <c r="BS188" s="541"/>
      <c r="BT188" s="648" t="s">
        <v>199</v>
      </c>
      <c r="BU188" s="340">
        <f>(BU187/BT187)-1</f>
        <v>-0.16148041020095294</v>
      </c>
      <c r="BV188" s="340">
        <f>(BV187/BU187)-1</f>
        <v>-0.24934809216985498</v>
      </c>
      <c r="BW188" s="340">
        <f>(BW187/BV187)-1</f>
        <v>0.57078376557524435</v>
      </c>
      <c r="BX188" s="648" t="s">
        <v>199</v>
      </c>
      <c r="BY188" s="340">
        <f>(BY187/BW187)-1</f>
        <v>-9.1836815015273632E-2</v>
      </c>
      <c r="BZ188" s="340">
        <f>(BZ187/BY187)-1</f>
        <v>-0.48424023171997232</v>
      </c>
      <c r="CA188" s="340">
        <f>(CA187/BZ187)-1</f>
        <v>-0.3886222945783252</v>
      </c>
      <c r="CB188" s="340">
        <f>(CB187/CA187)-1</f>
        <v>0.87798095197191106</v>
      </c>
      <c r="CC188" s="648" t="s">
        <v>199</v>
      </c>
      <c r="CD188" s="340">
        <f>(CD187/CB187)-1</f>
        <v>0.18262226847034357</v>
      </c>
      <c r="CE188" s="340">
        <f>(CE187/CD187)-1</f>
        <v>-0.13484140144940859</v>
      </c>
      <c r="CF188" s="340">
        <f>(CF187/CE187)-1</f>
        <v>0.17787730788144285</v>
      </c>
      <c r="CG188" s="340">
        <f>(CG187/CF187)-1</f>
        <v>0.17391304347826098</v>
      </c>
      <c r="CH188" s="648" t="s">
        <v>199</v>
      </c>
      <c r="CI188" s="340">
        <f>(CI187/CG187)-1</f>
        <v>-3.1981296589294717E-2</v>
      </c>
      <c r="CJ188" s="340">
        <f>(CJ187/CI187)-1</f>
        <v>-0.11637679102234399</v>
      </c>
      <c r="CK188" s="340">
        <f>(CK187/CJ187)-1</f>
        <v>0.26572329644110049</v>
      </c>
      <c r="CL188" s="340">
        <f>(CL187/CK187)-1</f>
        <v>6.1378868841535761E-2</v>
      </c>
      <c r="CM188" s="648" t="s">
        <v>199</v>
      </c>
      <c r="CN188" s="340">
        <f>(CN187/CL187)-1</f>
        <v>1.3285315110793228E-2</v>
      </c>
      <c r="CO188" s="340">
        <f>(CO187/CN187)-1</f>
        <v>-0.12826172973198124</v>
      </c>
      <c r="CP188" s="340">
        <f>(CP187/CO187)-1</f>
        <v>0.28110168816690595</v>
      </c>
      <c r="CQ188" s="340">
        <f>(CQ187/CP187)-1</f>
        <v>0.35876262386892122</v>
      </c>
      <c r="CR188" s="648" t="s">
        <v>199</v>
      </c>
      <c r="CS188" s="340">
        <f>(CS187/CQ187)-1</f>
        <v>-2.9843491785749077E-2</v>
      </c>
      <c r="CT188" s="340">
        <f>(CT187/CS187)-1</f>
        <v>-0.18900801603206407</v>
      </c>
      <c r="CU188" s="340">
        <f>(CU187/CT187)-1</f>
        <v>-9.8750000000001892E-3</v>
      </c>
      <c r="CV188" s="340">
        <f>(CV187/CU187)-1</f>
        <v>0.1056499999999998</v>
      </c>
      <c r="CW188" s="648" t="s">
        <v>199</v>
      </c>
      <c r="CX188" s="340">
        <f>(CX187/CV187)-1</f>
        <v>-0.47280579529350031</v>
      </c>
      <c r="CY188" s="340">
        <f>(CY187/CX187)-1</f>
        <v>0.32352826025538772</v>
      </c>
      <c r="CZ188" s="340">
        <f>(CZ187/CY187)-1</f>
        <v>0.14358635042459178</v>
      </c>
      <c r="DA188" s="340">
        <f>(DA187/CZ187)-1</f>
        <v>0.17270164167299007</v>
      </c>
      <c r="DB188" s="648" t="s">
        <v>199</v>
      </c>
      <c r="DC188" s="340">
        <f>(DC187/DA187)-1</f>
        <v>-0.14039716446303119</v>
      </c>
      <c r="DD188" s="340">
        <f>(DD187/DC187)-1</f>
        <v>-0.10463246112998215</v>
      </c>
      <c r="DE188" s="340">
        <f>(DE187/DD187)-1</f>
        <v>1.9255851057016216E-3</v>
      </c>
      <c r="DF188" s="340">
        <f>(DF187/DE187)-1</f>
        <v>-0.19031676618369731</v>
      </c>
      <c r="DG188" s="648" t="s">
        <v>199</v>
      </c>
      <c r="DH188" s="340">
        <f>(DH187/DF187)-1</f>
        <v>9.4843643047454185E-2</v>
      </c>
      <c r="DI188" s="340">
        <f>(DI187/DH187)-1</f>
        <v>1.7320137710065575E-2</v>
      </c>
      <c r="DJ188" s="340">
        <f>(DJ187/DI187)-1</f>
        <v>7.7324776343598689E-2</v>
      </c>
      <c r="DK188" s="340">
        <f>(DK187/DJ187)-1</f>
        <v>0.11282344935499999</v>
      </c>
      <c r="DL188" s="648" t="s">
        <v>199</v>
      </c>
      <c r="DM188" s="340">
        <f>(DM187/DK187)-1</f>
        <v>-5.8790102136843325E-2</v>
      </c>
      <c r="DN188" s="340">
        <f>(DN187/DM187)-1</f>
        <v>-4.0691420351858021E-2</v>
      </c>
      <c r="DO188" s="340">
        <f>(DO187/DN187)-1</f>
        <v>1.7918627671070331E-2</v>
      </c>
      <c r="DP188" s="340">
        <f>(DP187/DO187)-1</f>
        <v>6.4016270333518976E-2</v>
      </c>
      <c r="DQ188" s="648" t="s">
        <v>199</v>
      </c>
      <c r="DR188" s="340">
        <f>(DR187/DP187)-1</f>
        <v>4.1572115106207397E-2</v>
      </c>
      <c r="DS188" s="340">
        <f>(DS187/DR187)-1</f>
        <v>-4.0293699024915863E-2</v>
      </c>
      <c r="DT188" s="340">
        <f>(DT187/DS187)-1</f>
        <v>-0.10915463330035813</v>
      </c>
      <c r="DU188" s="340">
        <f>(DU187/DT187)-1</f>
        <v>-6.0224552214741434E-2</v>
      </c>
      <c r="DV188" s="648" t="s">
        <v>199</v>
      </c>
      <c r="DW188" s="340">
        <f>(DW187/DU187)-1</f>
        <v>-6.1399570361158617E-2</v>
      </c>
      <c r="DX188" s="340">
        <f>(DX187/DW187)-1</f>
        <v>-0.15887654168767329</v>
      </c>
      <c r="DY188" s="340">
        <f>(DY187/DX187)-1</f>
        <v>-0.14533899454714394</v>
      </c>
      <c r="DZ188" s="340">
        <f>(DZ187/DY187)-1</f>
        <v>-1.8903562842877308E-2</v>
      </c>
      <c r="EA188" s="648" t="s">
        <v>199</v>
      </c>
      <c r="EB188" s="340">
        <f>(EB187/DZ187)-1</f>
        <v>-0.12764580899708189</v>
      </c>
      <c r="EC188" s="340">
        <f>(EC187/EB187)-1</f>
        <v>0.1196562036922002</v>
      </c>
      <c r="ED188" s="340">
        <f>(ED187/EC187)-1</f>
        <v>6.7882944636302511E-2</v>
      </c>
      <c r="EE188" s="340">
        <f>(EE187/ED187)-1</f>
        <v>9.3299651384298077E-2</v>
      </c>
      <c r="EF188" s="648" t="s">
        <v>199</v>
      </c>
      <c r="EG188" s="340">
        <f>(EG187/EE187)-1</f>
        <v>-0.11384054596410442</v>
      </c>
      <c r="EH188" s="340">
        <f>(EH187/EG187)-1</f>
        <v>-9.8679187567302762E-2</v>
      </c>
      <c r="EI188" s="342">
        <f>(EI187/EH187)-1</f>
        <v>0.13147949765742695</v>
      </c>
      <c r="EJ188" s="340">
        <f>(EJ187/EI187)-1</f>
        <v>-0.35961002785515317</v>
      </c>
      <c r="EK188" s="648" t="s">
        <v>199</v>
      </c>
      <c r="EL188" s="340">
        <f>(EL187/EJ187)-1</f>
        <v>-0.30849839948890323</v>
      </c>
      <c r="EM188" s="340">
        <f>(EM187/EL187)-1</f>
        <v>4.7935165430098348E-2</v>
      </c>
      <c r="EN188" s="340">
        <f>(EN187/EM187)-1</f>
        <v>0.10328317373461005</v>
      </c>
      <c r="EO188" s="340">
        <f>(EO187/EN187)-1</f>
        <v>4.0000000000000036E-2</v>
      </c>
      <c r="EP188" s="648" t="s">
        <v>199</v>
      </c>
      <c r="EQ188" s="340">
        <f>(EQ187/EO187)-1</f>
        <v>-9.0000000000012292E-4</v>
      </c>
      <c r="ER188" s="340">
        <f>(ER187/EQ187)-1</f>
        <v>8.1500000000000128E-2</v>
      </c>
      <c r="ES188" s="340">
        <f>(ES187/ER187)-1</f>
        <v>7.0599999999999996E-2</v>
      </c>
      <c r="ET188" s="340">
        <f>(ET187/ES187)-1</f>
        <v>2.9999999999999805E-2</v>
      </c>
      <c r="EU188" s="648" t="s">
        <v>199</v>
      </c>
      <c r="EV188" s="668"/>
      <c r="EW188" s="668"/>
      <c r="EX188" s="668"/>
      <c r="EY188" s="668"/>
      <c r="EZ188" s="668"/>
      <c r="FA188" s="668"/>
      <c r="FB188" s="668"/>
      <c r="FC188" s="668"/>
      <c r="FD188" s="668"/>
      <c r="FE188" s="668"/>
      <c r="FF188" s="668"/>
      <c r="FG188" s="668"/>
      <c r="FH188" s="668"/>
      <c r="FI188" s="668"/>
      <c r="FJ188" s="668"/>
      <c r="FK188" s="668"/>
      <c r="FL188" s="668"/>
      <c r="FM188" s="668"/>
      <c r="FN188" s="668"/>
      <c r="FO188" s="668"/>
      <c r="FP188" s="668"/>
      <c r="FQ188" s="668"/>
      <c r="FR188" s="668"/>
      <c r="FS188" s="668"/>
      <c r="FT188" s="668"/>
      <c r="FU188" s="668"/>
      <c r="FV188" s="668"/>
      <c r="FW188" s="668"/>
      <c r="FX188" s="668"/>
      <c r="FY188" s="668"/>
      <c r="FZ188" s="668"/>
      <c r="GA188" s="668"/>
      <c r="GB188" s="668"/>
      <c r="GC188" s="668"/>
      <c r="GD188" s="668"/>
      <c r="GE188" s="668"/>
      <c r="GF188" s="668"/>
      <c r="GG188" s="668"/>
      <c r="GH188" s="668"/>
      <c r="GI188" s="668"/>
      <c r="GJ188" s="668"/>
      <c r="GK188" s="668"/>
      <c r="GL188" s="668"/>
      <c r="GM188" s="668"/>
      <c r="GN188" s="668"/>
      <c r="GO188" s="668"/>
      <c r="GP188" s="668"/>
      <c r="GQ188" s="668"/>
      <c r="GR188" s="668"/>
      <c r="GS188" s="668"/>
      <c r="GT188" s="668"/>
      <c r="GU188" s="668"/>
      <c r="GV188" s="668"/>
      <c r="GW188" s="668"/>
      <c r="GX188" s="668"/>
      <c r="GY188" s="668"/>
      <c r="GZ188" s="668"/>
      <c r="HA188" s="668"/>
      <c r="HB188" s="668"/>
      <c r="HC188" s="668"/>
      <c r="HD188" s="668"/>
      <c r="HE188" s="668"/>
      <c r="HF188" s="668"/>
      <c r="HG188" s="668"/>
      <c r="HH188" s="668"/>
      <c r="HI188" s="668"/>
      <c r="HJ188" s="668"/>
      <c r="HK188" s="668"/>
      <c r="HL188" s="668"/>
      <c r="HM188" s="668"/>
      <c r="HN188" s="668"/>
      <c r="HO188" s="648"/>
      <c r="HP188" s="293"/>
      <c r="HQ188" s="342"/>
      <c r="HR188" s="293"/>
      <c r="HS188" s="677"/>
      <c r="HT188" s="563"/>
      <c r="HU188" s="563"/>
      <c r="HV188" s="563"/>
      <c r="HW188" s="563"/>
      <c r="HX188" s="563"/>
    </row>
    <row r="189" spans="1:232" s="509" customFormat="1" hidden="1" outlineLevel="1">
      <c r="A189" s="509" t="s">
        <v>489</v>
      </c>
      <c r="L189" s="523"/>
      <c r="M189" s="523"/>
      <c r="N189" s="523"/>
      <c r="O189" s="523"/>
      <c r="P189" s="524"/>
      <c r="Q189" s="619"/>
      <c r="R189" s="619"/>
      <c r="S189" s="619"/>
      <c r="T189" s="619"/>
      <c r="U189" s="541"/>
      <c r="V189" s="619"/>
      <c r="W189" s="619"/>
      <c r="X189" s="619"/>
      <c r="Y189" s="619"/>
      <c r="Z189" s="541"/>
      <c r="AA189" s="619"/>
      <c r="AB189" s="619"/>
      <c r="AC189" s="619"/>
      <c r="AD189" s="619"/>
      <c r="AE189" s="541"/>
      <c r="AF189" s="523"/>
      <c r="AG189" s="523"/>
      <c r="AH189" s="523"/>
      <c r="AI189" s="523"/>
      <c r="AJ189" s="541"/>
      <c r="AK189" s="523"/>
      <c r="AL189" s="523"/>
      <c r="AM189" s="523"/>
      <c r="AN189" s="523"/>
      <c r="AO189" s="541"/>
      <c r="AP189" s="523"/>
      <c r="AQ189" s="523"/>
      <c r="AR189" s="523"/>
      <c r="AS189" s="523"/>
      <c r="AT189" s="541"/>
      <c r="AU189" s="523"/>
      <c r="AV189" s="523"/>
      <c r="AW189" s="523"/>
      <c r="AX189" s="523"/>
      <c r="AY189" s="541"/>
      <c r="AZ189" s="523"/>
      <c r="BA189" s="523"/>
      <c r="BB189" s="523"/>
      <c r="BC189" s="523"/>
      <c r="BD189" s="541"/>
      <c r="BE189" s="523"/>
      <c r="BF189" s="523"/>
      <c r="BG189" s="523"/>
      <c r="BH189" s="523"/>
      <c r="BI189" s="541"/>
      <c r="BJ189" s="523"/>
      <c r="BK189" s="523"/>
      <c r="BL189" s="523"/>
      <c r="BM189" s="523"/>
      <c r="BN189" s="541"/>
      <c r="BO189" s="523"/>
      <c r="BP189" s="523"/>
      <c r="BQ189" s="523"/>
      <c r="BR189" s="523"/>
      <c r="BS189" s="541"/>
      <c r="BT189" s="648" t="s">
        <v>199</v>
      </c>
      <c r="BU189" s="648" t="s">
        <v>199</v>
      </c>
      <c r="BV189" s="648" t="s">
        <v>199</v>
      </c>
      <c r="BW189" s="648" t="s">
        <v>199</v>
      </c>
      <c r="BX189" s="648" t="s">
        <v>199</v>
      </c>
      <c r="BY189" s="340">
        <f t="shared" ref="BY189:EJ189" si="241">(BY187/BT187)-1</f>
        <v>-0.10209145916092632</v>
      </c>
      <c r="BZ189" s="340">
        <f t="shared" si="241"/>
        <v>-0.44771105339256001</v>
      </c>
      <c r="CA189" s="340">
        <f t="shared" si="241"/>
        <v>-0.5501814550999391</v>
      </c>
      <c r="CB189" s="340">
        <f t="shared" si="241"/>
        <v>-0.46221072710369138</v>
      </c>
      <c r="CC189" s="321">
        <f t="shared" si="241"/>
        <v>-0.37053113955099326</v>
      </c>
      <c r="CD189" s="340">
        <f t="shared" si="241"/>
        <v>-0.29968360269707961</v>
      </c>
      <c r="CE189" s="340">
        <f t="shared" si="241"/>
        <v>0.17474217667872338</v>
      </c>
      <c r="CF189" s="340">
        <f t="shared" si="241"/>
        <v>1.2632525528008332</v>
      </c>
      <c r="CG189" s="340">
        <f t="shared" si="241"/>
        <v>0.41474368503504833</v>
      </c>
      <c r="CH189" s="321">
        <f t="shared" si="241"/>
        <v>0.17925263142452152</v>
      </c>
      <c r="CI189" s="340">
        <f t="shared" si="241"/>
        <v>0.15801840042931103</v>
      </c>
      <c r="CJ189" s="340">
        <f t="shared" si="241"/>
        <v>0.18273335866601093</v>
      </c>
      <c r="CK189" s="340">
        <f t="shared" si="241"/>
        <v>0.27094151107653142</v>
      </c>
      <c r="CL189" s="340">
        <f t="shared" si="241"/>
        <v>0.14910595029532248</v>
      </c>
      <c r="CM189" s="321">
        <f t="shared" si="241"/>
        <v>0.18884682827421173</v>
      </c>
      <c r="CN189" s="340">
        <f t="shared" si="241"/>
        <v>0.20284058648675729</v>
      </c>
      <c r="CO189" s="340">
        <f t="shared" si="241"/>
        <v>0.18666209943185175</v>
      </c>
      <c r="CP189" s="340">
        <f t="shared" si="241"/>
        <v>0.20107990675399012</v>
      </c>
      <c r="CQ189" s="340">
        <f t="shared" si="241"/>
        <v>0.53760597039071656</v>
      </c>
      <c r="CR189" s="321">
        <f t="shared" si="241"/>
        <v>0.29382042543904019</v>
      </c>
      <c r="CS189" s="340">
        <f t="shared" si="241"/>
        <v>0.47216032542674058</v>
      </c>
      <c r="CT189" s="340">
        <f t="shared" si="241"/>
        <v>0.36957417582417595</v>
      </c>
      <c r="CU189" s="340">
        <f t="shared" si="241"/>
        <v>5.8502727272373711E-2</v>
      </c>
      <c r="CV189" s="340">
        <f t="shared" si="241"/>
        <v>-0.13867696987696865</v>
      </c>
      <c r="CW189" s="321">
        <f t="shared" si="241"/>
        <v>0.14408272686294654</v>
      </c>
      <c r="CX189" s="340">
        <f t="shared" si="241"/>
        <v>-0.53194715902393019</v>
      </c>
      <c r="CY189" s="340">
        <f t="shared" si="241"/>
        <v>-0.23614391440256011</v>
      </c>
      <c r="CZ189" s="340">
        <f t="shared" si="241"/>
        <v>-0.11775241188941699</v>
      </c>
      <c r="DA189" s="340">
        <f t="shared" si="241"/>
        <v>-6.4248907937125788E-2</v>
      </c>
      <c r="DB189" s="321">
        <f t="shared" si="241"/>
        <v>-0.2498869379715617</v>
      </c>
      <c r="DC189" s="340">
        <f t="shared" si="241"/>
        <v>0.52576467061483401</v>
      </c>
      <c r="DD189" s="340">
        <f t="shared" si="241"/>
        <v>3.2180572978185662E-2</v>
      </c>
      <c r="DE189" s="340">
        <f t="shared" si="241"/>
        <v>-9.5679898477329495E-2</v>
      </c>
      <c r="DF189" s="340">
        <f t="shared" si="241"/>
        <v>-0.37561882904727628</v>
      </c>
      <c r="DG189" s="321">
        <f t="shared" si="241"/>
        <v>-4.333018932487398E-2</v>
      </c>
      <c r="DH189" s="340">
        <f t="shared" si="241"/>
        <v>-0.20474930096165811</v>
      </c>
      <c r="DI189" s="340">
        <f t="shared" si="241"/>
        <v>-9.6433011542135461E-2</v>
      </c>
      <c r="DJ189" s="340">
        <f t="shared" si="241"/>
        <v>-2.8435725943527168E-2</v>
      </c>
      <c r="DK189" s="340">
        <f t="shared" si="241"/>
        <v>0.33531171397690529</v>
      </c>
      <c r="DL189" s="321">
        <f t="shared" si="241"/>
        <v>-2.0758299314732165E-2</v>
      </c>
      <c r="DM189" s="340">
        <f t="shared" si="241"/>
        <v>0.14793432825659236</v>
      </c>
      <c r="DN189" s="340">
        <f t="shared" si="241"/>
        <v>8.2474640134394317E-2</v>
      </c>
      <c r="DO189" s="340">
        <f t="shared" si="241"/>
        <v>2.2784516210653694E-2</v>
      </c>
      <c r="DP189" s="340">
        <f t="shared" si="241"/>
        <v>-2.2073656945228004E-2</v>
      </c>
      <c r="DQ189" s="321">
        <f t="shared" si="241"/>
        <v>5.3055661492235284E-2</v>
      </c>
      <c r="DR189" s="340">
        <f t="shared" si="241"/>
        <v>8.2203674086021694E-2</v>
      </c>
      <c r="DS189" s="340">
        <f t="shared" si="241"/>
        <v>8.2652346692949852E-2</v>
      </c>
      <c r="DT189" s="340">
        <f t="shared" si="241"/>
        <v>-5.2502036430392529E-2</v>
      </c>
      <c r="DU189" s="340">
        <f t="shared" si="241"/>
        <v>-0.16313749346131812</v>
      </c>
      <c r="DV189" s="321">
        <f t="shared" si="241"/>
        <v>-1.4913095667352994E-2</v>
      </c>
      <c r="DW189" s="340">
        <f>(DW187/DR187)-1</f>
        <v>-0.24587122025079322</v>
      </c>
      <c r="DX189" s="340">
        <f t="shared" si="241"/>
        <v>-0.3390525761985429</v>
      </c>
      <c r="DY189" s="340">
        <f t="shared" si="241"/>
        <v>-0.36589894173172954</v>
      </c>
      <c r="DZ189" s="340">
        <f t="shared" si="241"/>
        <v>-0.33801815047341377</v>
      </c>
      <c r="EA189" s="321">
        <f t="shared" si="241"/>
        <v>-0.31941247726020028</v>
      </c>
      <c r="EB189" s="340">
        <f t="shared" si="241"/>
        <v>-0.3847407026815588</v>
      </c>
      <c r="EC189" s="340">
        <f t="shared" si="241"/>
        <v>-0.18100145428817471</v>
      </c>
      <c r="ED189" s="340">
        <f t="shared" si="241"/>
        <v>2.3323368057695859E-2</v>
      </c>
      <c r="EE189" s="340">
        <f t="shared" si="241"/>
        <v>0.14035587041043218</v>
      </c>
      <c r="EF189" s="321">
        <f t="shared" si="241"/>
        <v>-0.12900179628208375</v>
      </c>
      <c r="EG189" s="340">
        <f t="shared" si="241"/>
        <v>0.15840233926973446</v>
      </c>
      <c r="EH189" s="340">
        <f t="shared" si="241"/>
        <v>-6.7488632571752527E-2</v>
      </c>
      <c r="EI189" s="342">
        <f t="shared" si="241"/>
        <v>-1.1953979715535579E-2</v>
      </c>
      <c r="EJ189" s="340">
        <f t="shared" si="241"/>
        <v>-0.42126135080474214</v>
      </c>
      <c r="EK189" s="321">
        <f t="shared" ref="EK189:EU189" si="242">(EK187/EF187)-1</f>
        <v>-0.10430089027739398</v>
      </c>
      <c r="EL189" s="340">
        <f t="shared" si="242"/>
        <v>-0.54838973914514011</v>
      </c>
      <c r="EM189" s="340">
        <f t="shared" si="242"/>
        <v>-0.47492805348461176</v>
      </c>
      <c r="EN189" s="340">
        <f t="shared" si="242"/>
        <v>-0.48801277902969131</v>
      </c>
      <c r="EO189" s="340">
        <f t="shared" si="242"/>
        <v>-0.16852740834504376</v>
      </c>
      <c r="EP189" s="321">
        <f t="shared" si="242"/>
        <v>-0.44322887613383355</v>
      </c>
      <c r="EQ189" s="340">
        <f t="shared" si="242"/>
        <v>0.20133383018704332</v>
      </c>
      <c r="ER189" s="340">
        <f t="shared" si="242"/>
        <v>0.23981194658549954</v>
      </c>
      <c r="ES189" s="340">
        <f t="shared" si="242"/>
        <v>0.20308430474960026</v>
      </c>
      <c r="ET189" s="340">
        <f t="shared" si="242"/>
        <v>0.19151618643469992</v>
      </c>
      <c r="EU189" s="321">
        <f t="shared" si="242"/>
        <v>0.20826481457517576</v>
      </c>
      <c r="EV189" s="668"/>
      <c r="EW189" s="668"/>
      <c r="EX189" s="668"/>
      <c r="EY189" s="668"/>
      <c r="EZ189" s="668"/>
      <c r="FA189" s="668"/>
      <c r="FB189" s="668"/>
      <c r="FC189" s="668"/>
      <c r="FD189" s="668"/>
      <c r="FE189" s="668"/>
      <c r="FF189" s="668"/>
      <c r="FG189" s="668"/>
      <c r="FH189" s="668"/>
      <c r="FI189" s="668"/>
      <c r="FJ189" s="668"/>
      <c r="FK189" s="668"/>
      <c r="FL189" s="668"/>
      <c r="FM189" s="668"/>
      <c r="FN189" s="668"/>
      <c r="FO189" s="668"/>
      <c r="FP189" s="668"/>
      <c r="FQ189" s="668"/>
      <c r="FR189" s="668"/>
      <c r="FS189" s="668"/>
      <c r="FT189" s="668"/>
      <c r="FU189" s="668"/>
      <c r="FV189" s="668"/>
      <c r="FW189" s="668"/>
      <c r="FX189" s="668"/>
      <c r="FY189" s="668"/>
      <c r="FZ189" s="668"/>
      <c r="GA189" s="668"/>
      <c r="GB189" s="668"/>
      <c r="GC189" s="668"/>
      <c r="GD189" s="668"/>
      <c r="GE189" s="668"/>
      <c r="GF189" s="668"/>
      <c r="GG189" s="668"/>
      <c r="GH189" s="668"/>
      <c r="GI189" s="668"/>
      <c r="GJ189" s="668"/>
      <c r="GK189" s="668"/>
      <c r="GL189" s="668"/>
      <c r="GM189" s="668"/>
      <c r="GN189" s="668"/>
      <c r="GO189" s="668"/>
      <c r="GP189" s="668"/>
      <c r="GQ189" s="668"/>
      <c r="GR189" s="668"/>
      <c r="GS189" s="668"/>
      <c r="GT189" s="668"/>
      <c r="GU189" s="668"/>
      <c r="GV189" s="668"/>
      <c r="GW189" s="668"/>
      <c r="GX189" s="668"/>
      <c r="GY189" s="668"/>
      <c r="GZ189" s="668"/>
      <c r="HA189" s="668"/>
      <c r="HB189" s="668"/>
      <c r="HC189" s="668"/>
      <c r="HD189" s="668"/>
      <c r="HE189" s="668"/>
      <c r="HF189" s="668"/>
      <c r="HG189" s="668"/>
      <c r="HH189" s="668"/>
      <c r="HI189" s="668"/>
      <c r="HJ189" s="668"/>
      <c r="HK189" s="668"/>
      <c r="HL189" s="668"/>
      <c r="HM189" s="668"/>
      <c r="HN189" s="668"/>
      <c r="HO189" s="344"/>
      <c r="HP189" s="293"/>
      <c r="HQ189" s="342"/>
      <c r="HR189" s="293"/>
      <c r="HS189" s="343"/>
      <c r="HT189" s="563"/>
      <c r="HU189" s="563"/>
      <c r="HV189" s="563"/>
      <c r="HW189" s="563"/>
      <c r="HX189" s="563"/>
    </row>
    <row r="190" spans="1:232" s="509" customFormat="1" ht="15" hidden="1" customHeight="1" outlineLevel="1">
      <c r="A190" s="538" t="s">
        <v>492</v>
      </c>
      <c r="L190" s="523"/>
      <c r="M190" s="523"/>
      <c r="N190" s="523"/>
      <c r="O190" s="523"/>
      <c r="P190" s="524"/>
      <c r="Q190" s="619"/>
      <c r="R190" s="619"/>
      <c r="S190" s="619"/>
      <c r="T190" s="619"/>
      <c r="U190" s="541"/>
      <c r="V190" s="619"/>
      <c r="W190" s="619"/>
      <c r="X190" s="619"/>
      <c r="Y190" s="619"/>
      <c r="Z190" s="541"/>
      <c r="AA190" s="619"/>
      <c r="AB190" s="619"/>
      <c r="AC190" s="619"/>
      <c r="AD190" s="619"/>
      <c r="AE190" s="541"/>
      <c r="AF190" s="523"/>
      <c r="AG190" s="523"/>
      <c r="AH190" s="523"/>
      <c r="AI190" s="523"/>
      <c r="AJ190" s="541"/>
      <c r="AK190" s="523"/>
      <c r="AL190" s="523"/>
      <c r="AM190" s="523"/>
      <c r="AN190" s="523"/>
      <c r="AO190" s="541"/>
      <c r="AP190" s="523"/>
      <c r="AQ190" s="523"/>
      <c r="AR190" s="523"/>
      <c r="AS190" s="523"/>
      <c r="AT190" s="541"/>
      <c r="AU190" s="523"/>
      <c r="AV190" s="523"/>
      <c r="AW190" s="523"/>
      <c r="AX190" s="523"/>
      <c r="AY190" s="541"/>
      <c r="AZ190" s="523"/>
      <c r="BA190" s="523"/>
      <c r="BB190" s="523"/>
      <c r="BC190" s="523"/>
      <c r="BD190" s="541"/>
      <c r="BE190" s="523"/>
      <c r="BF190" s="523"/>
      <c r="BG190" s="523"/>
      <c r="BH190" s="523"/>
      <c r="BI190" s="541"/>
      <c r="BJ190" s="523"/>
      <c r="BK190" s="523"/>
      <c r="BL190" s="523"/>
      <c r="BM190" s="523"/>
      <c r="BN190" s="541"/>
      <c r="BO190" s="523"/>
      <c r="BP190" s="523"/>
      <c r="BQ190" s="523"/>
      <c r="BR190" s="523"/>
      <c r="BS190" s="541"/>
      <c r="BT190" s="523"/>
      <c r="BU190" s="523"/>
      <c r="BV190" s="523"/>
      <c r="BW190" s="523"/>
      <c r="BX190" s="591"/>
      <c r="BY190" s="523"/>
      <c r="BZ190" s="523"/>
      <c r="CA190" s="523"/>
      <c r="CB190" s="523"/>
      <c r="CC190" s="591"/>
      <c r="CD190" s="523"/>
      <c r="CE190" s="523"/>
      <c r="CF190" s="523"/>
      <c r="CG190" s="523"/>
      <c r="CH190" s="591"/>
      <c r="CI190" s="523"/>
      <c r="CJ190" s="523"/>
      <c r="CK190" s="523"/>
      <c r="CL190" s="523"/>
      <c r="CM190" s="542"/>
      <c r="CN190" s="539"/>
      <c r="CO190" s="523"/>
      <c r="CP190" s="523"/>
      <c r="CQ190" s="523"/>
      <c r="CR190" s="542"/>
      <c r="CS190" s="539"/>
      <c r="CT190" s="523"/>
      <c r="CU190" s="523"/>
      <c r="CV190" s="523"/>
      <c r="CW190" s="542"/>
      <c r="CX190" s="539"/>
      <c r="CY190" s="523"/>
      <c r="CZ190" s="523"/>
      <c r="DA190" s="523"/>
      <c r="DB190" s="542"/>
      <c r="DC190" s="539"/>
      <c r="DD190" s="523"/>
      <c r="DE190" s="523"/>
      <c r="DF190" s="340"/>
      <c r="DG190" s="542"/>
      <c r="DH190" s="539"/>
      <c r="DI190" s="523"/>
      <c r="DJ190" s="523"/>
      <c r="DK190" s="340"/>
      <c r="DL190" s="542"/>
      <c r="DM190" s="539"/>
      <c r="DN190" s="523"/>
      <c r="DO190" s="523"/>
      <c r="DP190" s="345"/>
      <c r="DQ190" s="542"/>
      <c r="DR190" s="345"/>
      <c r="DS190" s="345"/>
      <c r="DT190" s="345"/>
      <c r="DU190" s="345"/>
      <c r="DV190" s="542"/>
      <c r="DW190" s="345"/>
      <c r="DX190" s="345"/>
      <c r="DY190" s="345"/>
      <c r="DZ190" s="345"/>
      <c r="EA190" s="542"/>
      <c r="EB190" s="345"/>
      <c r="EC190" s="345"/>
      <c r="ED190" s="345"/>
      <c r="EE190" s="345"/>
      <c r="EF190" s="542"/>
      <c r="EG190" s="345"/>
      <c r="EH190" s="345"/>
      <c r="EI190" s="692"/>
      <c r="EJ190" s="345"/>
      <c r="EK190" s="542"/>
      <c r="EL190" s="345"/>
      <c r="EM190" s="345"/>
      <c r="EN190" s="345"/>
      <c r="EO190" s="345"/>
      <c r="EP190" s="542"/>
      <c r="EQ190" s="345"/>
      <c r="ER190" s="345"/>
      <c r="ES190" s="345"/>
      <c r="ET190" s="345"/>
      <c r="EU190" s="542"/>
      <c r="EV190" s="668"/>
      <c r="EW190" s="668"/>
      <c r="EX190" s="668"/>
      <c r="EY190" s="668"/>
      <c r="EZ190" s="668"/>
      <c r="FA190" s="668"/>
      <c r="FB190" s="668"/>
      <c r="FC190" s="668"/>
      <c r="FD190" s="668"/>
      <c r="FE190" s="668"/>
      <c r="FF190" s="668"/>
      <c r="FG190" s="668"/>
      <c r="FH190" s="668"/>
      <c r="FI190" s="668"/>
      <c r="FJ190" s="668"/>
      <c r="FK190" s="668"/>
      <c r="FL190" s="668"/>
      <c r="FM190" s="668"/>
      <c r="FN190" s="668"/>
      <c r="FO190" s="668"/>
      <c r="FP190" s="668"/>
      <c r="FQ190" s="668"/>
      <c r="FR190" s="668"/>
      <c r="FS190" s="668"/>
      <c r="FT190" s="668"/>
      <c r="FU190" s="668"/>
      <c r="FV190" s="668"/>
      <c r="FW190" s="668"/>
      <c r="FX190" s="668"/>
      <c r="FY190" s="668"/>
      <c r="FZ190" s="668"/>
      <c r="GA190" s="668"/>
      <c r="GB190" s="668"/>
      <c r="GC190" s="668"/>
      <c r="GD190" s="668"/>
      <c r="GE190" s="668"/>
      <c r="GF190" s="668"/>
      <c r="GG190" s="668"/>
      <c r="GH190" s="668"/>
      <c r="GI190" s="668"/>
      <c r="GJ190" s="668"/>
      <c r="GK190" s="668"/>
      <c r="GL190" s="668"/>
      <c r="GM190" s="668"/>
      <c r="GN190" s="668"/>
      <c r="GO190" s="668"/>
      <c r="GP190" s="668"/>
      <c r="GQ190" s="668"/>
      <c r="GR190" s="668"/>
      <c r="GS190" s="668"/>
      <c r="GT190" s="668"/>
      <c r="GU190" s="668"/>
      <c r="GV190" s="668"/>
      <c r="GW190" s="668"/>
      <c r="GX190" s="668"/>
      <c r="GY190" s="668"/>
      <c r="GZ190" s="668"/>
      <c r="HA190" s="668"/>
      <c r="HB190" s="668"/>
      <c r="HC190" s="668"/>
      <c r="HD190" s="668"/>
      <c r="HE190" s="668"/>
      <c r="HF190" s="668"/>
      <c r="HG190" s="668"/>
      <c r="HH190" s="668"/>
      <c r="HI190" s="668"/>
      <c r="HJ190" s="668"/>
      <c r="HK190" s="668"/>
      <c r="HL190" s="668"/>
      <c r="HM190" s="668"/>
      <c r="HN190" s="668"/>
      <c r="HO190" s="542"/>
      <c r="HP190" s="606"/>
      <c r="HQ190" s="523"/>
      <c r="HR190" s="606"/>
      <c r="HS190" s="682"/>
      <c r="HT190" s="563"/>
      <c r="HU190" s="563"/>
      <c r="HV190" s="563"/>
      <c r="HW190" s="563"/>
      <c r="HX190" s="563"/>
    </row>
    <row r="191" spans="1:232" s="509" customFormat="1" ht="15" hidden="1" customHeight="1" outlineLevel="1">
      <c r="A191" s="509" t="s">
        <v>487</v>
      </c>
      <c r="L191" s="523"/>
      <c r="M191" s="523"/>
      <c r="N191" s="523"/>
      <c r="O191" s="523"/>
      <c r="P191" s="524"/>
      <c r="Q191" s="619"/>
      <c r="R191" s="619"/>
      <c r="S191" s="619"/>
      <c r="T191" s="619"/>
      <c r="U191" s="541"/>
      <c r="V191" s="619"/>
      <c r="W191" s="619"/>
      <c r="X191" s="619"/>
      <c r="Y191" s="619"/>
      <c r="Z191" s="541"/>
      <c r="AA191" s="619"/>
      <c r="AB191" s="619"/>
      <c r="AC191" s="619"/>
      <c r="AD191" s="619"/>
      <c r="AE191" s="541"/>
      <c r="AF191" s="523"/>
      <c r="AG191" s="523"/>
      <c r="AH191" s="523"/>
      <c r="AI191" s="523"/>
      <c r="AJ191" s="541"/>
      <c r="AK191" s="523"/>
      <c r="AL191" s="523"/>
      <c r="AM191" s="523"/>
      <c r="AN191" s="523"/>
      <c r="AO191" s="541"/>
      <c r="AP191" s="523"/>
      <c r="AQ191" s="523"/>
      <c r="AR191" s="523"/>
      <c r="AS191" s="523"/>
      <c r="AT191" s="541"/>
      <c r="AU191" s="523"/>
      <c r="AV191" s="523"/>
      <c r="AW191" s="523"/>
      <c r="AX191" s="523"/>
      <c r="AY191" s="541"/>
      <c r="AZ191" s="523"/>
      <c r="BA191" s="523"/>
      <c r="BB191" s="523"/>
      <c r="BC191" s="523"/>
      <c r="BD191" s="541"/>
      <c r="BE191" s="523"/>
      <c r="BF191" s="523"/>
      <c r="BG191" s="523"/>
      <c r="BH191" s="523"/>
      <c r="BI191" s="541"/>
      <c r="BJ191" s="523"/>
      <c r="BK191" s="523"/>
      <c r="BL191" s="523"/>
      <c r="BM191" s="523"/>
      <c r="BN191" s="541"/>
      <c r="BO191" s="523"/>
      <c r="BP191" s="523"/>
      <c r="BQ191" s="523"/>
      <c r="BR191" s="523"/>
      <c r="BS191" s="541"/>
      <c r="BT191" s="545">
        <v>61</v>
      </c>
      <c r="BU191" s="545">
        <v>572</v>
      </c>
      <c r="BV191" s="545">
        <v>778</v>
      </c>
      <c r="BW191" s="545">
        <v>695</v>
      </c>
      <c r="BX191" s="591">
        <f>SUM(BT191:BW191)</f>
        <v>2106</v>
      </c>
      <c r="BY191" s="545">
        <v>812</v>
      </c>
      <c r="BZ191" s="545">
        <v>794</v>
      </c>
      <c r="CA191" s="545">
        <v>791</v>
      </c>
      <c r="CB191" s="670">
        <v>940</v>
      </c>
      <c r="CC191" s="591">
        <f>SUM(BY191:CB191)</f>
        <v>3337</v>
      </c>
      <c r="CD191" s="670">
        <v>805</v>
      </c>
      <c r="CE191" s="670">
        <v>809</v>
      </c>
      <c r="CF191" s="670">
        <v>1322</v>
      </c>
      <c r="CG191" s="670">
        <v>1176</v>
      </c>
      <c r="CH191" s="591">
        <f>SUM(CD191:CG191)</f>
        <v>4112</v>
      </c>
      <c r="CI191" s="670">
        <v>761</v>
      </c>
      <c r="CJ191" s="670">
        <v>876</v>
      </c>
      <c r="CK191" s="670">
        <v>1135</v>
      </c>
      <c r="CL191" s="670">
        <v>1222</v>
      </c>
      <c r="CM191" s="542">
        <f>SUM(CI191:CL191)</f>
        <v>3994</v>
      </c>
      <c r="CN191" s="670">
        <v>1299</v>
      </c>
      <c r="CO191" s="670">
        <v>1340</v>
      </c>
      <c r="CP191" s="670">
        <v>2071.5</v>
      </c>
      <c r="CQ191" s="670">
        <v>2740</v>
      </c>
      <c r="CR191" s="542">
        <f>SUM(CN191:CQ191)</f>
        <v>7450.5</v>
      </c>
      <c r="CS191" s="670">
        <v>2550</v>
      </c>
      <c r="CT191" s="670">
        <v>2243</v>
      </c>
      <c r="CU191" s="670">
        <v>3431.79</v>
      </c>
      <c r="CV191" s="670">
        <v>4804.5059999999994</v>
      </c>
      <c r="CW191" s="542">
        <f>SUM(CS191:CV191)</f>
        <v>13029.296</v>
      </c>
      <c r="CX191" s="670">
        <v>3358</v>
      </c>
      <c r="CY191" s="670">
        <v>4063</v>
      </c>
      <c r="CZ191" s="670">
        <v>5729</v>
      </c>
      <c r="DA191" s="670">
        <v>5950</v>
      </c>
      <c r="DB191" s="542">
        <f>SUM(CX191:DA191)</f>
        <v>19100</v>
      </c>
      <c r="DC191" s="670">
        <v>4547</v>
      </c>
      <c r="DD191" s="670">
        <v>4269</v>
      </c>
      <c r="DE191" s="670">
        <v>4976</v>
      </c>
      <c r="DF191" s="670">
        <v>3693</v>
      </c>
      <c r="DG191" s="542">
        <f>SUM(DC191:DF191)</f>
        <v>17485</v>
      </c>
      <c r="DH191" s="670">
        <v>4450</v>
      </c>
      <c r="DI191" s="670">
        <v>4250</v>
      </c>
      <c r="DJ191" s="670">
        <v>5447</v>
      </c>
      <c r="DK191" s="670">
        <v>6478</v>
      </c>
      <c r="DL191" s="542">
        <f>SUM(DH191:DK191)</f>
        <v>20625</v>
      </c>
      <c r="DM191" s="670">
        <v>5852</v>
      </c>
      <c r="DN191" s="670">
        <v>7086</v>
      </c>
      <c r="DO191" s="670">
        <v>7110</v>
      </c>
      <c r="DP191" s="670">
        <v>7006</v>
      </c>
      <c r="DQ191" s="542">
        <f>SUM(DM191:DP191)</f>
        <v>27054</v>
      </c>
      <c r="DR191" s="670">
        <v>7022</v>
      </c>
      <c r="DS191" s="670">
        <v>7726</v>
      </c>
      <c r="DT191" s="670">
        <v>9816</v>
      </c>
      <c r="DU191" s="670">
        <v>9122</v>
      </c>
      <c r="DV191" s="542">
        <f>SUM(DR191:DU191)</f>
        <v>33686</v>
      </c>
      <c r="DW191" s="670">
        <v>8928</v>
      </c>
      <c r="DX191" s="670">
        <v>8423</v>
      </c>
      <c r="DY191" s="670">
        <v>7773</v>
      </c>
      <c r="DZ191" s="670">
        <v>6350</v>
      </c>
      <c r="EA191" s="542">
        <f>SUM(DW191:DZ191)</f>
        <v>31474</v>
      </c>
      <c r="EB191" s="670">
        <v>5764</v>
      </c>
      <c r="EC191" s="670">
        <v>8078</v>
      </c>
      <c r="ED191" s="670">
        <v>7483</v>
      </c>
      <c r="EE191" s="670">
        <v>5060</v>
      </c>
      <c r="EF191" s="542">
        <f>SUM(EB191:EE191)</f>
        <v>26385</v>
      </c>
      <c r="EG191" s="571">
        <v>5128</v>
      </c>
      <c r="EH191" s="670">
        <v>5674</v>
      </c>
      <c r="EI191" s="670">
        <v>4868</v>
      </c>
      <c r="EJ191" s="670">
        <v>5099</v>
      </c>
      <c r="EK191" s="542">
        <f>SUM(EG191:EJ191)</f>
        <v>20769</v>
      </c>
      <c r="EL191" s="571">
        <v>4323</v>
      </c>
      <c r="EM191" s="670">
        <v>1953</v>
      </c>
      <c r="EN191" s="670">
        <v>1964</v>
      </c>
      <c r="EO191" s="670">
        <f>EN191*(1+EO192)</f>
        <v>2022.92</v>
      </c>
      <c r="EP191" s="542">
        <f>SUM(EL191:EO191)</f>
        <v>10262.92</v>
      </c>
      <c r="EQ191" s="571">
        <f>EO191*(1+EQ192)</f>
        <v>1962.2324000000001</v>
      </c>
      <c r="ER191" s="670">
        <f>EQ191*(1+ER192)</f>
        <v>2060.34402</v>
      </c>
      <c r="ES191" s="670">
        <f>ER191*(1+ES192)</f>
        <v>2183.9646612000001</v>
      </c>
      <c r="ET191" s="670">
        <f>ES191*(1+ET192)</f>
        <v>2249.483601036</v>
      </c>
      <c r="EU191" s="542">
        <f>SUM(EQ191:ET191)</f>
        <v>8456.0246822360004</v>
      </c>
      <c r="EV191" s="668"/>
      <c r="EW191" s="668"/>
      <c r="EX191" s="668"/>
      <c r="EY191" s="668"/>
      <c r="EZ191" s="668"/>
      <c r="FA191" s="668"/>
      <c r="FB191" s="668"/>
      <c r="FC191" s="668"/>
      <c r="FD191" s="668"/>
      <c r="FE191" s="668"/>
      <c r="FF191" s="668"/>
      <c r="FG191" s="668"/>
      <c r="FH191" s="668"/>
      <c r="FI191" s="668"/>
      <c r="FJ191" s="668"/>
      <c r="FK191" s="668"/>
      <c r="FL191" s="668"/>
      <c r="FM191" s="668"/>
      <c r="FN191" s="668"/>
      <c r="FO191" s="668"/>
      <c r="FP191" s="668"/>
      <c r="FQ191" s="668"/>
      <c r="FR191" s="668"/>
      <c r="FS191" s="668"/>
      <c r="FT191" s="668"/>
      <c r="FU191" s="668"/>
      <c r="FV191" s="668"/>
      <c r="FW191" s="668"/>
      <c r="FX191" s="668"/>
      <c r="FY191" s="668"/>
      <c r="FZ191" s="668"/>
      <c r="GA191" s="668"/>
      <c r="GB191" s="668"/>
      <c r="GC191" s="668"/>
      <c r="GD191" s="668"/>
      <c r="GE191" s="668"/>
      <c r="GF191" s="668"/>
      <c r="GG191" s="668"/>
      <c r="GH191" s="668"/>
      <c r="GI191" s="668"/>
      <c r="GJ191" s="668"/>
      <c r="GK191" s="668"/>
      <c r="GL191" s="668"/>
      <c r="GM191" s="668"/>
      <c r="GN191" s="668"/>
      <c r="GO191" s="668"/>
      <c r="GP191" s="668"/>
      <c r="GQ191" s="668"/>
      <c r="GR191" s="668"/>
      <c r="GS191" s="668"/>
      <c r="GT191" s="668"/>
      <c r="GU191" s="668"/>
      <c r="GV191" s="668"/>
      <c r="GW191" s="668"/>
      <c r="GX191" s="668"/>
      <c r="GY191" s="668"/>
      <c r="GZ191" s="668"/>
      <c r="HA191" s="668"/>
      <c r="HB191" s="668"/>
      <c r="HC191" s="668"/>
      <c r="HD191" s="668"/>
      <c r="HE191" s="668"/>
      <c r="HF191" s="668"/>
      <c r="HG191" s="668"/>
      <c r="HH191" s="668"/>
      <c r="HI191" s="668"/>
      <c r="HJ191" s="668"/>
      <c r="HK191" s="668"/>
      <c r="HL191" s="668"/>
      <c r="HM191" s="668"/>
      <c r="HN191" s="668"/>
      <c r="HO191" s="542"/>
      <c r="HP191" s="693"/>
      <c r="HQ191" s="670"/>
      <c r="HR191" s="693"/>
      <c r="HS191" s="682"/>
      <c r="HT191" s="563"/>
      <c r="HU191" s="563"/>
      <c r="HV191" s="563"/>
      <c r="HW191" s="563"/>
      <c r="HX191" s="563"/>
    </row>
    <row r="192" spans="1:232" s="509" customFormat="1" hidden="1" outlineLevel="1">
      <c r="A192" s="509" t="s">
        <v>488</v>
      </c>
      <c r="L192" s="523"/>
      <c r="M192" s="523"/>
      <c r="N192" s="523"/>
      <c r="O192" s="523"/>
      <c r="P192" s="524"/>
      <c r="Q192" s="619"/>
      <c r="R192" s="619"/>
      <c r="S192" s="619"/>
      <c r="T192" s="619"/>
      <c r="U192" s="541"/>
      <c r="V192" s="619"/>
      <c r="W192" s="619"/>
      <c r="X192" s="619"/>
      <c r="Y192" s="619"/>
      <c r="Z192" s="541"/>
      <c r="AA192" s="619"/>
      <c r="AB192" s="619"/>
      <c r="AC192" s="619"/>
      <c r="AD192" s="619"/>
      <c r="AE192" s="541"/>
      <c r="AF192" s="523"/>
      <c r="AG192" s="523"/>
      <c r="AH192" s="523"/>
      <c r="AI192" s="523"/>
      <c r="AJ192" s="541"/>
      <c r="AK192" s="523"/>
      <c r="AL192" s="523"/>
      <c r="AM192" s="523"/>
      <c r="AN192" s="523"/>
      <c r="AO192" s="541"/>
      <c r="AP192" s="523"/>
      <c r="AQ192" s="523"/>
      <c r="AR192" s="523"/>
      <c r="AS192" s="523"/>
      <c r="AT192" s="541"/>
      <c r="AU192" s="523"/>
      <c r="AV192" s="523"/>
      <c r="AW192" s="523"/>
      <c r="AX192" s="523"/>
      <c r="AY192" s="541"/>
      <c r="AZ192" s="523"/>
      <c r="BA192" s="523"/>
      <c r="BB192" s="523"/>
      <c r="BC192" s="523"/>
      <c r="BD192" s="541"/>
      <c r="BE192" s="523"/>
      <c r="BF192" s="523"/>
      <c r="BG192" s="523"/>
      <c r="BH192" s="523"/>
      <c r="BI192" s="541"/>
      <c r="BJ192" s="523"/>
      <c r="BK192" s="523"/>
      <c r="BL192" s="523"/>
      <c r="BM192" s="523"/>
      <c r="BN192" s="541"/>
      <c r="BO192" s="523"/>
      <c r="BP192" s="523"/>
      <c r="BQ192" s="523"/>
      <c r="BR192" s="523"/>
      <c r="BS192" s="541"/>
      <c r="BT192" s="648" t="s">
        <v>199</v>
      </c>
      <c r="BU192" s="340">
        <f>(BU191/BT191)-1</f>
        <v>8.3770491803278695</v>
      </c>
      <c r="BV192" s="340">
        <f>(BV191/BU191)-1</f>
        <v>0.36013986013986021</v>
      </c>
      <c r="BW192" s="340">
        <f>(BW191/BV191)-1</f>
        <v>-0.10668380462724936</v>
      </c>
      <c r="BX192" s="648" t="s">
        <v>199</v>
      </c>
      <c r="BY192" s="340">
        <f>(BY191/BW191)-1</f>
        <v>0.1683453237410073</v>
      </c>
      <c r="BZ192" s="340">
        <f>(BZ191/BY191)-1</f>
        <v>-2.2167487684729092E-2</v>
      </c>
      <c r="CA192" s="340">
        <f>(CA191/BZ191)-1</f>
        <v>-3.7783375314861534E-3</v>
      </c>
      <c r="CB192" s="340">
        <f>(CB191/CA191)-1</f>
        <v>0.18836915297092283</v>
      </c>
      <c r="CC192" s="648" t="s">
        <v>199</v>
      </c>
      <c r="CD192" s="340">
        <f>(CD191/CB191)-1</f>
        <v>-0.1436170212765957</v>
      </c>
      <c r="CE192" s="340">
        <f>(CE191/CD191)-1</f>
        <v>4.9689440993789802E-3</v>
      </c>
      <c r="CF192" s="340">
        <f>(CF191/CE191)-1</f>
        <v>0.63411619283065512</v>
      </c>
      <c r="CG192" s="340">
        <f>(CG191/CF191)-1</f>
        <v>-0.11043872919818454</v>
      </c>
      <c r="CH192" s="648" t="s">
        <v>199</v>
      </c>
      <c r="CI192" s="340">
        <f>(CI191/CG191)-1</f>
        <v>-0.35289115646258506</v>
      </c>
      <c r="CJ192" s="340">
        <f>(CJ191/CI191)-1</f>
        <v>0.15111695137976344</v>
      </c>
      <c r="CK192" s="340">
        <f>(CK191/CJ191)-1</f>
        <v>0.29566210045662111</v>
      </c>
      <c r="CL192" s="340">
        <f>(CL191/CK191)-1</f>
        <v>7.6651982378854733E-2</v>
      </c>
      <c r="CM192" s="648" t="s">
        <v>199</v>
      </c>
      <c r="CN192" s="340">
        <f>(CN191/CL191)-1</f>
        <v>6.3011456628477847E-2</v>
      </c>
      <c r="CO192" s="340">
        <f>(CO191/CN191)-1</f>
        <v>3.1562740569669012E-2</v>
      </c>
      <c r="CP192" s="340">
        <f>(CP191/CO191)-1</f>
        <v>0.54589552238805972</v>
      </c>
      <c r="CQ192" s="340">
        <f>(CQ191/CP191)-1</f>
        <v>0.32271300989621055</v>
      </c>
      <c r="CR192" s="648" t="s">
        <v>199</v>
      </c>
      <c r="CS192" s="672">
        <f>(CS191-CQ191)/CQ191</f>
        <v>-6.9343065693430656E-2</v>
      </c>
      <c r="CT192" s="340">
        <f>(CT191/CS191)-1</f>
        <v>-0.12039215686274507</v>
      </c>
      <c r="CU192" s="340">
        <f>(CU191/CT191)-1</f>
        <v>0.53</v>
      </c>
      <c r="CV192" s="340">
        <f>(CV191/CU191)-1</f>
        <v>0.39999999999999991</v>
      </c>
      <c r="CW192" s="648" t="s">
        <v>199</v>
      </c>
      <c r="CX192" s="672">
        <f>(CX191-CV191)/CV191</f>
        <v>-0.30107278459013259</v>
      </c>
      <c r="CY192" s="340">
        <f>(CY191/CX191)-1</f>
        <v>0.20994639666468129</v>
      </c>
      <c r="CZ192" s="340">
        <f>(CZ191/CY191)-1</f>
        <v>0.41004184100418417</v>
      </c>
      <c r="DA192" s="340">
        <f>(DA191/CZ191)-1</f>
        <v>3.8575667655786461E-2</v>
      </c>
      <c r="DB192" s="648" t="s">
        <v>199</v>
      </c>
      <c r="DC192" s="672">
        <f>(DC191-DA191)/DA191</f>
        <v>-0.2357983193277311</v>
      </c>
      <c r="DD192" s="340">
        <f>(DD191/DC191)-1</f>
        <v>-6.1139212667692955E-2</v>
      </c>
      <c r="DE192" s="340">
        <f>(DE191/DD191)-1</f>
        <v>0.16561255563363786</v>
      </c>
      <c r="DF192" s="340">
        <f>(DF191/DE191)-1</f>
        <v>-0.25783762057877813</v>
      </c>
      <c r="DG192" s="648" t="s">
        <v>199</v>
      </c>
      <c r="DH192" s="672">
        <f>(DH191-DF191)/DF191</f>
        <v>0.20498239913349581</v>
      </c>
      <c r="DI192" s="340">
        <f>(DI191/DH191)-1</f>
        <v>-4.49438202247191E-2</v>
      </c>
      <c r="DJ192" s="340">
        <f>(DJ191/DI191)-1</f>
        <v>0.28164705882352936</v>
      </c>
      <c r="DK192" s="340">
        <f>(DK191/DJ191)-1</f>
        <v>0.1892785019276666</v>
      </c>
      <c r="DL192" s="648" t="s">
        <v>199</v>
      </c>
      <c r="DM192" s="672">
        <f>(DM191-DK191)/DK191</f>
        <v>-9.6634763815992591E-2</v>
      </c>
      <c r="DN192" s="340">
        <f>(DN191/DM191)-1</f>
        <v>0.21086807928913198</v>
      </c>
      <c r="DO192" s="340">
        <f>(DO191/DN191)-1</f>
        <v>3.3869602032177148E-3</v>
      </c>
      <c r="DP192" s="340">
        <f>(DP191/DO191)-1</f>
        <v>-1.4627285513361454E-2</v>
      </c>
      <c r="DQ192" s="648" t="s">
        <v>199</v>
      </c>
      <c r="DR192" s="672">
        <f>(DR191-DP191)/DP191</f>
        <v>2.2837567799029405E-3</v>
      </c>
      <c r="DS192" s="340">
        <f>(DS191/DR191)-1</f>
        <v>0.10025633722586158</v>
      </c>
      <c r="DT192" s="340">
        <f>(DT191/DS191)-1</f>
        <v>0.27051514367072227</v>
      </c>
      <c r="DU192" s="340">
        <f>(DU191/DT191)-1</f>
        <v>-7.0700896495517473E-2</v>
      </c>
      <c r="DV192" s="648" t="s">
        <v>199</v>
      </c>
      <c r="DW192" s="672">
        <f>(DW191-DU191)/DU191</f>
        <v>-2.1267265950449463E-2</v>
      </c>
      <c r="DX192" s="672">
        <f>(DX191/DW191)-1</f>
        <v>-5.6563620071684584E-2</v>
      </c>
      <c r="DY192" s="672">
        <f>(DY191/DX191)-1</f>
        <v>-7.7169654517392883E-2</v>
      </c>
      <c r="DZ192" s="672">
        <f>(DZ191/DY191)-1</f>
        <v>-0.1830695998970796</v>
      </c>
      <c r="EA192" s="648" t="s">
        <v>199</v>
      </c>
      <c r="EB192" s="672">
        <f>(EB191-DZ191)/DZ191</f>
        <v>-9.2283464566929138E-2</v>
      </c>
      <c r="EC192" s="672">
        <f>EC191/EB191-1</f>
        <v>0.40145732130464951</v>
      </c>
      <c r="ED192" s="672">
        <f>ED191/EC191-1</f>
        <v>-7.3656845753899525E-2</v>
      </c>
      <c r="EE192" s="672">
        <f>EE191/ED191-1</f>
        <v>-0.32380061472671384</v>
      </c>
      <c r="EF192" s="648" t="s">
        <v>199</v>
      </c>
      <c r="EG192" s="672">
        <f>(EG191-EE191)/EE191</f>
        <v>1.3438735177865613E-2</v>
      </c>
      <c r="EH192" s="672">
        <f>EH191/EG191-1</f>
        <v>0.10647425897035889</v>
      </c>
      <c r="EI192" s="672">
        <f>EI191/EH191-1</f>
        <v>-0.14205146281283043</v>
      </c>
      <c r="EJ192" s="672">
        <f>EJ191/EI191-1</f>
        <v>4.7452752670501308E-2</v>
      </c>
      <c r="EK192" s="648" t="s">
        <v>199</v>
      </c>
      <c r="EL192" s="672">
        <f>(EL191-EJ191)/EJ191</f>
        <v>-0.15218670327515199</v>
      </c>
      <c r="EM192" s="672">
        <f>EM191/EL191-1</f>
        <v>-0.54823039555863984</v>
      </c>
      <c r="EN192" s="672">
        <f>EN191/EM191-1</f>
        <v>5.6323604710701858E-3</v>
      </c>
      <c r="EO192" s="674">
        <v>0.03</v>
      </c>
      <c r="EP192" s="648" t="s">
        <v>199</v>
      </c>
      <c r="EQ192" s="674">
        <v>-0.03</v>
      </c>
      <c r="ER192" s="674">
        <v>0.05</v>
      </c>
      <c r="ES192" s="674">
        <v>0.06</v>
      </c>
      <c r="ET192" s="674">
        <v>0.03</v>
      </c>
      <c r="EU192" s="648" t="s">
        <v>199</v>
      </c>
      <c r="EV192" s="668"/>
      <c r="EW192" s="668"/>
      <c r="EX192" s="668"/>
      <c r="EY192" s="668"/>
      <c r="EZ192" s="668"/>
      <c r="FA192" s="668"/>
      <c r="FB192" s="668"/>
      <c r="FC192" s="668"/>
      <c r="FD192" s="668"/>
      <c r="FE192" s="668"/>
      <c r="FF192" s="668"/>
      <c r="FG192" s="668"/>
      <c r="FH192" s="668"/>
      <c r="FI192" s="668"/>
      <c r="FJ192" s="668"/>
      <c r="FK192" s="668"/>
      <c r="FL192" s="668"/>
      <c r="FM192" s="668"/>
      <c r="FN192" s="668"/>
      <c r="FO192" s="668"/>
      <c r="FP192" s="668"/>
      <c r="FQ192" s="668"/>
      <c r="FR192" s="668"/>
      <c r="FS192" s="668"/>
      <c r="FT192" s="668"/>
      <c r="FU192" s="668"/>
      <c r="FV192" s="668"/>
      <c r="FW192" s="668"/>
      <c r="FX192" s="668"/>
      <c r="FY192" s="668"/>
      <c r="FZ192" s="668"/>
      <c r="GA192" s="668"/>
      <c r="GB192" s="668"/>
      <c r="GC192" s="668"/>
      <c r="GD192" s="668"/>
      <c r="GE192" s="668"/>
      <c r="GF192" s="668"/>
      <c r="GG192" s="668"/>
      <c r="GH192" s="668"/>
      <c r="GI192" s="668"/>
      <c r="GJ192" s="668"/>
      <c r="GK192" s="668"/>
      <c r="GL192" s="668"/>
      <c r="GM192" s="668"/>
      <c r="GN192" s="668"/>
      <c r="GO192" s="668"/>
      <c r="GP192" s="668"/>
      <c r="GQ192" s="668"/>
      <c r="GR192" s="668"/>
      <c r="GS192" s="668"/>
      <c r="GT192" s="668"/>
      <c r="GU192" s="668"/>
      <c r="GV192" s="668"/>
      <c r="GW192" s="668"/>
      <c r="GX192" s="668"/>
      <c r="GY192" s="668"/>
      <c r="GZ192" s="668"/>
      <c r="HA192" s="668"/>
      <c r="HB192" s="668"/>
      <c r="HC192" s="668"/>
      <c r="HD192" s="668"/>
      <c r="HE192" s="668"/>
      <c r="HF192" s="668"/>
      <c r="HG192" s="668"/>
      <c r="HH192" s="668"/>
      <c r="HI192" s="668"/>
      <c r="HJ192" s="668"/>
      <c r="HK192" s="668"/>
      <c r="HL192" s="668"/>
      <c r="HM192" s="668"/>
      <c r="HN192" s="668"/>
      <c r="HO192" s="648"/>
      <c r="HP192" s="676"/>
      <c r="HQ192" s="672"/>
      <c r="HR192" s="676"/>
      <c r="HS192" s="677"/>
      <c r="HT192" s="563"/>
      <c r="HU192" s="563"/>
      <c r="HV192" s="563"/>
      <c r="HW192" s="563"/>
      <c r="HX192" s="563"/>
    </row>
    <row r="193" spans="1:236" s="509" customFormat="1" hidden="1" outlineLevel="1">
      <c r="A193" s="509" t="s">
        <v>489</v>
      </c>
      <c r="L193" s="523"/>
      <c r="M193" s="523"/>
      <c r="N193" s="523"/>
      <c r="O193" s="523"/>
      <c r="P193" s="524"/>
      <c r="Q193" s="619"/>
      <c r="R193" s="619"/>
      <c r="S193" s="619"/>
      <c r="T193" s="619"/>
      <c r="U193" s="541"/>
      <c r="V193" s="619"/>
      <c r="W193" s="619"/>
      <c r="X193" s="619"/>
      <c r="Y193" s="619"/>
      <c r="Z193" s="541"/>
      <c r="AA193" s="619"/>
      <c r="AB193" s="619"/>
      <c r="AC193" s="619"/>
      <c r="AD193" s="619"/>
      <c r="AE193" s="541"/>
      <c r="AF193" s="523"/>
      <c r="AG193" s="523"/>
      <c r="AH193" s="523"/>
      <c r="AI193" s="523"/>
      <c r="AJ193" s="541"/>
      <c r="AK193" s="523"/>
      <c r="AL193" s="523"/>
      <c r="AM193" s="523"/>
      <c r="AN193" s="523"/>
      <c r="AO193" s="541"/>
      <c r="AP193" s="523"/>
      <c r="AQ193" s="523"/>
      <c r="AR193" s="523"/>
      <c r="AS193" s="523"/>
      <c r="AT193" s="541"/>
      <c r="AU193" s="523"/>
      <c r="AV193" s="523"/>
      <c r="AW193" s="523"/>
      <c r="AX193" s="523"/>
      <c r="AY193" s="541"/>
      <c r="AZ193" s="523"/>
      <c r="BA193" s="523"/>
      <c r="BB193" s="523"/>
      <c r="BC193" s="523"/>
      <c r="BD193" s="541"/>
      <c r="BE193" s="523"/>
      <c r="BF193" s="523"/>
      <c r="BG193" s="523"/>
      <c r="BH193" s="523"/>
      <c r="BI193" s="541"/>
      <c r="BJ193" s="523"/>
      <c r="BK193" s="523"/>
      <c r="BL193" s="523"/>
      <c r="BM193" s="523"/>
      <c r="BN193" s="541"/>
      <c r="BO193" s="523"/>
      <c r="BP193" s="523"/>
      <c r="BQ193" s="523"/>
      <c r="BR193" s="523"/>
      <c r="BS193" s="541"/>
      <c r="BT193" s="648" t="s">
        <v>199</v>
      </c>
      <c r="BU193" s="648" t="s">
        <v>199</v>
      </c>
      <c r="BV193" s="648" t="s">
        <v>199</v>
      </c>
      <c r="BW193" s="648" t="s">
        <v>199</v>
      </c>
      <c r="BX193" s="648" t="s">
        <v>199</v>
      </c>
      <c r="BY193" s="340">
        <f t="shared" ref="BY193:EJ193" si="243">(BY191/BT191)-1</f>
        <v>12.311475409836065</v>
      </c>
      <c r="BZ193" s="340">
        <f t="shared" si="243"/>
        <v>0.38811188811188813</v>
      </c>
      <c r="CA193" s="340">
        <f t="shared" si="243"/>
        <v>1.6709511568123503E-2</v>
      </c>
      <c r="CB193" s="340">
        <f t="shared" si="243"/>
        <v>0.35251798561151082</v>
      </c>
      <c r="CC193" s="321">
        <f t="shared" si="243"/>
        <v>0.58452041785375108</v>
      </c>
      <c r="CD193" s="340">
        <f t="shared" si="243"/>
        <v>-8.6206896551723755E-3</v>
      </c>
      <c r="CE193" s="340">
        <f t="shared" si="243"/>
        <v>1.8891687657430767E-2</v>
      </c>
      <c r="CF193" s="340">
        <f t="shared" si="243"/>
        <v>0.67130214917825537</v>
      </c>
      <c r="CG193" s="340">
        <f t="shared" si="243"/>
        <v>0.25106382978723407</v>
      </c>
      <c r="CH193" s="321">
        <f t="shared" si="243"/>
        <v>0.23224453101588249</v>
      </c>
      <c r="CI193" s="340">
        <f t="shared" si="243"/>
        <v>-5.4658385093167672E-2</v>
      </c>
      <c r="CJ193" s="340">
        <f t="shared" si="243"/>
        <v>8.2818294190358577E-2</v>
      </c>
      <c r="CK193" s="340">
        <f t="shared" si="243"/>
        <v>-0.14145234493192138</v>
      </c>
      <c r="CL193" s="340">
        <f t="shared" si="243"/>
        <v>3.9115646258503389E-2</v>
      </c>
      <c r="CM193" s="321">
        <f t="shared" si="243"/>
        <v>-2.8696498054474717E-2</v>
      </c>
      <c r="CN193" s="340">
        <f t="shared" si="243"/>
        <v>0.70696452036793689</v>
      </c>
      <c r="CO193" s="340">
        <f t="shared" si="243"/>
        <v>0.52968036529680362</v>
      </c>
      <c r="CP193" s="340">
        <f t="shared" si="243"/>
        <v>0.8251101321585903</v>
      </c>
      <c r="CQ193" s="340">
        <f t="shared" si="243"/>
        <v>1.242225859247136</v>
      </c>
      <c r="CR193" s="321">
        <f t="shared" si="243"/>
        <v>0.86542313470205312</v>
      </c>
      <c r="CS193" s="340">
        <f t="shared" si="243"/>
        <v>0.96304849884526567</v>
      </c>
      <c r="CT193" s="340">
        <f t="shared" si="243"/>
        <v>0.67388059701492531</v>
      </c>
      <c r="CU193" s="340">
        <f t="shared" si="243"/>
        <v>0.65666908037653871</v>
      </c>
      <c r="CV193" s="340">
        <f t="shared" si="243"/>
        <v>0.75346934306569313</v>
      </c>
      <c r="CW193" s="321">
        <f t="shared" si="243"/>
        <v>0.74878142406549908</v>
      </c>
      <c r="CX193" s="340">
        <f t="shared" si="243"/>
        <v>0.31686274509803924</v>
      </c>
      <c r="CY193" s="340">
        <f t="shared" si="243"/>
        <v>0.81141328577797589</v>
      </c>
      <c r="CZ193" s="340">
        <f t="shared" si="243"/>
        <v>0.66939119235151345</v>
      </c>
      <c r="DA193" s="340">
        <f t="shared" si="243"/>
        <v>0.23842076583940175</v>
      </c>
      <c r="DB193" s="321">
        <f t="shared" si="243"/>
        <v>0.46592724580054057</v>
      </c>
      <c r="DC193" s="340">
        <f t="shared" si="243"/>
        <v>0.35407980941036321</v>
      </c>
      <c r="DD193" s="340">
        <f t="shared" si="243"/>
        <v>5.0701452128968816E-2</v>
      </c>
      <c r="DE193" s="340">
        <f t="shared" si="243"/>
        <v>-0.13143655088148021</v>
      </c>
      <c r="DF193" s="340">
        <f t="shared" si="243"/>
        <v>-0.379327731092437</v>
      </c>
      <c r="DG193" s="321">
        <f t="shared" si="243"/>
        <v>-8.455497382198951E-2</v>
      </c>
      <c r="DH193" s="340">
        <f t="shared" si="243"/>
        <v>-2.1332746866065566E-2</v>
      </c>
      <c r="DI193" s="340">
        <f t="shared" si="243"/>
        <v>-4.4506910283438339E-3</v>
      </c>
      <c r="DJ193" s="340">
        <f t="shared" si="243"/>
        <v>9.4654340836012762E-2</v>
      </c>
      <c r="DK193" s="340">
        <f t="shared" si="243"/>
        <v>0.75412943406444621</v>
      </c>
      <c r="DL193" s="321">
        <f t="shared" si="243"/>
        <v>0.17958249928510162</v>
      </c>
      <c r="DM193" s="340">
        <f t="shared" si="243"/>
        <v>0.31505617977528089</v>
      </c>
      <c r="DN193" s="340">
        <f t="shared" si="243"/>
        <v>0.66729411764705882</v>
      </c>
      <c r="DO193" s="340">
        <f t="shared" si="243"/>
        <v>0.30530567284743904</v>
      </c>
      <c r="DP193" s="340">
        <f t="shared" si="243"/>
        <v>8.1506637851188612E-2</v>
      </c>
      <c r="DQ193" s="321">
        <f t="shared" si="243"/>
        <v>0.31170909090909094</v>
      </c>
      <c r="DR193" s="340">
        <f t="shared" si="243"/>
        <v>0.19993164730006829</v>
      </c>
      <c r="DS193" s="340">
        <f t="shared" si="243"/>
        <v>9.0318938752469657E-2</v>
      </c>
      <c r="DT193" s="340">
        <f t="shared" si="243"/>
        <v>0.38059071729957816</v>
      </c>
      <c r="DU193" s="340">
        <f t="shared" si="243"/>
        <v>0.30202683414216391</v>
      </c>
      <c r="DV193" s="321">
        <f t="shared" si="243"/>
        <v>0.24513935092777417</v>
      </c>
      <c r="DW193" s="340">
        <f t="shared" si="243"/>
        <v>0.2714326402734264</v>
      </c>
      <c r="DX193" s="340">
        <f t="shared" si="243"/>
        <v>9.0214858917939456E-2</v>
      </c>
      <c r="DY193" s="340">
        <f t="shared" si="243"/>
        <v>-0.20812958435207829</v>
      </c>
      <c r="DZ193" s="340">
        <f t="shared" si="243"/>
        <v>-0.30388072791054588</v>
      </c>
      <c r="EA193" s="321">
        <f t="shared" si="243"/>
        <v>-6.5665261532981023E-2</v>
      </c>
      <c r="EB193" s="340">
        <f t="shared" si="243"/>
        <v>-0.35439068100358428</v>
      </c>
      <c r="EC193" s="340">
        <f t="shared" si="243"/>
        <v>-4.0959278166923907E-2</v>
      </c>
      <c r="ED193" s="340">
        <f t="shared" si="243"/>
        <v>-3.7308632445645196E-2</v>
      </c>
      <c r="EE193" s="340">
        <f t="shared" si="243"/>
        <v>-0.20314960629921264</v>
      </c>
      <c r="EF193" s="321">
        <f t="shared" si="243"/>
        <v>-0.1616890131537142</v>
      </c>
      <c r="EG193" s="340">
        <f t="shared" si="243"/>
        <v>-0.11034004163775157</v>
      </c>
      <c r="EH193" s="340">
        <f t="shared" si="243"/>
        <v>-0.2975984154493686</v>
      </c>
      <c r="EI193" s="342">
        <f t="shared" si="243"/>
        <v>-0.34945877321929708</v>
      </c>
      <c r="EJ193" s="340">
        <f t="shared" si="243"/>
        <v>7.7075098814229914E-3</v>
      </c>
      <c r="EK193" s="321">
        <f t="shared" ref="EK193:EU193" si="244">(EK191/EF191)-1</f>
        <v>-0.21284820920977832</v>
      </c>
      <c r="EL193" s="340">
        <f t="shared" si="244"/>
        <v>-0.15698127925117</v>
      </c>
      <c r="EM193" s="340">
        <f t="shared" si="244"/>
        <v>-0.65579837856891077</v>
      </c>
      <c r="EN193" s="340">
        <f t="shared" si="244"/>
        <v>-0.5965488907148726</v>
      </c>
      <c r="EO193" s="340">
        <f t="shared" si="244"/>
        <v>-0.60327122965287305</v>
      </c>
      <c r="EP193" s="321">
        <f t="shared" si="244"/>
        <v>-0.50585391689537285</v>
      </c>
      <c r="EQ193" s="340">
        <f t="shared" si="244"/>
        <v>-0.54609474901688637</v>
      </c>
      <c r="ER193" s="340">
        <f t="shared" si="244"/>
        <v>5.496365591397856E-2</v>
      </c>
      <c r="ES193" s="340">
        <f t="shared" si="244"/>
        <v>0.1119983</v>
      </c>
      <c r="ET193" s="340">
        <f t="shared" si="244"/>
        <v>0.1119983</v>
      </c>
      <c r="EU193" s="321">
        <f t="shared" si="244"/>
        <v>-0.1760605478522681</v>
      </c>
      <c r="EV193" s="668"/>
      <c r="EW193" s="668"/>
      <c r="EX193" s="668"/>
      <c r="EY193" s="668"/>
      <c r="EZ193" s="668"/>
      <c r="FA193" s="668"/>
      <c r="FB193" s="668"/>
      <c r="FC193" s="668"/>
      <c r="FD193" s="668"/>
      <c r="FE193" s="668"/>
      <c r="FF193" s="668"/>
      <c r="FG193" s="668"/>
      <c r="FH193" s="668"/>
      <c r="FI193" s="668"/>
      <c r="FJ193" s="668"/>
      <c r="FK193" s="668"/>
      <c r="FL193" s="668"/>
      <c r="FM193" s="668"/>
      <c r="FN193" s="668"/>
      <c r="FO193" s="668"/>
      <c r="FP193" s="668"/>
      <c r="FQ193" s="668"/>
      <c r="FR193" s="668"/>
      <c r="FS193" s="668"/>
      <c r="FT193" s="668"/>
      <c r="FU193" s="668"/>
      <c r="FV193" s="668"/>
      <c r="FW193" s="668"/>
      <c r="FX193" s="668"/>
      <c r="FY193" s="668"/>
      <c r="FZ193" s="668"/>
      <c r="GA193" s="668"/>
      <c r="GB193" s="668"/>
      <c r="GC193" s="668"/>
      <c r="GD193" s="668"/>
      <c r="GE193" s="668"/>
      <c r="GF193" s="668"/>
      <c r="GG193" s="668"/>
      <c r="GH193" s="668"/>
      <c r="GI193" s="668"/>
      <c r="GJ193" s="668"/>
      <c r="GK193" s="668"/>
      <c r="GL193" s="668"/>
      <c r="GM193" s="668"/>
      <c r="GN193" s="668"/>
      <c r="GO193" s="668"/>
      <c r="GP193" s="668"/>
      <c r="GQ193" s="668"/>
      <c r="GR193" s="668"/>
      <c r="GS193" s="668"/>
      <c r="GT193" s="668"/>
      <c r="GU193" s="668"/>
      <c r="GV193" s="668"/>
      <c r="GW193" s="668"/>
      <c r="GX193" s="668"/>
      <c r="GY193" s="668"/>
      <c r="GZ193" s="668"/>
      <c r="HA193" s="668"/>
      <c r="HB193" s="668"/>
      <c r="HC193" s="668"/>
      <c r="HD193" s="668"/>
      <c r="HE193" s="668"/>
      <c r="HF193" s="668"/>
      <c r="HG193" s="668"/>
      <c r="HH193" s="668"/>
      <c r="HI193" s="668"/>
      <c r="HJ193" s="668"/>
      <c r="HK193" s="668"/>
      <c r="HL193" s="668"/>
      <c r="HM193" s="668"/>
      <c r="HN193" s="668"/>
      <c r="HO193" s="344"/>
      <c r="HP193" s="293"/>
      <c r="HQ193" s="342"/>
      <c r="HR193" s="293"/>
      <c r="HS193" s="343"/>
      <c r="HT193" s="563"/>
      <c r="HU193" s="563"/>
      <c r="HV193" s="563"/>
      <c r="HW193" s="563"/>
      <c r="HX193" s="563"/>
    </row>
    <row r="194" spans="1:236" s="509" customFormat="1" ht="15" hidden="1" customHeight="1" outlineLevel="1">
      <c r="A194" s="509" t="s">
        <v>490</v>
      </c>
      <c r="B194" s="608"/>
      <c r="C194" s="608"/>
      <c r="D194" s="608"/>
      <c r="E194" s="608"/>
      <c r="F194" s="608"/>
      <c r="G194" s="608"/>
      <c r="H194" s="608"/>
      <c r="I194" s="608"/>
      <c r="J194" s="608"/>
      <c r="K194" s="608"/>
      <c r="L194" s="609"/>
      <c r="M194" s="609"/>
      <c r="N194" s="609"/>
      <c r="O194" s="609"/>
      <c r="P194" s="678"/>
      <c r="Q194" s="679"/>
      <c r="R194" s="679"/>
      <c r="S194" s="679"/>
      <c r="T194" s="679"/>
      <c r="U194" s="680"/>
      <c r="V194" s="679"/>
      <c r="W194" s="679"/>
      <c r="X194" s="679"/>
      <c r="Y194" s="679"/>
      <c r="Z194" s="680"/>
      <c r="AA194" s="679"/>
      <c r="AB194" s="679"/>
      <c r="AC194" s="679"/>
      <c r="AD194" s="679"/>
      <c r="AE194" s="680"/>
      <c r="AF194" s="609"/>
      <c r="AG194" s="609"/>
      <c r="AH194" s="609"/>
      <c r="AI194" s="609"/>
      <c r="AJ194" s="680"/>
      <c r="AK194" s="609"/>
      <c r="AL194" s="609"/>
      <c r="AM194" s="609"/>
      <c r="AN194" s="609"/>
      <c r="AO194" s="680"/>
      <c r="AP194" s="609"/>
      <c r="AQ194" s="609"/>
      <c r="AR194" s="609"/>
      <c r="AS194" s="609"/>
      <c r="AT194" s="680"/>
      <c r="AU194" s="609"/>
      <c r="AV194" s="609"/>
      <c r="AW194" s="609"/>
      <c r="AX194" s="609"/>
      <c r="AY194" s="680"/>
      <c r="AZ194" s="609"/>
      <c r="BA194" s="609"/>
      <c r="BB194" s="609"/>
      <c r="BC194" s="609"/>
      <c r="BD194" s="680"/>
      <c r="BE194" s="609"/>
      <c r="BF194" s="609"/>
      <c r="BG194" s="609"/>
      <c r="BH194" s="609"/>
      <c r="BI194" s="680"/>
      <c r="BJ194" s="609"/>
      <c r="BK194" s="609"/>
      <c r="BL194" s="609"/>
      <c r="BM194" s="609"/>
      <c r="BN194" s="680"/>
      <c r="BO194" s="609"/>
      <c r="BP194" s="609"/>
      <c r="BQ194" s="609"/>
      <c r="BR194" s="609"/>
      <c r="BS194" s="680"/>
      <c r="BT194" s="523">
        <f t="shared" ref="BT194:CN194" si="245">(BT197/BT191)*1000</f>
        <v>51.203606557377043</v>
      </c>
      <c r="BU194" s="523">
        <f t="shared" si="245"/>
        <v>62.460839160839164</v>
      </c>
      <c r="BV194" s="523">
        <f t="shared" si="245"/>
        <v>59.679408740359897</v>
      </c>
      <c r="BW194" s="523">
        <f t="shared" si="245"/>
        <v>60.246417266187045</v>
      </c>
      <c r="BX194" s="524">
        <f t="shared" si="245"/>
        <v>60.376476733143399</v>
      </c>
      <c r="BY194" s="523">
        <f t="shared" si="245"/>
        <v>93.456896551724142</v>
      </c>
      <c r="BZ194" s="523">
        <f t="shared" si="245"/>
        <v>83.767002518891687</v>
      </c>
      <c r="CA194" s="523">
        <f t="shared" si="245"/>
        <v>84.562579013906443</v>
      </c>
      <c r="CB194" s="523">
        <f t="shared" si="245"/>
        <v>65.0468085106383</v>
      </c>
      <c r="CC194" s="524">
        <f t="shared" si="245"/>
        <v>81.040155828588553</v>
      </c>
      <c r="CD194" s="523">
        <f t="shared" si="245"/>
        <v>56</v>
      </c>
      <c r="CE194" s="523">
        <f t="shared" si="245"/>
        <v>48</v>
      </c>
      <c r="CF194" s="523">
        <f t="shared" si="245"/>
        <v>49.999999999999993</v>
      </c>
      <c r="CG194" s="523">
        <f t="shared" si="245"/>
        <v>54.461734693877553</v>
      </c>
      <c r="CH194" s="524">
        <f t="shared" si="245"/>
        <v>52.057149805447473</v>
      </c>
      <c r="CI194" s="523">
        <f t="shared" si="245"/>
        <v>63.985545335085412</v>
      </c>
      <c r="CJ194" s="523">
        <f t="shared" si="245"/>
        <v>76.062785388127864</v>
      </c>
      <c r="CK194" s="523">
        <f t="shared" si="245"/>
        <v>67.439647577092515</v>
      </c>
      <c r="CL194" s="523">
        <f t="shared" si="245"/>
        <v>66.482815057283133</v>
      </c>
      <c r="CM194" s="524">
        <f t="shared" si="245"/>
        <v>68.380070105157742</v>
      </c>
      <c r="CN194" s="523">
        <f t="shared" si="245"/>
        <v>67.555812163202461</v>
      </c>
      <c r="CO194" s="523">
        <v>73.25</v>
      </c>
      <c r="CP194" s="523">
        <v>69.5</v>
      </c>
      <c r="CQ194" s="523">
        <v>65</v>
      </c>
      <c r="CR194" s="524">
        <f>(CR197/CR191)*1000</f>
        <v>68.180558351788463</v>
      </c>
      <c r="CS194" s="523">
        <v>69</v>
      </c>
      <c r="CT194" s="523">
        <v>67.62</v>
      </c>
      <c r="CU194" s="523">
        <v>70.634896612554954</v>
      </c>
      <c r="CV194" s="523">
        <v>70.770656266819287</v>
      </c>
      <c r="CW194" s="524">
        <f>(CW197/CW191)*1000</f>
        <v>69.845971302200113</v>
      </c>
      <c r="CX194" s="523">
        <v>66.223764145324594</v>
      </c>
      <c r="CY194" s="523">
        <v>63.235318730002462</v>
      </c>
      <c r="CZ194" s="523">
        <v>63.713370570780242</v>
      </c>
      <c r="DA194" s="523">
        <v>63.256075630252106</v>
      </c>
      <c r="DB194" s="524">
        <f>(DB197/DB191)*1000</f>
        <v>63.910578534031423</v>
      </c>
      <c r="DC194" s="523">
        <v>63.49413679349022</v>
      </c>
      <c r="DD194" s="523">
        <v>62.665144061841183</v>
      </c>
      <c r="DE194" s="523">
        <v>62.328687700964629</v>
      </c>
      <c r="DF194" s="523">
        <v>52.647156783103171</v>
      </c>
      <c r="DG194" s="524">
        <f>(DG197/DG191)*1000</f>
        <v>60.669078638833277</v>
      </c>
      <c r="DH194" s="523">
        <v>50.510112359550561</v>
      </c>
      <c r="DI194" s="523">
        <v>42.245799999999996</v>
      </c>
      <c r="DJ194" s="523">
        <v>40.868916834955023</v>
      </c>
      <c r="DK194" s="523">
        <v>38.163356745909226</v>
      </c>
      <c r="DL194" s="524">
        <f>(DL197/DL191)*1000</f>
        <v>42.383023757575764</v>
      </c>
      <c r="DM194" s="523">
        <v>41.57885338345865</v>
      </c>
      <c r="DN194" s="523">
        <v>42.561868473045443</v>
      </c>
      <c r="DO194" s="523">
        <v>43.924690576652601</v>
      </c>
      <c r="DP194" s="670">
        <v>42.138716814159288</v>
      </c>
      <c r="DQ194" s="524">
        <f>(DQ197/DQ191)*1000</f>
        <v>42.597813631995258</v>
      </c>
      <c r="DR194" s="670">
        <v>36.982020791797211</v>
      </c>
      <c r="DS194" s="523">
        <v>40.055203209940458</v>
      </c>
      <c r="DT194" s="670">
        <v>43.944733088834553</v>
      </c>
      <c r="DU194" s="670">
        <v>47.76124205218153</v>
      </c>
      <c r="DV194" s="524">
        <f>(DV197/DV191)*1000</f>
        <v>42.634738467018941</v>
      </c>
      <c r="DW194" s="670">
        <v>46.199074820788525</v>
      </c>
      <c r="DX194" s="670">
        <v>44.144386798052956</v>
      </c>
      <c r="DY194" s="670">
        <v>42.117605815000637</v>
      </c>
      <c r="DZ194" s="670">
        <v>42.241055118110232</v>
      </c>
      <c r="EA194" s="524">
        <f>(EA197/EA191)*1000</f>
        <v>43.842675223994412</v>
      </c>
      <c r="EB194" s="670">
        <v>43.571616932685636</v>
      </c>
      <c r="EC194" s="670">
        <v>38.604388462490718</v>
      </c>
      <c r="ED194" s="694">
        <v>37.03610851262863</v>
      </c>
      <c r="EE194" s="670">
        <v>37.24126482213439</v>
      </c>
      <c r="EF194" s="524">
        <f>(EF197/EF191)*1000</f>
        <v>38.983325753268915</v>
      </c>
      <c r="EG194" s="571">
        <v>39.751433307332292</v>
      </c>
      <c r="EH194" s="670">
        <v>49.48923158265773</v>
      </c>
      <c r="EI194" s="670">
        <v>54.173830115036971</v>
      </c>
      <c r="EJ194" s="670">
        <v>59.157677976073742</v>
      </c>
      <c r="EK194" s="524">
        <f>(EK197/EK191)*1000</f>
        <v>50.556620684674265</v>
      </c>
      <c r="EL194" s="571">
        <v>56.110702058755493</v>
      </c>
      <c r="EM194" s="670">
        <v>53.622588325652849</v>
      </c>
      <c r="EN194" s="670">
        <f>EM194*(1+EN195)</f>
        <v>50.941458909370205</v>
      </c>
      <c r="EO194" s="670">
        <f>EN194*(1+EO195)</f>
        <v>48.394385963901691</v>
      </c>
      <c r="EP194" s="524">
        <f>(EP197/EP191)*1000</f>
        <v>53.127031736786321</v>
      </c>
      <c r="EQ194" s="571">
        <f>EO194*(1+EQ195)</f>
        <v>49.846217542818742</v>
      </c>
      <c r="ER194" s="670">
        <f>EQ194*(1+ER195)</f>
        <v>51.341604069103305</v>
      </c>
      <c r="ES194" s="670">
        <f>ER194*(1+ES195)</f>
        <v>51.855020109794339</v>
      </c>
      <c r="ET194" s="670">
        <f>ES194*(1+ET195)</f>
        <v>51.855020109794339</v>
      </c>
      <c r="EU194" s="524">
        <f>(EU197/EU191)*1000</f>
        <v>51.2637787949676</v>
      </c>
      <c r="EV194" s="668"/>
      <c r="EW194" s="668"/>
      <c r="EX194" s="668"/>
      <c r="EY194" s="668"/>
      <c r="EZ194" s="668"/>
      <c r="FA194" s="668"/>
      <c r="FB194" s="668"/>
      <c r="FC194" s="668"/>
      <c r="FD194" s="668"/>
      <c r="FE194" s="668"/>
      <c r="FF194" s="668"/>
      <c r="FG194" s="668"/>
      <c r="FH194" s="668"/>
      <c r="FI194" s="668"/>
      <c r="FJ194" s="668"/>
      <c r="FK194" s="668"/>
      <c r="FL194" s="668"/>
      <c r="FM194" s="668"/>
      <c r="FN194" s="668"/>
      <c r="FO194" s="668"/>
      <c r="FP194" s="668"/>
      <c r="FQ194" s="668"/>
      <c r="FR194" s="668"/>
      <c r="FS194" s="668"/>
      <c r="FT194" s="668"/>
      <c r="FU194" s="668"/>
      <c r="FV194" s="668"/>
      <c r="FW194" s="668"/>
      <c r="FX194" s="668"/>
      <c r="FY194" s="668"/>
      <c r="FZ194" s="668"/>
      <c r="GA194" s="668"/>
      <c r="GB194" s="668"/>
      <c r="GC194" s="668"/>
      <c r="GD194" s="668"/>
      <c r="GE194" s="668"/>
      <c r="GF194" s="668"/>
      <c r="GG194" s="668"/>
      <c r="GH194" s="668"/>
      <c r="GI194" s="668"/>
      <c r="GJ194" s="668"/>
      <c r="GK194" s="668"/>
      <c r="GL194" s="668"/>
      <c r="GM194" s="668"/>
      <c r="GN194" s="668"/>
      <c r="GO194" s="668"/>
      <c r="GP194" s="668"/>
      <c r="GQ194" s="668"/>
      <c r="GR194" s="668"/>
      <c r="GS194" s="668"/>
      <c r="GT194" s="668"/>
      <c r="GU194" s="668"/>
      <c r="GV194" s="668"/>
      <c r="GW194" s="668"/>
      <c r="GX194" s="668"/>
      <c r="GY194" s="668"/>
      <c r="GZ194" s="668"/>
      <c r="HA194" s="668"/>
      <c r="HB194" s="668"/>
      <c r="HC194" s="668"/>
      <c r="HD194" s="668"/>
      <c r="HE194" s="668"/>
      <c r="HF194" s="668"/>
      <c r="HG194" s="668"/>
      <c r="HH194" s="668"/>
      <c r="HI194" s="668"/>
      <c r="HJ194" s="668"/>
      <c r="HK194" s="668"/>
      <c r="HL194" s="668"/>
      <c r="HM194" s="668"/>
      <c r="HN194" s="668"/>
      <c r="HO194" s="524"/>
      <c r="HP194" s="606"/>
      <c r="HQ194" s="523"/>
      <c r="HR194" s="606"/>
      <c r="HS194" s="682"/>
      <c r="HT194" s="563"/>
      <c r="HU194" s="563"/>
      <c r="HV194" s="563"/>
      <c r="HW194" s="563"/>
      <c r="HX194" s="563"/>
    </row>
    <row r="195" spans="1:236" s="509" customFormat="1" hidden="1" outlineLevel="1">
      <c r="A195" s="509" t="s">
        <v>488</v>
      </c>
      <c r="B195" s="608"/>
      <c r="C195" s="608"/>
      <c r="D195" s="608"/>
      <c r="E195" s="608"/>
      <c r="F195" s="608"/>
      <c r="G195" s="608"/>
      <c r="H195" s="608"/>
      <c r="I195" s="608"/>
      <c r="J195" s="608"/>
      <c r="K195" s="608"/>
      <c r="L195" s="609"/>
      <c r="M195" s="609"/>
      <c r="N195" s="609"/>
      <c r="O195" s="609"/>
      <c r="P195" s="678"/>
      <c r="Q195" s="679"/>
      <c r="R195" s="679"/>
      <c r="S195" s="679"/>
      <c r="T195" s="679"/>
      <c r="U195" s="680"/>
      <c r="V195" s="679"/>
      <c r="W195" s="679"/>
      <c r="X195" s="679"/>
      <c r="Y195" s="679"/>
      <c r="Z195" s="680"/>
      <c r="AA195" s="679"/>
      <c r="AB195" s="679"/>
      <c r="AC195" s="679"/>
      <c r="AD195" s="679"/>
      <c r="AE195" s="680"/>
      <c r="AF195" s="609"/>
      <c r="AG195" s="609"/>
      <c r="AH195" s="609"/>
      <c r="AI195" s="609"/>
      <c r="AJ195" s="680"/>
      <c r="AK195" s="609"/>
      <c r="AL195" s="609"/>
      <c r="AM195" s="609"/>
      <c r="AN195" s="609"/>
      <c r="AO195" s="680"/>
      <c r="AP195" s="609"/>
      <c r="AQ195" s="609"/>
      <c r="AR195" s="609"/>
      <c r="AS195" s="609"/>
      <c r="AT195" s="680"/>
      <c r="AU195" s="609"/>
      <c r="AV195" s="609"/>
      <c r="AW195" s="609"/>
      <c r="AX195" s="609"/>
      <c r="AY195" s="680"/>
      <c r="AZ195" s="609"/>
      <c r="BA195" s="609"/>
      <c r="BB195" s="609"/>
      <c r="BC195" s="609"/>
      <c r="BD195" s="680"/>
      <c r="BE195" s="609"/>
      <c r="BF195" s="609"/>
      <c r="BG195" s="609"/>
      <c r="BH195" s="609"/>
      <c r="BI195" s="680"/>
      <c r="BJ195" s="609"/>
      <c r="BK195" s="609"/>
      <c r="BL195" s="609"/>
      <c r="BM195" s="609"/>
      <c r="BN195" s="680"/>
      <c r="BO195" s="609"/>
      <c r="BP195" s="609"/>
      <c r="BQ195" s="609"/>
      <c r="BR195" s="609"/>
      <c r="BS195" s="680"/>
      <c r="BT195" s="648" t="s">
        <v>199</v>
      </c>
      <c r="BU195" s="340">
        <f>(BU194/BT194)-1</f>
        <v>0.21985233776155289</v>
      </c>
      <c r="BV195" s="340">
        <f>(BV194/BU194)-1</f>
        <v>-4.4530788536429555E-2</v>
      </c>
      <c r="BW195" s="340">
        <f>(BW194/BV194)-1</f>
        <v>9.5009072273817274E-3</v>
      </c>
      <c r="BX195" s="648" t="s">
        <v>199</v>
      </c>
      <c r="BY195" s="340">
        <f>(BY194/BW194)-1</f>
        <v>0.55124405387963682</v>
      </c>
      <c r="BZ195" s="340">
        <f>(BZ194/BY194)-1</f>
        <v>-0.1036830281162775</v>
      </c>
      <c r="CA195" s="340">
        <f>(CA194/BZ194)-1</f>
        <v>9.4974927010826882E-3</v>
      </c>
      <c r="CB195" s="340">
        <f>(CB194/CA194)-1</f>
        <v>-0.23078494921564241</v>
      </c>
      <c r="CC195" s="648" t="s">
        <v>199</v>
      </c>
      <c r="CD195" s="340">
        <f>(CD194/CB194)-1</f>
        <v>-0.1390815124950936</v>
      </c>
      <c r="CE195" s="340">
        <f>(CE194/CD194)-1</f>
        <v>-0.1428571428571429</v>
      </c>
      <c r="CF195" s="340">
        <f>(CF194/CE194)-1</f>
        <v>4.1666666666666519E-2</v>
      </c>
      <c r="CG195" s="340">
        <f>(CG194/CF194)-1</f>
        <v>8.923469387755123E-2</v>
      </c>
      <c r="CH195" s="648" t="s">
        <v>199</v>
      </c>
      <c r="CI195" s="340">
        <f>(CI194/CG194)-1</f>
        <v>0.17487159920153084</v>
      </c>
      <c r="CJ195" s="340">
        <f>(CJ194/CI194)-1</f>
        <v>0.18874950568593651</v>
      </c>
      <c r="CK195" s="340">
        <f>(CK194/CJ194)-1</f>
        <v>-0.11336868308245363</v>
      </c>
      <c r="CL195" s="340">
        <f>(CL194/CK194)-1</f>
        <v>-1.418798220609907E-2</v>
      </c>
      <c r="CM195" s="648" t="s">
        <v>199</v>
      </c>
      <c r="CN195" s="340">
        <f>(CN194/CL194)-1</f>
        <v>1.6139465589638524E-2</v>
      </c>
      <c r="CO195" s="340">
        <f>(CO194/CN194)-1</f>
        <v>8.4288644521679723E-2</v>
      </c>
      <c r="CP195" s="340">
        <f>(CP194/CO194)-1</f>
        <v>-5.1194539249146742E-2</v>
      </c>
      <c r="CQ195" s="340">
        <f>(CQ194/CP194)-1</f>
        <v>-6.4748201438848962E-2</v>
      </c>
      <c r="CR195" s="648" t="s">
        <v>199</v>
      </c>
      <c r="CS195" s="672">
        <f>(CS194-CQ194)/CQ194</f>
        <v>6.1538461538461542E-2</v>
      </c>
      <c r="CT195" s="340">
        <f>(CT194/CS194)-1</f>
        <v>-1.9999999999999907E-2</v>
      </c>
      <c r="CU195" s="340">
        <f>(CU194/CT194)-1</f>
        <v>4.4585871229738894E-2</v>
      </c>
      <c r="CV195" s="340">
        <f>(CV194/CU194)-1</f>
        <v>1.9219912645869197E-3</v>
      </c>
      <c r="CW195" s="648" t="s">
        <v>199</v>
      </c>
      <c r="CX195" s="672">
        <f>(CX194-CV194)/CV194</f>
        <v>-6.4248268439846254E-2</v>
      </c>
      <c r="CY195" s="340">
        <f>(CY194/CX194)-1</f>
        <v>-4.5126480711125794E-2</v>
      </c>
      <c r="CZ195" s="340">
        <f>(CZ194/CY194)-1</f>
        <v>7.5598866326416214E-3</v>
      </c>
      <c r="DA195" s="340">
        <f>(DA194/CZ194)-1</f>
        <v>-7.1773779417323436E-3</v>
      </c>
      <c r="DB195" s="648" t="s">
        <v>199</v>
      </c>
      <c r="DC195" s="672">
        <f>(DC194-DA194)/DA194</f>
        <v>3.763451350185599E-3</v>
      </c>
      <c r="DD195" s="340">
        <f>(DD194/DC194)-1</f>
        <v>-1.305620917952266E-2</v>
      </c>
      <c r="DE195" s="340">
        <f>(DE194/DD194)-1</f>
        <v>-5.3691149348434886E-3</v>
      </c>
      <c r="DF195" s="340">
        <f>(DF194/DE194)-1</f>
        <v>-0.15533025441367698</v>
      </c>
      <c r="DG195" s="648" t="s">
        <v>199</v>
      </c>
      <c r="DH195" s="672">
        <f>(DH194-DF194)/DF194</f>
        <v>-4.0591829723243149E-2</v>
      </c>
      <c r="DI195" s="340">
        <f>(DI194/DH194)-1</f>
        <v>-0.16361698625261389</v>
      </c>
      <c r="DJ195" s="340">
        <f>(DJ194/DI194)-1</f>
        <v>-3.2592190585690739E-2</v>
      </c>
      <c r="DK195" s="340">
        <f>(DK194/DJ194)-1</f>
        <v>-6.6200924775470016E-2</v>
      </c>
      <c r="DL195" s="648" t="s">
        <v>199</v>
      </c>
      <c r="DM195" s="672">
        <f>(DM194-DK194)/DK194</f>
        <v>8.9496756280893319E-2</v>
      </c>
      <c r="DN195" s="340">
        <f>(DN194/DM194)-1</f>
        <v>2.3642188506763029E-2</v>
      </c>
      <c r="DO195" s="340">
        <f>(DO194/DN194)-1</f>
        <v>3.2019790307613816E-2</v>
      </c>
      <c r="DP195" s="340">
        <f>(DP194/DO194)-1</f>
        <v>-4.0659905375465932E-2</v>
      </c>
      <c r="DQ195" s="648" t="s">
        <v>199</v>
      </c>
      <c r="DR195" s="672">
        <f>(DR194-DP194)/DP194</f>
        <v>-0.12237430117068358</v>
      </c>
      <c r="DS195" s="340">
        <f>(DS194/DR194)-1</f>
        <v>8.3099364295011524E-2</v>
      </c>
      <c r="DT195" s="340">
        <f>(DT194/DS194)-1</f>
        <v>9.7104235335119471E-2</v>
      </c>
      <c r="DU195" s="340">
        <f>(DU194/DT194)-1</f>
        <v>8.6847926818257815E-2</v>
      </c>
      <c r="DV195" s="648" t="s">
        <v>199</v>
      </c>
      <c r="DW195" s="672">
        <f>(DW194-DU194)/DU194</f>
        <v>-3.2707843520615724E-2</v>
      </c>
      <c r="DX195" s="672">
        <f>(DX194/DW194)-1</f>
        <v>-4.4474657354198976E-2</v>
      </c>
      <c r="DY195" s="672">
        <f>(DY194/DX194)-1</f>
        <v>-4.5912541323186118E-2</v>
      </c>
      <c r="DZ195" s="672">
        <f>(DZ194/DY194)-1</f>
        <v>2.9310617429643138E-3</v>
      </c>
      <c r="EA195" s="648" t="s">
        <v>199</v>
      </c>
      <c r="EB195" s="672">
        <f>(EB194-DZ194)/DZ194</f>
        <v>3.1499256134938376E-2</v>
      </c>
      <c r="EC195" s="672">
        <f>EC194/EB194-1</f>
        <v>-0.11400147205619782</v>
      </c>
      <c r="ED195" s="672">
        <f>ED194/EC194-1</f>
        <v>-4.0624395627608001E-2</v>
      </c>
      <c r="EE195" s="672">
        <f>EE194/ED194-1</f>
        <v>5.5393592292722893E-3</v>
      </c>
      <c r="EF195" s="648" t="s">
        <v>199</v>
      </c>
      <c r="EG195" s="672">
        <f>(EG194-EE194)/EE194</f>
        <v>6.7402879499033022E-2</v>
      </c>
      <c r="EH195" s="672">
        <f>EH194/EG194-1</f>
        <v>0.24496722420142936</v>
      </c>
      <c r="EI195" s="672">
        <f>EI194/EH194-1</f>
        <v>9.4658946654989862E-2</v>
      </c>
      <c r="EJ195" s="672">
        <f>EJ194/EI194-1</f>
        <v>9.199733248422115E-2</v>
      </c>
      <c r="EK195" s="648" t="s">
        <v>199</v>
      </c>
      <c r="EL195" s="340">
        <v>0.05</v>
      </c>
      <c r="EM195" s="672">
        <f>EM194/EL194-1</f>
        <v>-4.4342944247912852E-2</v>
      </c>
      <c r="EN195" s="672">
        <v>-0.05</v>
      </c>
      <c r="EO195" s="674">
        <v>-0.05</v>
      </c>
      <c r="EP195" s="648" t="s">
        <v>199</v>
      </c>
      <c r="EQ195" s="674">
        <v>0.03</v>
      </c>
      <c r="ER195" s="674">
        <v>0.03</v>
      </c>
      <c r="ES195" s="674">
        <v>0.01</v>
      </c>
      <c r="ET195" s="674">
        <v>0</v>
      </c>
      <c r="EU195" s="648" t="s">
        <v>199</v>
      </c>
      <c r="EV195" s="668"/>
      <c r="EW195" s="668"/>
      <c r="EX195" s="668"/>
      <c r="EY195" s="668"/>
      <c r="EZ195" s="668"/>
      <c r="FA195" s="668"/>
      <c r="FB195" s="668"/>
      <c r="FC195" s="668"/>
      <c r="FD195" s="668"/>
      <c r="FE195" s="668"/>
      <c r="FF195" s="668"/>
      <c r="FG195" s="668"/>
      <c r="FH195" s="668"/>
      <c r="FI195" s="668"/>
      <c r="FJ195" s="668"/>
      <c r="FK195" s="668"/>
      <c r="FL195" s="668"/>
      <c r="FM195" s="668"/>
      <c r="FN195" s="668"/>
      <c r="FO195" s="668"/>
      <c r="FP195" s="668"/>
      <c r="FQ195" s="668"/>
      <c r="FR195" s="668"/>
      <c r="FS195" s="668"/>
      <c r="FT195" s="668"/>
      <c r="FU195" s="668"/>
      <c r="FV195" s="668"/>
      <c r="FW195" s="668"/>
      <c r="FX195" s="668"/>
      <c r="FY195" s="668"/>
      <c r="FZ195" s="668"/>
      <c r="GA195" s="668"/>
      <c r="GB195" s="668"/>
      <c r="GC195" s="668"/>
      <c r="GD195" s="668"/>
      <c r="GE195" s="668"/>
      <c r="GF195" s="668"/>
      <c r="GG195" s="668"/>
      <c r="GH195" s="668"/>
      <c r="GI195" s="668"/>
      <c r="GJ195" s="668"/>
      <c r="GK195" s="668"/>
      <c r="GL195" s="668"/>
      <c r="GM195" s="668"/>
      <c r="GN195" s="668"/>
      <c r="GO195" s="668"/>
      <c r="GP195" s="668"/>
      <c r="GQ195" s="668"/>
      <c r="GR195" s="668"/>
      <c r="GS195" s="668"/>
      <c r="GT195" s="668"/>
      <c r="GU195" s="668"/>
      <c r="GV195" s="668"/>
      <c r="GW195" s="668"/>
      <c r="GX195" s="668"/>
      <c r="GY195" s="668"/>
      <c r="GZ195" s="668"/>
      <c r="HA195" s="668"/>
      <c r="HB195" s="668"/>
      <c r="HC195" s="668"/>
      <c r="HD195" s="668"/>
      <c r="HE195" s="668"/>
      <c r="HF195" s="668"/>
      <c r="HG195" s="668"/>
      <c r="HH195" s="668"/>
      <c r="HI195" s="668"/>
      <c r="HJ195" s="668"/>
      <c r="HK195" s="668"/>
      <c r="HL195" s="668"/>
      <c r="HM195" s="668"/>
      <c r="HN195" s="668"/>
      <c r="HO195" s="648"/>
      <c r="HP195" s="676"/>
      <c r="HQ195" s="672"/>
      <c r="HR195" s="676"/>
      <c r="HS195" s="677"/>
      <c r="HT195" s="563"/>
      <c r="HU195" s="563"/>
      <c r="HV195" s="563"/>
      <c r="HW195" s="563"/>
      <c r="HX195" s="563"/>
    </row>
    <row r="196" spans="1:236" s="509" customFormat="1" hidden="1" outlineLevel="1">
      <c r="A196" s="509" t="s">
        <v>489</v>
      </c>
      <c r="B196" s="608"/>
      <c r="C196" s="608"/>
      <c r="D196" s="608"/>
      <c r="E196" s="608"/>
      <c r="F196" s="608"/>
      <c r="G196" s="608"/>
      <c r="H196" s="608"/>
      <c r="I196" s="608"/>
      <c r="J196" s="608"/>
      <c r="K196" s="608"/>
      <c r="L196" s="609"/>
      <c r="M196" s="609"/>
      <c r="N196" s="609"/>
      <c r="O196" s="609"/>
      <c r="P196" s="678"/>
      <c r="Q196" s="679"/>
      <c r="R196" s="679"/>
      <c r="S196" s="679"/>
      <c r="T196" s="679"/>
      <c r="U196" s="680"/>
      <c r="V196" s="679"/>
      <c r="W196" s="679"/>
      <c r="X196" s="679"/>
      <c r="Y196" s="679"/>
      <c r="Z196" s="680"/>
      <c r="AA196" s="679"/>
      <c r="AB196" s="679"/>
      <c r="AC196" s="679"/>
      <c r="AD196" s="679"/>
      <c r="AE196" s="680"/>
      <c r="AF196" s="609"/>
      <c r="AG196" s="609"/>
      <c r="AH196" s="609"/>
      <c r="AI196" s="609"/>
      <c r="AJ196" s="680"/>
      <c r="AK196" s="609"/>
      <c r="AL196" s="609"/>
      <c r="AM196" s="609"/>
      <c r="AN196" s="609"/>
      <c r="AO196" s="680"/>
      <c r="AP196" s="609"/>
      <c r="AQ196" s="609"/>
      <c r="AR196" s="609"/>
      <c r="AS196" s="609"/>
      <c r="AT196" s="680"/>
      <c r="AU196" s="609"/>
      <c r="AV196" s="609"/>
      <c r="AW196" s="609"/>
      <c r="AX196" s="609"/>
      <c r="AY196" s="680"/>
      <c r="AZ196" s="609"/>
      <c r="BA196" s="609"/>
      <c r="BB196" s="609"/>
      <c r="BC196" s="609"/>
      <c r="BD196" s="680"/>
      <c r="BE196" s="609"/>
      <c r="BF196" s="609"/>
      <c r="BG196" s="609"/>
      <c r="BH196" s="609"/>
      <c r="BI196" s="680"/>
      <c r="BJ196" s="609"/>
      <c r="BK196" s="609"/>
      <c r="BL196" s="609"/>
      <c r="BM196" s="609"/>
      <c r="BN196" s="680"/>
      <c r="BO196" s="609"/>
      <c r="BP196" s="609"/>
      <c r="BQ196" s="609"/>
      <c r="BR196" s="609"/>
      <c r="BS196" s="680"/>
      <c r="BT196" s="648" t="s">
        <v>199</v>
      </c>
      <c r="BU196" s="648" t="s">
        <v>199</v>
      </c>
      <c r="BV196" s="648" t="s">
        <v>199</v>
      </c>
      <c r="BW196" s="648" t="s">
        <v>199</v>
      </c>
      <c r="BX196" s="648" t="s">
        <v>199</v>
      </c>
      <c r="BY196" s="340">
        <f t="shared" ref="BY196:EJ196" si="246">(BY194/BT194)-1</f>
        <v>0.82520144253900329</v>
      </c>
      <c r="BZ196" s="340">
        <f t="shared" si="246"/>
        <v>0.34111234566010706</v>
      </c>
      <c r="CA196" s="340">
        <f t="shared" si="246"/>
        <v>0.41694733240074133</v>
      </c>
      <c r="CB196" s="340">
        <f t="shared" si="246"/>
        <v>7.9679281561950255E-2</v>
      </c>
      <c r="CC196" s="321">
        <f t="shared" si="246"/>
        <v>0.34224718323290171</v>
      </c>
      <c r="CD196" s="340">
        <f t="shared" si="246"/>
        <v>-0.40079328475232912</v>
      </c>
      <c r="CE196" s="340">
        <f t="shared" si="246"/>
        <v>-0.42698200297695121</v>
      </c>
      <c r="CF196" s="340">
        <f t="shared" si="246"/>
        <v>-0.40872191242207245</v>
      </c>
      <c r="CG196" s="340">
        <f t="shared" si="246"/>
        <v>-0.16273010250809727</v>
      </c>
      <c r="CH196" s="321">
        <f t="shared" si="246"/>
        <v>-0.35763758999235218</v>
      </c>
      <c r="CI196" s="340">
        <f t="shared" si="246"/>
        <v>0.14259902384081102</v>
      </c>
      <c r="CJ196" s="340">
        <f t="shared" si="246"/>
        <v>0.58464136225266383</v>
      </c>
      <c r="CK196" s="340">
        <f t="shared" si="246"/>
        <v>0.34879295154185042</v>
      </c>
      <c r="CL196" s="340">
        <f t="shared" si="246"/>
        <v>0.22072525656728592</v>
      </c>
      <c r="CM196" s="321">
        <f t="shared" si="246"/>
        <v>0.31355770265398153</v>
      </c>
      <c r="CN196" s="340">
        <f t="shared" si="246"/>
        <v>5.5798021403427045E-2</v>
      </c>
      <c r="CO196" s="340">
        <f t="shared" si="246"/>
        <v>-3.6979784184538844E-2</v>
      </c>
      <c r="CP196" s="340">
        <f t="shared" si="246"/>
        <v>3.0551055602006549E-2</v>
      </c>
      <c r="CQ196" s="340">
        <f t="shared" si="246"/>
        <v>-2.2303734521552765E-2</v>
      </c>
      <c r="CR196" s="321">
        <f t="shared" si="246"/>
        <v>-2.9176886344582931E-3</v>
      </c>
      <c r="CS196" s="340">
        <f t="shared" si="246"/>
        <v>2.1377699276394546E-2</v>
      </c>
      <c r="CT196" s="340">
        <f t="shared" si="246"/>
        <v>-7.6860068259385628E-2</v>
      </c>
      <c r="CU196" s="340">
        <f t="shared" si="246"/>
        <v>1.6329447662661201E-2</v>
      </c>
      <c r="CV196" s="340">
        <f t="shared" si="246"/>
        <v>8.8779327181835122E-2</v>
      </c>
      <c r="CW196" s="321">
        <f t="shared" si="246"/>
        <v>2.4426507947011622E-2</v>
      </c>
      <c r="CX196" s="340">
        <f t="shared" si="246"/>
        <v>-4.0235302241672599E-2</v>
      </c>
      <c r="CY196" s="340">
        <f t="shared" si="246"/>
        <v>-6.4842964655391078E-2</v>
      </c>
      <c r="CZ196" s="340">
        <f t="shared" si="246"/>
        <v>-9.7990177287871183E-2</v>
      </c>
      <c r="DA196" s="340">
        <f t="shared" si="246"/>
        <v>-0.10618215278710619</v>
      </c>
      <c r="DB196" s="321">
        <f t="shared" si="246"/>
        <v>-8.4978312385237453E-2</v>
      </c>
      <c r="DC196" s="340">
        <f t="shared" si="246"/>
        <v>-4.1218245248704766E-2</v>
      </c>
      <c r="DD196" s="340">
        <f t="shared" si="246"/>
        <v>-9.0167121730779787E-3</v>
      </c>
      <c r="DE196" s="340">
        <f t="shared" si="246"/>
        <v>-2.1733002938172041E-2</v>
      </c>
      <c r="DF196" s="340">
        <f t="shared" si="246"/>
        <v>-0.16771383209354895</v>
      </c>
      <c r="DG196" s="321">
        <f t="shared" si="246"/>
        <v>-5.071930139815739E-2</v>
      </c>
      <c r="DH196" s="340">
        <f t="shared" si="246"/>
        <v>-0.20449170726061205</v>
      </c>
      <c r="DI196" s="340">
        <f t="shared" si="246"/>
        <v>-0.32584851383554359</v>
      </c>
      <c r="DJ196" s="340">
        <f t="shared" si="246"/>
        <v>-0.34430005921137796</v>
      </c>
      <c r="DK196" s="340">
        <f t="shared" si="246"/>
        <v>-0.27511077372828696</v>
      </c>
      <c r="DL196" s="321">
        <f t="shared" si="246"/>
        <v>-0.30140650379933265</v>
      </c>
      <c r="DM196" s="340">
        <f t="shared" si="246"/>
        <v>-0.17682120587093031</v>
      </c>
      <c r="DN196" s="340">
        <f t="shared" si="246"/>
        <v>7.4816543430458182E-3</v>
      </c>
      <c r="DO196" s="340">
        <f t="shared" si="246"/>
        <v>7.4770118181453515E-2</v>
      </c>
      <c r="DP196" s="340">
        <f t="shared" si="246"/>
        <v>0.10416693936851318</v>
      </c>
      <c r="DQ196" s="321">
        <f t="shared" si="246"/>
        <v>5.0678279975506779E-3</v>
      </c>
      <c r="DR196" s="340">
        <f t="shared" si="246"/>
        <v>-0.11055698311993856</v>
      </c>
      <c r="DS196" s="340">
        <f t="shared" si="246"/>
        <v>-5.8894624532108253E-2</v>
      </c>
      <c r="DT196" s="340">
        <f t="shared" si="246"/>
        <v>4.5629262082047539E-4</v>
      </c>
      <c r="DU196" s="340">
        <f t="shared" si="246"/>
        <v>0.13342896184567676</v>
      </c>
      <c r="DV196" s="321">
        <f t="shared" si="246"/>
        <v>8.6682465308385304E-4</v>
      </c>
      <c r="DW196" s="340">
        <f t="shared" si="246"/>
        <v>0.24923067565403834</v>
      </c>
      <c r="DX196" s="340">
        <f t="shared" si="246"/>
        <v>0.10208869910558049</v>
      </c>
      <c r="DY196" s="340">
        <f t="shared" si="246"/>
        <v>-4.1577844383315909E-2</v>
      </c>
      <c r="DZ196" s="340">
        <f t="shared" si="246"/>
        <v>-0.11557879772138713</v>
      </c>
      <c r="EA196" s="321">
        <f t="shared" si="246"/>
        <v>2.8332219227986899E-2</v>
      </c>
      <c r="EB196" s="340">
        <f t="shared" si="246"/>
        <v>-5.6872521761422656E-2</v>
      </c>
      <c r="EC196" s="340">
        <f t="shared" si="246"/>
        <v>-0.12549723163912174</v>
      </c>
      <c r="ED196" s="340">
        <f t="shared" si="246"/>
        <v>-0.12065019376201525</v>
      </c>
      <c r="EE196" s="340">
        <f t="shared" si="246"/>
        <v>-0.11836329092623099</v>
      </c>
      <c r="EF196" s="321">
        <f t="shared" si="246"/>
        <v>-0.11083606203086005</v>
      </c>
      <c r="EG196" s="340">
        <f t="shared" si="246"/>
        <v>-8.7675966472742894E-2</v>
      </c>
      <c r="EH196" s="340">
        <f t="shared" si="246"/>
        <v>0.28195869831594611</v>
      </c>
      <c r="EI196" s="342">
        <f t="shared" si="246"/>
        <v>0.46273008398181714</v>
      </c>
      <c r="EJ196" s="340">
        <f t="shared" si="246"/>
        <v>0.58849808830642369</v>
      </c>
      <c r="EK196" s="321">
        <f t="shared" ref="EK196:EU196" si="247">(EK194/EF194)-1</f>
        <v>0.29687808076341149</v>
      </c>
      <c r="EL196" s="340">
        <f t="shared" si="247"/>
        <v>0.41153909155788049</v>
      </c>
      <c r="EM196" s="340">
        <f t="shared" si="247"/>
        <v>8.3520325751906599E-2</v>
      </c>
      <c r="EN196" s="340">
        <f t="shared" si="247"/>
        <v>-5.9666654523095275E-2</v>
      </c>
      <c r="EO196" s="340">
        <f t="shared" si="247"/>
        <v>-0.18194243554531087</v>
      </c>
      <c r="EP196" s="321">
        <f t="shared" si="247"/>
        <v>5.0842224367485311E-2</v>
      </c>
      <c r="EQ196" s="340">
        <f t="shared" si="247"/>
        <v>-0.11164509239925369</v>
      </c>
      <c r="ER196" s="340">
        <f t="shared" si="247"/>
        <v>-4.2537750000000041E-2</v>
      </c>
      <c r="ES196" s="340">
        <f t="shared" si="247"/>
        <v>1.7933549999999965E-2</v>
      </c>
      <c r="ET196" s="340">
        <f t="shared" si="247"/>
        <v>7.1509000000000045E-2</v>
      </c>
      <c r="EU196" s="321">
        <f t="shared" si="247"/>
        <v>-3.5071655255465073E-2</v>
      </c>
      <c r="EV196" s="668"/>
      <c r="EW196" s="668"/>
      <c r="EX196" s="668"/>
      <c r="EY196" s="668"/>
      <c r="EZ196" s="668"/>
      <c r="FA196" s="668"/>
      <c r="FB196" s="668"/>
      <c r="FC196" s="668"/>
      <c r="FD196" s="668"/>
      <c r="FE196" s="668"/>
      <c r="FF196" s="668"/>
      <c r="FG196" s="668"/>
      <c r="FH196" s="668"/>
      <c r="FI196" s="668"/>
      <c r="FJ196" s="668"/>
      <c r="FK196" s="668"/>
      <c r="FL196" s="668"/>
      <c r="FM196" s="668"/>
      <c r="FN196" s="668"/>
      <c r="FO196" s="668"/>
      <c r="FP196" s="668"/>
      <c r="FQ196" s="668"/>
      <c r="FR196" s="668"/>
      <c r="FS196" s="668"/>
      <c r="FT196" s="668"/>
      <c r="FU196" s="668"/>
      <c r="FV196" s="668"/>
      <c r="FW196" s="668"/>
      <c r="FX196" s="668"/>
      <c r="FY196" s="668"/>
      <c r="FZ196" s="668"/>
      <c r="GA196" s="668"/>
      <c r="GB196" s="668"/>
      <c r="GC196" s="668"/>
      <c r="GD196" s="668"/>
      <c r="GE196" s="668"/>
      <c r="GF196" s="668"/>
      <c r="GG196" s="668"/>
      <c r="GH196" s="668"/>
      <c r="GI196" s="668"/>
      <c r="GJ196" s="668"/>
      <c r="GK196" s="668"/>
      <c r="GL196" s="668"/>
      <c r="GM196" s="668"/>
      <c r="GN196" s="668"/>
      <c r="GO196" s="668"/>
      <c r="GP196" s="668"/>
      <c r="GQ196" s="668"/>
      <c r="GR196" s="668"/>
      <c r="GS196" s="668"/>
      <c r="GT196" s="668"/>
      <c r="GU196" s="668"/>
      <c r="GV196" s="668"/>
      <c r="GW196" s="668"/>
      <c r="GX196" s="668"/>
      <c r="GY196" s="668"/>
      <c r="GZ196" s="668"/>
      <c r="HA196" s="668"/>
      <c r="HB196" s="668"/>
      <c r="HC196" s="668"/>
      <c r="HD196" s="668"/>
      <c r="HE196" s="668"/>
      <c r="HF196" s="668"/>
      <c r="HG196" s="668"/>
      <c r="HH196" s="668"/>
      <c r="HI196" s="668"/>
      <c r="HJ196" s="668"/>
      <c r="HK196" s="668"/>
      <c r="HL196" s="668"/>
      <c r="HM196" s="668"/>
      <c r="HN196" s="668"/>
      <c r="HO196" s="344"/>
      <c r="HP196" s="293"/>
      <c r="HQ196" s="342"/>
      <c r="HR196" s="293"/>
      <c r="HS196" s="343"/>
      <c r="HT196" s="563"/>
      <c r="HU196" s="563"/>
      <c r="HV196" s="563"/>
      <c r="HW196" s="563"/>
      <c r="HX196" s="563"/>
    </row>
    <row r="197" spans="1:236" s="509" customFormat="1" ht="15" hidden="1" customHeight="1" outlineLevel="1">
      <c r="A197" s="683" t="s">
        <v>493</v>
      </c>
      <c r="B197" s="684"/>
      <c r="C197" s="684"/>
      <c r="D197" s="684"/>
      <c r="E197" s="684"/>
      <c r="F197" s="684"/>
      <c r="G197" s="684"/>
      <c r="H197" s="684"/>
      <c r="I197" s="684"/>
      <c r="J197" s="684"/>
      <c r="K197" s="684"/>
      <c r="L197" s="685"/>
      <c r="M197" s="685"/>
      <c r="N197" s="685"/>
      <c r="O197" s="685"/>
      <c r="P197" s="686"/>
      <c r="Q197" s="687"/>
      <c r="R197" s="687"/>
      <c r="S197" s="687"/>
      <c r="T197" s="687"/>
      <c r="U197" s="688"/>
      <c r="V197" s="687"/>
      <c r="W197" s="687"/>
      <c r="X197" s="687"/>
      <c r="Y197" s="687"/>
      <c r="Z197" s="688"/>
      <c r="AA197" s="687"/>
      <c r="AB197" s="687"/>
      <c r="AC197" s="687"/>
      <c r="AD197" s="687"/>
      <c r="AE197" s="688"/>
      <c r="AF197" s="685"/>
      <c r="AG197" s="685"/>
      <c r="AH197" s="685"/>
      <c r="AI197" s="685"/>
      <c r="AJ197" s="688"/>
      <c r="AK197" s="685"/>
      <c r="AL197" s="685"/>
      <c r="AM197" s="685"/>
      <c r="AN197" s="685"/>
      <c r="AO197" s="688"/>
      <c r="AP197" s="685"/>
      <c r="AQ197" s="685"/>
      <c r="AR197" s="685"/>
      <c r="AS197" s="685"/>
      <c r="AT197" s="688"/>
      <c r="AU197" s="685"/>
      <c r="AV197" s="685"/>
      <c r="AW197" s="685"/>
      <c r="AX197" s="685"/>
      <c r="AY197" s="688"/>
      <c r="AZ197" s="685"/>
      <c r="BA197" s="685"/>
      <c r="BB197" s="685"/>
      <c r="BC197" s="685"/>
      <c r="BD197" s="688"/>
      <c r="BE197" s="685"/>
      <c r="BF197" s="685"/>
      <c r="BG197" s="685"/>
      <c r="BH197" s="685"/>
      <c r="BI197" s="688"/>
      <c r="BJ197" s="685"/>
      <c r="BK197" s="685"/>
      <c r="BL197" s="685"/>
      <c r="BM197" s="685"/>
      <c r="BN197" s="688"/>
      <c r="BO197" s="685"/>
      <c r="BP197" s="685"/>
      <c r="BQ197" s="685"/>
      <c r="BR197" s="685"/>
      <c r="BS197" s="688"/>
      <c r="BT197" s="695">
        <v>3.1234199999999999</v>
      </c>
      <c r="BU197" s="695">
        <v>35.727600000000002</v>
      </c>
      <c r="BV197" s="695">
        <v>46.430579999999999</v>
      </c>
      <c r="BW197" s="695">
        <v>41.871259999999999</v>
      </c>
      <c r="BX197" s="690">
        <f>SUM(BT197:BW197)</f>
        <v>127.15286</v>
      </c>
      <c r="BY197" s="695">
        <v>75.887</v>
      </c>
      <c r="BZ197" s="695">
        <v>66.510999999999996</v>
      </c>
      <c r="CA197" s="695">
        <v>66.888999999999996</v>
      </c>
      <c r="CB197" s="695">
        <v>61.143999999999998</v>
      </c>
      <c r="CC197" s="690">
        <f>SUM(BY197:CB197)</f>
        <v>270.43099999999998</v>
      </c>
      <c r="CD197" s="695">
        <v>45.08</v>
      </c>
      <c r="CE197" s="695">
        <v>38.832000000000001</v>
      </c>
      <c r="CF197" s="695">
        <v>66.099999999999994</v>
      </c>
      <c r="CG197" s="695">
        <v>64.046999999999997</v>
      </c>
      <c r="CH197" s="690">
        <f>SUM(CD197:CG197)</f>
        <v>214.059</v>
      </c>
      <c r="CI197" s="695">
        <v>48.692999999999998</v>
      </c>
      <c r="CJ197" s="695">
        <v>66.631</v>
      </c>
      <c r="CK197" s="695">
        <v>76.544000000000011</v>
      </c>
      <c r="CL197" s="695">
        <v>81.24199999999999</v>
      </c>
      <c r="CM197" s="691">
        <f>SUM(CI197:CL197)</f>
        <v>273.11</v>
      </c>
      <c r="CN197" s="695">
        <v>87.754999999999995</v>
      </c>
      <c r="CO197" s="695">
        <f>(CO194*CO191)/1000</f>
        <v>98.155000000000001</v>
      </c>
      <c r="CP197" s="695">
        <f>(CP194*CP191)/1000</f>
        <v>143.96924999999999</v>
      </c>
      <c r="CQ197" s="695">
        <f>(CQ194*CQ191)/1000</f>
        <v>178.1</v>
      </c>
      <c r="CR197" s="691">
        <f>SUM(CN197:CQ197)</f>
        <v>507.97924999999998</v>
      </c>
      <c r="CS197" s="695">
        <f>(CS194*CS191)/1000</f>
        <v>175.95</v>
      </c>
      <c r="CT197" s="695">
        <f>(CT194*CT191)/1000</f>
        <v>151.67166</v>
      </c>
      <c r="CU197" s="695">
        <f>(CU194*CU191)/1000</f>
        <v>242.40413184599998</v>
      </c>
      <c r="CV197" s="695">
        <f>(CV194*CV191)/1000</f>
        <v>340.01804265787081</v>
      </c>
      <c r="CW197" s="691">
        <f>SUM(CS197:CV197)</f>
        <v>910.04383450387081</v>
      </c>
      <c r="CX197" s="695">
        <f>(CX194*CX191)/1000</f>
        <v>222.3794</v>
      </c>
      <c r="CY197" s="695">
        <f>(CY194*CY191)/1000</f>
        <v>256.92509999999999</v>
      </c>
      <c r="CZ197" s="695">
        <f>(CZ194*CZ191)/1000</f>
        <v>365.01390000000004</v>
      </c>
      <c r="DA197" s="695">
        <f>(DA194*DA191)/1000</f>
        <v>376.37365</v>
      </c>
      <c r="DB197" s="691">
        <f>SUM(CX197:DA197)</f>
        <v>1220.6920500000001</v>
      </c>
      <c r="DC197" s="695">
        <f>(DC194*DC191)/1000</f>
        <v>288.70784000000003</v>
      </c>
      <c r="DD197" s="695">
        <f>(DD194*DD191)/1000</f>
        <v>267.51749999999998</v>
      </c>
      <c r="DE197" s="695">
        <f>(DE194*DE191)/1000</f>
        <v>310.14754999999997</v>
      </c>
      <c r="DF197" s="695">
        <f>(DF194*DF191)/1000</f>
        <v>194.42595</v>
      </c>
      <c r="DG197" s="691">
        <f>SUM(DC197:DF197)</f>
        <v>1060.7988399999999</v>
      </c>
      <c r="DH197" s="695">
        <f>(DH194*DH191)/1000</f>
        <v>224.77</v>
      </c>
      <c r="DI197" s="695">
        <f>(DI194*DI191)/1000</f>
        <v>179.54464999999999</v>
      </c>
      <c r="DJ197" s="695">
        <f>(DJ194*DJ191)/1000</f>
        <v>222.61299000000002</v>
      </c>
      <c r="DK197" s="695">
        <f>(DK194*DK191)/1000</f>
        <v>247.22222499999998</v>
      </c>
      <c r="DL197" s="691">
        <f>SUM(DH197:DK197)</f>
        <v>874.14986500000009</v>
      </c>
      <c r="DM197" s="695">
        <f>(DM194*DM191)/1000</f>
        <v>243.31945000000002</v>
      </c>
      <c r="DN197" s="695">
        <f>(DN194*DN191)/1000</f>
        <v>301.59340000000003</v>
      </c>
      <c r="DO197" s="695">
        <f>(DO194*DO191)/1000</f>
        <v>312.30455000000001</v>
      </c>
      <c r="DP197" s="695">
        <f>(DP194*DP191)/1000</f>
        <v>295.22384999999997</v>
      </c>
      <c r="DQ197" s="691">
        <f>SUM(DM197:DP197)</f>
        <v>1152.4412499999999</v>
      </c>
      <c r="DR197" s="695">
        <f>DR191*DR194/1000</f>
        <v>259.68775000000005</v>
      </c>
      <c r="DS197" s="695">
        <f>(DS194*DS191)/1000</f>
        <v>309.4665</v>
      </c>
      <c r="DT197" s="695">
        <f>DT191*DT194/1000</f>
        <v>431.36149999999998</v>
      </c>
      <c r="DU197" s="695">
        <f>DU191*DU194/1000</f>
        <v>435.67804999999993</v>
      </c>
      <c r="DV197" s="691">
        <f>SUM(DR197:DU197)</f>
        <v>1436.1938</v>
      </c>
      <c r="DW197" s="695">
        <f>DW191*DW194/1000</f>
        <v>412.46533999999997</v>
      </c>
      <c r="DX197" s="695">
        <f>(DX194*DX191)/1000</f>
        <v>371.82817000000006</v>
      </c>
      <c r="DY197" s="695">
        <f>DY191*DY194/1000</f>
        <v>327.38014999999996</v>
      </c>
      <c r="DZ197" s="695">
        <f>DZ191*DZ194/1000</f>
        <v>268.23069999999996</v>
      </c>
      <c r="EA197" s="691">
        <f>SUM(DW197:DZ197)</f>
        <v>1379.90436</v>
      </c>
      <c r="EB197" s="695">
        <f>EB191*EB194/1000</f>
        <v>251.14680000000001</v>
      </c>
      <c r="EC197" s="695">
        <f>EC191*EC194/1000</f>
        <v>311.84625</v>
      </c>
      <c r="ED197" s="695">
        <f>ED191*ED194/1000</f>
        <v>277.14120000000003</v>
      </c>
      <c r="EE197" s="695">
        <f>EE191*EE194/1000</f>
        <v>188.44080000000002</v>
      </c>
      <c r="EF197" s="691">
        <f>SUM(EB197:EE197)</f>
        <v>1028.5750500000001</v>
      </c>
      <c r="EG197" s="695">
        <f>EG191*EG194/1000</f>
        <v>203.84535</v>
      </c>
      <c r="EH197" s="695">
        <f>EH191*EH194/1000</f>
        <v>280.80189999999999</v>
      </c>
      <c r="EI197" s="695">
        <f>EI191*EI194/1000</f>
        <v>263.71820499999995</v>
      </c>
      <c r="EJ197" s="695">
        <f>EJ191*EJ194/1000</f>
        <v>301.64499999999998</v>
      </c>
      <c r="EK197" s="691">
        <f>SUM(EG197:EJ197)</f>
        <v>1050.0104549999999</v>
      </c>
      <c r="EL197" s="695">
        <f>EL191*EL194/1000</f>
        <v>242.566565</v>
      </c>
      <c r="EM197" s="695">
        <f>EM191*EM194/1000</f>
        <v>104.72491500000001</v>
      </c>
      <c r="EN197" s="695">
        <f>EN191*EN194/1000</f>
        <v>100.04902529800307</v>
      </c>
      <c r="EO197" s="695">
        <f>EO191*EO194/1000</f>
        <v>97.897971254096021</v>
      </c>
      <c r="EP197" s="691">
        <f>SUM(EL197:EO197)</f>
        <v>545.23847655209909</v>
      </c>
      <c r="EQ197" s="695">
        <f>EQ191*EQ194/1000</f>
        <v>97.809863079967329</v>
      </c>
      <c r="ER197" s="695">
        <f>ER191*ER194/1000</f>
        <v>105.78136692098465</v>
      </c>
      <c r="ES197" s="695">
        <f>ES191*ES194/1000</f>
        <v>113.24953142560618</v>
      </c>
      <c r="ET197" s="695">
        <f>ET191*ET194/1000</f>
        <v>116.64701736837436</v>
      </c>
      <c r="EU197" s="691">
        <f>SUM(EQ197:ET197)</f>
        <v>433.48777879493252</v>
      </c>
      <c r="EV197" s="668"/>
      <c r="EW197" s="668"/>
      <c r="EX197" s="668"/>
      <c r="EY197" s="668"/>
      <c r="EZ197" s="668"/>
      <c r="FA197" s="668"/>
      <c r="FB197" s="668"/>
      <c r="FC197" s="668"/>
      <c r="FD197" s="668"/>
      <c r="FE197" s="668"/>
      <c r="FF197" s="668"/>
      <c r="FG197" s="668"/>
      <c r="FH197" s="668"/>
      <c r="FI197" s="668"/>
      <c r="FJ197" s="668"/>
      <c r="FK197" s="668"/>
      <c r="FL197" s="668"/>
      <c r="FM197" s="668"/>
      <c r="FN197" s="668"/>
      <c r="FO197" s="668"/>
      <c r="FP197" s="668"/>
      <c r="FQ197" s="668"/>
      <c r="FR197" s="668"/>
      <c r="FS197" s="668"/>
      <c r="FT197" s="668"/>
      <c r="FU197" s="668"/>
      <c r="FV197" s="668"/>
      <c r="FW197" s="668"/>
      <c r="FX197" s="668"/>
      <c r="FY197" s="668"/>
      <c r="FZ197" s="668"/>
      <c r="GA197" s="668"/>
      <c r="GB197" s="668"/>
      <c r="GC197" s="668"/>
      <c r="GD197" s="668"/>
      <c r="GE197" s="668"/>
      <c r="GF197" s="668"/>
      <c r="GG197" s="668"/>
      <c r="GH197" s="668"/>
      <c r="GI197" s="668"/>
      <c r="GJ197" s="668"/>
      <c r="GK197" s="668"/>
      <c r="GL197" s="668"/>
      <c r="GM197" s="668"/>
      <c r="GN197" s="668"/>
      <c r="GO197" s="668"/>
      <c r="GP197" s="668"/>
      <c r="GQ197" s="668"/>
      <c r="GR197" s="668"/>
      <c r="GS197" s="668"/>
      <c r="GT197" s="668"/>
      <c r="GU197" s="668"/>
      <c r="GV197" s="668"/>
      <c r="GW197" s="668"/>
      <c r="GX197" s="668"/>
      <c r="GY197" s="668"/>
      <c r="GZ197" s="668"/>
      <c r="HA197" s="668"/>
      <c r="HB197" s="668"/>
      <c r="HC197" s="668"/>
      <c r="HD197" s="668"/>
      <c r="HE197" s="668"/>
      <c r="HF197" s="668"/>
      <c r="HG197" s="668"/>
      <c r="HH197" s="668"/>
      <c r="HI197" s="668"/>
      <c r="HJ197" s="668"/>
      <c r="HK197" s="668"/>
      <c r="HL197" s="668"/>
      <c r="HM197" s="668"/>
      <c r="HN197" s="668"/>
      <c r="HO197" s="542"/>
      <c r="HP197" s="696"/>
      <c r="HQ197" s="602"/>
      <c r="HR197" s="696"/>
      <c r="HS197" s="682"/>
      <c r="HT197" s="563"/>
      <c r="HU197" s="563"/>
      <c r="HV197" s="563"/>
      <c r="HW197" s="563"/>
      <c r="HX197" s="563"/>
    </row>
    <row r="198" spans="1:236" s="509" customFormat="1" hidden="1" outlineLevel="1">
      <c r="A198" s="509" t="s">
        <v>488</v>
      </c>
      <c r="L198" s="523"/>
      <c r="M198" s="523"/>
      <c r="N198" s="523"/>
      <c r="O198" s="523"/>
      <c r="P198" s="524"/>
      <c r="Q198" s="619"/>
      <c r="R198" s="619"/>
      <c r="S198" s="619"/>
      <c r="T198" s="619"/>
      <c r="U198" s="541"/>
      <c r="V198" s="619"/>
      <c r="W198" s="619"/>
      <c r="X198" s="619"/>
      <c r="Y198" s="619"/>
      <c r="Z198" s="541"/>
      <c r="AA198" s="619"/>
      <c r="AB198" s="619"/>
      <c r="AC198" s="619"/>
      <c r="AD198" s="619"/>
      <c r="AE198" s="541"/>
      <c r="AF198" s="523"/>
      <c r="AG198" s="523"/>
      <c r="AH198" s="523"/>
      <c r="AI198" s="523"/>
      <c r="AJ198" s="541"/>
      <c r="AK198" s="523"/>
      <c r="AL198" s="523"/>
      <c r="AM198" s="523"/>
      <c r="AN198" s="523"/>
      <c r="AO198" s="541"/>
      <c r="AP198" s="523"/>
      <c r="AQ198" s="523"/>
      <c r="AR198" s="523"/>
      <c r="AS198" s="523"/>
      <c r="AT198" s="541"/>
      <c r="AU198" s="523"/>
      <c r="AV198" s="523"/>
      <c r="AW198" s="523"/>
      <c r="AX198" s="523"/>
      <c r="AY198" s="541"/>
      <c r="AZ198" s="523"/>
      <c r="BA198" s="523"/>
      <c r="BB198" s="523"/>
      <c r="BC198" s="523"/>
      <c r="BD198" s="541"/>
      <c r="BE198" s="523"/>
      <c r="BF198" s="523"/>
      <c r="BG198" s="523"/>
      <c r="BH198" s="523"/>
      <c r="BI198" s="541"/>
      <c r="BJ198" s="523"/>
      <c r="BK198" s="523"/>
      <c r="BL198" s="523"/>
      <c r="BM198" s="523"/>
      <c r="BN198" s="541"/>
      <c r="BO198" s="523"/>
      <c r="BP198" s="523"/>
      <c r="BQ198" s="523"/>
      <c r="BR198" s="523"/>
      <c r="BS198" s="541"/>
      <c r="BT198" s="648" t="s">
        <v>199</v>
      </c>
      <c r="BU198" s="340">
        <f>(BU197/BT197)-1</f>
        <v>10.438615363928003</v>
      </c>
      <c r="BV198" s="340">
        <f>(BV197/BU197)-1</f>
        <v>0.2995717596480032</v>
      </c>
      <c r="BW198" s="340">
        <f>(BW197/BV197)-1</f>
        <v>-9.8196490330295205E-2</v>
      </c>
      <c r="BX198" s="648" t="s">
        <v>199</v>
      </c>
      <c r="BY198" s="340">
        <f>(BY197/BX197)-1</f>
        <v>-0.40318290913786758</v>
      </c>
      <c r="BZ198" s="340">
        <f>(BZ197/BY197)-1</f>
        <v>-0.12355212355212364</v>
      </c>
      <c r="CA198" s="340">
        <f>(CA197/BZ197)-1</f>
        <v>5.6832704364691011E-3</v>
      </c>
      <c r="CB198" s="340">
        <f>(CB197/CA197)-1</f>
        <v>-8.5888561646907502E-2</v>
      </c>
      <c r="CC198" s="648" t="s">
        <v>199</v>
      </c>
      <c r="CD198" s="340">
        <f>(CD197/CC197)-1</f>
        <v>-0.83330313462583805</v>
      </c>
      <c r="CE198" s="340">
        <f>(CE197/CD197)-1</f>
        <v>-0.138598047914818</v>
      </c>
      <c r="CF198" s="340">
        <f>(CF197/CE197)-1</f>
        <v>0.70220436753193227</v>
      </c>
      <c r="CG198" s="340">
        <f>(CG197/CF197)-1</f>
        <v>-3.105900151285923E-2</v>
      </c>
      <c r="CH198" s="648" t="s">
        <v>199</v>
      </c>
      <c r="CI198" s="340">
        <f>(CI197/CH197)-1</f>
        <v>-0.77252533180104554</v>
      </c>
      <c r="CJ198" s="340">
        <f>(CJ197/CI197)-1</f>
        <v>0.36838970693939577</v>
      </c>
      <c r="CK198" s="340">
        <f>(CK197/CJ197)-1</f>
        <v>0.14877459440800855</v>
      </c>
      <c r="CL198" s="340">
        <f>(CL197/CK197)-1</f>
        <v>6.1376463210702115E-2</v>
      </c>
      <c r="CM198" s="648" t="s">
        <v>199</v>
      </c>
      <c r="CN198" s="340">
        <f>(CN197/CL197)-1</f>
        <v>8.0167893454124783E-2</v>
      </c>
      <c r="CO198" s="340">
        <f>(CO197/CN197)-1</f>
        <v>0.11851176571135547</v>
      </c>
      <c r="CP198" s="340">
        <f>(CP197/CO197)-1</f>
        <v>0.46675411339208384</v>
      </c>
      <c r="CQ198" s="340">
        <f>(CQ197/CP197)-1</f>
        <v>0.23706972148566452</v>
      </c>
      <c r="CR198" s="648" t="s">
        <v>199</v>
      </c>
      <c r="CS198" s="340">
        <f>(CS197/CQ197)-1</f>
        <v>-1.2071869736103302E-2</v>
      </c>
      <c r="CT198" s="340">
        <f>(CT197/CS197)-1</f>
        <v>-0.13798431372549014</v>
      </c>
      <c r="CU198" s="340">
        <f>(CU197/CT197)-1</f>
        <v>0.59821638298150082</v>
      </c>
      <c r="CV198" s="340">
        <f>(CV197/CU197)-1</f>
        <v>0.40269078777042133</v>
      </c>
      <c r="CW198" s="648" t="s">
        <v>199</v>
      </c>
      <c r="CX198" s="340">
        <f>(CX197/CV197)-1</f>
        <v>-0.34597764794569996</v>
      </c>
      <c r="CY198" s="340">
        <f>(CY197/CX197)-1</f>
        <v>0.15534577393409643</v>
      </c>
      <c r="CZ198" s="340">
        <f>(CZ197/CY197)-1</f>
        <v>0.42070159746945723</v>
      </c>
      <c r="DA198" s="340">
        <f>(DA197/CZ197)-1</f>
        <v>3.1121417567933518E-2</v>
      </c>
      <c r="DB198" s="648" t="s">
        <v>199</v>
      </c>
      <c r="DC198" s="340">
        <f>(DC197/DA197)-1</f>
        <v>-0.23292228348079091</v>
      </c>
      <c r="DD198" s="340">
        <f>(DD197/DC197)-1</f>
        <v>-7.3397175497555089E-2</v>
      </c>
      <c r="DE198" s="340">
        <f>(DE197/DD197)-1</f>
        <v>0.15935424785294416</v>
      </c>
      <c r="DF198" s="340">
        <f>(DF197/DE197)-1</f>
        <v>-0.37311789179053645</v>
      </c>
      <c r="DG198" s="648" t="s">
        <v>199</v>
      </c>
      <c r="DH198" s="340">
        <f>(DH197/DF197)-1</f>
        <v>0.15606995876836405</v>
      </c>
      <c r="DI198" s="340">
        <f>(DI197/DH197)-1</f>
        <v>-0.20120723406148511</v>
      </c>
      <c r="DJ198" s="340">
        <f>(DJ197/DI197)-1</f>
        <v>0.2398753736187631</v>
      </c>
      <c r="DK198" s="340">
        <f>(DK197/DJ197)-1</f>
        <v>0.1105471652844694</v>
      </c>
      <c r="DL198" s="648" t="s">
        <v>199</v>
      </c>
      <c r="DM198" s="340">
        <f>(DM197/DK197)-1</f>
        <v>-1.5786505440600895E-2</v>
      </c>
      <c r="DN198" s="340">
        <f>(DN197/DM197)-1</f>
        <v>0.2394956506765078</v>
      </c>
      <c r="DO198" s="340">
        <f>(DO197/DN197)-1</f>
        <v>3.5515200266318825E-2</v>
      </c>
      <c r="DP198" s="340">
        <f>(DP197/DO197)-1</f>
        <v>-5.4692446843954245E-2</v>
      </c>
      <c r="DQ198" s="648" t="s">
        <v>199</v>
      </c>
      <c r="DR198" s="340">
        <f>(DR197/DP197)-1</f>
        <v>-0.12037001753076493</v>
      </c>
      <c r="DS198" s="340">
        <f>(DS197/DR197)-1</f>
        <v>0.19168693941088844</v>
      </c>
      <c r="DT198" s="340">
        <f>(DT197/DS197)-1</f>
        <v>0.39388754517855729</v>
      </c>
      <c r="DU198" s="340">
        <f>(DU197/DT197)-1</f>
        <v>1.0006804037912431E-2</v>
      </c>
      <c r="DV198" s="648" t="s">
        <v>199</v>
      </c>
      <c r="DW198" s="340">
        <f>(DW197/DU197)-1</f>
        <v>-5.3279503064246558E-2</v>
      </c>
      <c r="DX198" s="340">
        <f>(DX197/DW197)-1</f>
        <v>-9.8522629804482231E-2</v>
      </c>
      <c r="DY198" s="340">
        <f>(DY197/DX197)-1</f>
        <v>-0.11953914088865325</v>
      </c>
      <c r="DZ198" s="340">
        <f>(DZ197/DY197)-1</f>
        <v>-0.18067512645467354</v>
      </c>
      <c r="EA198" s="648" t="s">
        <v>199</v>
      </c>
      <c r="EB198" s="340">
        <f>(EB197/DZ197)-1</f>
        <v>-6.3691068919403904E-2</v>
      </c>
      <c r="EC198" s="340">
        <f>(EC197/EB197)-1</f>
        <v>0.24168912365198358</v>
      </c>
      <c r="ED198" s="340">
        <f>(ED197/EC197)-1</f>
        <v>-0.11128897653891934</v>
      </c>
      <c r="EE198" s="340">
        <f>(EE197/ED197)-1</f>
        <v>-0.32005490342107201</v>
      </c>
      <c r="EF198" s="648" t="s">
        <v>199</v>
      </c>
      <c r="EG198" s="340">
        <f>(EG197/EE197)-1</f>
        <v>8.1747424124711587E-2</v>
      </c>
      <c r="EH198" s="340">
        <f>(EH197/EG197)-1</f>
        <v>0.37752418684066136</v>
      </c>
      <c r="EI198" s="342">
        <f>(EI197/EH197)-1</f>
        <v>-6.0838957998503695E-2</v>
      </c>
      <c r="EJ198" s="340">
        <f>(EJ197/EI197)-1</f>
        <v>0.14381561181944202</v>
      </c>
      <c r="EK198" s="648" t="s">
        <v>199</v>
      </c>
      <c r="EL198" s="340">
        <f>(EL197/EJ197)-1</f>
        <v>-0.19585418289711409</v>
      </c>
      <c r="EM198" s="340">
        <f>(EM197/EL197)-1</f>
        <v>-0.56826318994128466</v>
      </c>
      <c r="EN198" s="340">
        <f>(EN197/EM197)-1</f>
        <v>-4.464925755248339E-2</v>
      </c>
      <c r="EO198" s="340">
        <f>(EO197/EN197)-1</f>
        <v>-2.1499999999999853E-2</v>
      </c>
      <c r="EP198" s="648" t="s">
        <v>199</v>
      </c>
      <c r="EQ198" s="340">
        <f>(EQ197/EO197)-1</f>
        <v>-9.000000000000119E-4</v>
      </c>
      <c r="ER198" s="340">
        <f>(ER197/EQ197)-1</f>
        <v>8.1499999999999906E-2</v>
      </c>
      <c r="ES198" s="340">
        <f>(ES197/ER197)-1</f>
        <v>7.0599999999999996E-2</v>
      </c>
      <c r="ET198" s="340">
        <f>(ET197/ES197)-1</f>
        <v>3.0000000000000027E-2</v>
      </c>
      <c r="EU198" s="648" t="s">
        <v>199</v>
      </c>
      <c r="EV198" s="668"/>
      <c r="EW198" s="668"/>
      <c r="EX198" s="668"/>
      <c r="EY198" s="668"/>
      <c r="EZ198" s="668"/>
      <c r="FA198" s="668"/>
      <c r="FB198" s="668"/>
      <c r="FC198" s="668"/>
      <c r="FD198" s="668"/>
      <c r="FE198" s="668"/>
      <c r="FF198" s="668"/>
      <c r="FG198" s="668"/>
      <c r="FH198" s="668"/>
      <c r="FI198" s="668"/>
      <c r="FJ198" s="668"/>
      <c r="FK198" s="668"/>
      <c r="FL198" s="668"/>
      <c r="FM198" s="668"/>
      <c r="FN198" s="668"/>
      <c r="FO198" s="668"/>
      <c r="FP198" s="668"/>
      <c r="FQ198" s="668"/>
      <c r="FR198" s="668"/>
      <c r="FS198" s="668"/>
      <c r="FT198" s="668"/>
      <c r="FU198" s="668"/>
      <c r="FV198" s="668"/>
      <c r="FW198" s="668"/>
      <c r="FX198" s="668"/>
      <c r="FY198" s="668"/>
      <c r="FZ198" s="668"/>
      <c r="GA198" s="668"/>
      <c r="GB198" s="668"/>
      <c r="GC198" s="668"/>
      <c r="GD198" s="668"/>
      <c r="GE198" s="668"/>
      <c r="GF198" s="668"/>
      <c r="GG198" s="668"/>
      <c r="GH198" s="668"/>
      <c r="GI198" s="668"/>
      <c r="GJ198" s="668"/>
      <c r="GK198" s="668"/>
      <c r="GL198" s="668"/>
      <c r="GM198" s="668"/>
      <c r="GN198" s="668"/>
      <c r="GO198" s="668"/>
      <c r="GP198" s="668"/>
      <c r="GQ198" s="668"/>
      <c r="GR198" s="668"/>
      <c r="GS198" s="668"/>
      <c r="GT198" s="668"/>
      <c r="GU198" s="668"/>
      <c r="GV198" s="668"/>
      <c r="GW198" s="668"/>
      <c r="GX198" s="668"/>
      <c r="GY198" s="668"/>
      <c r="GZ198" s="668"/>
      <c r="HA198" s="668"/>
      <c r="HB198" s="668"/>
      <c r="HC198" s="668"/>
      <c r="HD198" s="668"/>
      <c r="HE198" s="668"/>
      <c r="HF198" s="668"/>
      <c r="HG198" s="668"/>
      <c r="HH198" s="668"/>
      <c r="HI198" s="668"/>
      <c r="HJ198" s="668"/>
      <c r="HK198" s="668"/>
      <c r="HL198" s="668"/>
      <c r="HM198" s="668"/>
      <c r="HN198" s="668"/>
      <c r="HO198" s="648"/>
      <c r="HP198" s="293"/>
      <c r="HQ198" s="342"/>
      <c r="HR198" s="293"/>
      <c r="HS198" s="677"/>
      <c r="HT198" s="563"/>
      <c r="HU198" s="563"/>
      <c r="HV198" s="563"/>
      <c r="HW198" s="563"/>
      <c r="HX198" s="563"/>
    </row>
    <row r="199" spans="1:236" s="509" customFormat="1" hidden="1" outlineLevel="1">
      <c r="A199" s="509" t="s">
        <v>489</v>
      </c>
      <c r="L199" s="523"/>
      <c r="M199" s="523"/>
      <c r="N199" s="523"/>
      <c r="O199" s="523"/>
      <c r="P199" s="524"/>
      <c r="Q199" s="619"/>
      <c r="R199" s="619"/>
      <c r="S199" s="619"/>
      <c r="T199" s="619"/>
      <c r="U199" s="541"/>
      <c r="V199" s="619"/>
      <c r="W199" s="619"/>
      <c r="X199" s="619"/>
      <c r="Y199" s="619"/>
      <c r="Z199" s="541"/>
      <c r="AA199" s="619"/>
      <c r="AB199" s="619"/>
      <c r="AC199" s="619"/>
      <c r="AD199" s="619"/>
      <c r="AE199" s="541"/>
      <c r="AF199" s="523"/>
      <c r="AG199" s="523"/>
      <c r="AH199" s="523"/>
      <c r="AI199" s="523"/>
      <c r="AJ199" s="541"/>
      <c r="AK199" s="523"/>
      <c r="AL199" s="523"/>
      <c r="AM199" s="523"/>
      <c r="AN199" s="523"/>
      <c r="AO199" s="541"/>
      <c r="AP199" s="523"/>
      <c r="AQ199" s="523"/>
      <c r="AR199" s="523"/>
      <c r="AS199" s="523"/>
      <c r="AT199" s="541"/>
      <c r="AU199" s="523"/>
      <c r="AV199" s="523"/>
      <c r="AW199" s="523"/>
      <c r="AX199" s="523"/>
      <c r="AY199" s="541"/>
      <c r="AZ199" s="523"/>
      <c r="BA199" s="523"/>
      <c r="BB199" s="523"/>
      <c r="BC199" s="523"/>
      <c r="BD199" s="541"/>
      <c r="BE199" s="523"/>
      <c r="BF199" s="523"/>
      <c r="BG199" s="523"/>
      <c r="BH199" s="523"/>
      <c r="BI199" s="541"/>
      <c r="BJ199" s="523"/>
      <c r="BK199" s="523"/>
      <c r="BL199" s="523"/>
      <c r="BM199" s="523"/>
      <c r="BN199" s="541"/>
      <c r="BO199" s="523"/>
      <c r="BP199" s="523"/>
      <c r="BQ199" s="523"/>
      <c r="BR199" s="523"/>
      <c r="BS199" s="541"/>
      <c r="BT199" s="648" t="s">
        <v>199</v>
      </c>
      <c r="BU199" s="648" t="s">
        <v>199</v>
      </c>
      <c r="BV199" s="648" t="s">
        <v>199</v>
      </c>
      <c r="BW199" s="648" t="s">
        <v>199</v>
      </c>
      <c r="BX199" s="648" t="s">
        <v>199</v>
      </c>
      <c r="BY199" s="340">
        <f t="shared" ref="BY199:EJ199" si="248">(BY197/BT197)-1</f>
        <v>23.296124120355252</v>
      </c>
      <c r="BZ199" s="340">
        <f t="shared" si="248"/>
        <v>0.86161399030441421</v>
      </c>
      <c r="CA199" s="340">
        <f t="shared" si="248"/>
        <v>0.44062383024291307</v>
      </c>
      <c r="CB199" s="340">
        <f t="shared" si="248"/>
        <v>0.46028564700465191</v>
      </c>
      <c r="CC199" s="321">
        <f t="shared" si="248"/>
        <v>1.1268180676392179</v>
      </c>
      <c r="CD199" s="340">
        <f t="shared" si="248"/>
        <v>-0.40595885988377456</v>
      </c>
      <c r="CE199" s="340">
        <f t="shared" si="248"/>
        <v>-0.41615672595510511</v>
      </c>
      <c r="CF199" s="340">
        <f t="shared" si="248"/>
        <v>-1.1795661469000907E-2</v>
      </c>
      <c r="CG199" s="340">
        <f t="shared" si="248"/>
        <v>4.7478084521784591E-2</v>
      </c>
      <c r="CH199" s="321">
        <f t="shared" si="248"/>
        <v>-0.20845243333789387</v>
      </c>
      <c r="CI199" s="340">
        <f t="shared" si="248"/>
        <v>8.0146406388642344E-2</v>
      </c>
      <c r="CJ199" s="340">
        <f t="shared" si="248"/>
        <v>0.71587865677791518</v>
      </c>
      <c r="CK199" s="340">
        <f t="shared" si="248"/>
        <v>0.15800302571860847</v>
      </c>
      <c r="CL199" s="340">
        <f t="shared" si="248"/>
        <v>0.26847471388199273</v>
      </c>
      <c r="CM199" s="321">
        <f t="shared" si="248"/>
        <v>0.27586319659533132</v>
      </c>
      <c r="CN199" s="340">
        <f t="shared" si="248"/>
        <v>0.80220976321031778</v>
      </c>
      <c r="CO199" s="340">
        <f t="shared" si="248"/>
        <v>0.47311311551680157</v>
      </c>
      <c r="CP199" s="340">
        <f t="shared" si="248"/>
        <v>0.88086917328595282</v>
      </c>
      <c r="CQ199" s="340">
        <f t="shared" si="248"/>
        <v>1.1922158489451271</v>
      </c>
      <c r="CR199" s="321">
        <f t="shared" si="248"/>
        <v>0.85998041082347765</v>
      </c>
      <c r="CS199" s="340">
        <f t="shared" si="248"/>
        <v>1.0050139593185574</v>
      </c>
      <c r="CT199" s="340">
        <f t="shared" si="248"/>
        <v>0.54522602007029697</v>
      </c>
      <c r="CU199" s="340">
        <f t="shared" si="248"/>
        <v>0.68372157141889667</v>
      </c>
      <c r="CV199" s="340">
        <f t="shared" si="248"/>
        <v>0.90914117157703989</v>
      </c>
      <c r="CW199" s="321">
        <f t="shared" si="248"/>
        <v>0.7914980474180211</v>
      </c>
      <c r="CX199" s="340">
        <f t="shared" si="248"/>
        <v>0.26387837453822116</v>
      </c>
      <c r="CY199" s="340">
        <f t="shared" si="248"/>
        <v>0.69395587811196879</v>
      </c>
      <c r="CZ199" s="340">
        <f t="shared" si="248"/>
        <v>0.50580725345017785</v>
      </c>
      <c r="DA199" s="340">
        <f t="shared" si="248"/>
        <v>0.10692258286631717</v>
      </c>
      <c r="DB199" s="321">
        <f t="shared" si="248"/>
        <v>0.3413552223728713</v>
      </c>
      <c r="DC199" s="340">
        <f t="shared" si="248"/>
        <v>0.29826701573976733</v>
      </c>
      <c r="DD199" s="340">
        <f t="shared" si="248"/>
        <v>4.1227579555286775E-2</v>
      </c>
      <c r="DE199" s="340">
        <f t="shared" si="248"/>
        <v>-0.15031304287316194</v>
      </c>
      <c r="DF199" s="340">
        <f t="shared" si="248"/>
        <v>-0.48342305578512201</v>
      </c>
      <c r="DG199" s="321">
        <f t="shared" si="248"/>
        <v>-0.13098570601815596</v>
      </c>
      <c r="DH199" s="340">
        <f t="shared" si="248"/>
        <v>-0.22146208429947734</v>
      </c>
      <c r="DI199" s="340">
        <f t="shared" si="248"/>
        <v>-0.32884895380676027</v>
      </c>
      <c r="DJ199" s="340">
        <f t="shared" si="248"/>
        <v>-0.28223521352981817</v>
      </c>
      <c r="DK199" s="340">
        <f t="shared" si="248"/>
        <v>0.27154952823941447</v>
      </c>
      <c r="DL199" s="321">
        <f t="shared" si="248"/>
        <v>-0.17595133776729988</v>
      </c>
      <c r="DM199" s="340">
        <f t="shared" si="248"/>
        <v>8.2526360279396638E-2</v>
      </c>
      <c r="DN199" s="340">
        <f t="shared" si="248"/>
        <v>0.67976823592348778</v>
      </c>
      <c r="DO199" s="340">
        <f t="shared" si="248"/>
        <v>0.40290353226916342</v>
      </c>
      <c r="DP199" s="340">
        <f t="shared" si="248"/>
        <v>0.19416387422287773</v>
      </c>
      <c r="DQ199" s="321">
        <f t="shared" si="248"/>
        <v>0.31835660696464174</v>
      </c>
      <c r="DR199" s="340">
        <f t="shared" si="248"/>
        <v>6.7270824424434661E-2</v>
      </c>
      <c r="DS199" s="340">
        <f t="shared" si="248"/>
        <v>2.6105014234396151E-2</v>
      </c>
      <c r="DT199" s="340">
        <f t="shared" si="248"/>
        <v>0.38122067065625509</v>
      </c>
      <c r="DU199" s="340">
        <f t="shared" si="248"/>
        <v>0.47575492291696619</v>
      </c>
      <c r="DV199" s="321">
        <f t="shared" si="248"/>
        <v>0.2462186684136829</v>
      </c>
      <c r="DW199" s="340">
        <f t="shared" si="248"/>
        <v>0.58831265625737017</v>
      </c>
      <c r="DX199" s="340">
        <f t="shared" si="248"/>
        <v>0.20151347561044597</v>
      </c>
      <c r="DY199" s="340">
        <f t="shared" si="248"/>
        <v>-0.24105384926563922</v>
      </c>
      <c r="DZ199" s="340">
        <f t="shared" si="248"/>
        <v>-0.3843373564493322</v>
      </c>
      <c r="EA199" s="321">
        <f t="shared" si="248"/>
        <v>-3.9193484890409636E-2</v>
      </c>
      <c r="EB199" s="340">
        <f t="shared" si="248"/>
        <v>-0.39110811104758514</v>
      </c>
      <c r="EC199" s="340">
        <f t="shared" si="248"/>
        <v>-0.16131623378616</v>
      </c>
      <c r="ED199" s="340">
        <f t="shared" si="248"/>
        <v>-0.15345753247409755</v>
      </c>
      <c r="EE199" s="340">
        <f t="shared" si="248"/>
        <v>-0.29746744127350055</v>
      </c>
      <c r="EF199" s="321">
        <f t="shared" si="248"/>
        <v>-0.25460410169296066</v>
      </c>
      <c r="EG199" s="340">
        <f t="shared" si="248"/>
        <v>-0.18834183831926199</v>
      </c>
      <c r="EH199" s="340">
        <f t="shared" si="248"/>
        <v>-9.9550178974414538E-2</v>
      </c>
      <c r="EI199" s="342">
        <f t="shared" si="248"/>
        <v>-4.8433776717428101E-2</v>
      </c>
      <c r="EJ199" s="340">
        <f t="shared" si="248"/>
        <v>0.60074145301866655</v>
      </c>
      <c r="EK199" s="321">
        <f t="shared" ref="EK199:EU199" si="249">(EK197/EF197)-1</f>
        <v>2.0839903709505503E-2</v>
      </c>
      <c r="EL199" s="340">
        <f t="shared" si="249"/>
        <v>0.18995387925208984</v>
      </c>
      <c r="EM199" s="340">
        <f t="shared" si="249"/>
        <v>-0.62705054702265184</v>
      </c>
      <c r="EN199" s="340">
        <f t="shared" si="249"/>
        <v>-0.62062146866954793</v>
      </c>
      <c r="EO199" s="340">
        <f t="shared" si="249"/>
        <v>-0.67545302838072563</v>
      </c>
      <c r="EP199" s="321">
        <f t="shared" si="249"/>
        <v>-0.4807304308678535</v>
      </c>
      <c r="EQ199" s="340">
        <f t="shared" si="249"/>
        <v>-0.59677104270340253</v>
      </c>
      <c r="ER199" s="340">
        <f t="shared" si="249"/>
        <v>1.0087875659623435E-2</v>
      </c>
      <c r="ES199" s="340">
        <f t="shared" si="249"/>
        <v>0.13194037711296502</v>
      </c>
      <c r="ET199" s="340">
        <f t="shared" si="249"/>
        <v>0.19151618643469992</v>
      </c>
      <c r="EU199" s="321">
        <f t="shared" si="249"/>
        <v>-0.20495746826937011</v>
      </c>
      <c r="EV199" s="668"/>
      <c r="EW199" s="668"/>
      <c r="EX199" s="668"/>
      <c r="EY199" s="668"/>
      <c r="EZ199" s="668"/>
      <c r="FA199" s="668"/>
      <c r="FB199" s="668"/>
      <c r="FC199" s="668"/>
      <c r="FD199" s="668"/>
      <c r="FE199" s="668"/>
      <c r="FF199" s="668"/>
      <c r="FG199" s="668"/>
      <c r="FH199" s="668"/>
      <c r="FI199" s="668"/>
      <c r="FJ199" s="668"/>
      <c r="FK199" s="668"/>
      <c r="FL199" s="668"/>
      <c r="FM199" s="668"/>
      <c r="FN199" s="668"/>
      <c r="FO199" s="668"/>
      <c r="FP199" s="668"/>
      <c r="FQ199" s="668"/>
      <c r="FR199" s="668"/>
      <c r="FS199" s="668"/>
      <c r="FT199" s="668"/>
      <c r="FU199" s="668"/>
      <c r="FV199" s="668"/>
      <c r="FW199" s="668"/>
      <c r="FX199" s="668"/>
      <c r="FY199" s="668"/>
      <c r="FZ199" s="668"/>
      <c r="GA199" s="668"/>
      <c r="GB199" s="668"/>
      <c r="GC199" s="668"/>
      <c r="GD199" s="668"/>
      <c r="GE199" s="668"/>
      <c r="GF199" s="668"/>
      <c r="GG199" s="668"/>
      <c r="GH199" s="668"/>
      <c r="GI199" s="668"/>
      <c r="GJ199" s="668"/>
      <c r="GK199" s="668"/>
      <c r="GL199" s="668"/>
      <c r="GM199" s="668"/>
      <c r="GN199" s="668"/>
      <c r="GO199" s="668"/>
      <c r="GP199" s="668"/>
      <c r="GQ199" s="668"/>
      <c r="GR199" s="668"/>
      <c r="GS199" s="668"/>
      <c r="GT199" s="668"/>
      <c r="GU199" s="668"/>
      <c r="GV199" s="668"/>
      <c r="GW199" s="668"/>
      <c r="GX199" s="668"/>
      <c r="GY199" s="668"/>
      <c r="GZ199" s="668"/>
      <c r="HA199" s="668"/>
      <c r="HB199" s="668"/>
      <c r="HC199" s="668"/>
      <c r="HD199" s="668"/>
      <c r="HE199" s="668"/>
      <c r="HF199" s="668"/>
      <c r="HG199" s="668"/>
      <c r="HH199" s="668"/>
      <c r="HI199" s="668"/>
      <c r="HJ199" s="668"/>
      <c r="HK199" s="668"/>
      <c r="HL199" s="668"/>
      <c r="HM199" s="668"/>
      <c r="HN199" s="668"/>
      <c r="HO199" s="344"/>
      <c r="HP199" s="293"/>
      <c r="HQ199" s="342"/>
      <c r="HR199" s="293"/>
      <c r="HS199" s="343"/>
      <c r="HT199" s="563"/>
      <c r="HU199" s="563"/>
      <c r="HV199" s="563"/>
      <c r="HW199" s="563"/>
      <c r="HX199" s="563"/>
    </row>
    <row r="200" spans="1:236" s="509" customFormat="1" hidden="1" outlineLevel="1">
      <c r="L200" s="523"/>
      <c r="M200" s="523"/>
      <c r="N200" s="523"/>
      <c r="O200" s="523"/>
      <c r="P200" s="524"/>
      <c r="Q200" s="619"/>
      <c r="R200" s="619"/>
      <c r="S200" s="619"/>
      <c r="T200" s="619"/>
      <c r="U200" s="541"/>
      <c r="V200" s="619"/>
      <c r="W200" s="619"/>
      <c r="X200" s="619"/>
      <c r="Y200" s="619"/>
      <c r="Z200" s="541"/>
      <c r="AA200" s="619"/>
      <c r="AB200" s="619"/>
      <c r="AC200" s="619"/>
      <c r="AD200" s="619"/>
      <c r="AE200" s="541"/>
      <c r="AF200" s="523"/>
      <c r="AG200" s="523"/>
      <c r="AH200" s="523"/>
      <c r="AI200" s="523"/>
      <c r="AJ200" s="541"/>
      <c r="AK200" s="523"/>
      <c r="AL200" s="523"/>
      <c r="AM200" s="523"/>
      <c r="AN200" s="523"/>
      <c r="AO200" s="541"/>
      <c r="AP200" s="523"/>
      <c r="AQ200" s="523"/>
      <c r="AR200" s="523"/>
      <c r="AS200" s="523"/>
      <c r="AT200" s="541"/>
      <c r="AU200" s="523"/>
      <c r="AV200" s="523"/>
      <c r="AW200" s="523"/>
      <c r="AX200" s="523"/>
      <c r="AY200" s="541"/>
      <c r="AZ200" s="523"/>
      <c r="BA200" s="523"/>
      <c r="BB200" s="523"/>
      <c r="BC200" s="523"/>
      <c r="BD200" s="541"/>
      <c r="BE200" s="523"/>
      <c r="BF200" s="523"/>
      <c r="BG200" s="523"/>
      <c r="BH200" s="523"/>
      <c r="BI200" s="541"/>
      <c r="BJ200" s="523"/>
      <c r="BK200" s="523"/>
      <c r="BL200" s="523"/>
      <c r="BM200" s="523"/>
      <c r="BN200" s="541"/>
      <c r="BO200" s="523"/>
      <c r="BP200" s="523"/>
      <c r="BQ200" s="523"/>
      <c r="BR200" s="523"/>
      <c r="BS200" s="541"/>
      <c r="BT200" s="648"/>
      <c r="BU200" s="648"/>
      <c r="BV200" s="648"/>
      <c r="BW200" s="648"/>
      <c r="BX200" s="648"/>
      <c r="BY200" s="340"/>
      <c r="BZ200" s="340"/>
      <c r="CA200" s="340"/>
      <c r="CB200" s="340"/>
      <c r="CC200" s="321"/>
      <c r="CD200" s="340"/>
      <c r="CE200" s="340"/>
      <c r="CF200" s="340"/>
      <c r="CG200" s="340"/>
      <c r="CH200" s="321"/>
      <c r="CI200" s="340"/>
      <c r="CJ200" s="340"/>
      <c r="CK200" s="340"/>
      <c r="CL200" s="340"/>
      <c r="CM200" s="321"/>
      <c r="CN200" s="340"/>
      <c r="CO200" s="340"/>
      <c r="CP200" s="340"/>
      <c r="CQ200" s="340"/>
      <c r="CR200" s="321"/>
      <c r="CS200" s="340"/>
      <c r="CT200" s="340"/>
      <c r="CU200" s="340"/>
      <c r="CV200" s="340"/>
      <c r="CW200" s="321"/>
      <c r="CX200" s="340"/>
      <c r="CY200" s="340"/>
      <c r="CZ200" s="340"/>
      <c r="DA200" s="340"/>
      <c r="DB200" s="321"/>
      <c r="DC200" s="340"/>
      <c r="DD200" s="340"/>
      <c r="DE200" s="340"/>
      <c r="DF200" s="340"/>
      <c r="DG200" s="321"/>
      <c r="DH200" s="340"/>
      <c r="DI200" s="340"/>
      <c r="DJ200" s="340"/>
      <c r="DK200" s="340"/>
      <c r="DL200" s="321"/>
      <c r="DM200" s="340"/>
      <c r="DN200" s="340"/>
      <c r="DO200" s="340"/>
      <c r="DP200" s="340"/>
      <c r="DQ200" s="321"/>
      <c r="DR200" s="340"/>
      <c r="DS200" s="340"/>
      <c r="DT200" s="340"/>
      <c r="DU200" s="340"/>
      <c r="DV200" s="321"/>
      <c r="DW200" s="340"/>
      <c r="DX200" s="340"/>
      <c r="DY200" s="340"/>
      <c r="DZ200" s="340"/>
      <c r="EA200" s="321"/>
      <c r="EB200" s="340"/>
      <c r="EC200" s="340"/>
      <c r="ED200" s="340"/>
      <c r="EE200" s="340"/>
      <c r="EF200" s="321"/>
      <c r="EG200" s="340"/>
      <c r="EH200" s="340"/>
      <c r="EI200" s="342"/>
      <c r="EJ200" s="340"/>
      <c r="EK200" s="321"/>
      <c r="EL200" s="340"/>
      <c r="EM200" s="340"/>
      <c r="EN200" s="340"/>
      <c r="EO200" s="340"/>
      <c r="EP200" s="321"/>
      <c r="EQ200" s="340"/>
      <c r="ER200" s="340"/>
      <c r="ES200" s="340"/>
      <c r="ET200" s="340"/>
      <c r="EU200" s="321"/>
      <c r="EV200" s="668"/>
      <c r="EW200" s="668"/>
      <c r="EX200" s="668"/>
      <c r="EY200" s="668"/>
      <c r="EZ200" s="668"/>
      <c r="FA200" s="668"/>
      <c r="FB200" s="668"/>
      <c r="FC200" s="668"/>
      <c r="FD200" s="668"/>
      <c r="FE200" s="668"/>
      <c r="FF200" s="668"/>
      <c r="FG200" s="668"/>
      <c r="FH200" s="668"/>
      <c r="FI200" s="668"/>
      <c r="FJ200" s="668"/>
      <c r="FK200" s="668"/>
      <c r="FL200" s="668"/>
      <c r="FM200" s="668"/>
      <c r="FN200" s="668"/>
      <c r="FO200" s="668"/>
      <c r="FP200" s="668"/>
      <c r="FQ200" s="668"/>
      <c r="FR200" s="668"/>
      <c r="FS200" s="668"/>
      <c r="FT200" s="668"/>
      <c r="FU200" s="668"/>
      <c r="FV200" s="668"/>
      <c r="FW200" s="668"/>
      <c r="FX200" s="668"/>
      <c r="FY200" s="668"/>
      <c r="FZ200" s="668"/>
      <c r="GA200" s="668"/>
      <c r="GB200" s="668"/>
      <c r="GC200" s="668"/>
      <c r="GD200" s="668"/>
      <c r="GE200" s="668"/>
      <c r="GF200" s="668"/>
      <c r="GG200" s="668"/>
      <c r="GH200" s="668"/>
      <c r="GI200" s="668"/>
      <c r="GJ200" s="668"/>
      <c r="GK200" s="668"/>
      <c r="GL200" s="668"/>
      <c r="GM200" s="668"/>
      <c r="GN200" s="668"/>
      <c r="GO200" s="668"/>
      <c r="GP200" s="668"/>
      <c r="GQ200" s="668"/>
      <c r="GR200" s="668"/>
      <c r="GS200" s="668"/>
      <c r="GT200" s="668"/>
      <c r="GU200" s="668"/>
      <c r="GV200" s="668"/>
      <c r="GW200" s="668"/>
      <c r="GX200" s="668"/>
      <c r="GY200" s="668"/>
      <c r="GZ200" s="668"/>
      <c r="HA200" s="668"/>
      <c r="HB200" s="668"/>
      <c r="HC200" s="668"/>
      <c r="HD200" s="668"/>
      <c r="HE200" s="668"/>
      <c r="HF200" s="668"/>
      <c r="HG200" s="668"/>
      <c r="HH200" s="668"/>
      <c r="HI200" s="668"/>
      <c r="HJ200" s="668"/>
      <c r="HK200" s="668"/>
      <c r="HL200" s="668"/>
      <c r="HM200" s="668"/>
      <c r="HN200" s="668"/>
      <c r="HO200" s="344"/>
      <c r="HP200" s="293"/>
      <c r="HQ200" s="342"/>
      <c r="HR200" s="293"/>
      <c r="HS200" s="343"/>
      <c r="HT200" s="563"/>
      <c r="HU200" s="563"/>
      <c r="HV200" s="563"/>
      <c r="HW200" s="563"/>
      <c r="HX200" s="563"/>
    </row>
    <row r="201" spans="1:236" s="539" customFormat="1" hidden="1" outlineLevel="1">
      <c r="A201" s="697" t="s">
        <v>494</v>
      </c>
      <c r="B201" s="698"/>
      <c r="C201" s="698"/>
      <c r="D201" s="698"/>
      <c r="E201" s="698"/>
      <c r="F201" s="698"/>
      <c r="G201" s="698"/>
      <c r="H201" s="698"/>
      <c r="I201" s="698"/>
      <c r="J201" s="698"/>
      <c r="K201" s="698"/>
      <c r="L201" s="698"/>
      <c r="M201" s="698"/>
      <c r="N201" s="698"/>
      <c r="O201" s="698"/>
      <c r="P201" s="698"/>
      <c r="Q201" s="698"/>
      <c r="R201" s="698"/>
      <c r="S201" s="698"/>
      <c r="T201" s="698"/>
      <c r="U201" s="698"/>
      <c r="V201" s="698"/>
      <c r="W201" s="698"/>
      <c r="X201" s="698"/>
      <c r="Y201" s="698"/>
      <c r="Z201" s="698"/>
      <c r="AA201" s="698"/>
      <c r="AB201" s="698"/>
      <c r="AC201" s="698"/>
      <c r="AD201" s="698"/>
      <c r="AE201" s="698"/>
      <c r="AF201" s="698"/>
      <c r="AG201" s="698"/>
      <c r="AH201" s="698"/>
      <c r="AI201" s="698"/>
      <c r="AJ201" s="698"/>
      <c r="AK201" s="698"/>
      <c r="AL201" s="698"/>
      <c r="AM201" s="698"/>
      <c r="AN201" s="698"/>
      <c r="AO201" s="699"/>
      <c r="AP201" s="698"/>
      <c r="AQ201" s="698"/>
      <c r="AR201" s="698"/>
      <c r="AS201" s="698"/>
      <c r="AT201" s="699"/>
      <c r="AU201" s="698"/>
      <c r="AV201" s="698"/>
      <c r="AW201" s="698"/>
      <c r="AX201" s="698"/>
      <c r="AY201" s="699"/>
      <c r="AZ201" s="698"/>
      <c r="BA201" s="698"/>
      <c r="BB201" s="698"/>
      <c r="BC201" s="698"/>
      <c r="BD201" s="699"/>
      <c r="BE201" s="698"/>
      <c r="BF201" s="698"/>
      <c r="BG201" s="698"/>
      <c r="BH201" s="698"/>
      <c r="BI201" s="699"/>
      <c r="BJ201" s="698"/>
      <c r="BK201" s="698"/>
      <c r="BL201" s="698"/>
      <c r="BM201" s="698"/>
      <c r="BN201" s="699"/>
      <c r="BO201" s="698"/>
      <c r="BP201" s="698"/>
      <c r="BQ201" s="698"/>
      <c r="BR201" s="698"/>
      <c r="BS201" s="699"/>
      <c r="BT201" s="700">
        <f>+BT197+BT187</f>
        <v>661</v>
      </c>
      <c r="BU201" s="700">
        <f>+BU197+BU187</f>
        <v>587.37</v>
      </c>
      <c r="BV201" s="700">
        <f>+BV197+BV187</f>
        <v>460.52199999999999</v>
      </c>
      <c r="BW201" s="700">
        <f>+BW197+BW187</f>
        <v>692.31934000000001</v>
      </c>
      <c r="BX201" s="699">
        <f>SUM(BT201:BW201)</f>
        <v>2401.2113399999998</v>
      </c>
      <c r="BY201" s="700">
        <f>+BY197+BY187</f>
        <v>666.60000000000014</v>
      </c>
      <c r="BZ201" s="700">
        <f>+BZ197+BZ187</f>
        <v>371.17700000000002</v>
      </c>
      <c r="CA201" s="700">
        <f>+CA197+CA187</f>
        <v>253.15499999999997</v>
      </c>
      <c r="CB201" s="700">
        <f>+CB197+CB187</f>
        <v>410.94799999999998</v>
      </c>
      <c r="CC201" s="699">
        <f>SUM(BY201:CB201)</f>
        <v>1701.88</v>
      </c>
      <c r="CD201" s="700">
        <f>+CD197+CD187</f>
        <v>458.76600000000002</v>
      </c>
      <c r="CE201" s="700">
        <f>+CE197+CE187</f>
        <v>396.73599999999999</v>
      </c>
      <c r="CF201" s="700">
        <f>+CF197+CF187</f>
        <v>487.66699999999992</v>
      </c>
      <c r="CG201" s="700">
        <f>+CG197+CG187</f>
        <v>558.92999999999995</v>
      </c>
      <c r="CH201" s="699">
        <f>SUM(CD201:CG201)</f>
        <v>1902.0989999999997</v>
      </c>
      <c r="CI201" s="700">
        <f>+CI197+CI187</f>
        <v>527.74900000000002</v>
      </c>
      <c r="CJ201" s="700">
        <f>+CJ197+CJ187</f>
        <v>489.93600000000004</v>
      </c>
      <c r="CK201" s="700">
        <f>+CK197+CK187</f>
        <v>612.33100000000002</v>
      </c>
      <c r="CL201" s="700">
        <f>+CL197+CL187</f>
        <v>649.91499999999996</v>
      </c>
      <c r="CM201" s="699">
        <f>SUM(CI201:CL201)</f>
        <v>2279.931</v>
      </c>
      <c r="CN201" s="700">
        <f>+CN197+CN187</f>
        <v>663.98300000000006</v>
      </c>
      <c r="CO201" s="700">
        <f>+CO197+CO187</f>
        <v>600.47500000000002</v>
      </c>
      <c r="CP201" s="700">
        <f>+CP197+CP187</f>
        <v>787.49225000000013</v>
      </c>
      <c r="CQ201" s="700">
        <f>+CQ197+CQ187</f>
        <v>1052.4949999999999</v>
      </c>
      <c r="CR201" s="699">
        <f>SUM(CN201:CQ201)</f>
        <v>3104.4452500000002</v>
      </c>
      <c r="CS201" s="700">
        <f>+CS197+CS187</f>
        <v>1024.25</v>
      </c>
      <c r="CT201" s="700">
        <f>+CT197+CT187</f>
        <v>839.63616000000002</v>
      </c>
      <c r="CU201" s="700">
        <f>+CU197+CU187</f>
        <v>923.57498240849986</v>
      </c>
      <c r="CV201" s="700">
        <f>+CV197+CV187</f>
        <v>1093.1545935822987</v>
      </c>
      <c r="CW201" s="699">
        <f>SUM(CS201:CV201)</f>
        <v>3880.6157359907984</v>
      </c>
      <c r="CX201" s="700">
        <f>+CX197+CX187</f>
        <v>619.42862500000001</v>
      </c>
      <c r="CY201" s="700">
        <f>+CY197+CY187</f>
        <v>782.43096999999989</v>
      </c>
      <c r="CZ201" s="700">
        <f>+CZ197+CZ187</f>
        <v>965.97523999999999</v>
      </c>
      <c r="DA201" s="700">
        <f>+DA197+DA187</f>
        <v>1081.1219999999998</v>
      </c>
      <c r="DB201" s="699">
        <f>SUM(CX201:DA201)</f>
        <v>3448.9568349999995</v>
      </c>
      <c r="DC201" s="700">
        <f>+DC197+DC187</f>
        <v>894.51152000000013</v>
      </c>
      <c r="DD201" s="700">
        <f>+DD197+DD187</f>
        <v>809.93444999999997</v>
      </c>
      <c r="DE201" s="700">
        <f>+DE197+DE187</f>
        <v>853.60897</v>
      </c>
      <c r="DF201" s="700">
        <f>+DF197+DF187</f>
        <v>634.45754999999997</v>
      </c>
      <c r="DG201" s="699">
        <f>SUM(DC201:DF201)</f>
        <v>3192.5124900000001</v>
      </c>
      <c r="DH201" s="700">
        <f>+DH197+DH187</f>
        <v>706.53580000000011</v>
      </c>
      <c r="DI201" s="700">
        <f>+DI197+DI187</f>
        <v>669.65470000000005</v>
      </c>
      <c r="DJ201" s="700">
        <f>+DJ197+DJ187</f>
        <v>750.62068999999997</v>
      </c>
      <c r="DK201" s="700">
        <f>+DK197+DK187</f>
        <v>834.80157499999996</v>
      </c>
      <c r="DL201" s="699">
        <f>SUM(DH201:DK201)</f>
        <v>2961.6127650000003</v>
      </c>
      <c r="DM201" s="700">
        <f>+DM197+DM187</f>
        <v>796.35494999999992</v>
      </c>
      <c r="DN201" s="700">
        <f>+DN197+DN187</f>
        <v>832.12509999999997</v>
      </c>
      <c r="DO201" s="700">
        <f>+DO197+DO187</f>
        <v>852.34265000000005</v>
      </c>
      <c r="DP201" s="700">
        <f>+DP197+DP187</f>
        <v>869.83317499999987</v>
      </c>
      <c r="DQ201" s="699">
        <f>SUM(DM201:DP201)</f>
        <v>3350.6558749999995</v>
      </c>
      <c r="DR201" s="700">
        <f>+DR197+DR187</f>
        <v>858.18480000000011</v>
      </c>
      <c r="DS201" s="700">
        <f>+DS197+DS187</f>
        <v>883.84789000000001</v>
      </c>
      <c r="DT201" s="700">
        <f>+DT197+DT187</f>
        <v>943.04649999999992</v>
      </c>
      <c r="DU201" s="700">
        <f>+DU197+DU187</f>
        <v>916.5470499999999</v>
      </c>
      <c r="DV201" s="699">
        <f>SUM(DR201:DU201)</f>
        <v>3601.6262399999996</v>
      </c>
      <c r="DW201" s="700">
        <f>+DW197+DW187</f>
        <v>863.80918999999994</v>
      </c>
      <c r="DX201" s="700">
        <f>+DX197+DX187</f>
        <v>751.46407000000011</v>
      </c>
      <c r="DY201" s="700">
        <f>+DY197+DY187</f>
        <v>651.84014999999999</v>
      </c>
      <c r="DZ201" s="700">
        <f>+DZ197+DZ187</f>
        <v>586.55724999999995</v>
      </c>
      <c r="EA201" s="699">
        <f>SUM(DW201:DZ201)</f>
        <v>2853.6706599999998</v>
      </c>
      <c r="EB201" s="700">
        <f>+EB197+EB187</f>
        <v>528.84029999999996</v>
      </c>
      <c r="EC201" s="700">
        <f>+EC197+EC187</f>
        <v>622.76749999999993</v>
      </c>
      <c r="ED201" s="700">
        <f>+ED197+ED187</f>
        <v>609.16869999999994</v>
      </c>
      <c r="EE201" s="700">
        <f>+EE197+EE187</f>
        <v>551.44634999999994</v>
      </c>
      <c r="EF201" s="699">
        <f>SUM(EB201:EE201)</f>
        <v>2312.2228499999997</v>
      </c>
      <c r="EG201" s="700">
        <f>+EG197+EG187</f>
        <v>525.52614999999992</v>
      </c>
      <c r="EH201" s="700">
        <f>+EH197+EH187</f>
        <v>570.73949999999991</v>
      </c>
      <c r="EI201" s="700">
        <f>+EI197+EI187</f>
        <v>591.77665499999989</v>
      </c>
      <c r="EJ201" s="700">
        <f>+EJ197+EJ187</f>
        <v>511.73034165738159</v>
      </c>
      <c r="EK201" s="699">
        <f>SUM(EG201:EJ201)</f>
        <v>2199.7726466573813</v>
      </c>
      <c r="EL201" s="700">
        <f>+EL197+EL187</f>
        <v>387.840915</v>
      </c>
      <c r="EM201" s="700">
        <f>+EM197+EM187</f>
        <v>256.96301500000004</v>
      </c>
      <c r="EN201" s="700">
        <f>+EN197+EN187</f>
        <v>268.01075942933005</v>
      </c>
      <c r="EO201" s="700">
        <f>+EO197+EO187</f>
        <v>272.57817475067606</v>
      </c>
      <c r="EP201" s="699">
        <f>SUM(EL201:EO201)</f>
        <v>1185.3928641800062</v>
      </c>
      <c r="EQ201" s="700">
        <f>+EQ197+EQ187</f>
        <v>272.33285439340045</v>
      </c>
      <c r="ER201" s="700">
        <f>+ER197+ER187</f>
        <v>294.52798202646261</v>
      </c>
      <c r="ES201" s="700">
        <f>+ES197+ES187</f>
        <v>315.32165755753084</v>
      </c>
      <c r="ET201" s="700">
        <f>+ET197+ET187</f>
        <v>324.78130728425674</v>
      </c>
      <c r="EU201" s="699">
        <f>SUM(EQ201:ET201)</f>
        <v>1206.9638012616506</v>
      </c>
      <c r="EV201" s="668"/>
      <c r="EW201" s="668"/>
      <c r="EX201" s="668"/>
      <c r="EY201" s="668"/>
      <c r="EZ201" s="668"/>
      <c r="FA201" s="668"/>
      <c r="FB201" s="668"/>
      <c r="FC201" s="668"/>
      <c r="FD201" s="668"/>
      <c r="FE201" s="668"/>
      <c r="FF201" s="668"/>
      <c r="FG201" s="668"/>
      <c r="FH201" s="668"/>
      <c r="FI201" s="668"/>
      <c r="FJ201" s="668"/>
      <c r="FK201" s="668"/>
      <c r="FL201" s="668"/>
      <c r="FM201" s="668"/>
      <c r="FN201" s="668"/>
      <c r="FO201" s="668"/>
      <c r="FP201" s="668"/>
      <c r="FQ201" s="668"/>
      <c r="FR201" s="668"/>
      <c r="FS201" s="668"/>
      <c r="FT201" s="668"/>
      <c r="FU201" s="668"/>
      <c r="FV201" s="668"/>
      <c r="FW201" s="668"/>
      <c r="FX201" s="668"/>
      <c r="FY201" s="668"/>
      <c r="FZ201" s="668"/>
      <c r="GA201" s="668"/>
      <c r="GB201" s="668"/>
      <c r="GC201" s="668"/>
      <c r="GD201" s="668"/>
      <c r="GE201" s="668"/>
      <c r="GF201" s="668"/>
      <c r="GG201" s="668"/>
      <c r="GH201" s="668"/>
      <c r="GI201" s="668"/>
      <c r="GJ201" s="668"/>
      <c r="GK201" s="668"/>
      <c r="GL201" s="668"/>
      <c r="GM201" s="668"/>
      <c r="GN201" s="668"/>
      <c r="GO201" s="668"/>
      <c r="GP201" s="668"/>
      <c r="GQ201" s="668"/>
      <c r="GR201" s="668"/>
      <c r="GS201" s="668"/>
      <c r="GT201" s="668"/>
      <c r="GU201" s="668"/>
      <c r="GV201" s="668"/>
      <c r="GW201" s="668"/>
      <c r="GX201" s="668"/>
      <c r="GY201" s="668"/>
      <c r="GZ201" s="668"/>
      <c r="HA201" s="668"/>
      <c r="HB201" s="668"/>
      <c r="HC201" s="668"/>
      <c r="HD201" s="668"/>
      <c r="HE201" s="668"/>
      <c r="HF201" s="668"/>
      <c r="HG201" s="668"/>
      <c r="HH201" s="668"/>
      <c r="HI201" s="668"/>
      <c r="HJ201" s="668"/>
      <c r="HK201" s="668"/>
      <c r="HL201" s="668"/>
      <c r="HM201" s="668"/>
      <c r="HN201" s="668"/>
      <c r="HO201" s="542"/>
      <c r="HP201" s="606"/>
      <c r="HR201" s="606"/>
      <c r="HS201" s="606"/>
      <c r="HT201" s="606"/>
      <c r="HU201" s="606"/>
      <c r="HV201" s="606"/>
      <c r="HW201" s="606"/>
      <c r="HX201" s="606"/>
    </row>
    <row r="202" spans="1:236" s="509" customFormat="1" hidden="1" outlineLevel="1">
      <c r="A202" s="509" t="s">
        <v>488</v>
      </c>
      <c r="AO202" s="538"/>
      <c r="AT202" s="538"/>
      <c r="AY202" s="538"/>
      <c r="BD202" s="538"/>
      <c r="BI202" s="538"/>
      <c r="BN202" s="538"/>
      <c r="BS202" s="538"/>
      <c r="BX202" s="538"/>
      <c r="CC202" s="538"/>
      <c r="CH202" s="538"/>
      <c r="CM202" s="538"/>
      <c r="CV202" s="701"/>
      <c r="CW202" s="701"/>
      <c r="CX202" s="701" t="s">
        <v>199</v>
      </c>
      <c r="CY202" s="294">
        <f>(CY201/CX201)-1</f>
        <v>0.26314951944624765</v>
      </c>
      <c r="CZ202" s="294">
        <f>(CZ201/CY201)-1</f>
        <v>0.23458206159707617</v>
      </c>
      <c r="DA202" s="294">
        <f>(DA201/CZ201)-1</f>
        <v>0.11920259985131687</v>
      </c>
      <c r="DB202" s="701" t="s">
        <v>199</v>
      </c>
      <c r="DC202" s="294">
        <f>(DC201/DA201)-1</f>
        <v>-0.17260816078111418</v>
      </c>
      <c r="DD202" s="294">
        <f>(DD201/DC201)-1</f>
        <v>-9.4551124394686603E-2</v>
      </c>
      <c r="DE202" s="294">
        <f>(DE201/DD201)-1</f>
        <v>5.3923524304960724E-2</v>
      </c>
      <c r="DF202" s="294">
        <f>(DF201/DE201)-1</f>
        <v>-0.25673514185306656</v>
      </c>
      <c r="DG202" s="701" t="s">
        <v>199</v>
      </c>
      <c r="DH202" s="294">
        <f>(DH201/DF201)-1</f>
        <v>0.113606103355536</v>
      </c>
      <c r="DI202" s="294">
        <f>(DI201/DH201)-1</f>
        <v>-5.2199902680090782E-2</v>
      </c>
      <c r="DJ202" s="294">
        <f>(DJ201/DI201)-1</f>
        <v>0.12090707345143681</v>
      </c>
      <c r="DK202" s="294">
        <f>(DK201/DJ201)-1</f>
        <v>0.11214836750636326</v>
      </c>
      <c r="DL202" s="701" t="s">
        <v>199</v>
      </c>
      <c r="DM202" s="294">
        <f>(DM201/DK201)-1</f>
        <v>-4.6054806496981127E-2</v>
      </c>
      <c r="DN202" s="294">
        <f>(DN201/DM201)-1</f>
        <v>4.4917344960309524E-2</v>
      </c>
      <c r="DO202" s="294">
        <f>(DO201/DN201)-1</f>
        <v>2.4296286700160818E-2</v>
      </c>
      <c r="DP202" s="294">
        <f>(DP201/DO201)-1</f>
        <v>2.0520532440796879E-2</v>
      </c>
      <c r="DQ202" s="701" t="s">
        <v>199</v>
      </c>
      <c r="DR202" s="294">
        <f>(DR201/DP201)-1</f>
        <v>-1.3391504641105167E-2</v>
      </c>
      <c r="DS202" s="294">
        <f>(DS201/DR201)-1</f>
        <v>2.9903920460954136E-2</v>
      </c>
      <c r="DT202" s="294">
        <f>(DT201/DS201)-1</f>
        <v>6.6978278355113607E-2</v>
      </c>
      <c r="DU202" s="294">
        <f>(DU201/DT201)-1</f>
        <v>-2.8099833889421166E-2</v>
      </c>
      <c r="DV202" s="701" t="s">
        <v>199</v>
      </c>
      <c r="DW202" s="294">
        <f>(DW201/DU201)-1</f>
        <v>-5.7539719319373739E-2</v>
      </c>
      <c r="DX202" s="294">
        <f>(DX201/DW201)-1</f>
        <v>-0.13005779667613848</v>
      </c>
      <c r="DY202" s="294">
        <f>(DY201/DX201)-1</f>
        <v>-0.13257309827201735</v>
      </c>
      <c r="DZ202" s="294">
        <f>(DZ201/DY201)-1</f>
        <v>-0.10015170130284246</v>
      </c>
      <c r="EA202" s="701" t="s">
        <v>199</v>
      </c>
      <c r="EB202" s="702">
        <f>(EB201/DZ201)-1</f>
        <v>-9.8399516841706447E-2</v>
      </c>
      <c r="EC202" s="294">
        <f>(EC201/EB201)-1</f>
        <v>0.17760976234224213</v>
      </c>
      <c r="ED202" s="294">
        <f>(ED201/EC201)-1</f>
        <v>-2.1836078472303067E-2</v>
      </c>
      <c r="EE202" s="294">
        <f>(EE201/ED201)-1</f>
        <v>-9.4755935424784665E-2</v>
      </c>
      <c r="EF202" s="701" t="s">
        <v>199</v>
      </c>
      <c r="EG202" s="294">
        <f>(EG201/EE201)-1</f>
        <v>-4.7004028587731228E-2</v>
      </c>
      <c r="EH202" s="294">
        <f>(EH201/EG201)-1</f>
        <v>8.6034443766499491E-2</v>
      </c>
      <c r="EI202" s="294">
        <f>(EI201/EH201)-1</f>
        <v>3.6859469162376257E-2</v>
      </c>
      <c r="EJ202" s="294">
        <f>(EJ201/EI201)-1</f>
        <v>-0.13526439859750516</v>
      </c>
      <c r="EK202" s="701" t="s">
        <v>199</v>
      </c>
      <c r="EL202" s="294">
        <f>(EL201/EJ201)-1</f>
        <v>-0.24209904430550488</v>
      </c>
      <c r="EM202" s="294">
        <f>(EM201/EL201)-1</f>
        <v>-0.33745253514575679</v>
      </c>
      <c r="EN202" s="294">
        <f>(EN201/EM201)-1</f>
        <v>4.2993519629001886E-2</v>
      </c>
      <c r="EO202" s="294">
        <f>(EO201/EN201)-1</f>
        <v>1.7041910298942087E-2</v>
      </c>
      <c r="EP202" s="701" t="s">
        <v>199</v>
      </c>
      <c r="EQ202" s="294">
        <f>(EQ201/EO201)-1</f>
        <v>-9.000000000000119E-4</v>
      </c>
      <c r="ER202" s="294">
        <f>(ER201/EQ201)-1</f>
        <v>8.1500000000000128E-2</v>
      </c>
      <c r="ES202" s="294">
        <f>(ES201/ER201)-1</f>
        <v>7.0599999999999996E-2</v>
      </c>
      <c r="ET202" s="294">
        <f>(ET201/ES201)-1</f>
        <v>3.0000000000000027E-2</v>
      </c>
      <c r="EU202" s="701" t="s">
        <v>199</v>
      </c>
      <c r="EV202" s="668"/>
      <c r="EW202" s="668"/>
      <c r="EX202" s="668"/>
      <c r="EY202" s="668"/>
      <c r="EZ202" s="668"/>
      <c r="FA202" s="668"/>
      <c r="FB202" s="668"/>
      <c r="FC202" s="668"/>
      <c r="FD202" s="668"/>
      <c r="FE202" s="668"/>
      <c r="FF202" s="668"/>
      <c r="FG202" s="668"/>
      <c r="FH202" s="668"/>
      <c r="FI202" s="668"/>
      <c r="FJ202" s="668"/>
      <c r="FK202" s="668"/>
      <c r="FL202" s="668"/>
      <c r="FM202" s="668"/>
      <c r="FN202" s="668"/>
      <c r="FO202" s="668"/>
      <c r="FP202" s="668"/>
      <c r="FQ202" s="668"/>
      <c r="FR202" s="668"/>
      <c r="FS202" s="668"/>
      <c r="FT202" s="668"/>
      <c r="FU202" s="668"/>
      <c r="FV202" s="668"/>
      <c r="FW202" s="668"/>
      <c r="FX202" s="668"/>
      <c r="FY202" s="668"/>
      <c r="FZ202" s="668"/>
      <c r="GA202" s="668"/>
      <c r="GB202" s="668"/>
      <c r="GC202" s="668"/>
      <c r="GD202" s="668"/>
      <c r="GE202" s="668"/>
      <c r="GF202" s="668"/>
      <c r="GG202" s="668"/>
      <c r="GH202" s="668"/>
      <c r="GI202" s="668"/>
      <c r="GJ202" s="668"/>
      <c r="GK202" s="668"/>
      <c r="GL202" s="668"/>
      <c r="GM202" s="668"/>
      <c r="GN202" s="668"/>
      <c r="GO202" s="668"/>
      <c r="GP202" s="668"/>
      <c r="GQ202" s="668"/>
      <c r="GR202" s="668"/>
      <c r="GS202" s="668"/>
      <c r="GT202" s="668"/>
      <c r="GU202" s="668"/>
      <c r="GV202" s="668"/>
      <c r="GW202" s="668"/>
      <c r="GX202" s="668"/>
      <c r="GY202" s="668"/>
      <c r="GZ202" s="668"/>
      <c r="HA202" s="668"/>
      <c r="HB202" s="668"/>
      <c r="HC202" s="668"/>
      <c r="HD202" s="668"/>
      <c r="HE202" s="668"/>
      <c r="HF202" s="668"/>
      <c r="HG202" s="668"/>
      <c r="HH202" s="668"/>
      <c r="HI202" s="668"/>
      <c r="HJ202" s="668"/>
      <c r="HK202" s="668"/>
      <c r="HL202" s="668"/>
      <c r="HM202" s="668"/>
      <c r="HN202" s="668"/>
      <c r="HO202" s="701"/>
      <c r="HP202" s="563"/>
      <c r="HR202" s="563"/>
      <c r="HS202" s="563"/>
      <c r="HT202" s="563"/>
      <c r="HU202" s="563"/>
      <c r="HV202" s="563"/>
      <c r="HW202" s="563"/>
      <c r="HX202" s="563"/>
    </row>
    <row r="203" spans="1:236" s="509" customFormat="1" hidden="1" outlineLevel="1">
      <c r="A203" s="703" t="s">
        <v>489</v>
      </c>
      <c r="B203" s="703"/>
      <c r="C203" s="703"/>
      <c r="D203" s="703"/>
      <c r="E203" s="703"/>
      <c r="F203" s="703"/>
      <c r="G203" s="703"/>
      <c r="H203" s="703"/>
      <c r="I203" s="703"/>
      <c r="J203" s="703"/>
      <c r="K203" s="703"/>
      <c r="L203" s="703"/>
      <c r="M203" s="703"/>
      <c r="N203" s="703"/>
      <c r="O203" s="703"/>
      <c r="P203" s="703"/>
      <c r="Q203" s="703"/>
      <c r="R203" s="703"/>
      <c r="S203" s="703"/>
      <c r="T203" s="703"/>
      <c r="U203" s="703"/>
      <c r="V203" s="703"/>
      <c r="W203" s="703"/>
      <c r="X203" s="703"/>
      <c r="Y203" s="703"/>
      <c r="Z203" s="703"/>
      <c r="AA203" s="703"/>
      <c r="AB203" s="703"/>
      <c r="AC203" s="703"/>
      <c r="AD203" s="703"/>
      <c r="AE203" s="703"/>
      <c r="AF203" s="703"/>
      <c r="AG203" s="703"/>
      <c r="AH203" s="703"/>
      <c r="AI203" s="703"/>
      <c r="AJ203" s="703"/>
      <c r="AK203" s="703"/>
      <c r="AL203" s="703"/>
      <c r="AM203" s="703"/>
      <c r="AN203" s="703"/>
      <c r="AO203" s="704"/>
      <c r="AP203" s="703"/>
      <c r="AQ203" s="703"/>
      <c r="AR203" s="703"/>
      <c r="AS203" s="703"/>
      <c r="AT203" s="704"/>
      <c r="AU203" s="703"/>
      <c r="AV203" s="703"/>
      <c r="AW203" s="703"/>
      <c r="AX203" s="703"/>
      <c r="AY203" s="704"/>
      <c r="AZ203" s="703"/>
      <c r="BA203" s="703"/>
      <c r="BB203" s="703"/>
      <c r="BC203" s="703"/>
      <c r="BD203" s="704"/>
      <c r="BE203" s="703"/>
      <c r="BF203" s="703"/>
      <c r="BG203" s="703"/>
      <c r="BH203" s="703"/>
      <c r="BI203" s="704"/>
      <c r="BJ203" s="703"/>
      <c r="BK203" s="703"/>
      <c r="BL203" s="703"/>
      <c r="BM203" s="703"/>
      <c r="BN203" s="704"/>
      <c r="BO203" s="703"/>
      <c r="BP203" s="703"/>
      <c r="BQ203" s="703"/>
      <c r="BR203" s="703"/>
      <c r="BS203" s="704"/>
      <c r="BT203" s="703"/>
      <c r="BU203" s="703"/>
      <c r="BV203" s="703"/>
      <c r="BW203" s="703"/>
      <c r="BX203" s="704"/>
      <c r="BY203" s="703"/>
      <c r="BZ203" s="703"/>
      <c r="CA203" s="703"/>
      <c r="CB203" s="703"/>
      <c r="CC203" s="704"/>
      <c r="CD203" s="703"/>
      <c r="CE203" s="703"/>
      <c r="CF203" s="703"/>
      <c r="CG203" s="703"/>
      <c r="CH203" s="704"/>
      <c r="CI203" s="703"/>
      <c r="CJ203" s="703"/>
      <c r="CK203" s="703"/>
      <c r="CL203" s="703"/>
      <c r="CM203" s="704"/>
      <c r="CN203" s="703"/>
      <c r="CO203" s="703"/>
      <c r="CP203" s="703"/>
      <c r="CQ203" s="703"/>
      <c r="CR203" s="703"/>
      <c r="CS203" s="703"/>
      <c r="CT203" s="703"/>
      <c r="CU203" s="703"/>
      <c r="CV203" s="705"/>
      <c r="CW203" s="705"/>
      <c r="CX203" s="705" t="s">
        <v>199</v>
      </c>
      <c r="CY203" s="705" t="s">
        <v>199</v>
      </c>
      <c r="CZ203" s="705" t="s">
        <v>199</v>
      </c>
      <c r="DA203" s="705" t="s">
        <v>199</v>
      </c>
      <c r="DB203" s="705" t="s">
        <v>199</v>
      </c>
      <c r="DC203" s="346">
        <f t="shared" ref="DC203:EU203" si="250">(DC201/CX201)-1</f>
        <v>0.44409135112217357</v>
      </c>
      <c r="DD203" s="346">
        <f t="shared" si="250"/>
        <v>3.5151318205106419E-2</v>
      </c>
      <c r="DE203" s="346">
        <f t="shared" si="250"/>
        <v>-0.11632417203571388</v>
      </c>
      <c r="DF203" s="346">
        <f t="shared" si="250"/>
        <v>-0.4131489785611614</v>
      </c>
      <c r="DG203" s="706">
        <f t="shared" si="250"/>
        <v>-7.4354176427377516E-2</v>
      </c>
      <c r="DH203" s="346">
        <f t="shared" si="250"/>
        <v>-0.21014343113211109</v>
      </c>
      <c r="DI203" s="346">
        <f t="shared" si="250"/>
        <v>-0.17319889282398093</v>
      </c>
      <c r="DJ203" s="346">
        <f t="shared" si="250"/>
        <v>-0.12065041912575036</v>
      </c>
      <c r="DK203" s="346">
        <f t="shared" si="250"/>
        <v>0.31577215055601426</v>
      </c>
      <c r="DL203" s="706">
        <f t="shared" si="250"/>
        <v>-7.2325394410594712E-2</v>
      </c>
      <c r="DM203" s="346">
        <f t="shared" si="250"/>
        <v>0.12712611307169408</v>
      </c>
      <c r="DN203" s="346">
        <f t="shared" si="250"/>
        <v>0.24261817321673385</v>
      </c>
      <c r="DO203" s="346">
        <f t="shared" si="250"/>
        <v>0.1355171278319014</v>
      </c>
      <c r="DP203" s="346">
        <f t="shared" si="250"/>
        <v>4.1963984076096139E-2</v>
      </c>
      <c r="DQ203" s="706">
        <f t="shared" si="250"/>
        <v>0.13136191017193943</v>
      </c>
      <c r="DR203" s="346">
        <f t="shared" si="250"/>
        <v>7.7641069475364199E-2</v>
      </c>
      <c r="DS203" s="346">
        <f t="shared" si="250"/>
        <v>6.2157468870966737E-2</v>
      </c>
      <c r="DT203" s="346">
        <f t="shared" si="250"/>
        <v>0.10641711992236913</v>
      </c>
      <c r="DU203" s="346">
        <f t="shared" si="250"/>
        <v>5.3704407169800072E-2</v>
      </c>
      <c r="DV203" s="706">
        <f t="shared" si="250"/>
        <v>7.4901862310763345E-2</v>
      </c>
      <c r="DW203" s="346">
        <f t="shared" si="250"/>
        <v>6.5538215079081752E-3</v>
      </c>
      <c r="DX203" s="346">
        <f t="shared" si="250"/>
        <v>-0.14978122536446847</v>
      </c>
      <c r="DY203" s="346">
        <f t="shared" si="250"/>
        <v>-0.30879320372855412</v>
      </c>
      <c r="DZ203" s="346">
        <f t="shared" si="250"/>
        <v>-0.36003585413318384</v>
      </c>
      <c r="EA203" s="706">
        <f t="shared" si="250"/>
        <v>-0.20767162669272421</v>
      </c>
      <c r="EB203" s="707">
        <f t="shared" si="250"/>
        <v>-0.38778111402125737</v>
      </c>
      <c r="EC203" s="346">
        <f t="shared" si="250"/>
        <v>-0.17126110899753355</v>
      </c>
      <c r="ED203" s="346">
        <f t="shared" si="250"/>
        <v>-6.5463058696215715E-2</v>
      </c>
      <c r="EE203" s="346">
        <f t="shared" si="250"/>
        <v>-5.9859289097526358E-2</v>
      </c>
      <c r="EF203" s="706">
        <f t="shared" si="250"/>
        <v>-0.18973731537752159</v>
      </c>
      <c r="EG203" s="346">
        <f t="shared" si="250"/>
        <v>-6.2668257317002318E-3</v>
      </c>
      <c r="EH203" s="346">
        <f t="shared" si="250"/>
        <v>-8.3543216368869633E-2</v>
      </c>
      <c r="EI203" s="346">
        <f t="shared" si="250"/>
        <v>-2.8550457369198479E-2</v>
      </c>
      <c r="EJ203" s="346">
        <f t="shared" si="250"/>
        <v>-7.2021527284781839E-2</v>
      </c>
      <c r="EK203" s="706">
        <f t="shared" si="250"/>
        <v>-4.863294355153458E-2</v>
      </c>
      <c r="EL203" s="346">
        <f t="shared" si="250"/>
        <v>-0.26199502156077281</v>
      </c>
      <c r="EM203" s="346">
        <f t="shared" si="250"/>
        <v>-0.54977180482514343</v>
      </c>
      <c r="EN203" s="346">
        <f t="shared" si="250"/>
        <v>-0.54710825923112816</v>
      </c>
      <c r="EO203" s="346">
        <f t="shared" si="250"/>
        <v>-0.4673402130742228</v>
      </c>
      <c r="EP203" s="706">
        <f t="shared" si="250"/>
        <v>-0.46112937353719474</v>
      </c>
      <c r="EQ203" s="346">
        <f t="shared" si="250"/>
        <v>-0.29782329852073375</v>
      </c>
      <c r="ER203" s="346">
        <f t="shared" si="250"/>
        <v>0.14618822489478722</v>
      </c>
      <c r="ES203" s="346">
        <f t="shared" si="250"/>
        <v>0.17652611495500747</v>
      </c>
      <c r="ET203" s="346">
        <f t="shared" si="250"/>
        <v>0.19151618643469992</v>
      </c>
      <c r="EU203" s="706">
        <f t="shared" si="250"/>
        <v>1.8197289467037692E-2</v>
      </c>
      <c r="EV203" s="668"/>
      <c r="EW203" s="668"/>
      <c r="EX203" s="668"/>
      <c r="EY203" s="668"/>
      <c r="EZ203" s="668"/>
      <c r="FA203" s="668"/>
      <c r="FB203" s="668"/>
      <c r="FC203" s="668"/>
      <c r="FD203" s="668"/>
      <c r="FE203" s="668"/>
      <c r="FF203" s="668"/>
      <c r="FG203" s="668"/>
      <c r="FH203" s="668"/>
      <c r="FI203" s="668"/>
      <c r="FJ203" s="668"/>
      <c r="FK203" s="668"/>
      <c r="FL203" s="668"/>
      <c r="FM203" s="668"/>
      <c r="FN203" s="668"/>
      <c r="FO203" s="668"/>
      <c r="FP203" s="668"/>
      <c r="FQ203" s="668"/>
      <c r="FR203" s="668"/>
      <c r="FS203" s="668"/>
      <c r="FT203" s="668"/>
      <c r="FU203" s="668"/>
      <c r="FV203" s="668"/>
      <c r="FW203" s="668"/>
      <c r="FX203" s="668"/>
      <c r="FY203" s="668"/>
      <c r="FZ203" s="668"/>
      <c r="GA203" s="668"/>
      <c r="GB203" s="668"/>
      <c r="GC203" s="668"/>
      <c r="GD203" s="668"/>
      <c r="GE203" s="668"/>
      <c r="GF203" s="668"/>
      <c r="GG203" s="668"/>
      <c r="GH203" s="668"/>
      <c r="GI203" s="668"/>
      <c r="GJ203" s="668"/>
      <c r="GK203" s="668"/>
      <c r="GL203" s="668"/>
      <c r="GM203" s="668"/>
      <c r="GN203" s="668"/>
      <c r="GO203" s="668"/>
      <c r="GP203" s="668"/>
      <c r="GQ203" s="668"/>
      <c r="GR203" s="668"/>
      <c r="GS203" s="668"/>
      <c r="GT203" s="668"/>
      <c r="GU203" s="668"/>
      <c r="GV203" s="668"/>
      <c r="GW203" s="668"/>
      <c r="GX203" s="668"/>
      <c r="GY203" s="668"/>
      <c r="GZ203" s="668"/>
      <c r="HA203" s="668"/>
      <c r="HB203" s="668"/>
      <c r="HC203" s="668"/>
      <c r="HD203" s="668"/>
      <c r="HE203" s="668"/>
      <c r="HF203" s="668"/>
      <c r="HG203" s="668"/>
      <c r="HH203" s="668"/>
      <c r="HI203" s="668"/>
      <c r="HJ203" s="668"/>
      <c r="HK203" s="668"/>
      <c r="HL203" s="668"/>
      <c r="HM203" s="668"/>
      <c r="HN203" s="668"/>
      <c r="HO203" s="344"/>
      <c r="HP203" s="563"/>
      <c r="HR203" s="563"/>
      <c r="HS203" s="563"/>
      <c r="HT203" s="563"/>
      <c r="HU203" s="563"/>
      <c r="HV203" s="563"/>
      <c r="HW203" s="563"/>
      <c r="HX203" s="563"/>
    </row>
    <row r="204" spans="1:236" s="509" customFormat="1" hidden="1" outlineLevel="1">
      <c r="L204" s="523"/>
      <c r="M204" s="523"/>
      <c r="N204" s="523"/>
      <c r="O204" s="523"/>
      <c r="P204" s="524"/>
      <c r="Q204" s="619"/>
      <c r="R204" s="619"/>
      <c r="S204" s="619"/>
      <c r="T204" s="619"/>
      <c r="U204" s="541"/>
      <c r="V204" s="619"/>
      <c r="W204" s="619"/>
      <c r="X204" s="619"/>
      <c r="Y204" s="619"/>
      <c r="Z204" s="541"/>
      <c r="AA204" s="619"/>
      <c r="AB204" s="619"/>
      <c r="AC204" s="619"/>
      <c r="AD204" s="619"/>
      <c r="AE204" s="541"/>
      <c r="AF204" s="523"/>
      <c r="AG204" s="523"/>
      <c r="AH204" s="523"/>
      <c r="AI204" s="523"/>
      <c r="AJ204" s="541"/>
      <c r="AK204" s="523"/>
      <c r="AL204" s="523"/>
      <c r="AM204" s="523"/>
      <c r="AN204" s="523"/>
      <c r="AO204" s="541"/>
      <c r="AP204" s="523"/>
      <c r="AQ204" s="523"/>
      <c r="AR204" s="523"/>
      <c r="AS204" s="523"/>
      <c r="AT204" s="541"/>
      <c r="AU204" s="523"/>
      <c r="AV204" s="523"/>
      <c r="AW204" s="523"/>
      <c r="AX204" s="523"/>
      <c r="AY204" s="541"/>
      <c r="AZ204" s="523"/>
      <c r="BA204" s="523"/>
      <c r="BB204" s="523"/>
      <c r="BC204" s="523"/>
      <c r="BD204" s="541"/>
      <c r="BE204" s="523"/>
      <c r="BF204" s="523"/>
      <c r="BG204" s="523"/>
      <c r="BH204" s="523"/>
      <c r="BI204" s="541"/>
      <c r="BJ204" s="523"/>
      <c r="BK204" s="523"/>
      <c r="BL204" s="523"/>
      <c r="BM204" s="523"/>
      <c r="BN204" s="541"/>
      <c r="BO204" s="523"/>
      <c r="BP204" s="523"/>
      <c r="BQ204" s="523"/>
      <c r="BR204" s="523"/>
      <c r="BS204" s="541"/>
      <c r="BT204" s="648"/>
      <c r="BU204" s="648"/>
      <c r="BV204" s="648"/>
      <c r="BW204" s="648"/>
      <c r="BX204" s="648"/>
      <c r="BY204" s="340"/>
      <c r="BZ204" s="340"/>
      <c r="CA204" s="340"/>
      <c r="CB204" s="340"/>
      <c r="CC204" s="321"/>
      <c r="CD204" s="340"/>
      <c r="CE204" s="340"/>
      <c r="CF204" s="340"/>
      <c r="CG204" s="340"/>
      <c r="CH204" s="321"/>
      <c r="CI204" s="340"/>
      <c r="CJ204" s="340"/>
      <c r="CK204" s="340"/>
      <c r="CL204" s="340"/>
      <c r="CM204" s="321"/>
      <c r="CN204" s="340"/>
      <c r="CO204" s="340"/>
      <c r="CP204" s="340"/>
      <c r="CQ204" s="340"/>
      <c r="CR204" s="321"/>
      <c r="CS204" s="340"/>
      <c r="CT204" s="340"/>
      <c r="CU204" s="340"/>
      <c r="CV204" s="340"/>
      <c r="CW204" s="321"/>
      <c r="CX204" s="340"/>
      <c r="CY204" s="340"/>
      <c r="CZ204" s="340"/>
      <c r="DA204" s="340"/>
      <c r="DB204" s="321"/>
      <c r="DC204" s="340"/>
      <c r="DD204" s="340"/>
      <c r="DE204" s="340"/>
      <c r="DF204" s="340"/>
      <c r="DG204" s="321"/>
      <c r="DH204" s="340"/>
      <c r="DI204" s="340"/>
      <c r="DJ204" s="340"/>
      <c r="DK204" s="340"/>
      <c r="DL204" s="321"/>
      <c r="DM204" s="340"/>
      <c r="DN204" s="340"/>
      <c r="DO204" s="340"/>
      <c r="DP204" s="340"/>
      <c r="DQ204" s="321"/>
      <c r="DR204" s="340"/>
      <c r="DS204" s="340"/>
      <c r="DT204" s="340"/>
      <c r="DU204" s="340"/>
      <c r="DV204" s="321"/>
      <c r="DW204" s="340"/>
      <c r="DX204" s="340"/>
      <c r="DY204" s="340"/>
      <c r="DZ204" s="340"/>
      <c r="EA204" s="321"/>
      <c r="EB204" s="340"/>
      <c r="EC204" s="340"/>
      <c r="ED204" s="340"/>
      <c r="EE204" s="340"/>
      <c r="EF204" s="321"/>
      <c r="EG204" s="340"/>
      <c r="EH204" s="340"/>
      <c r="EI204" s="342"/>
      <c r="EJ204" s="340"/>
      <c r="EK204" s="321"/>
      <c r="EL204" s="340"/>
      <c r="EM204" s="340"/>
      <c r="EN204" s="340"/>
      <c r="EO204" s="340"/>
      <c r="EP204" s="321"/>
      <c r="EQ204" s="340"/>
      <c r="ER204" s="340"/>
      <c r="ES204" s="340"/>
      <c r="ET204" s="340"/>
      <c r="EU204" s="321"/>
      <c r="EV204" s="668"/>
      <c r="EW204" s="668"/>
      <c r="EX204" s="668"/>
      <c r="EY204" s="668"/>
      <c r="EZ204" s="668"/>
      <c r="FA204" s="668"/>
      <c r="FB204" s="668"/>
      <c r="FC204" s="668"/>
      <c r="FD204" s="668"/>
      <c r="FE204" s="668"/>
      <c r="FF204" s="668"/>
      <c r="FG204" s="668"/>
      <c r="FH204" s="668"/>
      <c r="FI204" s="668"/>
      <c r="FJ204" s="668"/>
      <c r="FK204" s="668"/>
      <c r="FL204" s="668"/>
      <c r="FM204" s="668"/>
      <c r="FN204" s="668"/>
      <c r="FO204" s="668"/>
      <c r="FP204" s="668"/>
      <c r="FQ204" s="668"/>
      <c r="FR204" s="668"/>
      <c r="FS204" s="668"/>
      <c r="FT204" s="668"/>
      <c r="FU204" s="668"/>
      <c r="FV204" s="668"/>
      <c r="FW204" s="668"/>
      <c r="FX204" s="668"/>
      <c r="FY204" s="668"/>
      <c r="FZ204" s="668"/>
      <c r="GA204" s="668"/>
      <c r="GB204" s="668"/>
      <c r="GC204" s="668"/>
      <c r="GD204" s="668"/>
      <c r="GE204" s="668"/>
      <c r="GF204" s="668"/>
      <c r="GG204" s="668"/>
      <c r="GH204" s="668"/>
      <c r="GI204" s="668"/>
      <c r="GJ204" s="668"/>
      <c r="GK204" s="668"/>
      <c r="GL204" s="668"/>
      <c r="GM204" s="668"/>
      <c r="GN204" s="668"/>
      <c r="GO204" s="668"/>
      <c r="GP204" s="668"/>
      <c r="GQ204" s="668"/>
      <c r="GR204" s="668"/>
      <c r="GS204" s="668"/>
      <c r="GT204" s="668"/>
      <c r="GU204" s="668"/>
      <c r="GV204" s="668"/>
      <c r="GW204" s="668"/>
      <c r="GX204" s="668"/>
      <c r="GY204" s="668"/>
      <c r="GZ204" s="668"/>
      <c r="HA204" s="668"/>
      <c r="HB204" s="668"/>
      <c r="HC204" s="668"/>
      <c r="HD204" s="668"/>
      <c r="HE204" s="668"/>
      <c r="HF204" s="668"/>
      <c r="HG204" s="668"/>
      <c r="HH204" s="668"/>
      <c r="HI204" s="668"/>
      <c r="HJ204" s="668"/>
      <c r="HK204" s="668"/>
      <c r="HL204" s="668"/>
      <c r="HM204" s="668"/>
      <c r="HN204" s="668"/>
      <c r="HO204" s="344"/>
      <c r="HP204" s="293"/>
      <c r="HQ204" s="342"/>
      <c r="HR204" s="293"/>
      <c r="HS204" s="343"/>
      <c r="HT204" s="563"/>
      <c r="HU204" s="563"/>
      <c r="HV204" s="563"/>
      <c r="HW204" s="563"/>
      <c r="HX204" s="563"/>
    </row>
    <row r="205" spans="1:236" s="509" customFormat="1" hidden="1" outlineLevel="1">
      <c r="A205" s="656" t="s">
        <v>495</v>
      </c>
      <c r="B205" s="657"/>
      <c r="C205" s="657"/>
      <c r="D205" s="657"/>
      <c r="E205" s="657"/>
      <c r="F205" s="657"/>
      <c r="G205" s="657"/>
      <c r="H205" s="657"/>
      <c r="I205" s="657"/>
      <c r="J205" s="657"/>
      <c r="K205" s="657"/>
      <c r="L205" s="657"/>
      <c r="M205" s="657"/>
      <c r="N205" s="657"/>
      <c r="O205" s="657"/>
      <c r="P205" s="657"/>
      <c r="Q205" s="657"/>
      <c r="R205" s="657"/>
      <c r="S205" s="657"/>
      <c r="T205" s="657"/>
      <c r="U205" s="657"/>
      <c r="V205" s="657"/>
      <c r="W205" s="657"/>
      <c r="X205" s="657"/>
      <c r="Y205" s="657"/>
      <c r="Z205" s="657"/>
      <c r="AA205" s="657"/>
      <c r="AB205" s="657"/>
      <c r="AC205" s="657"/>
      <c r="AD205" s="657"/>
      <c r="AE205" s="657"/>
      <c r="AF205" s="657"/>
      <c r="AG205" s="657"/>
      <c r="AH205" s="657"/>
      <c r="AI205" s="657"/>
      <c r="AJ205" s="657"/>
      <c r="AK205" s="657"/>
      <c r="AL205" s="657"/>
      <c r="AM205" s="657"/>
      <c r="AN205" s="657"/>
      <c r="AO205" s="656"/>
      <c r="AP205" s="657"/>
      <c r="AQ205" s="657"/>
      <c r="AR205" s="657"/>
      <c r="AS205" s="657"/>
      <c r="AT205" s="656"/>
      <c r="AU205" s="657"/>
      <c r="AV205" s="657"/>
      <c r="AW205" s="657"/>
      <c r="AX205" s="657"/>
      <c r="AY205" s="656"/>
      <c r="AZ205" s="657"/>
      <c r="BA205" s="657"/>
      <c r="BB205" s="657"/>
      <c r="BC205" s="657"/>
      <c r="BD205" s="656"/>
      <c r="BE205" s="657"/>
      <c r="BF205" s="657"/>
      <c r="BG205" s="657"/>
      <c r="BH205" s="657"/>
      <c r="BI205" s="656"/>
      <c r="BJ205" s="657"/>
      <c r="BK205" s="657"/>
      <c r="BL205" s="657"/>
      <c r="BM205" s="657"/>
      <c r="BN205" s="656"/>
      <c r="BO205" s="657"/>
      <c r="BP205" s="657"/>
      <c r="BQ205" s="657"/>
      <c r="BR205" s="657"/>
      <c r="BS205" s="656"/>
      <c r="BT205" s="657"/>
      <c r="BU205" s="657"/>
      <c r="BV205" s="657"/>
      <c r="BW205" s="657"/>
      <c r="BX205" s="656"/>
      <c r="BY205" s="657"/>
      <c r="BZ205" s="657"/>
      <c r="CA205" s="657"/>
      <c r="CB205" s="657"/>
      <c r="CC205" s="656"/>
      <c r="CD205" s="657"/>
      <c r="CE205" s="657"/>
      <c r="CF205" s="657"/>
      <c r="CG205" s="657"/>
      <c r="CH205" s="656"/>
      <c r="CI205" s="657"/>
      <c r="CJ205" s="657"/>
      <c r="CK205" s="657"/>
      <c r="CL205" s="657"/>
      <c r="CM205" s="656"/>
      <c r="CN205" s="657"/>
      <c r="CO205" s="657"/>
      <c r="CP205" s="657"/>
      <c r="CQ205" s="657"/>
      <c r="CR205" s="657"/>
      <c r="CS205" s="657"/>
      <c r="CT205" s="657"/>
      <c r="CU205" s="657"/>
      <c r="CV205" s="657"/>
      <c r="CW205" s="657"/>
      <c r="CX205" s="657"/>
      <c r="CY205" s="657"/>
      <c r="CZ205" s="657"/>
      <c r="DA205" s="657"/>
      <c r="DB205" s="657"/>
      <c r="DC205" s="657"/>
      <c r="DD205" s="657"/>
      <c r="DE205" s="657"/>
      <c r="DF205" s="657"/>
      <c r="DG205" s="657"/>
      <c r="DH205" s="657"/>
      <c r="DI205" s="657"/>
      <c r="DJ205" s="657"/>
      <c r="DK205" s="657"/>
      <c r="DL205" s="657"/>
      <c r="DM205" s="708"/>
      <c r="DN205" s="708"/>
      <c r="DO205" s="657"/>
      <c r="DP205" s="657"/>
      <c r="DQ205" s="657"/>
      <c r="DR205" s="657"/>
      <c r="DS205" s="657"/>
      <c r="DT205" s="657"/>
      <c r="DU205" s="657"/>
      <c r="DV205" s="657"/>
      <c r="DW205" s="657"/>
      <c r="DX205" s="657"/>
      <c r="DY205" s="709"/>
      <c r="DZ205" s="657"/>
      <c r="EA205" s="657"/>
      <c r="EB205" s="657"/>
      <c r="EC205" s="657"/>
      <c r="ED205" s="657"/>
      <c r="EE205" s="657"/>
      <c r="EF205" s="657"/>
      <c r="EG205" s="657"/>
      <c r="EH205" s="657"/>
      <c r="EI205" s="657"/>
      <c r="EJ205" s="657"/>
      <c r="EK205" s="657"/>
      <c r="EL205" s="657"/>
      <c r="EM205" s="657"/>
      <c r="EN205" s="657"/>
      <c r="EO205" s="657"/>
      <c r="EP205" s="657"/>
      <c r="EQ205" s="657"/>
      <c r="ER205" s="657"/>
      <c r="ES205" s="657"/>
      <c r="ET205" s="657"/>
      <c r="EU205" s="657"/>
      <c r="EV205" s="657"/>
      <c r="EW205" s="657"/>
      <c r="EX205" s="657"/>
      <c r="EY205" s="657"/>
      <c r="EZ205" s="657"/>
      <c r="FA205" s="657"/>
      <c r="FB205" s="657"/>
      <c r="FC205" s="657"/>
      <c r="FD205" s="657"/>
      <c r="FE205" s="657"/>
      <c r="FF205" s="657"/>
      <c r="FG205" s="657"/>
      <c r="FH205" s="657"/>
      <c r="FI205" s="657"/>
      <c r="FJ205" s="657"/>
      <c r="FK205" s="657"/>
      <c r="FL205" s="657"/>
      <c r="FM205" s="657"/>
      <c r="FN205" s="657"/>
      <c r="FO205" s="657"/>
      <c r="FP205" s="657"/>
      <c r="FQ205" s="657"/>
      <c r="FR205" s="657"/>
      <c r="FS205" s="657"/>
      <c r="FT205" s="657"/>
      <c r="FU205" s="657"/>
      <c r="FV205" s="657"/>
      <c r="FW205" s="657"/>
      <c r="FX205" s="657"/>
      <c r="FY205" s="657"/>
      <c r="FZ205" s="657"/>
      <c r="GA205" s="657"/>
      <c r="GB205" s="657"/>
      <c r="GC205" s="657"/>
      <c r="GD205" s="657"/>
      <c r="GE205" s="657"/>
      <c r="GF205" s="657"/>
      <c r="GG205" s="657"/>
      <c r="GH205" s="657"/>
      <c r="GI205" s="657"/>
      <c r="GJ205" s="657"/>
      <c r="GK205" s="657"/>
      <c r="GL205" s="657"/>
      <c r="GM205" s="657"/>
      <c r="GN205" s="657"/>
      <c r="GO205" s="657"/>
      <c r="GP205" s="657"/>
      <c r="GQ205" s="657"/>
      <c r="GR205" s="657"/>
      <c r="GS205" s="657"/>
      <c r="GT205" s="657"/>
      <c r="GU205" s="657"/>
      <c r="GV205" s="657"/>
      <c r="GW205" s="657"/>
      <c r="GX205" s="657"/>
      <c r="GY205" s="657"/>
      <c r="GZ205" s="657"/>
      <c r="HA205" s="657"/>
      <c r="HB205" s="657"/>
      <c r="HC205" s="657"/>
      <c r="HD205" s="657"/>
      <c r="HE205" s="657"/>
      <c r="HF205" s="657"/>
      <c r="HG205" s="657"/>
      <c r="HH205" s="657"/>
      <c r="HI205" s="657"/>
      <c r="HJ205" s="657"/>
      <c r="HK205" s="657"/>
      <c r="HL205" s="657"/>
      <c r="HM205" s="657"/>
      <c r="HN205" s="657"/>
      <c r="HP205" s="563"/>
      <c r="HR205" s="563"/>
      <c r="HS205" s="563"/>
      <c r="HT205" s="563"/>
      <c r="HU205" s="563"/>
      <c r="HV205" s="563"/>
      <c r="HW205" s="563"/>
      <c r="HX205" s="563"/>
    </row>
    <row r="206" spans="1:236" s="509" customFormat="1" ht="18" hidden="1" customHeight="1" outlineLevel="1">
      <c r="A206" s="538" t="s">
        <v>496</v>
      </c>
      <c r="AO206" s="538"/>
      <c r="AT206" s="538"/>
      <c r="AY206" s="538"/>
      <c r="BD206" s="538"/>
      <c r="BI206" s="538"/>
      <c r="BN206" s="538"/>
      <c r="BS206" s="538"/>
      <c r="BX206" s="538"/>
      <c r="CC206" s="538"/>
      <c r="CH206" s="538"/>
      <c r="CM206" s="538"/>
      <c r="DC206" s="577"/>
      <c r="DD206" s="577"/>
      <c r="DE206" s="539"/>
      <c r="EH206" s="348"/>
      <c r="EJ206" s="539"/>
      <c r="EL206" s="710"/>
      <c r="EM206" s="710"/>
      <c r="EN206" s="710"/>
      <c r="EO206" s="710"/>
      <c r="EP206" s="710"/>
      <c r="EQ206" s="710"/>
      <c r="ER206" s="710"/>
      <c r="ES206" s="710"/>
      <c r="ET206" s="710"/>
      <c r="EU206" s="710"/>
      <c r="EV206" s="710"/>
      <c r="EW206" s="710"/>
      <c r="EX206" s="710"/>
      <c r="EY206" s="710"/>
      <c r="EZ206" s="710"/>
      <c r="FA206" s="710"/>
      <c r="FB206" s="710"/>
      <c r="FC206" s="710"/>
      <c r="FD206" s="710"/>
      <c r="FE206" s="710"/>
      <c r="FF206" s="710"/>
      <c r="FG206" s="710"/>
      <c r="FH206" s="710"/>
      <c r="FI206" s="710"/>
      <c r="FJ206" s="710"/>
      <c r="FK206" s="710"/>
      <c r="FL206" s="710"/>
      <c r="FM206" s="710"/>
      <c r="FN206" s="710"/>
      <c r="FO206" s="710"/>
      <c r="FP206" s="710"/>
      <c r="FQ206" s="710"/>
      <c r="FR206" s="710"/>
      <c r="FS206" s="710"/>
      <c r="FT206" s="710"/>
      <c r="FU206" s="710"/>
      <c r="FV206" s="710"/>
      <c r="FW206" s="710"/>
      <c r="FX206" s="710"/>
      <c r="FY206" s="710"/>
      <c r="FZ206" s="710"/>
      <c r="GA206" s="710"/>
      <c r="GB206" s="710"/>
      <c r="GC206" s="710"/>
      <c r="GD206" s="710"/>
      <c r="GE206" s="710"/>
      <c r="GF206" s="710"/>
      <c r="GG206" s="710"/>
      <c r="GH206" s="710"/>
      <c r="GI206" s="710"/>
      <c r="GJ206" s="710"/>
      <c r="GK206" s="710"/>
      <c r="GL206" s="710"/>
      <c r="GM206" s="710"/>
      <c r="GN206" s="710"/>
      <c r="GO206" s="710"/>
      <c r="GP206" s="710"/>
      <c r="GQ206" s="710"/>
      <c r="GR206" s="710"/>
      <c r="GS206" s="710"/>
      <c r="GT206" s="710"/>
      <c r="GU206" s="710"/>
      <c r="GV206" s="710"/>
      <c r="GW206" s="710"/>
      <c r="GX206" s="710"/>
      <c r="GY206" s="710"/>
      <c r="GZ206" s="710"/>
      <c r="HA206" s="710"/>
      <c r="HB206" s="710"/>
      <c r="HC206" s="710"/>
      <c r="HD206" s="710"/>
      <c r="HE206" s="710"/>
      <c r="HF206" s="710"/>
      <c r="HG206" s="710"/>
      <c r="HH206" s="710"/>
      <c r="HI206" s="710"/>
      <c r="HJ206" s="710"/>
      <c r="HK206" s="710"/>
      <c r="HL206" s="710"/>
      <c r="HM206" s="710"/>
      <c r="HN206" s="710"/>
      <c r="HP206" s="563"/>
      <c r="HR206" s="563"/>
      <c r="HS206" s="563"/>
      <c r="HT206" s="563"/>
      <c r="HU206" s="563"/>
      <c r="HV206" s="563"/>
      <c r="HW206" s="563"/>
      <c r="HX206" s="563"/>
    </row>
    <row r="207" spans="1:236" s="563" customFormat="1" hidden="1" outlineLevel="1">
      <c r="A207" s="509" t="s">
        <v>487</v>
      </c>
      <c r="B207" s="509"/>
      <c r="C207" s="509"/>
      <c r="D207" s="509"/>
      <c r="E207" s="509"/>
      <c r="F207" s="509"/>
      <c r="G207" s="509"/>
      <c r="H207" s="509"/>
      <c r="I207" s="509"/>
      <c r="J207" s="509"/>
      <c r="K207" s="509"/>
      <c r="L207" s="509"/>
      <c r="M207" s="509"/>
      <c r="N207" s="509"/>
      <c r="O207" s="509"/>
      <c r="P207" s="509"/>
      <c r="Q207" s="509"/>
      <c r="R207" s="509"/>
      <c r="S207" s="509"/>
      <c r="T207" s="509"/>
      <c r="U207" s="509"/>
      <c r="V207" s="509"/>
      <c r="W207" s="509"/>
      <c r="X207" s="509"/>
      <c r="Y207" s="509"/>
      <c r="Z207" s="509"/>
      <c r="AA207" s="509"/>
      <c r="AB207" s="509"/>
      <c r="AC207" s="509"/>
      <c r="AD207" s="509"/>
      <c r="AE207" s="509"/>
      <c r="AF207" s="509"/>
      <c r="AG207" s="509"/>
      <c r="AH207" s="509"/>
      <c r="AI207" s="509"/>
      <c r="AJ207" s="509"/>
      <c r="AK207" s="509"/>
      <c r="AL207" s="509"/>
      <c r="AM207" s="509"/>
      <c r="AN207" s="509"/>
      <c r="AO207" s="538"/>
      <c r="AP207" s="509"/>
      <c r="AQ207" s="509"/>
      <c r="AR207" s="509"/>
      <c r="AS207" s="509"/>
      <c r="AT207" s="538"/>
      <c r="AU207" s="509"/>
      <c r="AV207" s="509"/>
      <c r="AW207" s="509"/>
      <c r="AX207" s="509"/>
      <c r="AY207" s="538"/>
      <c r="AZ207" s="509"/>
      <c r="BA207" s="509"/>
      <c r="BB207" s="509"/>
      <c r="BC207" s="509"/>
      <c r="BD207" s="538"/>
      <c r="BE207" s="509"/>
      <c r="BF207" s="509"/>
      <c r="BG207" s="509"/>
      <c r="BH207" s="509"/>
      <c r="BI207" s="538"/>
      <c r="BJ207" s="509"/>
      <c r="BK207" s="509"/>
      <c r="BL207" s="509"/>
      <c r="BM207" s="509"/>
      <c r="BN207" s="538"/>
      <c r="BO207" s="509"/>
      <c r="BP207" s="509"/>
      <c r="BQ207" s="509"/>
      <c r="BR207" s="509"/>
      <c r="BS207" s="538"/>
      <c r="BT207" s="509"/>
      <c r="BU207" s="509"/>
      <c r="BV207" s="509"/>
      <c r="BW207" s="509"/>
      <c r="BX207" s="538"/>
      <c r="BY207" s="509"/>
      <c r="BZ207" s="509"/>
      <c r="CA207" s="509"/>
      <c r="CB207" s="509"/>
      <c r="CC207" s="538"/>
      <c r="CD207" s="509"/>
      <c r="CE207" s="509"/>
      <c r="CF207" s="509"/>
      <c r="CG207" s="509"/>
      <c r="CH207" s="538"/>
      <c r="CI207" s="509"/>
      <c r="CJ207" s="509"/>
      <c r="CK207" s="509"/>
      <c r="CL207" s="509"/>
      <c r="CM207" s="538"/>
      <c r="CN207" s="509"/>
      <c r="CO207" s="509"/>
      <c r="CP207" s="509"/>
      <c r="CQ207" s="509"/>
      <c r="CR207" s="509"/>
      <c r="CS207" s="509"/>
      <c r="CT207" s="509"/>
      <c r="CU207" s="509"/>
      <c r="CV207" s="509">
        <v>9.8000000000000007</v>
      </c>
      <c r="CW207" s="509"/>
      <c r="CX207" s="539">
        <v>8.25</v>
      </c>
      <c r="CY207" s="539">
        <v>7.45</v>
      </c>
      <c r="CZ207" s="539">
        <v>9.35</v>
      </c>
      <c r="DA207" s="539">
        <v>9.3000000000000007</v>
      </c>
      <c r="DB207" s="542">
        <f>SUM(CX207:DA207)</f>
        <v>34.349999999999994</v>
      </c>
      <c r="DC207" s="539">
        <v>8.5</v>
      </c>
      <c r="DD207" s="539">
        <v>7.09</v>
      </c>
      <c r="DE207" s="539">
        <v>8.86</v>
      </c>
      <c r="DF207" s="539">
        <v>5.55</v>
      </c>
      <c r="DG207" s="542">
        <f>SUM(DC207:DF207)</f>
        <v>30</v>
      </c>
      <c r="DH207" s="539">
        <v>5.0549999999999997</v>
      </c>
      <c r="DI207" s="539">
        <v>5.95</v>
      </c>
      <c r="DJ207" s="539">
        <v>7.14</v>
      </c>
      <c r="DK207" s="539">
        <v>7.5149999999999997</v>
      </c>
      <c r="DL207" s="542">
        <f>SUM(DH207:DK207)</f>
        <v>25.66</v>
      </c>
      <c r="DM207" s="539">
        <v>6.85</v>
      </c>
      <c r="DN207" s="539">
        <v>6.9</v>
      </c>
      <c r="DO207" s="539">
        <v>7.67</v>
      </c>
      <c r="DP207" s="539">
        <v>7.3049999999999997</v>
      </c>
      <c r="DQ207" s="542">
        <f>SUM(DM207:DP207)</f>
        <v>28.725000000000001</v>
      </c>
      <c r="DR207" s="539">
        <v>7.69</v>
      </c>
      <c r="DS207" s="539">
        <v>6.55</v>
      </c>
      <c r="DT207" s="539">
        <v>6.8949999999999996</v>
      </c>
      <c r="DU207" s="539">
        <v>5.86</v>
      </c>
      <c r="DV207" s="542">
        <f>SUM(DR207:DU207)</f>
        <v>26.994999999999997</v>
      </c>
      <c r="DW207" s="539">
        <v>5.9850000000000003</v>
      </c>
      <c r="DX207" s="539">
        <v>6</v>
      </c>
      <c r="DY207" s="539">
        <v>6.24</v>
      </c>
      <c r="DZ207" s="539">
        <v>4.99</v>
      </c>
      <c r="EA207" s="542">
        <f>SUM(DW207:DZ207)</f>
        <v>23.215000000000003</v>
      </c>
      <c r="EB207" s="539">
        <v>5.2649999999999997</v>
      </c>
      <c r="EC207" s="539">
        <v>5.27</v>
      </c>
      <c r="ED207" s="539">
        <v>5.3550000000000004</v>
      </c>
      <c r="EE207" s="539">
        <v>5.4050000000000002</v>
      </c>
      <c r="EF207" s="542">
        <f>SUM(EB207:EE207)</f>
        <v>21.295000000000002</v>
      </c>
      <c r="EG207" s="539">
        <v>4.9749999999999996</v>
      </c>
      <c r="EH207" s="539">
        <v>4.3250000000000002</v>
      </c>
      <c r="EI207" s="539">
        <v>3.46</v>
      </c>
      <c r="EJ207" s="599">
        <v>3.01</v>
      </c>
      <c r="EK207" s="542">
        <f>SUM(EG207:EJ207)</f>
        <v>15.770000000000001</v>
      </c>
      <c r="EL207" s="599">
        <v>2.56</v>
      </c>
      <c r="EM207" s="599">
        <v>1.71</v>
      </c>
      <c r="EN207" s="599">
        <v>2.2799999999999998</v>
      </c>
      <c r="EO207" s="539">
        <f>EN207*(1+EO208)</f>
        <v>2.3028</v>
      </c>
      <c r="EP207" s="542">
        <f>SUM(EL207:EO207)</f>
        <v>8.8527999999999984</v>
      </c>
      <c r="EQ207" s="539">
        <f>EO207*(1+EQ208)</f>
        <v>2.2567439999999999</v>
      </c>
      <c r="ER207" s="539">
        <f>EQ207*(1+ER208)</f>
        <v>2.3695811999999998</v>
      </c>
      <c r="ES207" s="539">
        <f>ER207*(1+ES208)</f>
        <v>2.5591476960000001</v>
      </c>
      <c r="ET207" s="539">
        <f>ES207*(1+ET208)</f>
        <v>2.6359221268800002</v>
      </c>
      <c r="EU207" s="542">
        <f>SUM(EQ207:ET207)</f>
        <v>9.8213950228800009</v>
      </c>
      <c r="EV207" s="539"/>
      <c r="EW207" s="539"/>
      <c r="EX207" s="539"/>
      <c r="EY207" s="539"/>
      <c r="EZ207" s="542"/>
      <c r="FA207" s="539"/>
      <c r="FB207" s="539"/>
      <c r="FC207" s="539"/>
      <c r="FD207" s="539"/>
      <c r="FE207" s="542"/>
      <c r="FF207" s="539"/>
      <c r="FG207" s="539"/>
      <c r="FH207" s="539"/>
      <c r="FI207" s="539"/>
      <c r="FJ207" s="542"/>
      <c r="FK207" s="542"/>
      <c r="FL207" s="542"/>
      <c r="FM207" s="542"/>
      <c r="FN207" s="542"/>
      <c r="FO207" s="542"/>
      <c r="FP207" s="542"/>
      <c r="FQ207" s="542"/>
      <c r="FR207" s="542"/>
      <c r="FS207" s="542"/>
      <c r="FT207" s="542"/>
      <c r="FU207" s="542"/>
      <c r="FV207" s="542"/>
      <c r="FW207" s="542"/>
      <c r="FX207" s="542"/>
      <c r="FY207" s="542"/>
      <c r="FZ207" s="542"/>
      <c r="GA207" s="542"/>
      <c r="GB207" s="542"/>
      <c r="GC207" s="542"/>
      <c r="GD207" s="542"/>
      <c r="GE207" s="542"/>
      <c r="GF207" s="542"/>
      <c r="GG207" s="542"/>
      <c r="GH207" s="542"/>
      <c r="GI207" s="542"/>
      <c r="GJ207" s="542"/>
      <c r="GK207" s="542"/>
      <c r="GL207" s="542"/>
      <c r="GM207" s="542"/>
      <c r="GN207" s="542"/>
      <c r="GO207" s="542"/>
      <c r="GP207" s="542"/>
      <c r="GQ207" s="542"/>
      <c r="GR207" s="542"/>
      <c r="GS207" s="542"/>
      <c r="GT207" s="542"/>
      <c r="GU207" s="542"/>
      <c r="GV207" s="542"/>
      <c r="GW207" s="542"/>
      <c r="GX207" s="542"/>
      <c r="GY207" s="542"/>
      <c r="GZ207" s="542"/>
      <c r="HA207" s="542"/>
      <c r="HB207" s="542"/>
      <c r="HC207" s="542"/>
      <c r="HD207" s="542"/>
      <c r="HE207" s="542"/>
      <c r="HF207" s="542"/>
      <c r="HG207" s="542"/>
      <c r="HH207" s="542"/>
      <c r="HI207" s="542"/>
      <c r="HJ207" s="542"/>
      <c r="HK207" s="542"/>
      <c r="HL207" s="542"/>
      <c r="HM207" s="542"/>
      <c r="HN207" s="542"/>
      <c r="HO207" s="542"/>
      <c r="HQ207" s="509"/>
      <c r="HY207" s="509"/>
      <c r="HZ207" s="509"/>
      <c r="IA207" s="509"/>
      <c r="IB207" s="509"/>
    </row>
    <row r="208" spans="1:236" s="563" customFormat="1" hidden="1" outlineLevel="1">
      <c r="A208" s="509" t="s">
        <v>488</v>
      </c>
      <c r="B208" s="509"/>
      <c r="C208" s="509"/>
      <c r="D208" s="509"/>
      <c r="E208" s="509"/>
      <c r="F208" s="509"/>
      <c r="G208" s="509"/>
      <c r="H208" s="509"/>
      <c r="I208" s="509"/>
      <c r="J208" s="509"/>
      <c r="K208" s="509"/>
      <c r="L208" s="509"/>
      <c r="M208" s="509"/>
      <c r="N208" s="509"/>
      <c r="O208" s="509"/>
      <c r="P208" s="509"/>
      <c r="Q208" s="509"/>
      <c r="R208" s="509"/>
      <c r="S208" s="509"/>
      <c r="T208" s="509"/>
      <c r="U208" s="509"/>
      <c r="V208" s="509"/>
      <c r="W208" s="509"/>
      <c r="X208" s="509"/>
      <c r="Y208" s="509"/>
      <c r="Z208" s="509"/>
      <c r="AA208" s="509"/>
      <c r="AB208" s="509"/>
      <c r="AC208" s="509"/>
      <c r="AD208" s="509"/>
      <c r="AE208" s="509"/>
      <c r="AF208" s="509"/>
      <c r="AG208" s="509"/>
      <c r="AH208" s="509"/>
      <c r="AI208" s="509"/>
      <c r="AJ208" s="509"/>
      <c r="AK208" s="509"/>
      <c r="AL208" s="509"/>
      <c r="AM208" s="509"/>
      <c r="AN208" s="509"/>
      <c r="AO208" s="538"/>
      <c r="AP208" s="509"/>
      <c r="AQ208" s="509"/>
      <c r="AR208" s="509"/>
      <c r="AS208" s="509"/>
      <c r="AT208" s="538"/>
      <c r="AU208" s="509"/>
      <c r="AV208" s="509"/>
      <c r="AW208" s="509"/>
      <c r="AX208" s="509"/>
      <c r="AY208" s="538"/>
      <c r="AZ208" s="509"/>
      <c r="BA208" s="509"/>
      <c r="BB208" s="509"/>
      <c r="BC208" s="509"/>
      <c r="BD208" s="538"/>
      <c r="BE208" s="509"/>
      <c r="BF208" s="509"/>
      <c r="BG208" s="509"/>
      <c r="BH208" s="509"/>
      <c r="BI208" s="538"/>
      <c r="BJ208" s="509"/>
      <c r="BK208" s="509"/>
      <c r="BL208" s="509"/>
      <c r="BM208" s="509"/>
      <c r="BN208" s="538"/>
      <c r="BO208" s="509"/>
      <c r="BP208" s="509"/>
      <c r="BQ208" s="509"/>
      <c r="BR208" s="509"/>
      <c r="BS208" s="538"/>
      <c r="BT208" s="509"/>
      <c r="BU208" s="509"/>
      <c r="BV208" s="509"/>
      <c r="BW208" s="509"/>
      <c r="BX208" s="538"/>
      <c r="BY208" s="509"/>
      <c r="BZ208" s="509"/>
      <c r="CA208" s="509"/>
      <c r="CB208" s="509"/>
      <c r="CC208" s="538"/>
      <c r="CD208" s="509"/>
      <c r="CE208" s="509"/>
      <c r="CF208" s="509"/>
      <c r="CG208" s="509"/>
      <c r="CH208" s="538"/>
      <c r="CI208" s="509"/>
      <c r="CJ208" s="509"/>
      <c r="CK208" s="509"/>
      <c r="CL208" s="509"/>
      <c r="CM208" s="538"/>
      <c r="CN208" s="509"/>
      <c r="CO208" s="509"/>
      <c r="CP208" s="509"/>
      <c r="CQ208" s="509"/>
      <c r="CR208" s="509"/>
      <c r="CS208" s="509"/>
      <c r="CT208" s="509"/>
      <c r="CU208" s="509"/>
      <c r="CV208" s="509"/>
      <c r="CW208" s="509"/>
      <c r="CX208" s="340">
        <f>CX207/CV207-1</f>
        <v>-0.15816326530612246</v>
      </c>
      <c r="CY208" s="340">
        <f>CY207/CX207-1</f>
        <v>-9.6969696969696928E-2</v>
      </c>
      <c r="CZ208" s="340">
        <f>CZ207/CY207-1</f>
        <v>0.25503355704697972</v>
      </c>
      <c r="DA208" s="340">
        <f>DA207/CZ207-1</f>
        <v>-5.3475935828876109E-3</v>
      </c>
      <c r="DB208" s="701" t="s">
        <v>199</v>
      </c>
      <c r="DC208" s="340">
        <f>DC207/DA207-1</f>
        <v>-8.6021505376344121E-2</v>
      </c>
      <c r="DD208" s="340">
        <f>DD207/DC207-1</f>
        <v>-0.16588235294117648</v>
      </c>
      <c r="DE208" s="340">
        <f>DE207/DD207-1</f>
        <v>0.24964739069111408</v>
      </c>
      <c r="DF208" s="340">
        <f>DF207/DE207-1</f>
        <v>-0.37358916478555304</v>
      </c>
      <c r="DG208" s="701" t="s">
        <v>199</v>
      </c>
      <c r="DH208" s="340">
        <f>DH207/DF207-1</f>
        <v>-8.9189189189189166E-2</v>
      </c>
      <c r="DI208" s="340">
        <f>DI207/DH207-1</f>
        <v>0.17705242334322469</v>
      </c>
      <c r="DJ208" s="340">
        <f>DJ207/DI207-1</f>
        <v>0.19999999999999996</v>
      </c>
      <c r="DK208" s="340">
        <f>DK207/DJ207-1</f>
        <v>5.252100840336138E-2</v>
      </c>
      <c r="DL208" s="701" t="s">
        <v>199</v>
      </c>
      <c r="DM208" s="340">
        <f>DM207/DK207-1</f>
        <v>-8.8489687292082508E-2</v>
      </c>
      <c r="DN208" s="340">
        <f>DN207/DM207-1</f>
        <v>7.2992700729928028E-3</v>
      </c>
      <c r="DO208" s="340">
        <f>DO207/DN207-1</f>
        <v>0.1115942028985506</v>
      </c>
      <c r="DP208" s="340">
        <f>DP207/DO207-1</f>
        <v>-4.7588005215123852E-2</v>
      </c>
      <c r="DQ208" s="701" t="s">
        <v>199</v>
      </c>
      <c r="DR208" s="340">
        <f>DR207/DP207-1</f>
        <v>5.2703627652292973E-2</v>
      </c>
      <c r="DS208" s="340">
        <f>DS207/DR207-1</f>
        <v>-0.14824447334200264</v>
      </c>
      <c r="DT208" s="340">
        <f>DT207/DS207-1</f>
        <v>5.2671755725190783E-2</v>
      </c>
      <c r="DU208" s="340">
        <f>DU207/DT207-1</f>
        <v>-0.15010877447425663</v>
      </c>
      <c r="DV208" s="701" t="s">
        <v>199</v>
      </c>
      <c r="DW208" s="340">
        <f>DW207/DU207-1</f>
        <v>2.1331058020477744E-2</v>
      </c>
      <c r="DX208" s="340">
        <f>DX207/DW207-1</f>
        <v>2.5062656641603454E-3</v>
      </c>
      <c r="DY208" s="340">
        <f>DY207/DX207-1</f>
        <v>4.0000000000000036E-2</v>
      </c>
      <c r="DZ208" s="340">
        <f>DZ207/DY207-1</f>
        <v>-0.20032051282051277</v>
      </c>
      <c r="EA208" s="701" t="s">
        <v>199</v>
      </c>
      <c r="EB208" s="340">
        <f>EB207/DZ207-1</f>
        <v>5.5110220440881763E-2</v>
      </c>
      <c r="EC208" s="347">
        <f>EC207/EB207-1</f>
        <v>9.496676163343043E-4</v>
      </c>
      <c r="ED208" s="347">
        <f>ED207/EC207-1</f>
        <v>1.6129032258064724E-2</v>
      </c>
      <c r="EE208" s="347">
        <f>EE207/ED207-1</f>
        <v>9.3370681605975392E-3</v>
      </c>
      <c r="EF208" s="701" t="s">
        <v>199</v>
      </c>
      <c r="EG208" s="340">
        <f>EG207/EE207-1</f>
        <v>-7.9555966697502423E-2</v>
      </c>
      <c r="EH208" s="347">
        <f>EH207/EG207-1</f>
        <v>-0.13065326633165819</v>
      </c>
      <c r="EI208" s="347">
        <f>EI207/EH207-1</f>
        <v>-0.20000000000000007</v>
      </c>
      <c r="EJ208" s="347">
        <f>EJ207/EI207-1</f>
        <v>-0.13005780346820817</v>
      </c>
      <c r="EK208" s="701" t="s">
        <v>199</v>
      </c>
      <c r="EL208" s="340">
        <f>EL207/EJ207-1</f>
        <v>-0.14950166112956798</v>
      </c>
      <c r="EM208" s="348">
        <f>EM207/EL207-1</f>
        <v>-0.33203125</v>
      </c>
      <c r="EN208" s="348">
        <f>EN207/EM207-1</f>
        <v>0.33333333333333326</v>
      </c>
      <c r="EO208" s="711">
        <v>0.01</v>
      </c>
      <c r="EP208" s="701" t="s">
        <v>199</v>
      </c>
      <c r="EQ208" s="711">
        <v>-0.02</v>
      </c>
      <c r="ER208" s="711">
        <v>0.05</v>
      </c>
      <c r="ES208" s="711">
        <v>0.08</v>
      </c>
      <c r="ET208" s="711">
        <v>0.03</v>
      </c>
      <c r="EU208" s="701" t="s">
        <v>199</v>
      </c>
      <c r="EV208" s="711"/>
      <c r="EW208" s="711"/>
      <c r="EX208" s="711"/>
      <c r="EY208" s="711"/>
      <c r="EZ208" s="701"/>
      <c r="FA208" s="711"/>
      <c r="FB208" s="711"/>
      <c r="FC208" s="711"/>
      <c r="FD208" s="711"/>
      <c r="FE208" s="701"/>
      <c r="FF208" s="711"/>
      <c r="FG208" s="711"/>
      <c r="FH208" s="711"/>
      <c r="FI208" s="711"/>
      <c r="FJ208" s="701"/>
      <c r="FK208" s="701"/>
      <c r="FL208" s="701"/>
      <c r="FM208" s="701"/>
      <c r="FN208" s="701"/>
      <c r="FO208" s="701"/>
      <c r="FP208" s="701"/>
      <c r="FQ208" s="701"/>
      <c r="FR208" s="701"/>
      <c r="FS208" s="701"/>
      <c r="FT208" s="701"/>
      <c r="FU208" s="701"/>
      <c r="FV208" s="701"/>
      <c r="FW208" s="701"/>
      <c r="FX208" s="701"/>
      <c r="FY208" s="701"/>
      <c r="FZ208" s="701"/>
      <c r="GA208" s="701"/>
      <c r="GB208" s="701"/>
      <c r="GC208" s="701"/>
      <c r="GD208" s="701"/>
      <c r="GE208" s="701"/>
      <c r="GF208" s="701"/>
      <c r="GG208" s="701"/>
      <c r="GH208" s="701"/>
      <c r="GI208" s="701"/>
      <c r="GJ208" s="701"/>
      <c r="GK208" s="701"/>
      <c r="GL208" s="701"/>
      <c r="GM208" s="701"/>
      <c r="GN208" s="701"/>
      <c r="GO208" s="701"/>
      <c r="GP208" s="701"/>
      <c r="GQ208" s="701"/>
      <c r="GR208" s="701"/>
      <c r="GS208" s="701"/>
      <c r="GT208" s="701"/>
      <c r="GU208" s="701"/>
      <c r="GV208" s="701"/>
      <c r="GW208" s="701"/>
      <c r="GX208" s="701"/>
      <c r="GY208" s="701"/>
      <c r="GZ208" s="701"/>
      <c r="HA208" s="701"/>
      <c r="HB208" s="701"/>
      <c r="HC208" s="701"/>
      <c r="HD208" s="701"/>
      <c r="HE208" s="701"/>
      <c r="HF208" s="701"/>
      <c r="HG208" s="701"/>
      <c r="HH208" s="701"/>
      <c r="HI208" s="701"/>
      <c r="HJ208" s="701"/>
      <c r="HK208" s="701"/>
      <c r="HL208" s="701"/>
      <c r="HM208" s="701"/>
      <c r="HN208" s="701"/>
      <c r="HO208" s="701"/>
      <c r="HP208" s="676"/>
      <c r="HQ208" s="672"/>
      <c r="HR208" s="676"/>
      <c r="HY208" s="509"/>
      <c r="HZ208" s="509"/>
      <c r="IA208" s="509"/>
      <c r="IB208" s="509"/>
    </row>
    <row r="209" spans="1:236" s="563" customFormat="1" hidden="1" outlineLevel="1">
      <c r="A209" s="509" t="s">
        <v>489</v>
      </c>
      <c r="B209" s="509"/>
      <c r="C209" s="509"/>
      <c r="D209" s="509"/>
      <c r="E209" s="509"/>
      <c r="F209" s="509"/>
      <c r="G209" s="509"/>
      <c r="H209" s="509"/>
      <c r="I209" s="509"/>
      <c r="J209" s="509"/>
      <c r="K209" s="509"/>
      <c r="L209" s="509"/>
      <c r="M209" s="509"/>
      <c r="N209" s="509"/>
      <c r="O209" s="509"/>
      <c r="P209" s="509"/>
      <c r="Q209" s="509"/>
      <c r="R209" s="509"/>
      <c r="S209" s="509"/>
      <c r="T209" s="509"/>
      <c r="U209" s="509"/>
      <c r="V209" s="509"/>
      <c r="W209" s="509"/>
      <c r="X209" s="509"/>
      <c r="Y209" s="509"/>
      <c r="Z209" s="509"/>
      <c r="AA209" s="509"/>
      <c r="AB209" s="509"/>
      <c r="AC209" s="509"/>
      <c r="AD209" s="509"/>
      <c r="AE209" s="509"/>
      <c r="AF209" s="509"/>
      <c r="AG209" s="509"/>
      <c r="AH209" s="509"/>
      <c r="AI209" s="509"/>
      <c r="AJ209" s="509"/>
      <c r="AK209" s="509"/>
      <c r="AL209" s="509"/>
      <c r="AM209" s="509"/>
      <c r="AN209" s="509"/>
      <c r="AO209" s="538"/>
      <c r="AP209" s="509"/>
      <c r="AQ209" s="509"/>
      <c r="AR209" s="509"/>
      <c r="AS209" s="509"/>
      <c r="AT209" s="538"/>
      <c r="AU209" s="509"/>
      <c r="AV209" s="509"/>
      <c r="AW209" s="509"/>
      <c r="AX209" s="509"/>
      <c r="AY209" s="538"/>
      <c r="AZ209" s="509"/>
      <c r="BA209" s="509"/>
      <c r="BB209" s="509"/>
      <c r="BC209" s="509"/>
      <c r="BD209" s="538"/>
      <c r="BE209" s="509"/>
      <c r="BF209" s="509"/>
      <c r="BG209" s="509"/>
      <c r="BH209" s="509"/>
      <c r="BI209" s="538"/>
      <c r="BJ209" s="509"/>
      <c r="BK209" s="509"/>
      <c r="BL209" s="509"/>
      <c r="BM209" s="509"/>
      <c r="BN209" s="538"/>
      <c r="BO209" s="509"/>
      <c r="BP209" s="509"/>
      <c r="BQ209" s="509"/>
      <c r="BR209" s="509"/>
      <c r="BS209" s="538"/>
      <c r="BT209" s="509"/>
      <c r="BU209" s="509"/>
      <c r="BV209" s="509"/>
      <c r="BW209" s="509"/>
      <c r="BX209" s="538"/>
      <c r="BY209" s="509"/>
      <c r="BZ209" s="509"/>
      <c r="CA209" s="509"/>
      <c r="CB209" s="509"/>
      <c r="CC209" s="538"/>
      <c r="CD209" s="509"/>
      <c r="CE209" s="509"/>
      <c r="CF209" s="509"/>
      <c r="CG209" s="509"/>
      <c r="CH209" s="538"/>
      <c r="CI209" s="509"/>
      <c r="CJ209" s="509"/>
      <c r="CK209" s="509"/>
      <c r="CL209" s="509"/>
      <c r="CM209" s="538"/>
      <c r="CN209" s="509"/>
      <c r="CO209" s="509"/>
      <c r="CP209" s="509"/>
      <c r="CQ209" s="509"/>
      <c r="CR209" s="509"/>
      <c r="CS209" s="509"/>
      <c r="CT209" s="509"/>
      <c r="CU209" s="509"/>
      <c r="CV209" s="509"/>
      <c r="CW209" s="509"/>
      <c r="CX209" s="701" t="s">
        <v>199</v>
      </c>
      <c r="CY209" s="701" t="s">
        <v>199</v>
      </c>
      <c r="CZ209" s="701" t="s">
        <v>199</v>
      </c>
      <c r="DA209" s="701" t="s">
        <v>199</v>
      </c>
      <c r="DB209" s="701" t="s">
        <v>199</v>
      </c>
      <c r="DC209" s="348">
        <f t="shared" ref="DC209:EU209" si="251">(DC207/CX207)-1</f>
        <v>3.0303030303030276E-2</v>
      </c>
      <c r="DD209" s="348">
        <f t="shared" si="251"/>
        <v>-4.832214765100673E-2</v>
      </c>
      <c r="DE209" s="348">
        <f t="shared" si="251"/>
        <v>-5.2406417112299541E-2</v>
      </c>
      <c r="DF209" s="348">
        <f t="shared" si="251"/>
        <v>-0.40322580645161299</v>
      </c>
      <c r="DG209" s="321">
        <f t="shared" si="251"/>
        <v>-0.12663755458515269</v>
      </c>
      <c r="DH209" s="348">
        <f t="shared" si="251"/>
        <v>-0.4052941176470588</v>
      </c>
      <c r="DI209" s="348">
        <f t="shared" si="251"/>
        <v>-0.16078984485190406</v>
      </c>
      <c r="DJ209" s="348">
        <f t="shared" si="251"/>
        <v>-0.19413092550790068</v>
      </c>
      <c r="DK209" s="348">
        <f t="shared" si="251"/>
        <v>0.35405405405405399</v>
      </c>
      <c r="DL209" s="321">
        <f t="shared" si="251"/>
        <v>-0.14466666666666661</v>
      </c>
      <c r="DM209" s="348">
        <f t="shared" si="251"/>
        <v>0.35509396636993085</v>
      </c>
      <c r="DN209" s="348">
        <f t="shared" si="251"/>
        <v>0.15966386554621859</v>
      </c>
      <c r="DO209" s="348">
        <f t="shared" si="251"/>
        <v>7.4229691876750659E-2</v>
      </c>
      <c r="DP209" s="348">
        <f t="shared" si="251"/>
        <v>-2.7944111776447067E-2</v>
      </c>
      <c r="DQ209" s="321">
        <f t="shared" si="251"/>
        <v>0.11944660950896346</v>
      </c>
      <c r="DR209" s="348">
        <f t="shared" si="251"/>
        <v>0.1226277372262774</v>
      </c>
      <c r="DS209" s="348">
        <f t="shared" si="251"/>
        <v>-5.0724637681159535E-2</v>
      </c>
      <c r="DT209" s="348">
        <f t="shared" si="251"/>
        <v>-0.10104302477183835</v>
      </c>
      <c r="DU209" s="348">
        <f t="shared" si="251"/>
        <v>-0.19780971937029423</v>
      </c>
      <c r="DV209" s="321">
        <f t="shared" si="251"/>
        <v>-6.0226283724978402E-2</v>
      </c>
      <c r="DW209" s="348">
        <f t="shared" si="251"/>
        <v>-0.2217165149544863</v>
      </c>
      <c r="DX209" s="348">
        <f t="shared" si="251"/>
        <v>-8.3969465648854991E-2</v>
      </c>
      <c r="DY209" s="348">
        <f t="shared" si="251"/>
        <v>-9.4996374184191379E-2</v>
      </c>
      <c r="DZ209" s="348">
        <f t="shared" si="251"/>
        <v>-0.14846416382252559</v>
      </c>
      <c r="EA209" s="321">
        <f t="shared" si="251"/>
        <v>-0.14002593072791236</v>
      </c>
      <c r="EB209" s="348">
        <f t="shared" si="251"/>
        <v>-0.12030075187969935</v>
      </c>
      <c r="EC209" s="348">
        <f t="shared" si="251"/>
        <v>-0.1216666666666667</v>
      </c>
      <c r="ED209" s="348">
        <f t="shared" si="251"/>
        <v>-0.14182692307692302</v>
      </c>
      <c r="EE209" s="348">
        <f t="shared" si="251"/>
        <v>8.3166332665330689E-2</v>
      </c>
      <c r="EF209" s="321">
        <f t="shared" si="251"/>
        <v>-8.2705147533922108E-2</v>
      </c>
      <c r="EG209" s="348">
        <f t="shared" si="251"/>
        <v>-5.5080721747388428E-2</v>
      </c>
      <c r="EH209" s="348">
        <f t="shared" si="251"/>
        <v>-0.17931688804554069</v>
      </c>
      <c r="EI209" s="294">
        <f t="shared" si="251"/>
        <v>-0.35387488328664807</v>
      </c>
      <c r="EJ209" s="348">
        <f t="shared" si="251"/>
        <v>-0.44310823311748393</v>
      </c>
      <c r="EK209" s="321">
        <f t="shared" si="251"/>
        <v>-0.25945057525240667</v>
      </c>
      <c r="EL209" s="348">
        <f t="shared" si="251"/>
        <v>-0.48542713567839191</v>
      </c>
      <c r="EM209" s="348">
        <f t="shared" si="251"/>
        <v>-0.60462427745664749</v>
      </c>
      <c r="EN209" s="348">
        <f t="shared" si="251"/>
        <v>-0.34104046242774566</v>
      </c>
      <c r="EO209" s="348">
        <f t="shared" si="251"/>
        <v>-0.23495016611295672</v>
      </c>
      <c r="EP209" s="321">
        <f t="shared" si="251"/>
        <v>-0.43863031071655056</v>
      </c>
      <c r="EQ209" s="348">
        <f t="shared" si="251"/>
        <v>-0.11845937500000003</v>
      </c>
      <c r="ER209" s="348">
        <f t="shared" si="251"/>
        <v>0.38571999999999984</v>
      </c>
      <c r="ES209" s="348">
        <f t="shared" si="251"/>
        <v>0.12243320000000013</v>
      </c>
      <c r="ET209" s="348">
        <f t="shared" si="251"/>
        <v>0.1446596</v>
      </c>
      <c r="EU209" s="321">
        <f t="shared" si="251"/>
        <v>0.10941114934032203</v>
      </c>
      <c r="EV209" s="348"/>
      <c r="EW209" s="348"/>
      <c r="EX209" s="348"/>
      <c r="EY209" s="348"/>
      <c r="EZ209" s="321"/>
      <c r="FA209" s="348"/>
      <c r="FB209" s="348"/>
      <c r="FC209" s="348"/>
      <c r="FD209" s="348"/>
      <c r="FE209" s="321"/>
      <c r="FF209" s="348"/>
      <c r="FG209" s="348"/>
      <c r="FH209" s="348"/>
      <c r="FI209" s="348"/>
      <c r="FJ209" s="321"/>
      <c r="FK209" s="321"/>
      <c r="FL209" s="321"/>
      <c r="FM209" s="321"/>
      <c r="FN209" s="321"/>
      <c r="FO209" s="321"/>
      <c r="FP209" s="321"/>
      <c r="FQ209" s="321"/>
      <c r="FR209" s="321"/>
      <c r="FS209" s="712"/>
      <c r="FT209" s="321"/>
      <c r="FU209" s="321"/>
      <c r="FV209" s="321"/>
      <c r="FW209" s="321"/>
      <c r="FX209" s="321"/>
      <c r="FY209" s="321"/>
      <c r="FZ209" s="321"/>
      <c r="GA209" s="321"/>
      <c r="GB209" s="321"/>
      <c r="GC209" s="321"/>
      <c r="GD209" s="321"/>
      <c r="GE209" s="321"/>
      <c r="GF209" s="321"/>
      <c r="GG209" s="321"/>
      <c r="GH209" s="321"/>
      <c r="GI209" s="321"/>
      <c r="GJ209" s="321"/>
      <c r="GK209" s="321"/>
      <c r="GL209" s="321"/>
      <c r="GM209" s="321"/>
      <c r="GN209" s="321"/>
      <c r="GO209" s="321"/>
      <c r="GP209" s="321"/>
      <c r="GQ209" s="321"/>
      <c r="GR209" s="321"/>
      <c r="GS209" s="321"/>
      <c r="GT209" s="321"/>
      <c r="GU209" s="321"/>
      <c r="GV209" s="321"/>
      <c r="GW209" s="321"/>
      <c r="GX209" s="321"/>
      <c r="GY209" s="321"/>
      <c r="GZ209" s="321"/>
      <c r="HA209" s="321"/>
      <c r="HB209" s="321"/>
      <c r="HC209" s="321"/>
      <c r="HD209" s="321"/>
      <c r="HE209" s="321"/>
      <c r="HF209" s="321"/>
      <c r="HG209" s="321"/>
      <c r="HH209" s="321"/>
      <c r="HI209" s="321"/>
      <c r="HJ209" s="321"/>
      <c r="HK209" s="321"/>
      <c r="HL209" s="321"/>
      <c r="HM209" s="321"/>
      <c r="HN209" s="321"/>
      <c r="HO209" s="344"/>
      <c r="HQ209" s="509"/>
      <c r="HY209" s="509"/>
      <c r="HZ209" s="509"/>
      <c r="IA209" s="509"/>
      <c r="IB209" s="509"/>
    </row>
    <row r="210" spans="1:236" s="563" customFormat="1" ht="13.5" hidden="1" customHeight="1" outlineLevel="1">
      <c r="A210" s="509" t="s">
        <v>490</v>
      </c>
      <c r="B210" s="509"/>
      <c r="C210" s="509"/>
      <c r="D210" s="509"/>
      <c r="E210" s="509"/>
      <c r="F210" s="509"/>
      <c r="G210" s="509"/>
      <c r="H210" s="509"/>
      <c r="I210" s="509"/>
      <c r="J210" s="509"/>
      <c r="K210" s="509"/>
      <c r="L210" s="509"/>
      <c r="M210" s="509"/>
      <c r="N210" s="509"/>
      <c r="O210" s="509"/>
      <c r="P210" s="509"/>
      <c r="Q210" s="509"/>
      <c r="R210" s="509"/>
      <c r="S210" s="509"/>
      <c r="T210" s="509"/>
      <c r="U210" s="509"/>
      <c r="V210" s="509"/>
      <c r="W210" s="509"/>
      <c r="X210" s="509"/>
      <c r="Y210" s="509"/>
      <c r="Z210" s="509"/>
      <c r="AA210" s="509"/>
      <c r="AB210" s="509"/>
      <c r="AC210" s="509"/>
      <c r="AD210" s="509"/>
      <c r="AE210" s="509"/>
      <c r="AF210" s="509"/>
      <c r="AG210" s="509"/>
      <c r="AH210" s="509"/>
      <c r="AI210" s="509"/>
      <c r="AJ210" s="509"/>
      <c r="AK210" s="509"/>
      <c r="AL210" s="509"/>
      <c r="AM210" s="509"/>
      <c r="AN210" s="509"/>
      <c r="AO210" s="538"/>
      <c r="AP210" s="509"/>
      <c r="AQ210" s="509"/>
      <c r="AR210" s="509"/>
      <c r="AS210" s="509"/>
      <c r="AT210" s="538"/>
      <c r="AU210" s="509"/>
      <c r="AV210" s="509"/>
      <c r="AW210" s="509"/>
      <c r="AX210" s="509"/>
      <c r="AY210" s="538"/>
      <c r="AZ210" s="509"/>
      <c r="BA210" s="509"/>
      <c r="BB210" s="509"/>
      <c r="BC210" s="509"/>
      <c r="BD210" s="538"/>
      <c r="BE210" s="509"/>
      <c r="BF210" s="509"/>
      <c r="BG210" s="509"/>
      <c r="BH210" s="509"/>
      <c r="BI210" s="538"/>
      <c r="BJ210" s="509"/>
      <c r="BK210" s="509"/>
      <c r="BL210" s="509"/>
      <c r="BM210" s="509"/>
      <c r="BN210" s="538"/>
      <c r="BO210" s="509"/>
      <c r="BP210" s="509"/>
      <c r="BQ210" s="509"/>
      <c r="BR210" s="509"/>
      <c r="BS210" s="538"/>
      <c r="BT210" s="509"/>
      <c r="BU210" s="509"/>
      <c r="BV210" s="509"/>
      <c r="BW210" s="509"/>
      <c r="BX210" s="538"/>
      <c r="BY210" s="509"/>
      <c r="BZ210" s="509"/>
      <c r="CA210" s="509"/>
      <c r="CB210" s="509"/>
      <c r="CC210" s="538"/>
      <c r="CD210" s="509"/>
      <c r="CE210" s="509"/>
      <c r="CF210" s="509"/>
      <c r="CG210" s="509"/>
      <c r="CH210" s="538"/>
      <c r="CI210" s="509"/>
      <c r="CJ210" s="509"/>
      <c r="CK210" s="509"/>
      <c r="CL210" s="509"/>
      <c r="CM210" s="538"/>
      <c r="CN210" s="509"/>
      <c r="CO210" s="509"/>
      <c r="CP210" s="509"/>
      <c r="CQ210" s="509"/>
      <c r="CR210" s="509"/>
      <c r="CS210" s="509"/>
      <c r="CT210" s="509"/>
      <c r="CU210" s="509"/>
      <c r="CV210" s="509"/>
      <c r="CW210" s="509"/>
      <c r="CX210" s="539">
        <v>18.5</v>
      </c>
      <c r="CY210" s="539">
        <v>19.795000000000002</v>
      </c>
      <c r="CZ210" s="539">
        <v>21</v>
      </c>
      <c r="DA210" s="539">
        <v>21.2</v>
      </c>
      <c r="DB210" s="542">
        <f>AVERAGE(CX210:DA210)</f>
        <v>20.123750000000001</v>
      </c>
      <c r="DC210" s="539">
        <v>20</v>
      </c>
      <c r="DD210" s="539">
        <v>20</v>
      </c>
      <c r="DE210" s="539">
        <v>23</v>
      </c>
      <c r="DF210" s="539">
        <v>25</v>
      </c>
      <c r="DG210" s="591">
        <f>AVERAGE(DC210:DF210)</f>
        <v>22</v>
      </c>
      <c r="DH210" s="539">
        <v>24.5</v>
      </c>
      <c r="DI210" s="539">
        <v>22.5</v>
      </c>
      <c r="DJ210" s="539">
        <v>23</v>
      </c>
      <c r="DK210" s="539">
        <v>26</v>
      </c>
      <c r="DL210" s="591">
        <f>AVERAGE(DH210:DK210)</f>
        <v>24</v>
      </c>
      <c r="DM210" s="539">
        <v>26</v>
      </c>
      <c r="DN210" s="539">
        <v>25</v>
      </c>
      <c r="DO210" s="539">
        <v>22</v>
      </c>
      <c r="DP210" s="539">
        <v>24</v>
      </c>
      <c r="DQ210" s="591">
        <f>AVERAGE(DM210:DP210)</f>
        <v>24.25</v>
      </c>
      <c r="DR210" s="539">
        <v>25</v>
      </c>
      <c r="DS210" s="539">
        <v>25.5</v>
      </c>
      <c r="DT210" s="539">
        <v>24.5</v>
      </c>
      <c r="DU210" s="539">
        <v>25</v>
      </c>
      <c r="DV210" s="591">
        <f>AVERAGE(DR210:DU210)</f>
        <v>25</v>
      </c>
      <c r="DW210" s="539">
        <v>25.5</v>
      </c>
      <c r="DX210" s="539">
        <v>25.5</v>
      </c>
      <c r="DY210" s="539">
        <v>25.25</v>
      </c>
      <c r="DZ210" s="539">
        <v>25.5</v>
      </c>
      <c r="EA210" s="591">
        <f>AVERAGE(DW210:DZ210)</f>
        <v>25.4375</v>
      </c>
      <c r="EB210" s="539">
        <v>25.5</v>
      </c>
      <c r="EC210" s="539">
        <v>25.5</v>
      </c>
      <c r="ED210" s="539">
        <v>25.25</v>
      </c>
      <c r="EE210" s="539">
        <v>25.5</v>
      </c>
      <c r="EF210" s="591">
        <f>AVERAGE(EB210:EE210)</f>
        <v>25.4375</v>
      </c>
      <c r="EG210" s="713">
        <v>25.8</v>
      </c>
      <c r="EH210" s="539">
        <v>25</v>
      </c>
      <c r="EI210" s="539">
        <f>EH210*(1+EI211)</f>
        <v>23.75</v>
      </c>
      <c r="EJ210" s="539">
        <f>EI210*(1+EJ211)</f>
        <v>23.987500000000001</v>
      </c>
      <c r="EK210" s="591">
        <f>AVERAGE(EG210:EJ210)</f>
        <v>24.634374999999999</v>
      </c>
      <c r="EL210" s="539">
        <f>EJ210*(1+EL211)</f>
        <v>25.666625000000003</v>
      </c>
      <c r="EM210" s="539">
        <f>EL210*(1+EM211)</f>
        <v>26.949956250000003</v>
      </c>
      <c r="EN210" s="539">
        <f>EM210*(1+EN211)</f>
        <v>23.985461062500004</v>
      </c>
      <c r="EO210" s="539">
        <f>EN210*(1+EO211)</f>
        <v>24.225315673125003</v>
      </c>
      <c r="EP210" s="591">
        <f>AVERAGE(EL210:EO210)</f>
        <v>25.206839496406253</v>
      </c>
      <c r="EQ210" s="539">
        <f>EO210*(1+EQ211)</f>
        <v>24.467568829856255</v>
      </c>
      <c r="ER210" s="539">
        <f>EQ210*(1+ER211)</f>
        <v>24.956920206453379</v>
      </c>
      <c r="ES210" s="539">
        <f>ER210*(1+ES211)</f>
        <v>25.456058610582446</v>
      </c>
      <c r="ET210" s="539">
        <f>ES210*(1+ET211)</f>
        <v>25.71061919668827</v>
      </c>
      <c r="EU210" s="591">
        <f>AVERAGE(EQ210:ET210)</f>
        <v>25.147791710895088</v>
      </c>
      <c r="EV210" s="539"/>
      <c r="EW210" s="539"/>
      <c r="EX210" s="539"/>
      <c r="EY210" s="539"/>
      <c r="EZ210" s="591"/>
      <c r="FA210" s="539"/>
      <c r="FB210" s="539"/>
      <c r="FC210" s="539"/>
      <c r="FD210" s="539"/>
      <c r="FE210" s="591"/>
      <c r="FF210" s="539"/>
      <c r="FG210" s="539"/>
      <c r="FH210" s="539"/>
      <c r="FI210" s="539"/>
      <c r="FJ210" s="591"/>
      <c r="FK210" s="591"/>
      <c r="FL210" s="591"/>
      <c r="FM210" s="591"/>
      <c r="FN210" s="591"/>
      <c r="FO210" s="591"/>
      <c r="FP210" s="591"/>
      <c r="FQ210" s="591"/>
      <c r="FR210" s="591"/>
      <c r="FS210" s="591"/>
      <c r="FT210" s="591"/>
      <c r="FU210" s="591"/>
      <c r="FV210" s="591"/>
      <c r="FW210" s="591"/>
      <c r="FX210" s="591"/>
      <c r="FY210" s="591"/>
      <c r="FZ210" s="591"/>
      <c r="GA210" s="591"/>
      <c r="GB210" s="591"/>
      <c r="GC210" s="591"/>
      <c r="GD210" s="591"/>
      <c r="GE210" s="591"/>
      <c r="GF210" s="591"/>
      <c r="GG210" s="591"/>
      <c r="GH210" s="591"/>
      <c r="GI210" s="591"/>
      <c r="GJ210" s="591"/>
      <c r="GK210" s="591"/>
      <c r="GL210" s="591"/>
      <c r="GM210" s="591"/>
      <c r="GN210" s="591"/>
      <c r="GO210" s="591"/>
      <c r="GP210" s="591"/>
      <c r="GQ210" s="591"/>
      <c r="GR210" s="591"/>
      <c r="GS210" s="591"/>
      <c r="GT210" s="591"/>
      <c r="GU210" s="591"/>
      <c r="GV210" s="591"/>
      <c r="GW210" s="591"/>
      <c r="GX210" s="591"/>
      <c r="GY210" s="591"/>
      <c r="GZ210" s="591"/>
      <c r="HA210" s="591"/>
      <c r="HB210" s="591"/>
      <c r="HC210" s="591"/>
      <c r="HD210" s="591"/>
      <c r="HE210" s="591"/>
      <c r="HF210" s="591"/>
      <c r="HG210" s="591"/>
      <c r="HH210" s="591"/>
      <c r="HI210" s="591"/>
      <c r="HJ210" s="591"/>
      <c r="HK210" s="591"/>
      <c r="HL210" s="591"/>
      <c r="HM210" s="591"/>
      <c r="HN210" s="591"/>
      <c r="HO210" s="591"/>
      <c r="HQ210" s="509"/>
      <c r="HY210" s="509"/>
      <c r="HZ210" s="509"/>
      <c r="IA210" s="509"/>
      <c r="IB210" s="509"/>
    </row>
    <row r="211" spans="1:236" s="563" customFormat="1" hidden="1" outlineLevel="1">
      <c r="A211" s="509" t="s">
        <v>488</v>
      </c>
      <c r="B211" s="509"/>
      <c r="C211" s="509"/>
      <c r="D211" s="509"/>
      <c r="E211" s="509"/>
      <c r="F211" s="509"/>
      <c r="G211" s="509"/>
      <c r="H211" s="509"/>
      <c r="I211" s="509"/>
      <c r="J211" s="509"/>
      <c r="K211" s="509"/>
      <c r="L211" s="509"/>
      <c r="M211" s="509"/>
      <c r="N211" s="509"/>
      <c r="O211" s="509"/>
      <c r="P211" s="509"/>
      <c r="Q211" s="509"/>
      <c r="R211" s="509"/>
      <c r="S211" s="509"/>
      <c r="T211" s="509"/>
      <c r="U211" s="509"/>
      <c r="V211" s="509"/>
      <c r="W211" s="509"/>
      <c r="X211" s="509"/>
      <c r="Y211" s="509"/>
      <c r="Z211" s="509"/>
      <c r="AA211" s="509"/>
      <c r="AB211" s="509"/>
      <c r="AC211" s="509"/>
      <c r="AD211" s="509"/>
      <c r="AE211" s="509"/>
      <c r="AF211" s="509"/>
      <c r="AG211" s="509"/>
      <c r="AH211" s="509"/>
      <c r="AI211" s="509"/>
      <c r="AJ211" s="509"/>
      <c r="AK211" s="509"/>
      <c r="AL211" s="509"/>
      <c r="AM211" s="509"/>
      <c r="AN211" s="509"/>
      <c r="AO211" s="538"/>
      <c r="AP211" s="509"/>
      <c r="AQ211" s="509"/>
      <c r="AR211" s="509"/>
      <c r="AS211" s="509"/>
      <c r="AT211" s="538"/>
      <c r="AU211" s="509"/>
      <c r="AV211" s="509"/>
      <c r="AW211" s="509"/>
      <c r="AX211" s="509"/>
      <c r="AY211" s="538"/>
      <c r="AZ211" s="509"/>
      <c r="BA211" s="509"/>
      <c r="BB211" s="509"/>
      <c r="BC211" s="509"/>
      <c r="BD211" s="538"/>
      <c r="BE211" s="509"/>
      <c r="BF211" s="509"/>
      <c r="BG211" s="509"/>
      <c r="BH211" s="509"/>
      <c r="BI211" s="538"/>
      <c r="BJ211" s="509"/>
      <c r="BK211" s="509"/>
      <c r="BL211" s="509"/>
      <c r="BM211" s="509"/>
      <c r="BN211" s="538"/>
      <c r="BO211" s="509"/>
      <c r="BP211" s="509"/>
      <c r="BQ211" s="509"/>
      <c r="BR211" s="509"/>
      <c r="BS211" s="538"/>
      <c r="BT211" s="509"/>
      <c r="BU211" s="509"/>
      <c r="BV211" s="509"/>
      <c r="BW211" s="509"/>
      <c r="BX211" s="538"/>
      <c r="BY211" s="509"/>
      <c r="BZ211" s="509"/>
      <c r="CA211" s="509"/>
      <c r="CB211" s="509"/>
      <c r="CC211" s="538"/>
      <c r="CD211" s="509"/>
      <c r="CE211" s="509"/>
      <c r="CF211" s="509"/>
      <c r="CG211" s="509"/>
      <c r="CH211" s="538"/>
      <c r="CI211" s="509"/>
      <c r="CJ211" s="509"/>
      <c r="CK211" s="509"/>
      <c r="CL211" s="509"/>
      <c r="CM211" s="538"/>
      <c r="CN211" s="509"/>
      <c r="CO211" s="509"/>
      <c r="CP211" s="509"/>
      <c r="CQ211" s="509"/>
      <c r="CR211" s="509"/>
      <c r="CS211" s="509"/>
      <c r="CT211" s="509"/>
      <c r="CU211" s="509"/>
      <c r="CV211" s="509"/>
      <c r="CW211" s="509"/>
      <c r="CX211" s="701" t="s">
        <v>199</v>
      </c>
      <c r="CY211" s="340">
        <f>CY210/CX210-1</f>
        <v>7.0000000000000062E-2</v>
      </c>
      <c r="CZ211" s="340">
        <f>CZ210/CY210-1</f>
        <v>6.0873958070219558E-2</v>
      </c>
      <c r="DA211" s="340">
        <f>DA210/CZ210-1</f>
        <v>9.52380952380949E-3</v>
      </c>
      <c r="DB211" s="701" t="s">
        <v>199</v>
      </c>
      <c r="DC211" s="340">
        <f>DC210/DA210-1</f>
        <v>-5.6603773584905648E-2</v>
      </c>
      <c r="DD211" s="340">
        <f>DD210/DC210-1</f>
        <v>0</v>
      </c>
      <c r="DE211" s="340">
        <f>DE210/DD210-1</f>
        <v>0.14999999999999991</v>
      </c>
      <c r="DF211" s="340">
        <f>DF210/DE210-1</f>
        <v>8.6956521739130377E-2</v>
      </c>
      <c r="DG211" s="701" t="s">
        <v>199</v>
      </c>
      <c r="DH211" s="340">
        <f>DH210/DF210-1</f>
        <v>-2.0000000000000018E-2</v>
      </c>
      <c r="DI211" s="340">
        <f>DI210/DH210-1</f>
        <v>-8.1632653061224469E-2</v>
      </c>
      <c r="DJ211" s="340">
        <f>DJ210/DI210-1</f>
        <v>2.2222222222222143E-2</v>
      </c>
      <c r="DK211" s="340">
        <f>DK210/DJ210-1</f>
        <v>0.13043478260869557</v>
      </c>
      <c r="DL211" s="701" t="s">
        <v>199</v>
      </c>
      <c r="DM211" s="340">
        <f>DM210/DK210-1</f>
        <v>0</v>
      </c>
      <c r="DN211" s="340">
        <f>DN210/DM210-1</f>
        <v>-3.8461538461538436E-2</v>
      </c>
      <c r="DO211" s="340">
        <f>DO210/DN210-1</f>
        <v>-0.12</v>
      </c>
      <c r="DP211" s="340">
        <f>DP210/DO210-1</f>
        <v>9.0909090909090828E-2</v>
      </c>
      <c r="DQ211" s="701" t="s">
        <v>199</v>
      </c>
      <c r="DR211" s="340">
        <f>DR210/DP210-1</f>
        <v>4.1666666666666741E-2</v>
      </c>
      <c r="DS211" s="340">
        <f>DS210/DR210-1</f>
        <v>2.0000000000000018E-2</v>
      </c>
      <c r="DT211" s="340">
        <f>DT210/DS210-1</f>
        <v>-3.9215686274509776E-2</v>
      </c>
      <c r="DU211" s="340">
        <f>DU210/DT210-1</f>
        <v>2.0408163265306145E-2</v>
      </c>
      <c r="DV211" s="701" t="s">
        <v>199</v>
      </c>
      <c r="DW211" s="340">
        <f>DW210/DU210-1</f>
        <v>2.0000000000000018E-2</v>
      </c>
      <c r="DX211" s="340">
        <f>DX210/DW210-1</f>
        <v>0</v>
      </c>
      <c r="DY211" s="340">
        <f>DY210/DX210-1</f>
        <v>-9.8039215686274161E-3</v>
      </c>
      <c r="DZ211" s="340">
        <f>DZ210/DY210-1</f>
        <v>9.9009900990099098E-3</v>
      </c>
      <c r="EA211" s="701" t="s">
        <v>199</v>
      </c>
      <c r="EB211" s="714">
        <f>EB210/DZ210-1</f>
        <v>0</v>
      </c>
      <c r="EC211" s="714">
        <f>EC210/EB210-1</f>
        <v>0</v>
      </c>
      <c r="ED211" s="714">
        <f>ED210/EC210-1</f>
        <v>-9.8039215686274161E-3</v>
      </c>
      <c r="EE211" s="714">
        <f>EE210/ED210-1</f>
        <v>9.9009900990099098E-3</v>
      </c>
      <c r="EF211" s="701" t="s">
        <v>199</v>
      </c>
      <c r="EG211" s="715">
        <f>EG210/EE210-1</f>
        <v>1.1764705882352899E-2</v>
      </c>
      <c r="EH211" s="714">
        <f>EH210/EG210-1</f>
        <v>-3.1007751937984551E-2</v>
      </c>
      <c r="EI211" s="716">
        <v>-0.05</v>
      </c>
      <c r="EJ211" s="716">
        <v>0.01</v>
      </c>
      <c r="EK211" s="701" t="s">
        <v>199</v>
      </c>
      <c r="EL211" s="349">
        <v>7.0000000000000007E-2</v>
      </c>
      <c r="EM211" s="348">
        <v>0.05</v>
      </c>
      <c r="EN211" s="348">
        <v>-0.11</v>
      </c>
      <c r="EO211" s="711">
        <v>0.01</v>
      </c>
      <c r="EP211" s="701" t="s">
        <v>199</v>
      </c>
      <c r="EQ211" s="711">
        <v>0.01</v>
      </c>
      <c r="ER211" s="711">
        <v>0.02</v>
      </c>
      <c r="ES211" s="711">
        <v>0.02</v>
      </c>
      <c r="ET211" s="711">
        <v>0.01</v>
      </c>
      <c r="EU211" s="701" t="s">
        <v>199</v>
      </c>
      <c r="EV211" s="711"/>
      <c r="EW211" s="711"/>
      <c r="EX211" s="711"/>
      <c r="EY211" s="711"/>
      <c r="EZ211" s="701"/>
      <c r="FA211" s="711"/>
      <c r="FB211" s="711"/>
      <c r="FC211" s="711"/>
      <c r="FD211" s="711"/>
      <c r="FE211" s="701"/>
      <c r="FF211" s="711"/>
      <c r="FG211" s="711"/>
      <c r="FH211" s="711"/>
      <c r="FI211" s="711"/>
      <c r="FJ211" s="701"/>
      <c r="FK211" s="701"/>
      <c r="FL211" s="701"/>
      <c r="FM211" s="701"/>
      <c r="FN211" s="701"/>
      <c r="FO211" s="701"/>
      <c r="FP211" s="701"/>
      <c r="FQ211" s="701"/>
      <c r="FR211" s="701"/>
      <c r="FS211" s="701"/>
      <c r="FT211" s="701"/>
      <c r="FU211" s="701"/>
      <c r="FV211" s="701"/>
      <c r="FW211" s="701"/>
      <c r="FX211" s="701"/>
      <c r="FY211" s="701"/>
      <c r="FZ211" s="701"/>
      <c r="GA211" s="701"/>
      <c r="GB211" s="701"/>
      <c r="GC211" s="701"/>
      <c r="GD211" s="701"/>
      <c r="GE211" s="701"/>
      <c r="GF211" s="701"/>
      <c r="GG211" s="701"/>
      <c r="GH211" s="701"/>
      <c r="GI211" s="701"/>
      <c r="GJ211" s="701"/>
      <c r="GK211" s="701"/>
      <c r="GL211" s="701"/>
      <c r="GM211" s="701"/>
      <c r="GN211" s="701"/>
      <c r="GO211" s="701"/>
      <c r="GP211" s="701"/>
      <c r="GQ211" s="701"/>
      <c r="GR211" s="701"/>
      <c r="GS211" s="701"/>
      <c r="GT211" s="701"/>
      <c r="GU211" s="701"/>
      <c r="GV211" s="701"/>
      <c r="GW211" s="701"/>
      <c r="GX211" s="701"/>
      <c r="GY211" s="701"/>
      <c r="GZ211" s="701"/>
      <c r="HA211" s="701"/>
      <c r="HB211" s="701"/>
      <c r="HC211" s="701"/>
      <c r="HD211" s="701"/>
      <c r="HE211" s="701"/>
      <c r="HF211" s="701"/>
      <c r="HG211" s="701"/>
      <c r="HH211" s="701"/>
      <c r="HI211" s="701"/>
      <c r="HJ211" s="701"/>
      <c r="HK211" s="701"/>
      <c r="HL211" s="701"/>
      <c r="HM211" s="701"/>
      <c r="HN211" s="701"/>
      <c r="HO211" s="701"/>
      <c r="HP211" s="676"/>
      <c r="HQ211" s="672"/>
      <c r="HR211" s="676"/>
      <c r="HY211" s="509"/>
      <c r="HZ211" s="509"/>
      <c r="IA211" s="509"/>
      <c r="IB211" s="509"/>
    </row>
    <row r="212" spans="1:236" s="563" customFormat="1" hidden="1" outlineLevel="1">
      <c r="A212" s="509" t="s">
        <v>489</v>
      </c>
      <c r="B212" s="509"/>
      <c r="C212" s="509"/>
      <c r="D212" s="509"/>
      <c r="E212" s="509"/>
      <c r="F212" s="509"/>
      <c r="G212" s="509"/>
      <c r="H212" s="509"/>
      <c r="I212" s="509"/>
      <c r="J212" s="509"/>
      <c r="K212" s="509"/>
      <c r="L212" s="509"/>
      <c r="M212" s="509"/>
      <c r="N212" s="509"/>
      <c r="O212" s="509"/>
      <c r="P212" s="509"/>
      <c r="Q212" s="509"/>
      <c r="R212" s="509"/>
      <c r="S212" s="509"/>
      <c r="T212" s="509"/>
      <c r="U212" s="509"/>
      <c r="V212" s="509"/>
      <c r="W212" s="509"/>
      <c r="X212" s="509"/>
      <c r="Y212" s="509"/>
      <c r="Z212" s="509"/>
      <c r="AA212" s="509"/>
      <c r="AB212" s="509"/>
      <c r="AC212" s="509"/>
      <c r="AD212" s="509"/>
      <c r="AE212" s="509"/>
      <c r="AF212" s="509"/>
      <c r="AG212" s="509"/>
      <c r="AH212" s="509"/>
      <c r="AI212" s="509"/>
      <c r="AJ212" s="509"/>
      <c r="AK212" s="509"/>
      <c r="AL212" s="509"/>
      <c r="AM212" s="509"/>
      <c r="AN212" s="509"/>
      <c r="AO212" s="538"/>
      <c r="AP212" s="509"/>
      <c r="AQ212" s="509"/>
      <c r="AR212" s="509"/>
      <c r="AS212" s="509"/>
      <c r="AT212" s="538"/>
      <c r="AU212" s="509"/>
      <c r="AV212" s="509"/>
      <c r="AW212" s="509"/>
      <c r="AX212" s="509"/>
      <c r="AY212" s="538"/>
      <c r="AZ212" s="509"/>
      <c r="BA212" s="509"/>
      <c r="BB212" s="509"/>
      <c r="BC212" s="509"/>
      <c r="BD212" s="538"/>
      <c r="BE212" s="509"/>
      <c r="BF212" s="509"/>
      <c r="BG212" s="509"/>
      <c r="BH212" s="509"/>
      <c r="BI212" s="538"/>
      <c r="BJ212" s="509"/>
      <c r="BK212" s="509"/>
      <c r="BL212" s="509"/>
      <c r="BM212" s="509"/>
      <c r="BN212" s="538"/>
      <c r="BO212" s="509"/>
      <c r="BP212" s="509"/>
      <c r="BQ212" s="509"/>
      <c r="BR212" s="509"/>
      <c r="BS212" s="538"/>
      <c r="BT212" s="509"/>
      <c r="BU212" s="509"/>
      <c r="BV212" s="509"/>
      <c r="BW212" s="509"/>
      <c r="BX212" s="538"/>
      <c r="BY212" s="509"/>
      <c r="BZ212" s="509"/>
      <c r="CA212" s="509"/>
      <c r="CB212" s="509"/>
      <c r="CC212" s="538"/>
      <c r="CD212" s="509"/>
      <c r="CE212" s="509"/>
      <c r="CF212" s="509"/>
      <c r="CG212" s="509"/>
      <c r="CH212" s="538"/>
      <c r="CI212" s="509"/>
      <c r="CJ212" s="509"/>
      <c r="CK212" s="509"/>
      <c r="CL212" s="509"/>
      <c r="CM212" s="538"/>
      <c r="CN212" s="509"/>
      <c r="CO212" s="509"/>
      <c r="CP212" s="509"/>
      <c r="CQ212" s="509"/>
      <c r="CR212" s="509"/>
      <c r="CS212" s="509"/>
      <c r="CT212" s="509"/>
      <c r="CU212" s="509"/>
      <c r="CV212" s="509"/>
      <c r="CW212" s="509"/>
      <c r="CX212" s="701" t="s">
        <v>199</v>
      </c>
      <c r="CY212" s="701" t="s">
        <v>199</v>
      </c>
      <c r="CZ212" s="701" t="s">
        <v>199</v>
      </c>
      <c r="DA212" s="701" t="s">
        <v>199</v>
      </c>
      <c r="DB212" s="701" t="s">
        <v>199</v>
      </c>
      <c r="DC212" s="348">
        <f>(DC210/CY210)-1</f>
        <v>1.0356150543066267E-2</v>
      </c>
      <c r="DD212" s="348">
        <f>(DD210/CZ210)-1</f>
        <v>-4.7619047619047672E-2</v>
      </c>
      <c r="DE212" s="348">
        <f>(DE210/DA210)-1</f>
        <v>8.4905660377358583E-2</v>
      </c>
      <c r="DF212" s="348">
        <f>(DF210/DB210)-1</f>
        <v>0.24231318715448147</v>
      </c>
      <c r="DG212" s="321">
        <f>(DG210/DB210)-1</f>
        <v>9.3235604695943719E-2</v>
      </c>
      <c r="DH212" s="348">
        <f>DH210/DC210-1</f>
        <v>0.22500000000000009</v>
      </c>
      <c r="DI212" s="348">
        <f>DI210/DD210-1</f>
        <v>0.125</v>
      </c>
      <c r="DJ212" s="348">
        <f>DJ210/DE210-1</f>
        <v>0</v>
      </c>
      <c r="DK212" s="348">
        <f>DK210/DF210-1</f>
        <v>4.0000000000000036E-2</v>
      </c>
      <c r="DL212" s="321">
        <f>(DL210/DG210)-1</f>
        <v>9.0909090909090828E-2</v>
      </c>
      <c r="DM212" s="348">
        <f>DM210/DH210-1</f>
        <v>6.1224489795918435E-2</v>
      </c>
      <c r="DN212" s="348">
        <f>DN210/DI210-1</f>
        <v>0.11111111111111116</v>
      </c>
      <c r="DO212" s="348">
        <f>DO210/DJ210-1</f>
        <v>-4.3478260869565188E-2</v>
      </c>
      <c r="DP212" s="348">
        <f>DP210/DK210-1</f>
        <v>-7.6923076923076872E-2</v>
      </c>
      <c r="DQ212" s="321">
        <f>(DQ210/DL210)-1</f>
        <v>1.0416666666666741E-2</v>
      </c>
      <c r="DR212" s="348">
        <f>DR210/DM210-1</f>
        <v>-3.8461538461538436E-2</v>
      </c>
      <c r="DS212" s="348">
        <f>DS210/DN210-1</f>
        <v>2.0000000000000018E-2</v>
      </c>
      <c r="DT212" s="348">
        <f>DT210/DO210-1</f>
        <v>0.11363636363636354</v>
      </c>
      <c r="DU212" s="348">
        <f>DU210/DP210-1</f>
        <v>4.1666666666666741E-2</v>
      </c>
      <c r="DV212" s="321">
        <f>(DV210/DQ210)-1</f>
        <v>3.0927835051546282E-2</v>
      </c>
      <c r="DW212" s="348">
        <f>DW210/DR210-1</f>
        <v>2.0000000000000018E-2</v>
      </c>
      <c r="DX212" s="348">
        <f>DX210/DS210-1</f>
        <v>0</v>
      </c>
      <c r="DY212" s="348">
        <f>DY210/DT210-1</f>
        <v>3.0612244897959107E-2</v>
      </c>
      <c r="DZ212" s="348">
        <f>DZ210/DU210-1</f>
        <v>2.0000000000000018E-2</v>
      </c>
      <c r="EA212" s="321">
        <f>(EA210/DV210)-1</f>
        <v>1.7500000000000071E-2</v>
      </c>
      <c r="EB212" s="352">
        <f>EB210/DW210-1</f>
        <v>0</v>
      </c>
      <c r="EC212" s="348">
        <f>EC210/DX210-1</f>
        <v>0</v>
      </c>
      <c r="ED212" s="348">
        <f>ED210/DY210-1</f>
        <v>0</v>
      </c>
      <c r="EE212" s="348">
        <f>EE210/DZ210-1</f>
        <v>0</v>
      </c>
      <c r="EF212" s="321">
        <f>(EF210/EA210)-1</f>
        <v>0</v>
      </c>
      <c r="EG212" s="348">
        <f>EG210/EB210-1</f>
        <v>1.1764705882352899E-2</v>
      </c>
      <c r="EH212" s="348">
        <f>EH210/EC210-1</f>
        <v>-1.9607843137254943E-2</v>
      </c>
      <c r="EI212" s="294">
        <f>EI210/ED210-1</f>
        <v>-5.9405940594059459E-2</v>
      </c>
      <c r="EJ212" s="348">
        <f>EJ210/EE210-1</f>
        <v>-5.931372549019609E-2</v>
      </c>
      <c r="EK212" s="321">
        <f>(EK210/EF210)-1</f>
        <v>-3.1572481572481603E-2</v>
      </c>
      <c r="EL212" s="348">
        <f>EL210/EG210-1</f>
        <v>-5.169573643410752E-3</v>
      </c>
      <c r="EM212" s="348">
        <f>EM210/EH210-1</f>
        <v>7.7998250000000047E-2</v>
      </c>
      <c r="EN212" s="348">
        <f>EN210/EI210-1</f>
        <v>9.914150000000177E-3</v>
      </c>
      <c r="EO212" s="348">
        <f>EO210/EJ210-1</f>
        <v>9.914150000000177E-3</v>
      </c>
      <c r="EP212" s="321">
        <f>(EP210/EK210)-1</f>
        <v>2.3238442071546572E-2</v>
      </c>
      <c r="EQ212" s="348">
        <f>EQ210/EL210-1</f>
        <v>-4.6716549999999968E-2</v>
      </c>
      <c r="ER212" s="348">
        <f>ER210/EM210-1</f>
        <v>-7.3953219999999931E-2</v>
      </c>
      <c r="ES212" s="348">
        <f>ES210/EN210-1</f>
        <v>6.1312040000000012E-2</v>
      </c>
      <c r="ET212" s="348">
        <f>ET210/EO210-1</f>
        <v>6.1312040000000012E-2</v>
      </c>
      <c r="EU212" s="321">
        <f>(EU210/EP210)-1</f>
        <v>-2.3425303088704386E-3</v>
      </c>
      <c r="EV212" s="668"/>
      <c r="EW212" s="668"/>
      <c r="EX212" s="668"/>
      <c r="EY212" s="668"/>
      <c r="EZ212" s="668"/>
      <c r="FA212" s="668"/>
      <c r="FB212" s="668"/>
      <c r="FC212" s="668"/>
      <c r="FD212" s="668"/>
      <c r="FE212" s="668"/>
      <c r="FF212" s="668"/>
      <c r="FG212" s="668"/>
      <c r="FH212" s="668"/>
      <c r="FI212" s="668"/>
      <c r="FJ212" s="668"/>
      <c r="FK212" s="668"/>
      <c r="FL212" s="668"/>
      <c r="FM212" s="668"/>
      <c r="FN212" s="668"/>
      <c r="FO212" s="668"/>
      <c r="FP212" s="668"/>
      <c r="FQ212" s="668"/>
      <c r="FR212" s="668"/>
      <c r="FS212" s="668"/>
      <c r="FT212" s="668"/>
      <c r="FU212" s="668"/>
      <c r="FV212" s="668"/>
      <c r="FW212" s="668"/>
      <c r="FX212" s="668"/>
      <c r="FY212" s="668"/>
      <c r="FZ212" s="668"/>
      <c r="GA212" s="668"/>
      <c r="GB212" s="668"/>
      <c r="GC212" s="668"/>
      <c r="GD212" s="668"/>
      <c r="GE212" s="668"/>
      <c r="GF212" s="668"/>
      <c r="GG212" s="668"/>
      <c r="GH212" s="668"/>
      <c r="GI212" s="668"/>
      <c r="GJ212" s="668"/>
      <c r="GK212" s="668"/>
      <c r="GL212" s="668"/>
      <c r="GM212" s="668"/>
      <c r="GN212" s="668"/>
      <c r="GO212" s="668"/>
      <c r="GP212" s="668"/>
      <c r="GQ212" s="668"/>
      <c r="GR212" s="668"/>
      <c r="GS212" s="668"/>
      <c r="GT212" s="668"/>
      <c r="GU212" s="668"/>
      <c r="GV212" s="668"/>
      <c r="GW212" s="668"/>
      <c r="GX212" s="668"/>
      <c r="GY212" s="668"/>
      <c r="GZ212" s="668"/>
      <c r="HA212" s="668"/>
      <c r="HB212" s="668"/>
      <c r="HC212" s="668"/>
      <c r="HD212" s="668"/>
      <c r="HE212" s="668"/>
      <c r="HF212" s="668"/>
      <c r="HG212" s="668"/>
      <c r="HH212" s="668"/>
      <c r="HI212" s="668"/>
      <c r="HJ212" s="668"/>
      <c r="HK212" s="668"/>
      <c r="HL212" s="668"/>
      <c r="HM212" s="668"/>
      <c r="HN212" s="668"/>
      <c r="HO212" s="344"/>
      <c r="HQ212" s="509"/>
      <c r="HY212" s="509"/>
      <c r="HZ212" s="509"/>
      <c r="IA212" s="509"/>
      <c r="IB212" s="509"/>
    </row>
    <row r="213" spans="1:236" s="563" customFormat="1" hidden="1" outlineLevel="1">
      <c r="A213" s="683" t="s">
        <v>497</v>
      </c>
      <c r="B213" s="684"/>
      <c r="C213" s="684"/>
      <c r="D213" s="684"/>
      <c r="E213" s="684"/>
      <c r="F213" s="684"/>
      <c r="G213" s="684"/>
      <c r="H213" s="684"/>
      <c r="I213" s="684"/>
      <c r="J213" s="684"/>
      <c r="K213" s="684"/>
      <c r="L213" s="684"/>
      <c r="M213" s="684"/>
      <c r="N213" s="684"/>
      <c r="O213" s="684"/>
      <c r="P213" s="684"/>
      <c r="Q213" s="684"/>
      <c r="R213" s="684"/>
      <c r="S213" s="684"/>
      <c r="T213" s="684"/>
      <c r="U213" s="684"/>
      <c r="V213" s="684"/>
      <c r="W213" s="684"/>
      <c r="X213" s="684"/>
      <c r="Y213" s="684"/>
      <c r="Z213" s="684"/>
      <c r="AA213" s="684"/>
      <c r="AB213" s="684"/>
      <c r="AC213" s="684"/>
      <c r="AD213" s="684"/>
      <c r="AE213" s="684"/>
      <c r="AF213" s="684"/>
      <c r="AG213" s="684"/>
      <c r="AH213" s="684"/>
      <c r="AI213" s="684"/>
      <c r="AJ213" s="684"/>
      <c r="AK213" s="684"/>
      <c r="AL213" s="684"/>
      <c r="AM213" s="684"/>
      <c r="AN213" s="684"/>
      <c r="AO213" s="717"/>
      <c r="AP213" s="684"/>
      <c r="AQ213" s="684"/>
      <c r="AR213" s="684"/>
      <c r="AS213" s="684"/>
      <c r="AT213" s="717"/>
      <c r="AU213" s="684"/>
      <c r="AV213" s="684"/>
      <c r="AW213" s="684"/>
      <c r="AX213" s="684"/>
      <c r="AY213" s="717"/>
      <c r="AZ213" s="684"/>
      <c r="BA213" s="684"/>
      <c r="BB213" s="684"/>
      <c r="BC213" s="684"/>
      <c r="BD213" s="717"/>
      <c r="BE213" s="684"/>
      <c r="BF213" s="684"/>
      <c r="BG213" s="684"/>
      <c r="BH213" s="684"/>
      <c r="BI213" s="717"/>
      <c r="BJ213" s="684"/>
      <c r="BK213" s="684"/>
      <c r="BL213" s="684"/>
      <c r="BM213" s="684"/>
      <c r="BN213" s="717"/>
      <c r="BO213" s="684"/>
      <c r="BP213" s="684"/>
      <c r="BQ213" s="684"/>
      <c r="BR213" s="684"/>
      <c r="BS213" s="717"/>
      <c r="BT213" s="684"/>
      <c r="BU213" s="684"/>
      <c r="BV213" s="684"/>
      <c r="BW213" s="684"/>
      <c r="BX213" s="717"/>
      <c r="BY213" s="684"/>
      <c r="BZ213" s="684"/>
      <c r="CA213" s="684"/>
      <c r="CB213" s="684"/>
      <c r="CC213" s="717"/>
      <c r="CD213" s="684"/>
      <c r="CE213" s="684"/>
      <c r="CF213" s="684"/>
      <c r="CG213" s="684"/>
      <c r="CH213" s="717"/>
      <c r="CI213" s="684"/>
      <c r="CJ213" s="684"/>
      <c r="CK213" s="684"/>
      <c r="CL213" s="684"/>
      <c r="CM213" s="717"/>
      <c r="CN213" s="684"/>
      <c r="CO213" s="684"/>
      <c r="CP213" s="684"/>
      <c r="CQ213" s="684"/>
      <c r="CR213" s="684"/>
      <c r="CS213" s="684"/>
      <c r="CT213" s="684"/>
      <c r="CU213" s="684"/>
      <c r="CV213" s="684"/>
      <c r="CW213" s="684"/>
      <c r="CX213" s="718">
        <f>CX207*CX210</f>
        <v>152.625</v>
      </c>
      <c r="CY213" s="718">
        <f>CY207*CY210</f>
        <v>147.47275000000002</v>
      </c>
      <c r="CZ213" s="718">
        <f>CZ207*CZ210</f>
        <v>196.35</v>
      </c>
      <c r="DA213" s="718">
        <f>DA207*DA210</f>
        <v>197.16</v>
      </c>
      <c r="DB213" s="691">
        <f>SUM(CX213:DA213)</f>
        <v>693.60775000000001</v>
      </c>
      <c r="DC213" s="718">
        <f>DC207*DC210</f>
        <v>170</v>
      </c>
      <c r="DD213" s="718">
        <f>DD207*DD210</f>
        <v>141.80000000000001</v>
      </c>
      <c r="DE213" s="718">
        <f>DE207*DE210</f>
        <v>203.77999999999997</v>
      </c>
      <c r="DF213" s="718">
        <f>DF207*DF210</f>
        <v>138.75</v>
      </c>
      <c r="DG213" s="691">
        <f>SUM(DC213:DF213)</f>
        <v>654.32999999999993</v>
      </c>
      <c r="DH213" s="718">
        <f>DH207*DH210</f>
        <v>123.8475</v>
      </c>
      <c r="DI213" s="718">
        <f>DI207*DI210</f>
        <v>133.875</v>
      </c>
      <c r="DJ213" s="718">
        <f>DJ207*DJ210</f>
        <v>164.22</v>
      </c>
      <c r="DK213" s="718">
        <f>DK207*DK210</f>
        <v>195.39</v>
      </c>
      <c r="DL213" s="691">
        <f>SUM(DH213:DK213)</f>
        <v>617.33249999999998</v>
      </c>
      <c r="DM213" s="718">
        <f>DM207*DM210</f>
        <v>178.1</v>
      </c>
      <c r="DN213" s="718">
        <f>DN207*DN210</f>
        <v>172.5</v>
      </c>
      <c r="DO213" s="718">
        <f>DO207*DO210</f>
        <v>168.74</v>
      </c>
      <c r="DP213" s="718">
        <f>DP207*DP210</f>
        <v>175.32</v>
      </c>
      <c r="DQ213" s="691">
        <f>SUM(DM213:DP213)</f>
        <v>694.66000000000008</v>
      </c>
      <c r="DR213" s="718">
        <f>DR207*DR210</f>
        <v>192.25</v>
      </c>
      <c r="DS213" s="718">
        <f>DS207*DS210</f>
        <v>167.02500000000001</v>
      </c>
      <c r="DT213" s="718">
        <f>DT207*DT210</f>
        <v>168.92749999999998</v>
      </c>
      <c r="DU213" s="718">
        <f>DU207*DU210</f>
        <v>146.5</v>
      </c>
      <c r="DV213" s="691">
        <f>SUM(DR213:DU213)</f>
        <v>674.70249999999999</v>
      </c>
      <c r="DW213" s="718">
        <f>DW207*DW210</f>
        <v>152.61750000000001</v>
      </c>
      <c r="DX213" s="718">
        <f>DX207*DX210</f>
        <v>153</v>
      </c>
      <c r="DY213" s="718">
        <f>DY207*DY210</f>
        <v>157.56</v>
      </c>
      <c r="DZ213" s="718">
        <f>DZ207*DZ210</f>
        <v>127.245</v>
      </c>
      <c r="EA213" s="691">
        <f>SUM(DW213:DZ213)</f>
        <v>590.42250000000001</v>
      </c>
      <c r="EB213" s="719">
        <f>EB207*EB210</f>
        <v>134.25749999999999</v>
      </c>
      <c r="EC213" s="718">
        <f>EC207*EC210</f>
        <v>134.38499999999999</v>
      </c>
      <c r="ED213" s="718">
        <f>ED207*ED210</f>
        <v>135.21375</v>
      </c>
      <c r="EE213" s="718">
        <f>EE207*EE210</f>
        <v>137.82750000000001</v>
      </c>
      <c r="EF213" s="691">
        <f>SUM(EB213:EE213)</f>
        <v>541.68375000000003</v>
      </c>
      <c r="EG213" s="718">
        <f>EG207*EG210</f>
        <v>128.35499999999999</v>
      </c>
      <c r="EH213" s="718">
        <f>EH207*EH210</f>
        <v>108.125</v>
      </c>
      <c r="EI213" s="718">
        <f>EI207*EI210</f>
        <v>82.174999999999997</v>
      </c>
      <c r="EJ213" s="718">
        <f>EJ207*EJ210</f>
        <v>72.202375000000004</v>
      </c>
      <c r="EK213" s="691">
        <f>SUM(EG213:EJ213)</f>
        <v>390.85737499999999</v>
      </c>
      <c r="EL213" s="718">
        <f>EL207*EL210</f>
        <v>65.70656000000001</v>
      </c>
      <c r="EM213" s="718">
        <f>EM207*EM210</f>
        <v>46.084425187500003</v>
      </c>
      <c r="EN213" s="718">
        <f>EN207*EN210</f>
        <v>54.686851222500003</v>
      </c>
      <c r="EO213" s="718">
        <f>EO207*EO210</f>
        <v>55.786056932072256</v>
      </c>
      <c r="EP213" s="691">
        <f>SUM(EL213:EO213)</f>
        <v>222.26389334207227</v>
      </c>
      <c r="EQ213" s="718">
        <f>EQ207*EQ210</f>
        <v>55.217039151365121</v>
      </c>
      <c r="ER213" s="718">
        <f>ER207*ER210</f>
        <v>59.13744893111204</v>
      </c>
      <c r="ES213" s="718">
        <f>ES207*ES210</f>
        <v>65.145813742513027</v>
      </c>
      <c r="ET213" s="718">
        <f>ET207*ET210</f>
        <v>67.771190036336307</v>
      </c>
      <c r="EU213" s="691">
        <f>SUM(EQ213:ET213)</f>
        <v>247.27149186132647</v>
      </c>
      <c r="EV213" s="668"/>
      <c r="EW213" s="668"/>
      <c r="EX213" s="668"/>
      <c r="EY213" s="668"/>
      <c r="EZ213" s="668"/>
      <c r="FA213" s="668"/>
      <c r="FB213" s="668"/>
      <c r="FC213" s="668"/>
      <c r="FD213" s="668"/>
      <c r="FE213" s="668"/>
      <c r="FF213" s="668"/>
      <c r="FG213" s="668"/>
      <c r="FH213" s="668"/>
      <c r="FI213" s="668"/>
      <c r="FJ213" s="668"/>
      <c r="FK213" s="668"/>
      <c r="FL213" s="668"/>
      <c r="FM213" s="668"/>
      <c r="FN213" s="668"/>
      <c r="FO213" s="668"/>
      <c r="FP213" s="668"/>
      <c r="FQ213" s="668"/>
      <c r="FR213" s="668"/>
      <c r="FS213" s="668"/>
      <c r="FT213" s="668"/>
      <c r="FU213" s="668"/>
      <c r="FV213" s="668"/>
      <c r="FW213" s="668"/>
      <c r="FX213" s="668"/>
      <c r="FY213" s="668"/>
      <c r="FZ213" s="668"/>
      <c r="GA213" s="668"/>
      <c r="GB213" s="668"/>
      <c r="GC213" s="668"/>
      <c r="GD213" s="668"/>
      <c r="GE213" s="668"/>
      <c r="GF213" s="668"/>
      <c r="GG213" s="668"/>
      <c r="GH213" s="668"/>
      <c r="GI213" s="668"/>
      <c r="GJ213" s="668"/>
      <c r="GK213" s="668"/>
      <c r="GL213" s="668"/>
      <c r="GM213" s="668"/>
      <c r="GN213" s="668"/>
      <c r="GO213" s="668"/>
      <c r="GP213" s="668"/>
      <c r="GQ213" s="668"/>
      <c r="GR213" s="668"/>
      <c r="GS213" s="668"/>
      <c r="GT213" s="668"/>
      <c r="GU213" s="668"/>
      <c r="GV213" s="668"/>
      <c r="GW213" s="668"/>
      <c r="GX213" s="668"/>
      <c r="GY213" s="668"/>
      <c r="GZ213" s="668"/>
      <c r="HA213" s="668"/>
      <c r="HB213" s="668"/>
      <c r="HC213" s="668"/>
      <c r="HD213" s="668"/>
      <c r="HE213" s="668"/>
      <c r="HF213" s="668"/>
      <c r="HG213" s="668"/>
      <c r="HH213" s="668"/>
      <c r="HI213" s="668"/>
      <c r="HJ213" s="668"/>
      <c r="HK213" s="668"/>
      <c r="HL213" s="668"/>
      <c r="HM213" s="668"/>
      <c r="HN213" s="668"/>
      <c r="HO213" s="542"/>
      <c r="HQ213" s="509"/>
      <c r="HY213" s="509"/>
      <c r="HZ213" s="509"/>
      <c r="IA213" s="509"/>
      <c r="IB213" s="509"/>
    </row>
    <row r="214" spans="1:236" s="563" customFormat="1" hidden="1" outlineLevel="1">
      <c r="A214" s="509" t="s">
        <v>488</v>
      </c>
      <c r="B214" s="509"/>
      <c r="C214" s="509"/>
      <c r="D214" s="509"/>
      <c r="E214" s="509"/>
      <c r="F214" s="509"/>
      <c r="G214" s="509"/>
      <c r="H214" s="509"/>
      <c r="I214" s="509"/>
      <c r="J214" s="509"/>
      <c r="K214" s="509"/>
      <c r="L214" s="509"/>
      <c r="M214" s="509"/>
      <c r="N214" s="509"/>
      <c r="O214" s="509"/>
      <c r="P214" s="509"/>
      <c r="Q214" s="509"/>
      <c r="R214" s="509"/>
      <c r="S214" s="509"/>
      <c r="T214" s="509"/>
      <c r="U214" s="509"/>
      <c r="V214" s="509"/>
      <c r="W214" s="509"/>
      <c r="X214" s="509"/>
      <c r="Y214" s="509"/>
      <c r="Z214" s="509"/>
      <c r="AA214" s="509"/>
      <c r="AB214" s="509"/>
      <c r="AC214" s="509"/>
      <c r="AD214" s="509"/>
      <c r="AE214" s="509"/>
      <c r="AF214" s="509"/>
      <c r="AG214" s="509"/>
      <c r="AH214" s="509"/>
      <c r="AI214" s="509"/>
      <c r="AJ214" s="509"/>
      <c r="AK214" s="509"/>
      <c r="AL214" s="509"/>
      <c r="AM214" s="509"/>
      <c r="AN214" s="509"/>
      <c r="AO214" s="538"/>
      <c r="AP214" s="509"/>
      <c r="AQ214" s="509"/>
      <c r="AR214" s="509"/>
      <c r="AS214" s="509"/>
      <c r="AT214" s="538"/>
      <c r="AU214" s="509"/>
      <c r="AV214" s="509"/>
      <c r="AW214" s="509"/>
      <c r="AX214" s="509"/>
      <c r="AY214" s="538"/>
      <c r="AZ214" s="509"/>
      <c r="BA214" s="509"/>
      <c r="BB214" s="509"/>
      <c r="BC214" s="509"/>
      <c r="BD214" s="538"/>
      <c r="BE214" s="509"/>
      <c r="BF214" s="509"/>
      <c r="BG214" s="509"/>
      <c r="BH214" s="509"/>
      <c r="BI214" s="538"/>
      <c r="BJ214" s="509"/>
      <c r="BK214" s="509"/>
      <c r="BL214" s="509"/>
      <c r="BM214" s="509"/>
      <c r="BN214" s="538"/>
      <c r="BO214" s="509"/>
      <c r="BP214" s="509"/>
      <c r="BQ214" s="509"/>
      <c r="BR214" s="509"/>
      <c r="BS214" s="538"/>
      <c r="BT214" s="509"/>
      <c r="BU214" s="509"/>
      <c r="BV214" s="509"/>
      <c r="BW214" s="509"/>
      <c r="BX214" s="538"/>
      <c r="BY214" s="509"/>
      <c r="BZ214" s="509"/>
      <c r="CA214" s="509"/>
      <c r="CB214" s="509"/>
      <c r="CC214" s="538"/>
      <c r="CD214" s="509"/>
      <c r="CE214" s="509"/>
      <c r="CF214" s="509"/>
      <c r="CG214" s="509"/>
      <c r="CH214" s="538"/>
      <c r="CI214" s="509"/>
      <c r="CJ214" s="509"/>
      <c r="CK214" s="509"/>
      <c r="CL214" s="509"/>
      <c r="CM214" s="538"/>
      <c r="CN214" s="509"/>
      <c r="CO214" s="509"/>
      <c r="CP214" s="509"/>
      <c r="CQ214" s="509"/>
      <c r="CR214" s="509"/>
      <c r="CS214" s="509"/>
      <c r="CT214" s="509"/>
      <c r="CU214" s="509"/>
      <c r="CV214" s="509"/>
      <c r="CW214" s="509"/>
      <c r="CX214" s="701" t="s">
        <v>199</v>
      </c>
      <c r="CY214" s="348">
        <f>(CY213/CX213)-1</f>
        <v>-3.3757575757575653E-2</v>
      </c>
      <c r="CZ214" s="348">
        <f>(CZ213/CY213)-1</f>
        <v>0.33143241717537619</v>
      </c>
      <c r="DA214" s="348">
        <f>(DA213/CZ213)-1</f>
        <v>4.125286478227741E-3</v>
      </c>
      <c r="DB214" s="701" t="s">
        <v>199</v>
      </c>
      <c r="DC214" s="348">
        <f>(DC213/DA213)-1</f>
        <v>-0.13775613714749435</v>
      </c>
      <c r="DD214" s="348">
        <f>(DD213/DC213)-1</f>
        <v>-0.16588235294117637</v>
      </c>
      <c r="DE214" s="348">
        <f>(DE213/DD213)-1</f>
        <v>0.43709449929478117</v>
      </c>
      <c r="DF214" s="348">
        <f>(DF213/DE213)-1</f>
        <v>-0.31911865737560108</v>
      </c>
      <c r="DG214" s="701" t="s">
        <v>199</v>
      </c>
      <c r="DH214" s="348">
        <f>(DH213/DF213)-1</f>
        <v>-0.10740540540540544</v>
      </c>
      <c r="DI214" s="348">
        <f>(DI213/DH213)-1</f>
        <v>8.0966511233573568E-2</v>
      </c>
      <c r="DJ214" s="348">
        <f>(DJ213/DI213)-1</f>
        <v>0.22666666666666657</v>
      </c>
      <c r="DK214" s="348">
        <f>(DK213/DJ213)-1</f>
        <v>0.18980635732553885</v>
      </c>
      <c r="DL214" s="701" t="s">
        <v>199</v>
      </c>
      <c r="DM214" s="348">
        <f>(DM213/DK213)-1</f>
        <v>-8.8489687292082508E-2</v>
      </c>
      <c r="DN214" s="348">
        <f>(DN213/DM213)-1</f>
        <v>-3.1443009545199296E-2</v>
      </c>
      <c r="DO214" s="348">
        <f>(DO213/DN213)-1</f>
        <v>-2.1797101449275269E-2</v>
      </c>
      <c r="DP214" s="348">
        <f>(DP213/DO213)-1</f>
        <v>3.899490340168299E-2</v>
      </c>
      <c r="DQ214" s="701" t="s">
        <v>199</v>
      </c>
      <c r="DR214" s="348">
        <f>(DR213/DP213)-1</f>
        <v>9.6566278804471883E-2</v>
      </c>
      <c r="DS214" s="348">
        <f>(DS213/DR213)-1</f>
        <v>-0.13120936280884266</v>
      </c>
      <c r="DT214" s="348">
        <f>(DT213/DS213)-1</f>
        <v>1.1390510402634169E-2</v>
      </c>
      <c r="DU214" s="348">
        <f>(DU213/DT213)-1</f>
        <v>-0.13276405558597615</v>
      </c>
      <c r="DV214" s="701" t="s">
        <v>199</v>
      </c>
      <c r="DW214" s="348">
        <f>(DW213/DU213)-1</f>
        <v>4.1757679180887353E-2</v>
      </c>
      <c r="DX214" s="348">
        <f>(DX213/DW213)-1</f>
        <v>2.5062656641603454E-3</v>
      </c>
      <c r="DY214" s="348">
        <f>(DY213/DX213)-1</f>
        <v>2.9803921568627434E-2</v>
      </c>
      <c r="DZ214" s="348">
        <f>(DZ213/DY213)-1</f>
        <v>-0.19240289413556744</v>
      </c>
      <c r="EA214" s="701" t="s">
        <v>199</v>
      </c>
      <c r="EB214" s="352">
        <f>(EB213/DZ213)-1</f>
        <v>5.5110220440881763E-2</v>
      </c>
      <c r="EC214" s="348">
        <f>(EC213/EB213)-1</f>
        <v>9.496676163343043E-4</v>
      </c>
      <c r="ED214" s="348">
        <f>(ED213/EC213)-1</f>
        <v>6.1669829222013028E-3</v>
      </c>
      <c r="EE214" s="348">
        <f>(EE213/ED213)-1</f>
        <v>1.9330504479019295E-2</v>
      </c>
      <c r="EF214" s="701" t="s">
        <v>199</v>
      </c>
      <c r="EG214" s="348">
        <f>(EG213/EE213)-1</f>
        <v>-6.8727213364531914E-2</v>
      </c>
      <c r="EH214" s="348">
        <f>(EH213/EG213)-1</f>
        <v>-0.15760975419734324</v>
      </c>
      <c r="EI214" s="294">
        <f>(EI213/EH213)-1</f>
        <v>-0.24</v>
      </c>
      <c r="EJ214" s="348">
        <f>(EJ213/EI213)-1</f>
        <v>-0.12135838150289013</v>
      </c>
      <c r="EK214" s="701" t="s">
        <v>199</v>
      </c>
      <c r="EL214" s="348">
        <f>(EL213/EJ213)-1</f>
        <v>-8.9966777408637788E-2</v>
      </c>
      <c r="EM214" s="348">
        <f>(EM213/EL213)-1</f>
        <v>-0.29863281250000007</v>
      </c>
      <c r="EN214" s="348">
        <f>(EN213/EM213)-1</f>
        <v>0.18666666666666676</v>
      </c>
      <c r="EO214" s="348">
        <f>(EO213/EN213)-1</f>
        <v>2.0100000000000007E-2</v>
      </c>
      <c r="EP214" s="701" t="s">
        <v>199</v>
      </c>
      <c r="EQ214" s="348">
        <f>(EQ213/EO213)-1</f>
        <v>-1.0199999999999987E-2</v>
      </c>
      <c r="ER214" s="348">
        <f>(ER213/EQ213)-1</f>
        <v>7.0999999999999952E-2</v>
      </c>
      <c r="ES214" s="348">
        <f>(ES213/ER213)-1</f>
        <v>0.10160000000000013</v>
      </c>
      <c r="ET214" s="348">
        <f>(ET213/ES213)-1</f>
        <v>4.0300000000000002E-2</v>
      </c>
      <c r="EU214" s="701" t="s">
        <v>199</v>
      </c>
      <c r="EV214" s="668"/>
      <c r="EW214" s="668"/>
      <c r="EX214" s="668"/>
      <c r="EY214" s="668"/>
      <c r="EZ214" s="668"/>
      <c r="FA214" s="668"/>
      <c r="FB214" s="668"/>
      <c r="FC214" s="668"/>
      <c r="FD214" s="668"/>
      <c r="FE214" s="668"/>
      <c r="FF214" s="668"/>
      <c r="FG214" s="668"/>
      <c r="FH214" s="668"/>
      <c r="FI214" s="668"/>
      <c r="FJ214" s="668"/>
      <c r="FK214" s="668"/>
      <c r="FL214" s="668"/>
      <c r="FM214" s="668"/>
      <c r="FN214" s="668"/>
      <c r="FO214" s="668"/>
      <c r="FP214" s="668"/>
      <c r="FQ214" s="668"/>
      <c r="FR214" s="668"/>
      <c r="FS214" s="668"/>
      <c r="FT214" s="668"/>
      <c r="FU214" s="668"/>
      <c r="FV214" s="668"/>
      <c r="FW214" s="668"/>
      <c r="FX214" s="668"/>
      <c r="FY214" s="668"/>
      <c r="FZ214" s="668"/>
      <c r="GA214" s="668"/>
      <c r="GB214" s="668"/>
      <c r="GC214" s="668"/>
      <c r="GD214" s="668"/>
      <c r="GE214" s="668"/>
      <c r="GF214" s="668"/>
      <c r="GG214" s="668"/>
      <c r="GH214" s="668"/>
      <c r="GI214" s="668"/>
      <c r="GJ214" s="668"/>
      <c r="GK214" s="668"/>
      <c r="GL214" s="668"/>
      <c r="GM214" s="668"/>
      <c r="GN214" s="668"/>
      <c r="GO214" s="668"/>
      <c r="GP214" s="668"/>
      <c r="GQ214" s="668"/>
      <c r="GR214" s="668"/>
      <c r="GS214" s="668"/>
      <c r="GT214" s="668"/>
      <c r="GU214" s="668"/>
      <c r="GV214" s="668"/>
      <c r="GW214" s="668"/>
      <c r="GX214" s="668"/>
      <c r="GY214" s="668"/>
      <c r="GZ214" s="668"/>
      <c r="HA214" s="668"/>
      <c r="HB214" s="668"/>
      <c r="HC214" s="668"/>
      <c r="HD214" s="668"/>
      <c r="HE214" s="668"/>
      <c r="HF214" s="668"/>
      <c r="HG214" s="668"/>
      <c r="HH214" s="668"/>
      <c r="HI214" s="668"/>
      <c r="HJ214" s="668"/>
      <c r="HK214" s="668"/>
      <c r="HL214" s="668"/>
      <c r="HM214" s="668"/>
      <c r="HN214" s="668"/>
      <c r="HO214" s="701"/>
      <c r="HQ214" s="509"/>
      <c r="HY214" s="509"/>
      <c r="HZ214" s="509"/>
      <c r="IA214" s="509"/>
      <c r="IB214" s="509"/>
    </row>
    <row r="215" spans="1:236" s="563" customFormat="1" hidden="1" outlineLevel="1">
      <c r="A215" s="509" t="s">
        <v>489</v>
      </c>
      <c r="B215" s="509"/>
      <c r="C215" s="509"/>
      <c r="D215" s="509"/>
      <c r="E215" s="509"/>
      <c r="F215" s="509"/>
      <c r="G215" s="509"/>
      <c r="H215" s="509"/>
      <c r="I215" s="509"/>
      <c r="J215" s="509"/>
      <c r="K215" s="509"/>
      <c r="L215" s="509"/>
      <c r="M215" s="509"/>
      <c r="N215" s="509"/>
      <c r="O215" s="509"/>
      <c r="P215" s="509"/>
      <c r="Q215" s="509"/>
      <c r="R215" s="509"/>
      <c r="S215" s="509"/>
      <c r="T215" s="509"/>
      <c r="U215" s="509"/>
      <c r="V215" s="509"/>
      <c r="W215" s="509"/>
      <c r="X215" s="509"/>
      <c r="Y215" s="509"/>
      <c r="Z215" s="509"/>
      <c r="AA215" s="509"/>
      <c r="AB215" s="509"/>
      <c r="AC215" s="509"/>
      <c r="AD215" s="509"/>
      <c r="AE215" s="509"/>
      <c r="AF215" s="509"/>
      <c r="AG215" s="509"/>
      <c r="AH215" s="509"/>
      <c r="AI215" s="509"/>
      <c r="AJ215" s="509"/>
      <c r="AK215" s="509"/>
      <c r="AL215" s="509"/>
      <c r="AM215" s="509"/>
      <c r="AN215" s="509"/>
      <c r="AO215" s="538"/>
      <c r="AP215" s="509"/>
      <c r="AQ215" s="509"/>
      <c r="AR215" s="509"/>
      <c r="AS215" s="509"/>
      <c r="AT215" s="538"/>
      <c r="AU215" s="509"/>
      <c r="AV215" s="509"/>
      <c r="AW215" s="509"/>
      <c r="AX215" s="509"/>
      <c r="AY215" s="538"/>
      <c r="AZ215" s="509"/>
      <c r="BA215" s="509"/>
      <c r="BB215" s="509"/>
      <c r="BC215" s="509"/>
      <c r="BD215" s="538"/>
      <c r="BE215" s="509"/>
      <c r="BF215" s="509"/>
      <c r="BG215" s="509"/>
      <c r="BH215" s="509"/>
      <c r="BI215" s="538"/>
      <c r="BJ215" s="509"/>
      <c r="BK215" s="509"/>
      <c r="BL215" s="509"/>
      <c r="BM215" s="509"/>
      <c r="BN215" s="538"/>
      <c r="BO215" s="509"/>
      <c r="BP215" s="509"/>
      <c r="BQ215" s="509"/>
      <c r="BR215" s="509"/>
      <c r="BS215" s="538"/>
      <c r="BT215" s="509"/>
      <c r="BU215" s="509"/>
      <c r="BV215" s="509"/>
      <c r="BW215" s="509"/>
      <c r="BX215" s="538"/>
      <c r="BY215" s="509"/>
      <c r="BZ215" s="509"/>
      <c r="CA215" s="509"/>
      <c r="CB215" s="509"/>
      <c r="CC215" s="538"/>
      <c r="CD215" s="509"/>
      <c r="CE215" s="509"/>
      <c r="CF215" s="509"/>
      <c r="CG215" s="509"/>
      <c r="CH215" s="538"/>
      <c r="CI215" s="509"/>
      <c r="CJ215" s="509"/>
      <c r="CK215" s="509"/>
      <c r="CL215" s="509"/>
      <c r="CM215" s="538"/>
      <c r="CN215" s="509"/>
      <c r="CO215" s="509"/>
      <c r="CP215" s="509"/>
      <c r="CQ215" s="509"/>
      <c r="CR215" s="509"/>
      <c r="CS215" s="509"/>
      <c r="CT215" s="509"/>
      <c r="CU215" s="509"/>
      <c r="CV215" s="509"/>
      <c r="CW215" s="509"/>
      <c r="CX215" s="701" t="s">
        <v>199</v>
      </c>
      <c r="CY215" s="701" t="s">
        <v>199</v>
      </c>
      <c r="CZ215" s="701" t="s">
        <v>199</v>
      </c>
      <c r="DA215" s="701" t="s">
        <v>199</v>
      </c>
      <c r="DB215" s="701" t="s">
        <v>199</v>
      </c>
      <c r="DC215" s="348">
        <f t="shared" ref="DC215:EU215" si="252">(DC213/CX213)-1</f>
        <v>0.11384111384111395</v>
      </c>
      <c r="DD215" s="348">
        <f t="shared" si="252"/>
        <v>-3.8466428543578401E-2</v>
      </c>
      <c r="DE215" s="348">
        <f t="shared" si="252"/>
        <v>3.7840590781767158E-2</v>
      </c>
      <c r="DF215" s="348">
        <f t="shared" si="252"/>
        <v>-0.29625684723067558</v>
      </c>
      <c r="DG215" s="321">
        <f t="shared" si="252"/>
        <v>-5.6628187905916727E-2</v>
      </c>
      <c r="DH215" s="348">
        <f t="shared" si="252"/>
        <v>-0.2714852941176471</v>
      </c>
      <c r="DI215" s="348">
        <f t="shared" si="252"/>
        <v>-5.5888575458392209E-2</v>
      </c>
      <c r="DJ215" s="348">
        <f t="shared" si="252"/>
        <v>-0.19413092550790056</v>
      </c>
      <c r="DK215" s="348">
        <f t="shared" si="252"/>
        <v>0.40821621621621618</v>
      </c>
      <c r="DL215" s="321">
        <f t="shared" si="252"/>
        <v>-5.6542570262711367E-2</v>
      </c>
      <c r="DM215" s="348">
        <f t="shared" si="252"/>
        <v>0.43805890308645723</v>
      </c>
      <c r="DN215" s="348">
        <f t="shared" si="252"/>
        <v>0.28851540616246507</v>
      </c>
      <c r="DO215" s="348">
        <f t="shared" si="252"/>
        <v>2.7524053099500678E-2</v>
      </c>
      <c r="DP215" s="348">
        <f t="shared" si="252"/>
        <v>-0.10271764163979735</v>
      </c>
      <c r="DQ215" s="321">
        <f t="shared" si="252"/>
        <v>0.1252606982460831</v>
      </c>
      <c r="DR215" s="348">
        <f t="shared" si="252"/>
        <v>7.9449747332958953E-2</v>
      </c>
      <c r="DS215" s="348">
        <f t="shared" si="252"/>
        <v>-3.1739130434782603E-2</v>
      </c>
      <c r="DT215" s="348">
        <f t="shared" si="252"/>
        <v>1.1111769586344966E-3</v>
      </c>
      <c r="DU215" s="348">
        <f t="shared" si="252"/>
        <v>-0.1643851243440565</v>
      </c>
      <c r="DV215" s="321">
        <f t="shared" si="252"/>
        <v>-2.8729882244551419E-2</v>
      </c>
      <c r="DW215" s="348">
        <f t="shared" si="252"/>
        <v>-0.20615084525357608</v>
      </c>
      <c r="DX215" s="348">
        <f t="shared" si="252"/>
        <v>-8.3969465648854991E-2</v>
      </c>
      <c r="DY215" s="348">
        <f t="shared" si="252"/>
        <v>-6.7292181557176756E-2</v>
      </c>
      <c r="DZ215" s="348">
        <f t="shared" si="252"/>
        <v>-0.13143344709897609</v>
      </c>
      <c r="EA215" s="321">
        <f t="shared" si="252"/>
        <v>-0.12491431408657883</v>
      </c>
      <c r="EB215" s="352">
        <f t="shared" si="252"/>
        <v>-0.12030075187969935</v>
      </c>
      <c r="EC215" s="348">
        <f t="shared" si="252"/>
        <v>-0.1216666666666667</v>
      </c>
      <c r="ED215" s="348">
        <f t="shared" si="252"/>
        <v>-0.14182692307692302</v>
      </c>
      <c r="EE215" s="348">
        <f t="shared" si="252"/>
        <v>8.3166332665330689E-2</v>
      </c>
      <c r="EF215" s="321">
        <f t="shared" si="252"/>
        <v>-8.2548937413462364E-2</v>
      </c>
      <c r="EG215" s="348">
        <f t="shared" si="252"/>
        <v>-4.3964024356181297E-2</v>
      </c>
      <c r="EH215" s="348">
        <f t="shared" si="252"/>
        <v>-0.19540871377013802</v>
      </c>
      <c r="EI215" s="294">
        <f t="shared" si="252"/>
        <v>-0.39225855358645112</v>
      </c>
      <c r="EJ215" s="348">
        <f t="shared" si="252"/>
        <v>-0.47613955850610368</v>
      </c>
      <c r="EK215" s="321">
        <f t="shared" si="252"/>
        <v>-0.27843991074127672</v>
      </c>
      <c r="EL215" s="348">
        <f t="shared" si="252"/>
        <v>-0.4880872579954032</v>
      </c>
      <c r="EM215" s="348">
        <f t="shared" si="252"/>
        <v>-0.57378566300578027</v>
      </c>
      <c r="EN215" s="348">
        <f t="shared" si="252"/>
        <v>-0.33450743872832367</v>
      </c>
      <c r="EO215" s="348">
        <f t="shared" si="252"/>
        <v>-0.22736534730232549</v>
      </c>
      <c r="EP215" s="321">
        <f t="shared" si="252"/>
        <v>-0.43134271588946671</v>
      </c>
      <c r="EQ215" s="348">
        <f t="shared" si="252"/>
        <v>-0.15964191168484376</v>
      </c>
      <c r="ER215" s="348">
        <f t="shared" si="252"/>
        <v>0.28324154398160006</v>
      </c>
      <c r="ES215" s="348">
        <f t="shared" si="252"/>
        <v>0.19125186925572812</v>
      </c>
      <c r="ET215" s="348">
        <f t="shared" si="252"/>
        <v>0.21484101518158405</v>
      </c>
      <c r="EU215" s="321">
        <f t="shared" si="252"/>
        <v>0.11251309487666794</v>
      </c>
      <c r="EV215" s="668"/>
      <c r="EW215" s="668"/>
      <c r="EX215" s="668"/>
      <c r="EY215" s="668"/>
      <c r="EZ215" s="668"/>
      <c r="FA215" s="668"/>
      <c r="FB215" s="668"/>
      <c r="FC215" s="668"/>
      <c r="FD215" s="668"/>
      <c r="FE215" s="668"/>
      <c r="FF215" s="668"/>
      <c r="FG215" s="668"/>
      <c r="FH215" s="668"/>
      <c r="FI215" s="668"/>
      <c r="FJ215" s="668"/>
      <c r="FK215" s="668"/>
      <c r="FL215" s="668"/>
      <c r="FM215" s="668"/>
      <c r="FN215" s="668"/>
      <c r="FO215" s="668"/>
      <c r="FP215" s="668"/>
      <c r="FQ215" s="668"/>
      <c r="FR215" s="668"/>
      <c r="FS215" s="668"/>
      <c r="FT215" s="668"/>
      <c r="FU215" s="668"/>
      <c r="FV215" s="668"/>
      <c r="FW215" s="668"/>
      <c r="FX215" s="668"/>
      <c r="FY215" s="668"/>
      <c r="FZ215" s="668"/>
      <c r="GA215" s="668"/>
      <c r="GB215" s="668"/>
      <c r="GC215" s="668"/>
      <c r="GD215" s="668"/>
      <c r="GE215" s="668"/>
      <c r="GF215" s="668"/>
      <c r="GG215" s="668"/>
      <c r="GH215" s="668"/>
      <c r="GI215" s="668"/>
      <c r="GJ215" s="668"/>
      <c r="GK215" s="668"/>
      <c r="GL215" s="668"/>
      <c r="GM215" s="668"/>
      <c r="GN215" s="668"/>
      <c r="GO215" s="668"/>
      <c r="GP215" s="668"/>
      <c r="GQ215" s="668"/>
      <c r="GR215" s="668"/>
      <c r="GS215" s="668"/>
      <c r="GT215" s="668"/>
      <c r="GU215" s="668"/>
      <c r="GV215" s="668"/>
      <c r="GW215" s="668"/>
      <c r="GX215" s="668"/>
      <c r="GY215" s="668"/>
      <c r="GZ215" s="668"/>
      <c r="HA215" s="668"/>
      <c r="HB215" s="668"/>
      <c r="HC215" s="668"/>
      <c r="HD215" s="668"/>
      <c r="HE215" s="668"/>
      <c r="HF215" s="668"/>
      <c r="HG215" s="668"/>
      <c r="HH215" s="668"/>
      <c r="HI215" s="668"/>
      <c r="HJ215" s="668"/>
      <c r="HK215" s="668"/>
      <c r="HL215" s="668"/>
      <c r="HM215" s="668"/>
      <c r="HN215" s="668"/>
      <c r="HO215" s="344"/>
      <c r="HQ215" s="509"/>
      <c r="HY215" s="509"/>
      <c r="HZ215" s="509"/>
      <c r="IA215" s="509"/>
      <c r="IB215" s="509"/>
    </row>
    <row r="216" spans="1:236" s="563" customFormat="1" hidden="1" outlineLevel="1">
      <c r="A216" s="538" t="s">
        <v>498</v>
      </c>
      <c r="B216" s="509"/>
      <c r="C216" s="509"/>
      <c r="D216" s="509"/>
      <c r="E216" s="509"/>
      <c r="F216" s="509"/>
      <c r="G216" s="509"/>
      <c r="H216" s="509"/>
      <c r="I216" s="509"/>
      <c r="J216" s="509"/>
      <c r="K216" s="509"/>
      <c r="L216" s="509"/>
      <c r="M216" s="509"/>
      <c r="N216" s="509"/>
      <c r="O216" s="509"/>
      <c r="P216" s="509"/>
      <c r="Q216" s="509"/>
      <c r="R216" s="509"/>
      <c r="S216" s="509"/>
      <c r="T216" s="509"/>
      <c r="U216" s="509"/>
      <c r="V216" s="509"/>
      <c r="W216" s="509"/>
      <c r="X216" s="509"/>
      <c r="Y216" s="509"/>
      <c r="Z216" s="509"/>
      <c r="AA216" s="509"/>
      <c r="AB216" s="509"/>
      <c r="AC216" s="509"/>
      <c r="AD216" s="509"/>
      <c r="AE216" s="509"/>
      <c r="AF216" s="509"/>
      <c r="AG216" s="509"/>
      <c r="AH216" s="509"/>
      <c r="AI216" s="509"/>
      <c r="AJ216" s="509"/>
      <c r="AK216" s="509"/>
      <c r="AL216" s="509"/>
      <c r="AM216" s="509"/>
      <c r="AN216" s="509"/>
      <c r="AO216" s="538"/>
      <c r="AP216" s="509"/>
      <c r="AQ216" s="509"/>
      <c r="AR216" s="509"/>
      <c r="AS216" s="509"/>
      <c r="AT216" s="538"/>
      <c r="AU216" s="509"/>
      <c r="AV216" s="509"/>
      <c r="AW216" s="509"/>
      <c r="AX216" s="509"/>
      <c r="AY216" s="538"/>
      <c r="AZ216" s="509"/>
      <c r="BA216" s="509"/>
      <c r="BB216" s="509"/>
      <c r="BC216" s="509"/>
      <c r="BD216" s="538"/>
      <c r="BE216" s="509"/>
      <c r="BF216" s="509"/>
      <c r="BG216" s="509"/>
      <c r="BH216" s="509"/>
      <c r="BI216" s="538"/>
      <c r="BJ216" s="509"/>
      <c r="BK216" s="509"/>
      <c r="BL216" s="509"/>
      <c r="BM216" s="509"/>
      <c r="BN216" s="538"/>
      <c r="BO216" s="509"/>
      <c r="BP216" s="509"/>
      <c r="BQ216" s="509"/>
      <c r="BR216" s="509"/>
      <c r="BS216" s="538"/>
      <c r="BT216" s="509"/>
      <c r="BU216" s="509"/>
      <c r="BV216" s="509"/>
      <c r="BW216" s="509"/>
      <c r="BX216" s="538"/>
      <c r="BY216" s="509"/>
      <c r="BZ216" s="509"/>
      <c r="CA216" s="509"/>
      <c r="CB216" s="509"/>
      <c r="CC216" s="538"/>
      <c r="CD216" s="509"/>
      <c r="CE216" s="509"/>
      <c r="CF216" s="509"/>
      <c r="CG216" s="509"/>
      <c r="CH216" s="538"/>
      <c r="CI216" s="509"/>
      <c r="CJ216" s="509"/>
      <c r="CK216" s="509"/>
      <c r="CL216" s="509"/>
      <c r="CM216" s="538"/>
      <c r="CN216" s="509"/>
      <c r="CO216" s="509"/>
      <c r="CP216" s="509"/>
      <c r="CQ216" s="509"/>
      <c r="CR216" s="509"/>
      <c r="CS216" s="509"/>
      <c r="CT216" s="509"/>
      <c r="CU216" s="509"/>
      <c r="CV216" s="509"/>
      <c r="CW216" s="509"/>
      <c r="CX216" s="509"/>
      <c r="CY216" s="509"/>
      <c r="CZ216" s="509"/>
      <c r="DA216" s="509"/>
      <c r="DB216" s="509"/>
      <c r="DC216" s="577"/>
      <c r="DD216" s="509"/>
      <c r="DE216" s="509"/>
      <c r="DF216" s="509"/>
      <c r="DG216" s="509"/>
      <c r="DH216" s="509"/>
      <c r="DI216" s="509"/>
      <c r="DJ216" s="509"/>
      <c r="DK216" s="509"/>
      <c r="DL216" s="509"/>
      <c r="DM216" s="509"/>
      <c r="DN216" s="509"/>
      <c r="DO216" s="509"/>
      <c r="DP216" s="509"/>
      <c r="DQ216" s="509"/>
      <c r="DR216" s="509"/>
      <c r="DS216" s="509"/>
      <c r="DT216" s="509"/>
      <c r="DU216" s="509"/>
      <c r="DV216" s="509"/>
      <c r="DW216" s="509"/>
      <c r="DX216" s="509"/>
      <c r="DY216" s="509"/>
      <c r="DZ216" s="509"/>
      <c r="EA216" s="509"/>
      <c r="EB216" s="720"/>
      <c r="EC216" s="509"/>
      <c r="ED216" s="509"/>
      <c r="EE216" s="509"/>
      <c r="EF216" s="509"/>
      <c r="EG216" s="509"/>
      <c r="EH216" s="509"/>
      <c r="EI216" s="509"/>
      <c r="EJ216" s="509"/>
      <c r="EK216" s="509"/>
      <c r="EL216" s="509"/>
      <c r="EM216" s="509"/>
      <c r="EN216" s="509"/>
      <c r="EO216" s="509"/>
      <c r="EP216" s="509"/>
      <c r="EQ216" s="509"/>
      <c r="ER216" s="509"/>
      <c r="ES216" s="509"/>
      <c r="ET216" s="509"/>
      <c r="EU216" s="509"/>
      <c r="EV216" s="668"/>
      <c r="EW216" s="668"/>
      <c r="EX216" s="668"/>
      <c r="EY216" s="668"/>
      <c r="EZ216" s="668"/>
      <c r="FA216" s="668"/>
      <c r="FB216" s="668"/>
      <c r="FC216" s="668"/>
      <c r="FD216" s="668"/>
      <c r="FE216" s="668"/>
      <c r="FF216" s="668"/>
      <c r="FG216" s="668"/>
      <c r="FH216" s="668"/>
      <c r="FI216" s="668"/>
      <c r="FJ216" s="668"/>
      <c r="FK216" s="668"/>
      <c r="FL216" s="668"/>
      <c r="FM216" s="668"/>
      <c r="FN216" s="668"/>
      <c r="FO216" s="668"/>
      <c r="FP216" s="668"/>
      <c r="FQ216" s="668"/>
      <c r="FR216" s="668"/>
      <c r="FS216" s="668"/>
      <c r="FT216" s="668"/>
      <c r="FU216" s="668"/>
      <c r="FV216" s="668"/>
      <c r="FW216" s="668"/>
      <c r="FX216" s="668"/>
      <c r="FY216" s="668"/>
      <c r="FZ216" s="668"/>
      <c r="GA216" s="668"/>
      <c r="GB216" s="668"/>
      <c r="GC216" s="668"/>
      <c r="GD216" s="668"/>
      <c r="GE216" s="668"/>
      <c r="GF216" s="668"/>
      <c r="GG216" s="668"/>
      <c r="GH216" s="668"/>
      <c r="GI216" s="668"/>
      <c r="GJ216" s="668"/>
      <c r="GK216" s="668"/>
      <c r="GL216" s="668"/>
      <c r="GM216" s="668"/>
      <c r="GN216" s="668"/>
      <c r="GO216" s="668"/>
      <c r="GP216" s="668"/>
      <c r="GQ216" s="668"/>
      <c r="GR216" s="668"/>
      <c r="GS216" s="668"/>
      <c r="GT216" s="668"/>
      <c r="GU216" s="668"/>
      <c r="GV216" s="668"/>
      <c r="GW216" s="668"/>
      <c r="GX216" s="668"/>
      <c r="GY216" s="668"/>
      <c r="GZ216" s="668"/>
      <c r="HA216" s="668"/>
      <c r="HB216" s="668"/>
      <c r="HC216" s="668"/>
      <c r="HD216" s="668"/>
      <c r="HE216" s="668"/>
      <c r="HF216" s="668"/>
      <c r="HG216" s="668"/>
      <c r="HH216" s="668"/>
      <c r="HI216" s="668"/>
      <c r="HJ216" s="668"/>
      <c r="HK216" s="668"/>
      <c r="HL216" s="668"/>
      <c r="HM216" s="668"/>
      <c r="HN216" s="668"/>
      <c r="HO216" s="509"/>
      <c r="HQ216" s="509"/>
      <c r="HY216" s="509"/>
      <c r="HZ216" s="509"/>
      <c r="IA216" s="509"/>
      <c r="IB216" s="509"/>
    </row>
    <row r="217" spans="1:236" s="563" customFormat="1" hidden="1" outlineLevel="1">
      <c r="A217" s="509" t="s">
        <v>487</v>
      </c>
      <c r="B217" s="509"/>
      <c r="C217" s="509"/>
      <c r="D217" s="509"/>
      <c r="E217" s="509"/>
      <c r="F217" s="509"/>
      <c r="G217" s="509"/>
      <c r="H217" s="509"/>
      <c r="I217" s="509"/>
      <c r="J217" s="509"/>
      <c r="K217" s="509"/>
      <c r="L217" s="509"/>
      <c r="M217" s="509"/>
      <c r="N217" s="509"/>
      <c r="O217" s="509"/>
      <c r="P217" s="509"/>
      <c r="Q217" s="509"/>
      <c r="R217" s="509"/>
      <c r="S217" s="509"/>
      <c r="T217" s="509"/>
      <c r="U217" s="509"/>
      <c r="V217" s="509"/>
      <c r="W217" s="509"/>
      <c r="X217" s="509"/>
      <c r="Y217" s="509"/>
      <c r="Z217" s="509"/>
      <c r="AA217" s="509"/>
      <c r="AB217" s="509"/>
      <c r="AC217" s="509"/>
      <c r="AD217" s="509"/>
      <c r="AE217" s="509"/>
      <c r="AF217" s="509"/>
      <c r="AG217" s="509"/>
      <c r="AH217" s="509"/>
      <c r="AI217" s="509"/>
      <c r="AJ217" s="509"/>
      <c r="AK217" s="509"/>
      <c r="AL217" s="509"/>
      <c r="AM217" s="509"/>
      <c r="AN217" s="509"/>
      <c r="AO217" s="538"/>
      <c r="AP217" s="509"/>
      <c r="AQ217" s="509"/>
      <c r="AR217" s="509"/>
      <c r="AS217" s="509"/>
      <c r="AT217" s="538"/>
      <c r="AU217" s="509"/>
      <c r="AV217" s="509"/>
      <c r="AW217" s="509"/>
      <c r="AX217" s="509"/>
      <c r="AY217" s="538"/>
      <c r="AZ217" s="509"/>
      <c r="BA217" s="509"/>
      <c r="BB217" s="509"/>
      <c r="BC217" s="509"/>
      <c r="BD217" s="538"/>
      <c r="BE217" s="509"/>
      <c r="BF217" s="509"/>
      <c r="BG217" s="509"/>
      <c r="BH217" s="509"/>
      <c r="BI217" s="538"/>
      <c r="BJ217" s="509"/>
      <c r="BK217" s="509"/>
      <c r="BL217" s="509"/>
      <c r="BM217" s="509"/>
      <c r="BN217" s="538"/>
      <c r="BO217" s="509"/>
      <c r="BP217" s="509"/>
      <c r="BQ217" s="509"/>
      <c r="BR217" s="509"/>
      <c r="BS217" s="538"/>
      <c r="BT217" s="509"/>
      <c r="BU217" s="509"/>
      <c r="BV217" s="509"/>
      <c r="BW217" s="509"/>
      <c r="BX217" s="538"/>
      <c r="BY217" s="509"/>
      <c r="BZ217" s="509"/>
      <c r="CA217" s="509"/>
      <c r="CB217" s="509"/>
      <c r="CC217" s="538"/>
      <c r="CD217" s="509"/>
      <c r="CE217" s="509"/>
      <c r="CF217" s="509"/>
      <c r="CG217" s="509"/>
      <c r="CH217" s="538"/>
      <c r="CI217" s="509"/>
      <c r="CJ217" s="509"/>
      <c r="CK217" s="509"/>
      <c r="CL217" s="509"/>
      <c r="CM217" s="538"/>
      <c r="CN217" s="509"/>
      <c r="CO217" s="509"/>
      <c r="CP217" s="509"/>
      <c r="CQ217" s="509"/>
      <c r="CR217" s="509"/>
      <c r="CS217" s="509"/>
      <c r="CT217" s="509"/>
      <c r="CU217" s="509"/>
      <c r="CV217" s="509">
        <v>2.6</v>
      </c>
      <c r="CW217" s="509"/>
      <c r="CX217" s="539">
        <v>2.1</v>
      </c>
      <c r="CY217" s="539">
        <v>2.1</v>
      </c>
      <c r="CZ217" s="539">
        <v>2.2999999999999998</v>
      </c>
      <c r="DA217" s="539">
        <v>2.4500000000000002</v>
      </c>
      <c r="DB217" s="542">
        <f>SUM(CX217:DA217)</f>
        <v>8.9499999999999993</v>
      </c>
      <c r="DC217" s="539">
        <v>2.7250000000000001</v>
      </c>
      <c r="DD217" s="539">
        <v>3.21</v>
      </c>
      <c r="DE217" s="539">
        <v>5.625</v>
      </c>
      <c r="DF217" s="539">
        <v>3.2250000000000001</v>
      </c>
      <c r="DG217" s="542">
        <f>SUM(DC217:DF217)</f>
        <v>14.785</v>
      </c>
      <c r="DH217" s="539">
        <v>2.75</v>
      </c>
      <c r="DI217" s="539">
        <v>5.09</v>
      </c>
      <c r="DJ217" s="539">
        <v>6.9</v>
      </c>
      <c r="DK217" s="539">
        <v>8.3000000000000007</v>
      </c>
      <c r="DL217" s="542">
        <f>SUM(DH217:DK217)</f>
        <v>23.04</v>
      </c>
      <c r="DM217" s="539">
        <v>9.1</v>
      </c>
      <c r="DN217" s="539">
        <v>10.7</v>
      </c>
      <c r="DO217" s="539">
        <v>9.2799999999999994</v>
      </c>
      <c r="DP217" s="539">
        <v>8.84</v>
      </c>
      <c r="DQ217" s="542">
        <f>SUM(DM217:DP217)</f>
        <v>37.92</v>
      </c>
      <c r="DR217" s="539">
        <v>10.4</v>
      </c>
      <c r="DS217" s="539">
        <v>9.4</v>
      </c>
      <c r="DT217" s="539">
        <v>9.8949999999999996</v>
      </c>
      <c r="DU217" s="539">
        <v>8.25</v>
      </c>
      <c r="DV217" s="542">
        <f>SUM(DR217:DU217)</f>
        <v>37.945</v>
      </c>
      <c r="DW217" s="539">
        <v>8.8000000000000007</v>
      </c>
      <c r="DX217" s="539">
        <v>8</v>
      </c>
      <c r="DY217" s="539">
        <v>5.74</v>
      </c>
      <c r="DZ217" s="539">
        <v>5.2249999999999996</v>
      </c>
      <c r="EA217" s="542">
        <f>SUM(DW217:DZ217)</f>
        <v>27.765000000000001</v>
      </c>
      <c r="EB217" s="713">
        <v>4.6050000000000004</v>
      </c>
      <c r="EC217" s="539">
        <v>4.8499999999999996</v>
      </c>
      <c r="ED217" s="539">
        <v>4.5250000000000004</v>
      </c>
      <c r="EE217" s="539">
        <f>4.3</f>
        <v>4.3</v>
      </c>
      <c r="EF217" s="542">
        <f>SUM(EB217:EE217)</f>
        <v>18.28</v>
      </c>
      <c r="EG217" s="539">
        <v>3.4</v>
      </c>
      <c r="EH217" s="539">
        <v>4.42</v>
      </c>
      <c r="EI217" s="539">
        <v>4.6500000000000004</v>
      </c>
      <c r="EJ217" s="599">
        <v>4.0449999999999999</v>
      </c>
      <c r="EK217" s="542">
        <f>SUM(EG217:EJ217)</f>
        <v>16.515000000000001</v>
      </c>
      <c r="EL217" s="599">
        <v>3.52</v>
      </c>
      <c r="EM217" s="599">
        <v>3.06</v>
      </c>
      <c r="EN217" s="599">
        <v>3.6749999999999998</v>
      </c>
      <c r="EO217" s="539">
        <f>EN217*(1+EO218)</f>
        <v>3.7117499999999999</v>
      </c>
      <c r="EP217" s="542">
        <f>SUM(EL217:EO217)</f>
        <v>13.966749999999999</v>
      </c>
      <c r="EQ217" s="539">
        <f>EO217*(1+EQ218)</f>
        <v>3.6375149999999996</v>
      </c>
      <c r="ER217" s="539">
        <f>EQ217*(1+ER218)</f>
        <v>3.8557658999999997</v>
      </c>
      <c r="ES217" s="539">
        <f>ER217*(1+ES218)</f>
        <v>4.1642271720000004</v>
      </c>
      <c r="ET217" s="539">
        <f>ES217*(1+ET218)</f>
        <v>4.2475117154400008</v>
      </c>
      <c r="EU217" s="542">
        <f>SUM(EQ217:ET217)</f>
        <v>15.905019787440001</v>
      </c>
      <c r="EV217" s="668"/>
      <c r="EW217" s="668"/>
      <c r="EX217" s="668"/>
      <c r="EY217" s="668"/>
      <c r="EZ217" s="668"/>
      <c r="FA217" s="668"/>
      <c r="FB217" s="668"/>
      <c r="FC217" s="668"/>
      <c r="FD217" s="668"/>
      <c r="FE217" s="668"/>
      <c r="FF217" s="668"/>
      <c r="FG217" s="668"/>
      <c r="FH217" s="668"/>
      <c r="FI217" s="668"/>
      <c r="FJ217" s="668"/>
      <c r="FK217" s="668"/>
      <c r="FL217" s="668"/>
      <c r="FM217" s="668"/>
      <c r="FN217" s="668"/>
      <c r="FO217" s="668"/>
      <c r="FP217" s="668"/>
      <c r="FQ217" s="668"/>
      <c r="FR217" s="668"/>
      <c r="FS217" s="668"/>
      <c r="FT217" s="668"/>
      <c r="FU217" s="668"/>
      <c r="FV217" s="668"/>
      <c r="FW217" s="668"/>
      <c r="FX217" s="668"/>
      <c r="FY217" s="668"/>
      <c r="FZ217" s="668"/>
      <c r="GA217" s="668"/>
      <c r="GB217" s="668"/>
      <c r="GC217" s="668"/>
      <c r="GD217" s="668"/>
      <c r="GE217" s="668"/>
      <c r="GF217" s="668"/>
      <c r="GG217" s="668"/>
      <c r="GH217" s="668"/>
      <c r="GI217" s="668"/>
      <c r="GJ217" s="668"/>
      <c r="GK217" s="668"/>
      <c r="GL217" s="668"/>
      <c r="GM217" s="668"/>
      <c r="GN217" s="668"/>
      <c r="GO217" s="668"/>
      <c r="GP217" s="668"/>
      <c r="GQ217" s="668"/>
      <c r="GR217" s="668"/>
      <c r="GS217" s="668"/>
      <c r="GT217" s="668"/>
      <c r="GU217" s="668"/>
      <c r="GV217" s="668"/>
      <c r="GW217" s="668"/>
      <c r="GX217" s="668"/>
      <c r="GY217" s="668"/>
      <c r="GZ217" s="668"/>
      <c r="HA217" s="668"/>
      <c r="HB217" s="668"/>
      <c r="HC217" s="668"/>
      <c r="HD217" s="668"/>
      <c r="HE217" s="668"/>
      <c r="HF217" s="668"/>
      <c r="HG217" s="668"/>
      <c r="HH217" s="668"/>
      <c r="HI217" s="668"/>
      <c r="HJ217" s="668"/>
      <c r="HK217" s="668"/>
      <c r="HL217" s="668"/>
      <c r="HM217" s="668"/>
      <c r="HN217" s="668"/>
      <c r="HO217" s="542"/>
      <c r="HQ217" s="509"/>
      <c r="HY217" s="509"/>
      <c r="HZ217" s="509"/>
      <c r="IA217" s="509"/>
      <c r="IB217" s="509"/>
    </row>
    <row r="218" spans="1:236" s="563" customFormat="1" hidden="1" outlineLevel="1">
      <c r="A218" s="509" t="s">
        <v>488</v>
      </c>
      <c r="B218" s="509"/>
      <c r="C218" s="509"/>
      <c r="D218" s="509"/>
      <c r="E218" s="509"/>
      <c r="F218" s="509"/>
      <c r="G218" s="509"/>
      <c r="H218" s="509"/>
      <c r="I218" s="509"/>
      <c r="J218" s="509"/>
      <c r="K218" s="509"/>
      <c r="L218" s="509"/>
      <c r="M218" s="509"/>
      <c r="N218" s="509"/>
      <c r="O218" s="509"/>
      <c r="P218" s="509"/>
      <c r="Q218" s="509"/>
      <c r="R218" s="509"/>
      <c r="S218" s="509"/>
      <c r="T218" s="509"/>
      <c r="U218" s="509"/>
      <c r="V218" s="509"/>
      <c r="W218" s="509"/>
      <c r="X218" s="509"/>
      <c r="Y218" s="509"/>
      <c r="Z218" s="509"/>
      <c r="AA218" s="509"/>
      <c r="AB218" s="509"/>
      <c r="AC218" s="509"/>
      <c r="AD218" s="509"/>
      <c r="AE218" s="509"/>
      <c r="AF218" s="509"/>
      <c r="AG218" s="509"/>
      <c r="AH218" s="509"/>
      <c r="AI218" s="509"/>
      <c r="AJ218" s="509"/>
      <c r="AK218" s="509"/>
      <c r="AL218" s="509"/>
      <c r="AM218" s="509"/>
      <c r="AN218" s="509"/>
      <c r="AO218" s="538"/>
      <c r="AP218" s="509"/>
      <c r="AQ218" s="509"/>
      <c r="AR218" s="509"/>
      <c r="AS218" s="509"/>
      <c r="AT218" s="538"/>
      <c r="AU218" s="509"/>
      <c r="AV218" s="509"/>
      <c r="AW218" s="509"/>
      <c r="AX218" s="509"/>
      <c r="AY218" s="538"/>
      <c r="AZ218" s="509"/>
      <c r="BA218" s="509"/>
      <c r="BB218" s="509"/>
      <c r="BC218" s="509"/>
      <c r="BD218" s="538"/>
      <c r="BE218" s="509"/>
      <c r="BF218" s="509"/>
      <c r="BG218" s="509"/>
      <c r="BH218" s="509"/>
      <c r="BI218" s="538"/>
      <c r="BJ218" s="509"/>
      <c r="BK218" s="509"/>
      <c r="BL218" s="509"/>
      <c r="BM218" s="509"/>
      <c r="BN218" s="538"/>
      <c r="BO218" s="509"/>
      <c r="BP218" s="509"/>
      <c r="BQ218" s="509"/>
      <c r="BR218" s="509"/>
      <c r="BS218" s="538"/>
      <c r="BT218" s="509"/>
      <c r="BU218" s="509"/>
      <c r="BV218" s="509"/>
      <c r="BW218" s="509"/>
      <c r="BX218" s="538"/>
      <c r="BY218" s="509"/>
      <c r="BZ218" s="509"/>
      <c r="CA218" s="509"/>
      <c r="CB218" s="509"/>
      <c r="CC218" s="538"/>
      <c r="CD218" s="509"/>
      <c r="CE218" s="509"/>
      <c r="CF218" s="509"/>
      <c r="CG218" s="509"/>
      <c r="CH218" s="538"/>
      <c r="CI218" s="509"/>
      <c r="CJ218" s="509"/>
      <c r="CK218" s="509"/>
      <c r="CL218" s="509"/>
      <c r="CM218" s="538"/>
      <c r="CN218" s="509"/>
      <c r="CO218" s="509"/>
      <c r="CP218" s="509"/>
      <c r="CQ218" s="509"/>
      <c r="CR218" s="509"/>
      <c r="CS218" s="509"/>
      <c r="CT218" s="509"/>
      <c r="CU218" s="509"/>
      <c r="CV218" s="509"/>
      <c r="CW218" s="509"/>
      <c r="CX218" s="340">
        <f>CX217/CV217-1</f>
        <v>-0.19230769230769229</v>
      </c>
      <c r="CY218" s="340">
        <f>CY217/CX217-1</f>
        <v>0</v>
      </c>
      <c r="CZ218" s="340">
        <f>CZ217/CY217-1</f>
        <v>9.5238095238095122E-2</v>
      </c>
      <c r="DA218" s="340">
        <f>DA217/CZ217-1</f>
        <v>6.5217391304347894E-2</v>
      </c>
      <c r="DB218" s="701" t="s">
        <v>199</v>
      </c>
      <c r="DC218" s="340">
        <f>DC217/DA217-1</f>
        <v>0.11224489795918369</v>
      </c>
      <c r="DD218" s="340">
        <f>DD217/DC217-1</f>
        <v>0.17798165137614674</v>
      </c>
      <c r="DE218" s="340">
        <f>DE217/DD217-1</f>
        <v>0.75233644859813076</v>
      </c>
      <c r="DF218" s="340">
        <f>DF217/DE217-1</f>
        <v>-0.42666666666666664</v>
      </c>
      <c r="DG218" s="701" t="s">
        <v>199</v>
      </c>
      <c r="DH218" s="340">
        <f>DH217/DF217-1</f>
        <v>-0.1472868217054264</v>
      </c>
      <c r="DI218" s="340">
        <f>DI217/DH217-1</f>
        <v>0.85090909090909084</v>
      </c>
      <c r="DJ218" s="340">
        <f>DJ217/DI217-1</f>
        <v>0.3555992141453832</v>
      </c>
      <c r="DK218" s="340">
        <f>DK217/DJ217-1</f>
        <v>0.20289855072463769</v>
      </c>
      <c r="DL218" s="701" t="s">
        <v>199</v>
      </c>
      <c r="DM218" s="340">
        <f>DM217/DK217-1</f>
        <v>9.6385542168674565E-2</v>
      </c>
      <c r="DN218" s="340">
        <f>DN217/DM217-1</f>
        <v>0.17582417582417587</v>
      </c>
      <c r="DO218" s="340">
        <f>DO217/DN217-1</f>
        <v>-0.13271028037383181</v>
      </c>
      <c r="DP218" s="340">
        <f>DP217/DO217-1</f>
        <v>-4.7413793103448176E-2</v>
      </c>
      <c r="DQ218" s="701" t="s">
        <v>199</v>
      </c>
      <c r="DR218" s="340">
        <f>DR217/DP217-1</f>
        <v>0.17647058823529416</v>
      </c>
      <c r="DS218" s="340">
        <f>DS217/DR217-1</f>
        <v>-9.6153846153846145E-2</v>
      </c>
      <c r="DT218" s="340">
        <f>DT217/DS217-1</f>
        <v>5.2659574468085113E-2</v>
      </c>
      <c r="DU218" s="340">
        <f>DU217/DT217-1</f>
        <v>-0.16624557857503786</v>
      </c>
      <c r="DV218" s="701" t="s">
        <v>199</v>
      </c>
      <c r="DW218" s="340">
        <f>DW217/DU217-1</f>
        <v>6.6666666666666652E-2</v>
      </c>
      <c r="DX218" s="340">
        <f>DX217/DW217-1</f>
        <v>-9.0909090909090939E-2</v>
      </c>
      <c r="DY218" s="340">
        <f>DY217/DX217-1</f>
        <v>-0.28249999999999997</v>
      </c>
      <c r="DZ218" s="340">
        <f>DZ217/DY217-1</f>
        <v>-8.9721254355400792E-2</v>
      </c>
      <c r="EA218" s="701" t="s">
        <v>199</v>
      </c>
      <c r="EB218" s="721">
        <f>EB217/DZ217-1</f>
        <v>-0.11866028708133958</v>
      </c>
      <c r="EC218" s="347">
        <f>EC217/EB217-1</f>
        <v>5.3203040173724014E-2</v>
      </c>
      <c r="ED218" s="347">
        <f>ED217/EC217-1</f>
        <v>-6.7010309278350388E-2</v>
      </c>
      <c r="EE218" s="347">
        <f>EE217/ED217-1</f>
        <v>-4.9723756906077443E-2</v>
      </c>
      <c r="EF218" s="701" t="s">
        <v>199</v>
      </c>
      <c r="EG218" s="340">
        <f>EG217/EE217-1</f>
        <v>-0.20930232558139539</v>
      </c>
      <c r="EH218" s="347">
        <f>EH217/EG217-1</f>
        <v>0.30000000000000004</v>
      </c>
      <c r="EI218" s="347">
        <f>EI217/EH217-1</f>
        <v>5.2036199095022662E-2</v>
      </c>
      <c r="EJ218" s="347">
        <f>EJ217/EI217-1</f>
        <v>-0.13010752688172056</v>
      </c>
      <c r="EK218" s="701" t="s">
        <v>199</v>
      </c>
      <c r="EL218" s="340">
        <f>EL217/EJ217-1</f>
        <v>-0.12978986402966619</v>
      </c>
      <c r="EM218" s="348">
        <f>EM217/EL217-1</f>
        <v>-0.13068181818181812</v>
      </c>
      <c r="EN218" s="348">
        <f>EN217/EM217-1</f>
        <v>0.2009803921568627</v>
      </c>
      <c r="EO218" s="711">
        <v>0.01</v>
      </c>
      <c r="EP218" s="701" t="s">
        <v>199</v>
      </c>
      <c r="EQ218" s="711">
        <v>-0.02</v>
      </c>
      <c r="ER218" s="711">
        <v>0.06</v>
      </c>
      <c r="ES218" s="711">
        <v>0.08</v>
      </c>
      <c r="ET218" s="711">
        <v>0.02</v>
      </c>
      <c r="EU218" s="701" t="s">
        <v>199</v>
      </c>
      <c r="EV218" s="668"/>
      <c r="EW218" s="668"/>
      <c r="EX218" s="668"/>
      <c r="EY218" s="668"/>
      <c r="EZ218" s="668"/>
      <c r="FA218" s="668"/>
      <c r="FB218" s="668"/>
      <c r="FC218" s="668"/>
      <c r="FD218" s="668"/>
      <c r="FE218" s="668"/>
      <c r="FF218" s="668"/>
      <c r="FG218" s="668"/>
      <c r="FH218" s="668"/>
      <c r="FI218" s="668"/>
      <c r="FJ218" s="668"/>
      <c r="FK218" s="668"/>
      <c r="FL218" s="668"/>
      <c r="FM218" s="668"/>
      <c r="FN218" s="668"/>
      <c r="FO218" s="668"/>
      <c r="FP218" s="668"/>
      <c r="FQ218" s="668"/>
      <c r="FR218" s="668"/>
      <c r="FS218" s="668"/>
      <c r="FT218" s="668"/>
      <c r="FU218" s="668"/>
      <c r="FV218" s="668"/>
      <c r="FW218" s="668"/>
      <c r="FX218" s="668"/>
      <c r="FY218" s="668"/>
      <c r="FZ218" s="668"/>
      <c r="GA218" s="668"/>
      <c r="GB218" s="668"/>
      <c r="GC218" s="668"/>
      <c r="GD218" s="668"/>
      <c r="GE218" s="668"/>
      <c r="GF218" s="668"/>
      <c r="GG218" s="668"/>
      <c r="GH218" s="668"/>
      <c r="GI218" s="668"/>
      <c r="GJ218" s="668"/>
      <c r="GK218" s="668"/>
      <c r="GL218" s="668"/>
      <c r="GM218" s="668"/>
      <c r="GN218" s="668"/>
      <c r="GO218" s="668"/>
      <c r="GP218" s="668"/>
      <c r="GQ218" s="668"/>
      <c r="GR218" s="668"/>
      <c r="GS218" s="668"/>
      <c r="GT218" s="668"/>
      <c r="GU218" s="668"/>
      <c r="GV218" s="668"/>
      <c r="GW218" s="668"/>
      <c r="GX218" s="668"/>
      <c r="GY218" s="668"/>
      <c r="GZ218" s="668"/>
      <c r="HA218" s="668"/>
      <c r="HB218" s="668"/>
      <c r="HC218" s="668"/>
      <c r="HD218" s="668"/>
      <c r="HE218" s="668"/>
      <c r="HF218" s="668"/>
      <c r="HG218" s="668"/>
      <c r="HH218" s="668"/>
      <c r="HI218" s="668"/>
      <c r="HJ218" s="668"/>
      <c r="HK218" s="668"/>
      <c r="HL218" s="668"/>
      <c r="HM218" s="668"/>
      <c r="HN218" s="668"/>
      <c r="HO218" s="701"/>
      <c r="HP218" s="676"/>
      <c r="HQ218" s="672"/>
      <c r="HR218" s="676"/>
      <c r="HY218" s="509"/>
      <c r="HZ218" s="509"/>
      <c r="IA218" s="509"/>
      <c r="IB218" s="509"/>
    </row>
    <row r="219" spans="1:236" s="563" customFormat="1" hidden="1" outlineLevel="1">
      <c r="A219" s="509" t="s">
        <v>489</v>
      </c>
      <c r="B219" s="509"/>
      <c r="C219" s="509"/>
      <c r="D219" s="509"/>
      <c r="E219" s="509"/>
      <c r="F219" s="509"/>
      <c r="G219" s="509"/>
      <c r="H219" s="509"/>
      <c r="I219" s="509"/>
      <c r="J219" s="509"/>
      <c r="K219" s="509"/>
      <c r="L219" s="509"/>
      <c r="M219" s="509"/>
      <c r="N219" s="509"/>
      <c r="O219" s="509"/>
      <c r="P219" s="509"/>
      <c r="Q219" s="509"/>
      <c r="R219" s="509"/>
      <c r="S219" s="509"/>
      <c r="T219" s="509"/>
      <c r="U219" s="509"/>
      <c r="V219" s="509"/>
      <c r="W219" s="509"/>
      <c r="X219" s="509"/>
      <c r="Y219" s="509"/>
      <c r="Z219" s="509"/>
      <c r="AA219" s="509"/>
      <c r="AB219" s="509"/>
      <c r="AC219" s="509"/>
      <c r="AD219" s="509"/>
      <c r="AE219" s="509"/>
      <c r="AF219" s="509"/>
      <c r="AG219" s="509"/>
      <c r="AH219" s="509"/>
      <c r="AI219" s="509"/>
      <c r="AJ219" s="509"/>
      <c r="AK219" s="509"/>
      <c r="AL219" s="509"/>
      <c r="AM219" s="509"/>
      <c r="AN219" s="509"/>
      <c r="AO219" s="538"/>
      <c r="AP219" s="509"/>
      <c r="AQ219" s="509"/>
      <c r="AR219" s="509"/>
      <c r="AS219" s="509"/>
      <c r="AT219" s="538"/>
      <c r="AU219" s="509"/>
      <c r="AV219" s="509"/>
      <c r="AW219" s="509"/>
      <c r="AX219" s="509"/>
      <c r="AY219" s="538"/>
      <c r="AZ219" s="509"/>
      <c r="BA219" s="509"/>
      <c r="BB219" s="509"/>
      <c r="BC219" s="509"/>
      <c r="BD219" s="538"/>
      <c r="BE219" s="509"/>
      <c r="BF219" s="509"/>
      <c r="BG219" s="509"/>
      <c r="BH219" s="509"/>
      <c r="BI219" s="538"/>
      <c r="BJ219" s="509"/>
      <c r="BK219" s="509"/>
      <c r="BL219" s="509"/>
      <c r="BM219" s="509"/>
      <c r="BN219" s="538"/>
      <c r="BO219" s="509"/>
      <c r="BP219" s="509"/>
      <c r="BQ219" s="509"/>
      <c r="BR219" s="509"/>
      <c r="BS219" s="538"/>
      <c r="BT219" s="509"/>
      <c r="BU219" s="509"/>
      <c r="BV219" s="509"/>
      <c r="BW219" s="509"/>
      <c r="BX219" s="538"/>
      <c r="BY219" s="509"/>
      <c r="BZ219" s="509"/>
      <c r="CA219" s="509"/>
      <c r="CB219" s="509"/>
      <c r="CC219" s="538"/>
      <c r="CD219" s="509"/>
      <c r="CE219" s="509"/>
      <c r="CF219" s="509"/>
      <c r="CG219" s="509"/>
      <c r="CH219" s="538"/>
      <c r="CI219" s="509"/>
      <c r="CJ219" s="509"/>
      <c r="CK219" s="509"/>
      <c r="CL219" s="509"/>
      <c r="CM219" s="538"/>
      <c r="CN219" s="509"/>
      <c r="CO219" s="509"/>
      <c r="CP219" s="509"/>
      <c r="CQ219" s="509"/>
      <c r="CR219" s="509"/>
      <c r="CS219" s="509"/>
      <c r="CT219" s="509"/>
      <c r="CU219" s="509"/>
      <c r="CV219" s="509"/>
      <c r="CW219" s="509"/>
      <c r="CX219" s="701" t="s">
        <v>199</v>
      </c>
      <c r="CY219" s="701" t="s">
        <v>199</v>
      </c>
      <c r="CZ219" s="701" t="s">
        <v>199</v>
      </c>
      <c r="DA219" s="701" t="s">
        <v>199</v>
      </c>
      <c r="DB219" s="701" t="s">
        <v>199</v>
      </c>
      <c r="DC219" s="348">
        <f>(DC217/CX217)-1</f>
        <v>0.29761904761904767</v>
      </c>
      <c r="DD219" s="348">
        <f>(DD217/CY217)-1</f>
        <v>0.52857142857142847</v>
      </c>
      <c r="DE219" s="348">
        <f>(DE217/CZ217)-1</f>
        <v>1.4456521739130435</v>
      </c>
      <c r="DF219" s="348">
        <f>(DF217/DA217)-1</f>
        <v>0.31632653061224492</v>
      </c>
      <c r="DG219" s="701" t="s">
        <v>199</v>
      </c>
      <c r="DH219" s="348">
        <f>(DH217/DC217)-1</f>
        <v>9.1743119266054496E-3</v>
      </c>
      <c r="DI219" s="348">
        <f>(DI217/DD217)-1</f>
        <v>0.58566978193146424</v>
      </c>
      <c r="DJ219" s="348">
        <f>(DJ217/DE217)-1</f>
        <v>0.22666666666666679</v>
      </c>
      <c r="DK219" s="348">
        <f>(DK217/DF217)-1</f>
        <v>1.5736434108527133</v>
      </c>
      <c r="DL219" s="701" t="s">
        <v>199</v>
      </c>
      <c r="DM219" s="348">
        <f t="shared" ref="DM219:EU219" si="253">(DM217/DH217)-1</f>
        <v>2.3090909090909091</v>
      </c>
      <c r="DN219" s="348">
        <f t="shared" si="253"/>
        <v>1.1021611001964637</v>
      </c>
      <c r="DO219" s="348">
        <f t="shared" si="253"/>
        <v>0.34492753623188399</v>
      </c>
      <c r="DP219" s="348">
        <f t="shared" si="253"/>
        <v>6.5060240963855209E-2</v>
      </c>
      <c r="DQ219" s="321">
        <f t="shared" si="253"/>
        <v>0.64583333333333348</v>
      </c>
      <c r="DR219" s="348">
        <f t="shared" si="253"/>
        <v>0.14285714285714302</v>
      </c>
      <c r="DS219" s="348">
        <f t="shared" si="253"/>
        <v>-0.12149532710280364</v>
      </c>
      <c r="DT219" s="348">
        <f t="shared" si="253"/>
        <v>6.62715517241379E-2</v>
      </c>
      <c r="DU219" s="348">
        <f t="shared" si="253"/>
        <v>-6.6742081447963786E-2</v>
      </c>
      <c r="DV219" s="321">
        <f t="shared" si="253"/>
        <v>6.5928270042192594E-4</v>
      </c>
      <c r="DW219" s="348">
        <f t="shared" si="253"/>
        <v>-0.15384615384615385</v>
      </c>
      <c r="DX219" s="348">
        <f t="shared" si="253"/>
        <v>-0.14893617021276595</v>
      </c>
      <c r="DY219" s="348">
        <f t="shared" si="253"/>
        <v>-0.41990904497220816</v>
      </c>
      <c r="DZ219" s="348">
        <f t="shared" si="253"/>
        <v>-0.3666666666666667</v>
      </c>
      <c r="EA219" s="321">
        <f t="shared" si="253"/>
        <v>-0.26828304124390567</v>
      </c>
      <c r="EB219" s="352">
        <f t="shared" si="253"/>
        <v>-0.47670454545454544</v>
      </c>
      <c r="EC219" s="348">
        <f t="shared" si="253"/>
        <v>-0.39375000000000004</v>
      </c>
      <c r="ED219" s="348">
        <f t="shared" si="253"/>
        <v>-0.2116724738675958</v>
      </c>
      <c r="EE219" s="348">
        <f t="shared" si="253"/>
        <v>-0.17703349282296643</v>
      </c>
      <c r="EF219" s="321">
        <f t="shared" si="253"/>
        <v>-0.34161714388618758</v>
      </c>
      <c r="EG219" s="348">
        <f t="shared" si="253"/>
        <v>-0.26167209554831716</v>
      </c>
      <c r="EH219" s="348">
        <f t="shared" si="253"/>
        <v>-8.8659793814432897E-2</v>
      </c>
      <c r="EI219" s="294">
        <f t="shared" si="253"/>
        <v>2.7624309392265234E-2</v>
      </c>
      <c r="EJ219" s="348">
        <f t="shared" si="253"/>
        <v>-5.9302325581395365E-2</v>
      </c>
      <c r="EK219" s="321">
        <f t="shared" si="253"/>
        <v>-9.6553610503282261E-2</v>
      </c>
      <c r="EL219" s="348">
        <f t="shared" si="253"/>
        <v>3.529411764705892E-2</v>
      </c>
      <c r="EM219" s="348">
        <f t="shared" si="253"/>
        <v>-0.30769230769230771</v>
      </c>
      <c r="EN219" s="348">
        <f t="shared" si="253"/>
        <v>-0.20967741935483886</v>
      </c>
      <c r="EO219" s="348">
        <f t="shared" si="253"/>
        <v>-8.2385661310259595E-2</v>
      </c>
      <c r="EP219" s="321">
        <f t="shared" si="253"/>
        <v>-0.15429912201029372</v>
      </c>
      <c r="EQ219" s="348">
        <f t="shared" si="253"/>
        <v>3.3384943181818061E-2</v>
      </c>
      <c r="ER219" s="348">
        <f t="shared" si="253"/>
        <v>0.2600542156862744</v>
      </c>
      <c r="ES219" s="348">
        <f t="shared" si="253"/>
        <v>0.13312304000000008</v>
      </c>
      <c r="ET219" s="348">
        <f t="shared" si="253"/>
        <v>0.14434208000000015</v>
      </c>
      <c r="EU219" s="321">
        <f t="shared" si="253"/>
        <v>0.13877743837614354</v>
      </c>
      <c r="EV219" s="668"/>
      <c r="EW219" s="668"/>
      <c r="EX219" s="668"/>
      <c r="EY219" s="668"/>
      <c r="EZ219" s="668"/>
      <c r="FA219" s="668"/>
      <c r="FB219" s="668"/>
      <c r="FC219" s="668"/>
      <c r="FD219" s="668"/>
      <c r="FE219" s="668"/>
      <c r="FF219" s="668"/>
      <c r="FG219" s="668"/>
      <c r="FH219" s="668"/>
      <c r="FI219" s="668"/>
      <c r="FJ219" s="668"/>
      <c r="FK219" s="668"/>
      <c r="FL219" s="668"/>
      <c r="FM219" s="668"/>
      <c r="FN219" s="668"/>
      <c r="FO219" s="668"/>
      <c r="FP219" s="668"/>
      <c r="FQ219" s="668"/>
      <c r="FR219" s="668"/>
      <c r="FS219" s="668"/>
      <c r="FT219" s="668"/>
      <c r="FU219" s="668"/>
      <c r="FV219" s="668"/>
      <c r="FW219" s="668"/>
      <c r="FX219" s="668"/>
      <c r="FY219" s="668"/>
      <c r="FZ219" s="668"/>
      <c r="GA219" s="668"/>
      <c r="GB219" s="668"/>
      <c r="GC219" s="668"/>
      <c r="GD219" s="668"/>
      <c r="GE219" s="668"/>
      <c r="GF219" s="668"/>
      <c r="GG219" s="668"/>
      <c r="GH219" s="668"/>
      <c r="GI219" s="668"/>
      <c r="GJ219" s="668"/>
      <c r="GK219" s="668"/>
      <c r="GL219" s="668"/>
      <c r="GM219" s="668"/>
      <c r="GN219" s="668"/>
      <c r="GO219" s="668"/>
      <c r="GP219" s="668"/>
      <c r="GQ219" s="668"/>
      <c r="GR219" s="668"/>
      <c r="GS219" s="668"/>
      <c r="GT219" s="668"/>
      <c r="GU219" s="668"/>
      <c r="GV219" s="668"/>
      <c r="GW219" s="668"/>
      <c r="GX219" s="668"/>
      <c r="GY219" s="668"/>
      <c r="GZ219" s="668"/>
      <c r="HA219" s="668"/>
      <c r="HB219" s="668"/>
      <c r="HC219" s="668"/>
      <c r="HD219" s="668"/>
      <c r="HE219" s="668"/>
      <c r="HF219" s="668"/>
      <c r="HG219" s="668"/>
      <c r="HH219" s="668"/>
      <c r="HI219" s="668"/>
      <c r="HJ219" s="668"/>
      <c r="HK219" s="668"/>
      <c r="HL219" s="668"/>
      <c r="HM219" s="668"/>
      <c r="HN219" s="668"/>
      <c r="HO219" s="344"/>
      <c r="HQ219" s="509"/>
      <c r="HY219" s="509"/>
      <c r="HZ219" s="509"/>
      <c r="IA219" s="509"/>
      <c r="IB219" s="509"/>
    </row>
    <row r="220" spans="1:236" s="563" customFormat="1" hidden="1" outlineLevel="1">
      <c r="A220" s="509" t="s">
        <v>499</v>
      </c>
      <c r="B220" s="509"/>
      <c r="C220" s="509"/>
      <c r="D220" s="509"/>
      <c r="E220" s="509"/>
      <c r="F220" s="509"/>
      <c r="G220" s="509"/>
      <c r="H220" s="509"/>
      <c r="I220" s="509"/>
      <c r="J220" s="509"/>
      <c r="K220" s="509"/>
      <c r="L220" s="509"/>
      <c r="M220" s="509"/>
      <c r="N220" s="509"/>
      <c r="O220" s="509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J220" s="509"/>
      <c r="AK220" s="509"/>
      <c r="AL220" s="509"/>
      <c r="AM220" s="509"/>
      <c r="AN220" s="509"/>
      <c r="AO220" s="538"/>
      <c r="AP220" s="509"/>
      <c r="AQ220" s="509"/>
      <c r="AR220" s="509"/>
      <c r="AS220" s="509"/>
      <c r="AT220" s="538"/>
      <c r="AU220" s="509"/>
      <c r="AV220" s="509"/>
      <c r="AW220" s="509"/>
      <c r="AX220" s="509"/>
      <c r="AY220" s="538"/>
      <c r="AZ220" s="509"/>
      <c r="BA220" s="509"/>
      <c r="BB220" s="509"/>
      <c r="BC220" s="509"/>
      <c r="BD220" s="538"/>
      <c r="BE220" s="509"/>
      <c r="BF220" s="509"/>
      <c r="BG220" s="509"/>
      <c r="BH220" s="509"/>
      <c r="BI220" s="538"/>
      <c r="BJ220" s="509"/>
      <c r="BK220" s="509"/>
      <c r="BL220" s="509"/>
      <c r="BM220" s="509"/>
      <c r="BN220" s="538"/>
      <c r="BO220" s="509"/>
      <c r="BP220" s="509"/>
      <c r="BQ220" s="509"/>
      <c r="BR220" s="509"/>
      <c r="BS220" s="538"/>
      <c r="BT220" s="509"/>
      <c r="BU220" s="509"/>
      <c r="BV220" s="509"/>
      <c r="BW220" s="509"/>
      <c r="BX220" s="538"/>
      <c r="BY220" s="509"/>
      <c r="BZ220" s="509"/>
      <c r="CA220" s="509"/>
      <c r="CB220" s="509"/>
      <c r="CC220" s="538"/>
      <c r="CD220" s="509"/>
      <c r="CE220" s="509"/>
      <c r="CF220" s="509"/>
      <c r="CG220" s="509"/>
      <c r="CH220" s="538"/>
      <c r="CI220" s="509"/>
      <c r="CJ220" s="509"/>
      <c r="CK220" s="509"/>
      <c r="CL220" s="509"/>
      <c r="CM220" s="538"/>
      <c r="CN220" s="509"/>
      <c r="CO220" s="509"/>
      <c r="CP220" s="509"/>
      <c r="CQ220" s="509"/>
      <c r="CR220" s="509"/>
      <c r="CS220" s="509"/>
      <c r="CT220" s="509"/>
      <c r="CU220" s="509"/>
      <c r="CV220" s="509"/>
      <c r="CW220" s="509"/>
      <c r="CX220" s="539">
        <v>21.15</v>
      </c>
      <c r="CY220" s="539">
        <v>22.64</v>
      </c>
      <c r="CZ220" s="539">
        <v>24.2</v>
      </c>
      <c r="DA220" s="539">
        <v>25.25</v>
      </c>
      <c r="DB220" s="542">
        <f>AVERAGE(CX220:DA220)</f>
        <v>23.31</v>
      </c>
      <c r="DC220" s="539">
        <v>22.03</v>
      </c>
      <c r="DD220" s="539">
        <v>22</v>
      </c>
      <c r="DE220" s="539">
        <v>24</v>
      </c>
      <c r="DF220" s="539">
        <v>25</v>
      </c>
      <c r="DG220" s="542">
        <f>AVERAGE(DC220:DF220)</f>
        <v>23.2575</v>
      </c>
      <c r="DH220" s="539">
        <v>25</v>
      </c>
      <c r="DI220" s="539">
        <v>18.5</v>
      </c>
      <c r="DJ220" s="539">
        <v>16.5</v>
      </c>
      <c r="DK220" s="539">
        <v>18.5</v>
      </c>
      <c r="DL220" s="542">
        <f>AVERAGE(DH220:DK220)</f>
        <v>19.625</v>
      </c>
      <c r="DM220" s="539">
        <v>20</v>
      </c>
      <c r="DN220" s="539">
        <v>19</v>
      </c>
      <c r="DO220" s="539">
        <v>19</v>
      </c>
      <c r="DP220" s="539">
        <v>20</v>
      </c>
      <c r="DQ220" s="542">
        <f>AVERAGE(DM220:DP220)</f>
        <v>19.5</v>
      </c>
      <c r="DR220" s="539">
        <v>18.5</v>
      </c>
      <c r="DS220" s="539">
        <v>18.5</v>
      </c>
      <c r="DT220" s="539">
        <v>19</v>
      </c>
      <c r="DU220" s="539">
        <v>20</v>
      </c>
      <c r="DV220" s="542">
        <f>AVERAGE(DR220:DU220)</f>
        <v>19</v>
      </c>
      <c r="DW220" s="539">
        <v>20.5</v>
      </c>
      <c r="DX220" s="539">
        <v>20.5</v>
      </c>
      <c r="DY220" s="539">
        <v>20.100000000000001</v>
      </c>
      <c r="DZ220" s="539">
        <v>20.5</v>
      </c>
      <c r="EA220" s="542">
        <f>AVERAGE(DW220:DZ220)</f>
        <v>20.399999999999999</v>
      </c>
      <c r="EB220" s="713">
        <v>20.7</v>
      </c>
      <c r="EC220" s="539">
        <f>EB220*(1+EC221)</f>
        <v>20.492999999999999</v>
      </c>
      <c r="ED220" s="539">
        <f>EC220*(1+ED221)</f>
        <v>20.083139999999997</v>
      </c>
      <c r="EE220" s="539">
        <f>ED220*(1+EE221)</f>
        <v>20.585218499999996</v>
      </c>
      <c r="EF220" s="542">
        <f>AVERAGE(EB220:EE220)</f>
        <v>20.465339624999999</v>
      </c>
      <c r="EG220" s="539">
        <f>EE220*(1+EG221)</f>
        <v>20.173514129999997</v>
      </c>
      <c r="EH220" s="539">
        <f>EG220*(1+EH221)</f>
        <v>19.971778988699999</v>
      </c>
      <c r="EI220" s="539">
        <f>EH220*(1+EI221)</f>
        <v>18.973190039264999</v>
      </c>
      <c r="EJ220" s="539">
        <f>EI220*(1+EJ221)</f>
        <v>19.16292193965765</v>
      </c>
      <c r="EK220" s="542">
        <f>AVERAGE(EG220:EJ220)</f>
        <v>19.57035127440566</v>
      </c>
      <c r="EL220" s="539">
        <f>EJ220*(1+EL221)</f>
        <v>19.929438817243955</v>
      </c>
      <c r="EM220" s="539">
        <f>EL220*(1+EM221)</f>
        <v>20.925910758106156</v>
      </c>
      <c r="EN220" s="539">
        <f>EM220*(1+EN221)</f>
        <v>20.925910758106156</v>
      </c>
      <c r="EO220" s="539">
        <f>EN220*(1+EO221)</f>
        <v>19.879615220200847</v>
      </c>
      <c r="EP220" s="542">
        <f>AVERAGE(EL220:EO220)</f>
        <v>20.41521888841428</v>
      </c>
      <c r="EQ220" s="539">
        <f>EO220*(1+EQ221)</f>
        <v>20.078411372402854</v>
      </c>
      <c r="ER220" s="539">
        <f>EQ220*(1+ER221)</f>
        <v>20.47997959985091</v>
      </c>
      <c r="ES220" s="539">
        <f>ER220*(1+ES221)</f>
        <v>20.889579191847929</v>
      </c>
      <c r="ET220" s="539">
        <f>ES220*(1+ET221)</f>
        <v>21.098474983766408</v>
      </c>
      <c r="EU220" s="542">
        <f>AVERAGE(EQ220:ET220)</f>
        <v>20.636611286967025</v>
      </c>
      <c r="EV220" s="668"/>
      <c r="EW220" s="668"/>
      <c r="EX220" s="668"/>
      <c r="EY220" s="668"/>
      <c r="EZ220" s="668"/>
      <c r="FA220" s="668"/>
      <c r="FB220" s="668"/>
      <c r="FC220" s="668"/>
      <c r="FD220" s="668"/>
      <c r="FE220" s="668"/>
      <c r="FF220" s="668"/>
      <c r="FG220" s="668"/>
      <c r="FH220" s="668"/>
      <c r="FI220" s="668"/>
      <c r="FJ220" s="668"/>
      <c r="FK220" s="668"/>
      <c r="FL220" s="668"/>
      <c r="FM220" s="668"/>
      <c r="FN220" s="668"/>
      <c r="FO220" s="668"/>
      <c r="FP220" s="668"/>
      <c r="FQ220" s="668"/>
      <c r="FR220" s="668"/>
      <c r="FS220" s="668"/>
      <c r="FT220" s="668"/>
      <c r="FU220" s="668"/>
      <c r="FV220" s="668"/>
      <c r="FW220" s="668"/>
      <c r="FX220" s="668"/>
      <c r="FY220" s="668"/>
      <c r="FZ220" s="668"/>
      <c r="GA220" s="668"/>
      <c r="GB220" s="668"/>
      <c r="GC220" s="668"/>
      <c r="GD220" s="668"/>
      <c r="GE220" s="668"/>
      <c r="GF220" s="668"/>
      <c r="GG220" s="668"/>
      <c r="GH220" s="668"/>
      <c r="GI220" s="668"/>
      <c r="GJ220" s="668"/>
      <c r="GK220" s="668"/>
      <c r="GL220" s="668"/>
      <c r="GM220" s="668"/>
      <c r="GN220" s="668"/>
      <c r="GO220" s="668"/>
      <c r="GP220" s="668"/>
      <c r="GQ220" s="668"/>
      <c r="GR220" s="668"/>
      <c r="GS220" s="668"/>
      <c r="GT220" s="668"/>
      <c r="GU220" s="668"/>
      <c r="GV220" s="668"/>
      <c r="GW220" s="668"/>
      <c r="GX220" s="668"/>
      <c r="GY220" s="668"/>
      <c r="GZ220" s="668"/>
      <c r="HA220" s="668"/>
      <c r="HB220" s="668"/>
      <c r="HC220" s="668"/>
      <c r="HD220" s="668"/>
      <c r="HE220" s="668"/>
      <c r="HF220" s="668"/>
      <c r="HG220" s="668"/>
      <c r="HH220" s="668"/>
      <c r="HI220" s="668"/>
      <c r="HJ220" s="668"/>
      <c r="HK220" s="668"/>
      <c r="HL220" s="668"/>
      <c r="HM220" s="668"/>
      <c r="HN220" s="668"/>
      <c r="HO220" s="542"/>
      <c r="HQ220" s="509"/>
      <c r="HY220" s="509"/>
      <c r="HZ220" s="509"/>
      <c r="IA220" s="509"/>
      <c r="IB220" s="509"/>
    </row>
    <row r="221" spans="1:236" s="563" customFormat="1" ht="11.25" hidden="1" customHeight="1" outlineLevel="1">
      <c r="A221" s="509" t="s">
        <v>488</v>
      </c>
      <c r="B221" s="509"/>
      <c r="C221" s="509"/>
      <c r="D221" s="509"/>
      <c r="E221" s="509"/>
      <c r="F221" s="509"/>
      <c r="G221" s="509"/>
      <c r="H221" s="509"/>
      <c r="I221" s="509"/>
      <c r="J221" s="509"/>
      <c r="K221" s="509"/>
      <c r="L221" s="509"/>
      <c r="M221" s="509"/>
      <c r="N221" s="509"/>
      <c r="O221" s="509"/>
      <c r="P221" s="509"/>
      <c r="Q221" s="509"/>
      <c r="R221" s="509"/>
      <c r="S221" s="509"/>
      <c r="T221" s="509"/>
      <c r="U221" s="509"/>
      <c r="V221" s="509"/>
      <c r="W221" s="509"/>
      <c r="X221" s="509"/>
      <c r="Y221" s="509"/>
      <c r="Z221" s="509"/>
      <c r="AA221" s="509"/>
      <c r="AB221" s="509"/>
      <c r="AC221" s="509"/>
      <c r="AD221" s="509"/>
      <c r="AE221" s="509"/>
      <c r="AF221" s="509"/>
      <c r="AG221" s="509"/>
      <c r="AH221" s="509"/>
      <c r="AI221" s="509"/>
      <c r="AJ221" s="509"/>
      <c r="AK221" s="509"/>
      <c r="AL221" s="509"/>
      <c r="AM221" s="509"/>
      <c r="AN221" s="509"/>
      <c r="AO221" s="538"/>
      <c r="AP221" s="509"/>
      <c r="AQ221" s="509"/>
      <c r="AR221" s="509"/>
      <c r="AS221" s="509"/>
      <c r="AT221" s="538"/>
      <c r="AU221" s="509"/>
      <c r="AV221" s="509"/>
      <c r="AW221" s="509"/>
      <c r="AX221" s="509"/>
      <c r="AY221" s="538"/>
      <c r="AZ221" s="509"/>
      <c r="BA221" s="509"/>
      <c r="BB221" s="509"/>
      <c r="BC221" s="509"/>
      <c r="BD221" s="538"/>
      <c r="BE221" s="509"/>
      <c r="BF221" s="509"/>
      <c r="BG221" s="509"/>
      <c r="BH221" s="509"/>
      <c r="BI221" s="538"/>
      <c r="BJ221" s="509"/>
      <c r="BK221" s="509"/>
      <c r="BL221" s="509"/>
      <c r="BM221" s="509"/>
      <c r="BN221" s="538"/>
      <c r="BO221" s="509"/>
      <c r="BP221" s="509"/>
      <c r="BQ221" s="509"/>
      <c r="BR221" s="509"/>
      <c r="BS221" s="538"/>
      <c r="BT221" s="509"/>
      <c r="BU221" s="509"/>
      <c r="BV221" s="509"/>
      <c r="BW221" s="509"/>
      <c r="BX221" s="538"/>
      <c r="BY221" s="509"/>
      <c r="BZ221" s="509"/>
      <c r="CA221" s="509"/>
      <c r="CB221" s="509"/>
      <c r="CC221" s="538"/>
      <c r="CD221" s="509"/>
      <c r="CE221" s="509"/>
      <c r="CF221" s="509"/>
      <c r="CG221" s="509"/>
      <c r="CH221" s="538"/>
      <c r="CI221" s="509"/>
      <c r="CJ221" s="509"/>
      <c r="CK221" s="509"/>
      <c r="CL221" s="509"/>
      <c r="CM221" s="538"/>
      <c r="CN221" s="509"/>
      <c r="CO221" s="509"/>
      <c r="CP221" s="509"/>
      <c r="CQ221" s="509"/>
      <c r="CR221" s="509"/>
      <c r="CS221" s="509"/>
      <c r="CT221" s="509"/>
      <c r="CU221" s="509"/>
      <c r="CV221" s="509"/>
      <c r="CW221" s="509"/>
      <c r="CX221" s="701" t="s">
        <v>199</v>
      </c>
      <c r="CY221" s="340">
        <f>CY220/CX220-1</f>
        <v>7.0449172576832142E-2</v>
      </c>
      <c r="CZ221" s="340">
        <f>CZ220/CY220-1</f>
        <v>6.8904593639576017E-2</v>
      </c>
      <c r="DA221" s="340">
        <f>DA220/CZ220-1</f>
        <v>4.3388429752066138E-2</v>
      </c>
      <c r="DB221" s="701" t="s">
        <v>199</v>
      </c>
      <c r="DC221" s="340">
        <f>DC220/DA220-1</f>
        <v>-0.12752475247524753</v>
      </c>
      <c r="DD221" s="340">
        <f>DD220/DC220-1</f>
        <v>-1.3617793917385379E-3</v>
      </c>
      <c r="DE221" s="340">
        <f>DE220/DD220-1</f>
        <v>9.0909090909090828E-2</v>
      </c>
      <c r="DF221" s="340">
        <f>DF220/DE220-1</f>
        <v>4.1666666666666741E-2</v>
      </c>
      <c r="DG221" s="701" t="s">
        <v>199</v>
      </c>
      <c r="DH221" s="340">
        <f>DH220/DF220-1</f>
        <v>0</v>
      </c>
      <c r="DI221" s="340">
        <f>DI220/DH220-1</f>
        <v>-0.26</v>
      </c>
      <c r="DJ221" s="340">
        <f>DJ220/DI220-1</f>
        <v>-0.10810810810810811</v>
      </c>
      <c r="DK221" s="340">
        <f>DK220/DJ220-1</f>
        <v>0.1212121212121211</v>
      </c>
      <c r="DL221" s="701" t="s">
        <v>199</v>
      </c>
      <c r="DM221" s="340">
        <f>DM220/DK220-1</f>
        <v>8.1081081081081141E-2</v>
      </c>
      <c r="DN221" s="340">
        <f>DN220/DM220-1</f>
        <v>-5.0000000000000044E-2</v>
      </c>
      <c r="DO221" s="340">
        <f>DO220/DN220-1</f>
        <v>0</v>
      </c>
      <c r="DP221" s="340">
        <f>DP220/DO220-1</f>
        <v>5.2631578947368363E-2</v>
      </c>
      <c r="DQ221" s="701" t="s">
        <v>199</v>
      </c>
      <c r="DR221" s="340">
        <f>DR220/DP220-1</f>
        <v>-7.4999999999999956E-2</v>
      </c>
      <c r="DS221" s="340">
        <f>DS220/DR220-1</f>
        <v>0</v>
      </c>
      <c r="DT221" s="340">
        <f>DT220/DS220-1</f>
        <v>2.7027027027026973E-2</v>
      </c>
      <c r="DU221" s="340">
        <f>DU220/DT220-1</f>
        <v>5.2631578947368363E-2</v>
      </c>
      <c r="DV221" s="701" t="s">
        <v>199</v>
      </c>
      <c r="DW221" s="714">
        <f>DW220/DU220-1</f>
        <v>2.4999999999999911E-2</v>
      </c>
      <c r="DX221" s="714">
        <f>DX220/DW220-1</f>
        <v>0</v>
      </c>
      <c r="DY221" s="714">
        <f>DY220/DX220-1</f>
        <v>-1.9512195121951126E-2</v>
      </c>
      <c r="DZ221" s="714">
        <f>DZ220/DY220-1</f>
        <v>1.990049751243772E-2</v>
      </c>
      <c r="EA221" s="701" t="s">
        <v>199</v>
      </c>
      <c r="EB221" s="715">
        <f>EB220/DZ220-1</f>
        <v>9.7560975609756184E-3</v>
      </c>
      <c r="EC221" s="350">
        <v>-0.01</v>
      </c>
      <c r="ED221" s="350">
        <v>-0.02</v>
      </c>
      <c r="EE221" s="351">
        <v>2.5000000000000001E-2</v>
      </c>
      <c r="EF221" s="701" t="s">
        <v>199</v>
      </c>
      <c r="EG221" s="349">
        <v>-0.02</v>
      </c>
      <c r="EH221" s="349">
        <v>-0.01</v>
      </c>
      <c r="EI221" s="294">
        <v>-0.05</v>
      </c>
      <c r="EJ221" s="294">
        <v>0.01</v>
      </c>
      <c r="EK221" s="701" t="s">
        <v>199</v>
      </c>
      <c r="EL221" s="348">
        <v>0.04</v>
      </c>
      <c r="EM221" s="348">
        <v>0.05</v>
      </c>
      <c r="EN221" s="348">
        <v>0</v>
      </c>
      <c r="EO221" s="711">
        <v>-0.05</v>
      </c>
      <c r="EP221" s="701" t="s">
        <v>199</v>
      </c>
      <c r="EQ221" s="711">
        <v>0.01</v>
      </c>
      <c r="ER221" s="711">
        <v>0.02</v>
      </c>
      <c r="ES221" s="711">
        <v>0.02</v>
      </c>
      <c r="ET221" s="711">
        <v>0.01</v>
      </c>
      <c r="EU221" s="701" t="s">
        <v>199</v>
      </c>
      <c r="EV221" s="668"/>
      <c r="EW221" s="668"/>
      <c r="EX221" s="668"/>
      <c r="EY221" s="668"/>
      <c r="EZ221" s="668"/>
      <c r="FA221" s="668"/>
      <c r="FB221" s="668"/>
      <c r="FC221" s="668"/>
      <c r="FD221" s="668"/>
      <c r="FE221" s="668"/>
      <c r="FF221" s="668"/>
      <c r="FG221" s="668"/>
      <c r="FH221" s="668"/>
      <c r="FI221" s="668"/>
      <c r="FJ221" s="668"/>
      <c r="FK221" s="668"/>
      <c r="FL221" s="668"/>
      <c r="FM221" s="668"/>
      <c r="FN221" s="668"/>
      <c r="FO221" s="668"/>
      <c r="FP221" s="668"/>
      <c r="FQ221" s="668"/>
      <c r="FR221" s="668"/>
      <c r="FS221" s="668"/>
      <c r="FT221" s="668"/>
      <c r="FU221" s="668"/>
      <c r="FV221" s="668"/>
      <c r="FW221" s="668"/>
      <c r="FX221" s="668"/>
      <c r="FY221" s="668"/>
      <c r="FZ221" s="668"/>
      <c r="GA221" s="668"/>
      <c r="GB221" s="668"/>
      <c r="GC221" s="668"/>
      <c r="GD221" s="668"/>
      <c r="GE221" s="668"/>
      <c r="GF221" s="668"/>
      <c r="GG221" s="668"/>
      <c r="GH221" s="668"/>
      <c r="GI221" s="668"/>
      <c r="GJ221" s="668"/>
      <c r="GK221" s="668"/>
      <c r="GL221" s="668"/>
      <c r="GM221" s="668"/>
      <c r="GN221" s="668"/>
      <c r="GO221" s="668"/>
      <c r="GP221" s="668"/>
      <c r="GQ221" s="668"/>
      <c r="GR221" s="668"/>
      <c r="GS221" s="668"/>
      <c r="GT221" s="668"/>
      <c r="GU221" s="668"/>
      <c r="GV221" s="668"/>
      <c r="GW221" s="668"/>
      <c r="GX221" s="668"/>
      <c r="GY221" s="668"/>
      <c r="GZ221" s="668"/>
      <c r="HA221" s="668"/>
      <c r="HB221" s="668"/>
      <c r="HC221" s="668"/>
      <c r="HD221" s="668"/>
      <c r="HE221" s="668"/>
      <c r="HF221" s="668"/>
      <c r="HG221" s="668"/>
      <c r="HH221" s="668"/>
      <c r="HI221" s="668"/>
      <c r="HJ221" s="668"/>
      <c r="HK221" s="668"/>
      <c r="HL221" s="668"/>
      <c r="HM221" s="668"/>
      <c r="HN221" s="668"/>
      <c r="HO221" s="701"/>
      <c r="HP221" s="676"/>
      <c r="HQ221" s="672"/>
      <c r="HR221" s="676"/>
      <c r="HY221" s="509"/>
      <c r="HZ221" s="509"/>
      <c r="IA221" s="509"/>
      <c r="IB221" s="509"/>
    </row>
    <row r="222" spans="1:236" s="563" customFormat="1" hidden="1" outlineLevel="1">
      <c r="A222" s="509" t="s">
        <v>489</v>
      </c>
      <c r="B222" s="509"/>
      <c r="C222" s="509"/>
      <c r="D222" s="509"/>
      <c r="E222" s="509"/>
      <c r="F222" s="509"/>
      <c r="G222" s="509"/>
      <c r="H222" s="509"/>
      <c r="I222" s="509"/>
      <c r="J222" s="509"/>
      <c r="K222" s="509"/>
      <c r="L222" s="509"/>
      <c r="M222" s="509"/>
      <c r="N222" s="509"/>
      <c r="O222" s="509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J222" s="509"/>
      <c r="AK222" s="509"/>
      <c r="AL222" s="509"/>
      <c r="AM222" s="509"/>
      <c r="AN222" s="509"/>
      <c r="AO222" s="538"/>
      <c r="AP222" s="509"/>
      <c r="AQ222" s="509"/>
      <c r="AR222" s="509"/>
      <c r="AS222" s="509"/>
      <c r="AT222" s="538"/>
      <c r="AU222" s="509"/>
      <c r="AV222" s="509"/>
      <c r="AW222" s="509"/>
      <c r="AX222" s="509"/>
      <c r="AY222" s="538"/>
      <c r="AZ222" s="509"/>
      <c r="BA222" s="509"/>
      <c r="BB222" s="509"/>
      <c r="BC222" s="509"/>
      <c r="BD222" s="538"/>
      <c r="BE222" s="509"/>
      <c r="BF222" s="509"/>
      <c r="BG222" s="509"/>
      <c r="BH222" s="509"/>
      <c r="BI222" s="538"/>
      <c r="BJ222" s="509"/>
      <c r="BK222" s="509"/>
      <c r="BL222" s="509"/>
      <c r="BM222" s="509"/>
      <c r="BN222" s="538"/>
      <c r="BO222" s="509"/>
      <c r="BP222" s="509"/>
      <c r="BQ222" s="509"/>
      <c r="BR222" s="509"/>
      <c r="BS222" s="538"/>
      <c r="BT222" s="509"/>
      <c r="BU222" s="509"/>
      <c r="BV222" s="509"/>
      <c r="BW222" s="509"/>
      <c r="BX222" s="538"/>
      <c r="BY222" s="509"/>
      <c r="BZ222" s="509"/>
      <c r="CA222" s="509"/>
      <c r="CB222" s="509"/>
      <c r="CC222" s="538"/>
      <c r="CD222" s="509"/>
      <c r="CE222" s="509"/>
      <c r="CF222" s="509"/>
      <c r="CG222" s="509"/>
      <c r="CH222" s="538"/>
      <c r="CI222" s="509"/>
      <c r="CJ222" s="509"/>
      <c r="CK222" s="509"/>
      <c r="CL222" s="509"/>
      <c r="CM222" s="538"/>
      <c r="CN222" s="509"/>
      <c r="CO222" s="509"/>
      <c r="CP222" s="509"/>
      <c r="CQ222" s="509"/>
      <c r="CR222" s="509"/>
      <c r="CS222" s="509"/>
      <c r="CT222" s="509"/>
      <c r="CU222" s="509"/>
      <c r="CV222" s="509"/>
      <c r="CW222" s="509"/>
      <c r="CX222" s="701" t="s">
        <v>199</v>
      </c>
      <c r="CY222" s="701" t="s">
        <v>199</v>
      </c>
      <c r="CZ222" s="701" t="s">
        <v>199</v>
      </c>
      <c r="DA222" s="701" t="s">
        <v>199</v>
      </c>
      <c r="DB222" s="701" t="s">
        <v>199</v>
      </c>
      <c r="DC222" s="348">
        <f>(DC220/CY220)-1</f>
        <v>-2.6943462897526471E-2</v>
      </c>
      <c r="DD222" s="348">
        <f>(DD220/CZ220)-1</f>
        <v>-9.0909090909090828E-2</v>
      </c>
      <c r="DE222" s="348">
        <f>(DE220/DA220)-1</f>
        <v>-4.9504950495049549E-2</v>
      </c>
      <c r="DF222" s="348">
        <f>(DF220/DB220)-1</f>
        <v>7.2501072501072628E-2</v>
      </c>
      <c r="DG222" s="321">
        <f>(DG220/DB220)-1</f>
        <v>-2.2522522522522292E-3</v>
      </c>
      <c r="DH222" s="348">
        <f>DH220/DC220-1</f>
        <v>0.13481615978211514</v>
      </c>
      <c r="DI222" s="348">
        <f>DI220/DD220-1</f>
        <v>-0.15909090909090906</v>
      </c>
      <c r="DJ222" s="348">
        <f>DJ220/DE220-1</f>
        <v>-0.3125</v>
      </c>
      <c r="DK222" s="348">
        <f>DK220/DF220-1</f>
        <v>-0.26</v>
      </c>
      <c r="DL222" s="321">
        <f>(DL220/DG220)-1</f>
        <v>-0.15618617650220357</v>
      </c>
      <c r="DM222" s="348">
        <f>DM220/DH220-1</f>
        <v>-0.19999999999999996</v>
      </c>
      <c r="DN222" s="348">
        <f>DN220/DI220-1</f>
        <v>2.7027027027026973E-2</v>
      </c>
      <c r="DO222" s="348">
        <f>DO220/DJ220-1</f>
        <v>0.1515151515151516</v>
      </c>
      <c r="DP222" s="348">
        <f>DP220/DK220-1</f>
        <v>8.1081081081081141E-2</v>
      </c>
      <c r="DQ222" s="321">
        <f>(DQ220/DL220)-1</f>
        <v>-6.3694267515923553E-3</v>
      </c>
      <c r="DR222" s="348">
        <f>DR220/DM220-1</f>
        <v>-7.4999999999999956E-2</v>
      </c>
      <c r="DS222" s="348">
        <f>DS220/DN220-1</f>
        <v>-2.6315789473684181E-2</v>
      </c>
      <c r="DT222" s="348">
        <f>DT220/DO220-1</f>
        <v>0</v>
      </c>
      <c r="DU222" s="348">
        <f>DU220/DP220-1</f>
        <v>0</v>
      </c>
      <c r="DV222" s="321">
        <f>(DV220/DQ220)-1</f>
        <v>-2.5641025641025661E-2</v>
      </c>
      <c r="DW222" s="348">
        <f>DW220/DR220-1</f>
        <v>0.10810810810810811</v>
      </c>
      <c r="DX222" s="348">
        <v>0</v>
      </c>
      <c r="DY222" s="348">
        <f>DY220/DT220-1</f>
        <v>5.7894736842105443E-2</v>
      </c>
      <c r="DZ222" s="348">
        <f>DZ220/DU220-1</f>
        <v>2.4999999999999911E-2</v>
      </c>
      <c r="EA222" s="321">
        <f>(EA220/DV220)-1</f>
        <v>7.3684210526315796E-2</v>
      </c>
      <c r="EB222" s="352">
        <f>EB220/DW220-1</f>
        <v>9.7560975609756184E-3</v>
      </c>
      <c r="EC222" s="348">
        <f>EC220/DX220-1</f>
        <v>-3.4146341463425767E-4</v>
      </c>
      <c r="ED222" s="348">
        <f>ED220/DY220-1</f>
        <v>-8.388059701495143E-4</v>
      </c>
      <c r="EE222" s="348">
        <f>EE220/DZ220-1</f>
        <v>4.1569999999997442E-3</v>
      </c>
      <c r="EF222" s="321">
        <f>(EF220/EA220)-1</f>
        <v>3.202922794117713E-3</v>
      </c>
      <c r="EG222" s="348">
        <f>EG220/EB220-1</f>
        <v>-2.5434100000000126E-2</v>
      </c>
      <c r="EH222" s="348">
        <f>EH220/EC220-1</f>
        <v>-2.5434100000000015E-2</v>
      </c>
      <c r="EI222" s="294">
        <f>EI220/ED220-1</f>
        <v>-5.5267749999999838E-2</v>
      </c>
      <c r="EJ222" s="348">
        <f>EJ220/EE220-1</f>
        <v>-6.9093099999999796E-2</v>
      </c>
      <c r="EK222" s="321">
        <f>(EK220/EF220)-1</f>
        <v>-4.373190804520255E-2</v>
      </c>
      <c r="EL222" s="348">
        <f>EL220/EG220-1</f>
        <v>-1.2098799999999854E-2</v>
      </c>
      <c r="EM222" s="348">
        <f>EM220/EH220-1</f>
        <v>4.7774000000000205E-2</v>
      </c>
      <c r="EN222" s="348">
        <f>EN220/EI220-1</f>
        <v>0.10292000000000012</v>
      </c>
      <c r="EO222" s="348">
        <f>EO220/EJ220-1</f>
        <v>3.74000000000001E-2</v>
      </c>
      <c r="EP222" s="321">
        <f>(EP220/EK220)-1</f>
        <v>4.3170794543353486E-2</v>
      </c>
      <c r="EQ222" s="348">
        <f>EQ220/EL220-1</f>
        <v>7.4750000000001204E-3</v>
      </c>
      <c r="ER222" s="348">
        <f>ER220/EM220-1</f>
        <v>-2.1310000000000162E-2</v>
      </c>
      <c r="ES222" s="348">
        <f>ES220/EN220-1</f>
        <v>-1.7362000000000766E-3</v>
      </c>
      <c r="ET222" s="348">
        <f>ET220/EO220-1</f>
        <v>6.131203999999979E-2</v>
      </c>
      <c r="EU222" s="321">
        <f>(EU220/EP220)-1</f>
        <v>1.084447831604618E-2</v>
      </c>
      <c r="EV222" s="668"/>
      <c r="EW222" s="668"/>
      <c r="EX222" s="668"/>
      <c r="EY222" s="668"/>
      <c r="EZ222" s="668"/>
      <c r="FA222" s="668"/>
      <c r="FB222" s="668"/>
      <c r="FC222" s="668"/>
      <c r="FD222" s="668"/>
      <c r="FE222" s="668"/>
      <c r="FF222" s="668"/>
      <c r="FG222" s="668"/>
      <c r="FH222" s="668"/>
      <c r="FI222" s="668"/>
      <c r="FJ222" s="668"/>
      <c r="FK222" s="668"/>
      <c r="FL222" s="668"/>
      <c r="FM222" s="668"/>
      <c r="FN222" s="668"/>
      <c r="FO222" s="668"/>
      <c r="FP222" s="668"/>
      <c r="FQ222" s="668"/>
      <c r="FR222" s="668"/>
      <c r="FS222" s="668"/>
      <c r="FT222" s="668"/>
      <c r="FU222" s="668"/>
      <c r="FV222" s="668"/>
      <c r="FW222" s="668"/>
      <c r="FX222" s="668"/>
      <c r="FY222" s="668"/>
      <c r="FZ222" s="668"/>
      <c r="GA222" s="668"/>
      <c r="GB222" s="668"/>
      <c r="GC222" s="668"/>
      <c r="GD222" s="668"/>
      <c r="GE222" s="668"/>
      <c r="GF222" s="668"/>
      <c r="GG222" s="668"/>
      <c r="GH222" s="668"/>
      <c r="GI222" s="668"/>
      <c r="GJ222" s="668"/>
      <c r="GK222" s="668"/>
      <c r="GL222" s="668"/>
      <c r="GM222" s="668"/>
      <c r="GN222" s="668"/>
      <c r="GO222" s="668"/>
      <c r="GP222" s="668"/>
      <c r="GQ222" s="668"/>
      <c r="GR222" s="668"/>
      <c r="GS222" s="668"/>
      <c r="GT222" s="668"/>
      <c r="GU222" s="668"/>
      <c r="GV222" s="668"/>
      <c r="GW222" s="668"/>
      <c r="GX222" s="668"/>
      <c r="GY222" s="668"/>
      <c r="GZ222" s="668"/>
      <c r="HA222" s="668"/>
      <c r="HB222" s="668"/>
      <c r="HC222" s="668"/>
      <c r="HD222" s="668"/>
      <c r="HE222" s="668"/>
      <c r="HF222" s="668"/>
      <c r="HG222" s="668"/>
      <c r="HH222" s="668"/>
      <c r="HI222" s="668"/>
      <c r="HJ222" s="668"/>
      <c r="HK222" s="668"/>
      <c r="HL222" s="668"/>
      <c r="HM222" s="668"/>
      <c r="HN222" s="668"/>
      <c r="HO222" s="344"/>
      <c r="HQ222" s="509"/>
      <c r="HY222" s="509"/>
      <c r="HZ222" s="509"/>
      <c r="IA222" s="509"/>
      <c r="IB222" s="509"/>
    </row>
    <row r="223" spans="1:236" s="509" customFormat="1" hidden="1" outlineLevel="1">
      <c r="A223" s="683" t="s">
        <v>500</v>
      </c>
      <c r="B223" s="684"/>
      <c r="C223" s="684"/>
      <c r="D223" s="684"/>
      <c r="E223" s="684"/>
      <c r="F223" s="684"/>
      <c r="G223" s="684"/>
      <c r="H223" s="684"/>
      <c r="I223" s="684"/>
      <c r="J223" s="684"/>
      <c r="K223" s="684"/>
      <c r="L223" s="684"/>
      <c r="M223" s="684"/>
      <c r="N223" s="684"/>
      <c r="O223" s="684"/>
      <c r="P223" s="684"/>
      <c r="Q223" s="684"/>
      <c r="R223" s="684"/>
      <c r="S223" s="684"/>
      <c r="T223" s="684"/>
      <c r="U223" s="684"/>
      <c r="V223" s="684"/>
      <c r="W223" s="684"/>
      <c r="X223" s="684"/>
      <c r="Y223" s="684"/>
      <c r="Z223" s="684"/>
      <c r="AA223" s="684"/>
      <c r="AB223" s="684"/>
      <c r="AC223" s="684"/>
      <c r="AD223" s="684"/>
      <c r="AE223" s="684"/>
      <c r="AF223" s="684"/>
      <c r="AG223" s="684"/>
      <c r="AH223" s="684"/>
      <c r="AI223" s="684"/>
      <c r="AJ223" s="684"/>
      <c r="AK223" s="684"/>
      <c r="AL223" s="684"/>
      <c r="AM223" s="684"/>
      <c r="AN223" s="684"/>
      <c r="AO223" s="717"/>
      <c r="AP223" s="684"/>
      <c r="AQ223" s="684"/>
      <c r="AR223" s="684"/>
      <c r="AS223" s="684"/>
      <c r="AT223" s="717"/>
      <c r="AU223" s="684"/>
      <c r="AV223" s="684"/>
      <c r="AW223" s="684"/>
      <c r="AX223" s="684"/>
      <c r="AY223" s="717"/>
      <c r="AZ223" s="684"/>
      <c r="BA223" s="684"/>
      <c r="BB223" s="684"/>
      <c r="BC223" s="684"/>
      <c r="BD223" s="717"/>
      <c r="BE223" s="684"/>
      <c r="BF223" s="684"/>
      <c r="BG223" s="684"/>
      <c r="BH223" s="684"/>
      <c r="BI223" s="717"/>
      <c r="BJ223" s="684"/>
      <c r="BK223" s="684"/>
      <c r="BL223" s="684"/>
      <c r="BM223" s="684"/>
      <c r="BN223" s="717"/>
      <c r="BO223" s="684"/>
      <c r="BP223" s="684"/>
      <c r="BQ223" s="684"/>
      <c r="BR223" s="684"/>
      <c r="BS223" s="717"/>
      <c r="BT223" s="684"/>
      <c r="BU223" s="684"/>
      <c r="BV223" s="684"/>
      <c r="BW223" s="684"/>
      <c r="BX223" s="717"/>
      <c r="BY223" s="684"/>
      <c r="BZ223" s="684"/>
      <c r="CA223" s="684"/>
      <c r="CB223" s="684"/>
      <c r="CC223" s="717"/>
      <c r="CD223" s="684"/>
      <c r="CE223" s="684"/>
      <c r="CF223" s="684"/>
      <c r="CG223" s="684"/>
      <c r="CH223" s="717"/>
      <c r="CI223" s="684"/>
      <c r="CJ223" s="684"/>
      <c r="CK223" s="684"/>
      <c r="CL223" s="684"/>
      <c r="CM223" s="717"/>
      <c r="CN223" s="684"/>
      <c r="CO223" s="684"/>
      <c r="CP223" s="684"/>
      <c r="CQ223" s="684"/>
      <c r="CR223" s="684"/>
      <c r="CS223" s="684"/>
      <c r="CT223" s="684"/>
      <c r="CU223" s="684"/>
      <c r="CV223" s="684"/>
      <c r="CW223" s="684"/>
      <c r="CX223" s="718">
        <f>CX217*CX220</f>
        <v>44.414999999999999</v>
      </c>
      <c r="CY223" s="718">
        <f>CY217*CY220</f>
        <v>47.544000000000004</v>
      </c>
      <c r="CZ223" s="718">
        <f>CZ217*CZ220</f>
        <v>55.66</v>
      </c>
      <c r="DA223" s="718">
        <f>DA217*DA220</f>
        <v>61.862500000000004</v>
      </c>
      <c r="DB223" s="691">
        <f>SUM(CX223:DA223)</f>
        <v>209.48150000000001</v>
      </c>
      <c r="DC223" s="718">
        <f>DC217*DC220</f>
        <v>60.031750000000002</v>
      </c>
      <c r="DD223" s="718">
        <f>DD217*DD220</f>
        <v>70.62</v>
      </c>
      <c r="DE223" s="718">
        <f>DE217*DE220</f>
        <v>135</v>
      </c>
      <c r="DF223" s="718">
        <f>DF217*DF220</f>
        <v>80.625</v>
      </c>
      <c r="DG223" s="691">
        <f>SUM(DC223:DF223)</f>
        <v>346.27674999999999</v>
      </c>
      <c r="DH223" s="718">
        <f>DH217*DH220</f>
        <v>68.75</v>
      </c>
      <c r="DI223" s="718">
        <f>DI217*DI220</f>
        <v>94.164999999999992</v>
      </c>
      <c r="DJ223" s="718">
        <f>DJ217*DJ220</f>
        <v>113.85000000000001</v>
      </c>
      <c r="DK223" s="718">
        <f>DK217*DK220</f>
        <v>153.55000000000001</v>
      </c>
      <c r="DL223" s="691">
        <f>SUM(DH223:DK223)</f>
        <v>430.315</v>
      </c>
      <c r="DM223" s="718">
        <f>DM217*DM220</f>
        <v>182</v>
      </c>
      <c r="DN223" s="718">
        <f>DN217*DN220</f>
        <v>203.29999999999998</v>
      </c>
      <c r="DO223" s="718">
        <f>DO217*DO220</f>
        <v>176.32</v>
      </c>
      <c r="DP223" s="718">
        <f>DP217*DP220</f>
        <v>176.8</v>
      </c>
      <c r="DQ223" s="691">
        <f>SUM(DM223:DP223)</f>
        <v>738.41999999999985</v>
      </c>
      <c r="DR223" s="718">
        <f>DR217*DR220</f>
        <v>192.4</v>
      </c>
      <c r="DS223" s="718">
        <f>DS217*DS220</f>
        <v>173.9</v>
      </c>
      <c r="DT223" s="718">
        <f>DT217*DT220</f>
        <v>188.005</v>
      </c>
      <c r="DU223" s="718">
        <f>DU217*DU220</f>
        <v>165</v>
      </c>
      <c r="DV223" s="691">
        <f>SUM(DR223:DU223)</f>
        <v>719.30500000000006</v>
      </c>
      <c r="DW223" s="718">
        <f>DW217*DW220</f>
        <v>180.4</v>
      </c>
      <c r="DX223" s="718">
        <f>DX217*DX220</f>
        <v>164</v>
      </c>
      <c r="DY223" s="718">
        <f>DY217*DY220</f>
        <v>115.37400000000001</v>
      </c>
      <c r="DZ223" s="718">
        <f>DZ217*DZ220</f>
        <v>107.1125</v>
      </c>
      <c r="EA223" s="691">
        <f>SUM(DW223:DZ223)</f>
        <v>566.88649999999996</v>
      </c>
      <c r="EB223" s="719">
        <f>EB217*EB220</f>
        <v>95.32350000000001</v>
      </c>
      <c r="EC223" s="718">
        <f>EC217*EC220</f>
        <v>99.391049999999979</v>
      </c>
      <c r="ED223" s="718">
        <f>ED217*ED220</f>
        <v>90.87620849999999</v>
      </c>
      <c r="EE223" s="718">
        <f>EE217*EE220</f>
        <v>88.516439549999987</v>
      </c>
      <c r="EF223" s="691">
        <f>SUM(EB223:EE223)</f>
        <v>374.10719804999997</v>
      </c>
      <c r="EG223" s="718">
        <f>EG217*EG220</f>
        <v>68.589948041999989</v>
      </c>
      <c r="EH223" s="718">
        <f>EH217*EH220</f>
        <v>88.275263130054</v>
      </c>
      <c r="EI223" s="718">
        <f>EI217*EI220</f>
        <v>88.225333682582246</v>
      </c>
      <c r="EJ223" s="718">
        <f>EJ217*EJ220</f>
        <v>77.514019245915193</v>
      </c>
      <c r="EK223" s="691">
        <f>SUM(EG223:EJ223)</f>
        <v>322.60456410055144</v>
      </c>
      <c r="EL223" s="718">
        <f>EL217*EL220</f>
        <v>70.151624636698727</v>
      </c>
      <c r="EM223" s="718">
        <f>EM217*EM220</f>
        <v>64.033286919804837</v>
      </c>
      <c r="EN223" s="718">
        <f>EN217*EN220</f>
        <v>76.902722036040117</v>
      </c>
      <c r="EO223" s="718">
        <f>EO217*EO220</f>
        <v>73.788161793580485</v>
      </c>
      <c r="EP223" s="691">
        <f>SUM(EL223:EO223)</f>
        <v>284.8757953861242</v>
      </c>
      <c r="EQ223" s="718">
        <f>EQ217*EQ220</f>
        <v>73.035522543285964</v>
      </c>
      <c r="ER223" s="718">
        <f>ER217*ER220</f>
        <v>78.966006973800773</v>
      </c>
      <c r="ES223" s="718">
        <f>ES217*ES220</f>
        <v>86.988953282338954</v>
      </c>
      <c r="ET223" s="718">
        <f>ET217*ET220</f>
        <v>89.616019671465594</v>
      </c>
      <c r="EU223" s="691">
        <f>SUM(EQ223:ET223)</f>
        <v>328.60650247089131</v>
      </c>
      <c r="EV223" s="668"/>
      <c r="EW223" s="668"/>
      <c r="EX223" s="668"/>
      <c r="EY223" s="668"/>
      <c r="EZ223" s="668"/>
      <c r="FA223" s="668"/>
      <c r="FB223" s="668"/>
      <c r="FC223" s="668"/>
      <c r="FD223" s="668"/>
      <c r="FE223" s="668"/>
      <c r="FF223" s="668"/>
      <c r="FG223" s="668"/>
      <c r="FH223" s="668"/>
      <c r="FI223" s="668"/>
      <c r="FJ223" s="668"/>
      <c r="FK223" s="668"/>
      <c r="FL223" s="668"/>
      <c r="FM223" s="668"/>
      <c r="FN223" s="668"/>
      <c r="FO223" s="668"/>
      <c r="FP223" s="668"/>
      <c r="FQ223" s="668"/>
      <c r="FR223" s="668"/>
      <c r="FS223" s="668"/>
      <c r="FT223" s="668"/>
      <c r="FU223" s="668"/>
      <c r="FV223" s="668"/>
      <c r="FW223" s="668"/>
      <c r="FX223" s="668"/>
      <c r="FY223" s="668"/>
      <c r="FZ223" s="668"/>
      <c r="GA223" s="668"/>
      <c r="GB223" s="668"/>
      <c r="GC223" s="668"/>
      <c r="GD223" s="668"/>
      <c r="GE223" s="668"/>
      <c r="GF223" s="668"/>
      <c r="GG223" s="668"/>
      <c r="GH223" s="668"/>
      <c r="GI223" s="668"/>
      <c r="GJ223" s="668"/>
      <c r="GK223" s="668"/>
      <c r="GL223" s="668"/>
      <c r="GM223" s="668"/>
      <c r="GN223" s="668"/>
      <c r="GO223" s="668"/>
      <c r="GP223" s="668"/>
      <c r="GQ223" s="668"/>
      <c r="GR223" s="668"/>
      <c r="GS223" s="668"/>
      <c r="GT223" s="668"/>
      <c r="GU223" s="668"/>
      <c r="GV223" s="668"/>
      <c r="GW223" s="668"/>
      <c r="GX223" s="668"/>
      <c r="GY223" s="668"/>
      <c r="GZ223" s="668"/>
      <c r="HA223" s="668"/>
      <c r="HB223" s="668"/>
      <c r="HC223" s="668"/>
      <c r="HD223" s="668"/>
      <c r="HE223" s="668"/>
      <c r="HF223" s="668"/>
      <c r="HG223" s="668"/>
      <c r="HH223" s="668"/>
      <c r="HI223" s="668"/>
      <c r="HJ223" s="668"/>
      <c r="HK223" s="668"/>
      <c r="HL223" s="668"/>
      <c r="HM223" s="668"/>
      <c r="HN223" s="668"/>
      <c r="HO223" s="542"/>
      <c r="HP223" s="563"/>
      <c r="HR223" s="563"/>
      <c r="HS223" s="563"/>
      <c r="HT223" s="563"/>
      <c r="HU223" s="563"/>
      <c r="HV223" s="563"/>
      <c r="HW223" s="563"/>
      <c r="HX223" s="563"/>
    </row>
    <row r="224" spans="1:236" s="509" customFormat="1" hidden="1" outlineLevel="1">
      <c r="A224" s="509" t="s">
        <v>488</v>
      </c>
      <c r="AO224" s="538"/>
      <c r="AT224" s="538"/>
      <c r="AY224" s="538"/>
      <c r="BD224" s="538"/>
      <c r="BI224" s="538"/>
      <c r="BN224" s="538"/>
      <c r="BS224" s="538"/>
      <c r="BX224" s="538"/>
      <c r="CC224" s="538"/>
      <c r="CH224" s="538"/>
      <c r="CM224" s="538"/>
      <c r="CX224" s="701" t="s">
        <v>199</v>
      </c>
      <c r="CY224" s="348">
        <f>(CY223/CX223)-1</f>
        <v>7.0449172576832364E-2</v>
      </c>
      <c r="CZ224" s="348">
        <f>(CZ223/CY223)-1</f>
        <v>0.17070503112905921</v>
      </c>
      <c r="DA224" s="348">
        <f>(DA223/CZ223)-1</f>
        <v>0.11143550125763579</v>
      </c>
      <c r="DB224" s="701" t="s">
        <v>199</v>
      </c>
      <c r="DC224" s="348">
        <f>(DC223/DA223)-1</f>
        <v>-2.9593857344918151E-2</v>
      </c>
      <c r="DD224" s="348">
        <f>(DD223/DC223)-1</f>
        <v>0.17637750023945675</v>
      </c>
      <c r="DE224" s="348">
        <f>(DE223/DD223)-1</f>
        <v>0.91163976210705178</v>
      </c>
      <c r="DF224" s="348">
        <f>(DF223/DE223)-1</f>
        <v>-0.40277777777777779</v>
      </c>
      <c r="DG224" s="701" t="s">
        <v>199</v>
      </c>
      <c r="DH224" s="348">
        <f>(DH223/DF223)-1</f>
        <v>-0.1472868217054264</v>
      </c>
      <c r="DI224" s="348">
        <f>(DI223/DH223)-1</f>
        <v>0.36967272727272715</v>
      </c>
      <c r="DJ224" s="348">
        <f>(DJ223/DI223)-1</f>
        <v>0.20904794775128788</v>
      </c>
      <c r="DK224" s="348">
        <f>(DK223/DJ223)-1</f>
        <v>0.34870443566095743</v>
      </c>
      <c r="DL224" s="701" t="s">
        <v>199</v>
      </c>
      <c r="DM224" s="348">
        <f>(DM223/DK223)-1</f>
        <v>0.185281667209378</v>
      </c>
      <c r="DN224" s="348">
        <f>(DN223/DM223)-1</f>
        <v>0.11703296703296684</v>
      </c>
      <c r="DO224" s="348">
        <f>(DO223/DN223)-1</f>
        <v>-0.1327102803738317</v>
      </c>
      <c r="DP224" s="348">
        <f>(DP223/DO223)-1</f>
        <v>2.7223230490018846E-3</v>
      </c>
      <c r="DQ224" s="701" t="s">
        <v>199</v>
      </c>
      <c r="DR224" s="348">
        <f>(DR223/DP223)-1</f>
        <v>8.8235294117646967E-2</v>
      </c>
      <c r="DS224" s="348">
        <f>(DS223/DR223)-1</f>
        <v>-9.6153846153846145E-2</v>
      </c>
      <c r="DT224" s="348">
        <f>(DT223/DS223)-1</f>
        <v>8.1109833237492657E-2</v>
      </c>
      <c r="DU224" s="348">
        <f>(DU223/DT223)-1</f>
        <v>-0.12236376692109252</v>
      </c>
      <c r="DV224" s="701" t="s">
        <v>199</v>
      </c>
      <c r="DW224" s="348">
        <f>(DW223/DU223)-1</f>
        <v>9.3333333333333268E-2</v>
      </c>
      <c r="DX224" s="348">
        <f>(DX223/DW223)-1</f>
        <v>-9.0909090909090939E-2</v>
      </c>
      <c r="DY224" s="348">
        <f>(DY223/DX223)-1</f>
        <v>-0.29649999999999999</v>
      </c>
      <c r="DZ224" s="348">
        <f>(DZ223/DY223)-1</f>
        <v>-7.1606254442075468E-2</v>
      </c>
      <c r="EA224" s="701" t="s">
        <v>199</v>
      </c>
      <c r="EB224" s="352">
        <f>(EB223/DZ223)-1</f>
        <v>-0.11006185085774289</v>
      </c>
      <c r="EC224" s="348">
        <f>(EC223/EB223)-1</f>
        <v>4.2671009771986679E-2</v>
      </c>
      <c r="ED224" s="348">
        <f>(ED223/EC223)-1</f>
        <v>-8.5670103092783445E-2</v>
      </c>
      <c r="EE224" s="348">
        <f>(EE223/ED223)-1</f>
        <v>-2.5966850828729293E-2</v>
      </c>
      <c r="EF224" s="701" t="s">
        <v>199</v>
      </c>
      <c r="EG224" s="348">
        <f>(EG223/EE223)-1</f>
        <v>-0.2251162790697675</v>
      </c>
      <c r="EH224" s="348">
        <f>(EH223/EG223)-1</f>
        <v>0.28700000000000014</v>
      </c>
      <c r="EI224" s="294">
        <f>(EI223/EH223)-1</f>
        <v>-5.6561085972850478E-4</v>
      </c>
      <c r="EJ224" s="348">
        <f>(EJ223/EI223)-1</f>
        <v>-0.12140860215053761</v>
      </c>
      <c r="EK224" s="701" t="s">
        <v>199</v>
      </c>
      <c r="EL224" s="348">
        <f>(EL223/EJ223)-1</f>
        <v>-9.498145859085283E-2</v>
      </c>
      <c r="EM224" s="348">
        <f>(EM223/EL223)-1</f>
        <v>-8.7215909090909038E-2</v>
      </c>
      <c r="EN224" s="348">
        <f>(EN223/EM223)-1</f>
        <v>0.2009803921568627</v>
      </c>
      <c r="EO224" s="348">
        <f>(EO223/EN223)-1</f>
        <v>-4.0500000000000091E-2</v>
      </c>
      <c r="EP224" s="701" t="s">
        <v>199</v>
      </c>
      <c r="EQ224" s="348">
        <f>(EQ223/EO223)-1</f>
        <v>-1.0199999999999987E-2</v>
      </c>
      <c r="ER224" s="348">
        <f>(ER223/EQ223)-1</f>
        <v>8.1199999999999939E-2</v>
      </c>
      <c r="ES224" s="348">
        <f>(ES223/ER223)-1</f>
        <v>0.10160000000000036</v>
      </c>
      <c r="ET224" s="348">
        <f>(ET223/ES223)-1</f>
        <v>3.0200000000000005E-2</v>
      </c>
      <c r="EU224" s="701" t="s">
        <v>199</v>
      </c>
      <c r="EV224" s="668"/>
      <c r="EW224" s="668"/>
      <c r="EX224" s="668"/>
      <c r="EY224" s="668"/>
      <c r="EZ224" s="668"/>
      <c r="FA224" s="668"/>
      <c r="FB224" s="668"/>
      <c r="FC224" s="668"/>
      <c r="FD224" s="668"/>
      <c r="FE224" s="668"/>
      <c r="FF224" s="668"/>
      <c r="FG224" s="668"/>
      <c r="FH224" s="668"/>
      <c r="FI224" s="668"/>
      <c r="FJ224" s="668"/>
      <c r="FK224" s="668"/>
      <c r="FL224" s="668"/>
      <c r="FM224" s="668"/>
      <c r="FN224" s="668"/>
      <c r="FO224" s="668"/>
      <c r="FP224" s="668"/>
      <c r="FQ224" s="668"/>
      <c r="FR224" s="668"/>
      <c r="FS224" s="668"/>
      <c r="FT224" s="668"/>
      <c r="FU224" s="668"/>
      <c r="FV224" s="668"/>
      <c r="FW224" s="668"/>
      <c r="FX224" s="668"/>
      <c r="FY224" s="668"/>
      <c r="FZ224" s="668"/>
      <c r="GA224" s="668"/>
      <c r="GB224" s="668"/>
      <c r="GC224" s="668"/>
      <c r="GD224" s="668"/>
      <c r="GE224" s="668"/>
      <c r="GF224" s="668"/>
      <c r="GG224" s="668"/>
      <c r="GH224" s="668"/>
      <c r="GI224" s="668"/>
      <c r="GJ224" s="668"/>
      <c r="GK224" s="668"/>
      <c r="GL224" s="668"/>
      <c r="GM224" s="668"/>
      <c r="GN224" s="668"/>
      <c r="GO224" s="668"/>
      <c r="GP224" s="668"/>
      <c r="GQ224" s="668"/>
      <c r="GR224" s="668"/>
      <c r="GS224" s="668"/>
      <c r="GT224" s="668"/>
      <c r="GU224" s="668"/>
      <c r="GV224" s="668"/>
      <c r="GW224" s="668"/>
      <c r="GX224" s="668"/>
      <c r="GY224" s="668"/>
      <c r="GZ224" s="668"/>
      <c r="HA224" s="668"/>
      <c r="HB224" s="668"/>
      <c r="HC224" s="668"/>
      <c r="HD224" s="668"/>
      <c r="HE224" s="668"/>
      <c r="HF224" s="668"/>
      <c r="HG224" s="668"/>
      <c r="HH224" s="668"/>
      <c r="HI224" s="668"/>
      <c r="HJ224" s="668"/>
      <c r="HK224" s="668"/>
      <c r="HL224" s="668"/>
      <c r="HM224" s="668"/>
      <c r="HN224" s="668"/>
      <c r="HO224" s="701"/>
      <c r="HP224" s="563"/>
      <c r="HR224" s="563"/>
      <c r="HS224" s="563"/>
      <c r="HT224" s="563"/>
      <c r="HU224" s="563"/>
      <c r="HV224" s="563"/>
      <c r="HW224" s="563"/>
      <c r="HX224" s="563"/>
    </row>
    <row r="225" spans="1:232" s="509" customFormat="1" hidden="1" outlineLevel="1">
      <c r="A225" s="509" t="s">
        <v>489</v>
      </c>
      <c r="AO225" s="538"/>
      <c r="AT225" s="538"/>
      <c r="AY225" s="538"/>
      <c r="BD225" s="538"/>
      <c r="BI225" s="538"/>
      <c r="BN225" s="538"/>
      <c r="BS225" s="538"/>
      <c r="BX225" s="538"/>
      <c r="CC225" s="538"/>
      <c r="CH225" s="538"/>
      <c r="CM225" s="538"/>
      <c r="CX225" s="701" t="s">
        <v>199</v>
      </c>
      <c r="CY225" s="701" t="s">
        <v>199</v>
      </c>
      <c r="CZ225" s="701" t="s">
        <v>199</v>
      </c>
      <c r="DA225" s="701" t="s">
        <v>199</v>
      </c>
      <c r="DB225" s="701" t="s">
        <v>199</v>
      </c>
      <c r="DC225" s="348">
        <f t="shared" ref="DC225:EU225" si="254">(DC223/CX223)-1</f>
        <v>0.35160981650343359</v>
      </c>
      <c r="DD225" s="348">
        <f t="shared" si="254"/>
        <v>0.48536092882382631</v>
      </c>
      <c r="DE225" s="348">
        <f t="shared" si="254"/>
        <v>1.4254401724757457</v>
      </c>
      <c r="DF225" s="348">
        <f t="shared" si="254"/>
        <v>0.30329359466558903</v>
      </c>
      <c r="DG225" s="321">
        <f t="shared" si="254"/>
        <v>0.65301828562426745</v>
      </c>
      <c r="DH225" s="348">
        <f t="shared" si="254"/>
        <v>0.14522731721130899</v>
      </c>
      <c r="DI225" s="348">
        <f t="shared" si="254"/>
        <v>0.33340413480600373</v>
      </c>
      <c r="DJ225" s="348">
        <f t="shared" si="254"/>
        <v>-0.15666666666666662</v>
      </c>
      <c r="DK225" s="348">
        <f t="shared" si="254"/>
        <v>0.90449612403100788</v>
      </c>
      <c r="DL225" s="321">
        <f t="shared" si="254"/>
        <v>0.24269099787958615</v>
      </c>
      <c r="DM225" s="348">
        <f t="shared" si="254"/>
        <v>1.6472727272727274</v>
      </c>
      <c r="DN225" s="348">
        <f t="shared" si="254"/>
        <v>1.1589762650666384</v>
      </c>
      <c r="DO225" s="348">
        <f t="shared" si="254"/>
        <v>0.54870443566095717</v>
      </c>
      <c r="DP225" s="348">
        <f t="shared" si="254"/>
        <v>0.15141647671768155</v>
      </c>
      <c r="DQ225" s="321">
        <f t="shared" si="254"/>
        <v>0.71599874510532957</v>
      </c>
      <c r="DR225" s="348">
        <f t="shared" si="254"/>
        <v>5.7142857142857162E-2</v>
      </c>
      <c r="DS225" s="348">
        <f t="shared" si="254"/>
        <v>-0.14461387112641411</v>
      </c>
      <c r="DT225" s="348">
        <f t="shared" si="254"/>
        <v>6.62715517241379E-2</v>
      </c>
      <c r="DU225" s="348">
        <f t="shared" si="254"/>
        <v>-6.6742081447963897E-2</v>
      </c>
      <c r="DV225" s="321">
        <f t="shared" si="254"/>
        <v>-2.5886351940629715E-2</v>
      </c>
      <c r="DW225" s="348">
        <f t="shared" si="254"/>
        <v>-6.2370062370062374E-2</v>
      </c>
      <c r="DX225" s="348">
        <f t="shared" si="254"/>
        <v>-5.6929269695227158E-2</v>
      </c>
      <c r="DY225" s="348">
        <f t="shared" si="254"/>
        <v>-0.38632483178638855</v>
      </c>
      <c r="DZ225" s="348">
        <f t="shared" si="254"/>
        <v>-0.35083333333333333</v>
      </c>
      <c r="EA225" s="321">
        <f t="shared" si="254"/>
        <v>-0.21189690048032483</v>
      </c>
      <c r="EB225" s="352">
        <f t="shared" si="254"/>
        <v>-0.47159922394678488</v>
      </c>
      <c r="EC225" s="348">
        <f t="shared" si="254"/>
        <v>-0.39395701219512214</v>
      </c>
      <c r="ED225" s="348">
        <f t="shared" si="254"/>
        <v>-0.21233372770294878</v>
      </c>
      <c r="EE225" s="348">
        <f t="shared" si="254"/>
        <v>-0.17361242105263164</v>
      </c>
      <c r="EF225" s="321">
        <f t="shared" si="254"/>
        <v>-0.34006684221621086</v>
      </c>
      <c r="EG225" s="348">
        <f t="shared" si="254"/>
        <v>-0.28045080130293176</v>
      </c>
      <c r="EH225" s="348">
        <f t="shared" si="254"/>
        <v>-0.1118389117525771</v>
      </c>
      <c r="EI225" s="294">
        <f t="shared" si="254"/>
        <v>-2.9170174033149143E-2</v>
      </c>
      <c r="EJ225" s="348">
        <f t="shared" si="254"/>
        <v>-0.1242980440697673</v>
      </c>
      <c r="EK225" s="321">
        <f t="shared" si="254"/>
        <v>-0.13766811817014313</v>
      </c>
      <c r="EL225" s="348">
        <f t="shared" si="254"/>
        <v>2.2768301176470773E-2</v>
      </c>
      <c r="EM225" s="348">
        <f t="shared" si="254"/>
        <v>-0.27461799999999992</v>
      </c>
      <c r="EN225" s="348">
        <f t="shared" si="254"/>
        <v>-0.12833741935483867</v>
      </c>
      <c r="EO225" s="348">
        <f t="shared" si="254"/>
        <v>-4.8066885043263397E-2</v>
      </c>
      <c r="EP225" s="321">
        <f t="shared" si="254"/>
        <v>-0.11695051128497891</v>
      </c>
      <c r="EQ225" s="348">
        <f t="shared" si="254"/>
        <v>4.1109495632102089E-2</v>
      </c>
      <c r="ER225" s="348">
        <f t="shared" si="254"/>
        <v>0.23320246034999959</v>
      </c>
      <c r="ES225" s="348">
        <f t="shared" si="254"/>
        <v>0.13115571177795204</v>
      </c>
      <c r="ET225" s="348">
        <f t="shared" si="254"/>
        <v>0.21450402738264329</v>
      </c>
      <c r="EU225" s="321">
        <f t="shared" si="254"/>
        <v>0.15350797713611986</v>
      </c>
      <c r="EV225" s="668"/>
      <c r="EW225" s="668"/>
      <c r="EX225" s="668"/>
      <c r="EY225" s="668"/>
      <c r="EZ225" s="668"/>
      <c r="FA225" s="668"/>
      <c r="FB225" s="668"/>
      <c r="FC225" s="668"/>
      <c r="FD225" s="668"/>
      <c r="FE225" s="668"/>
      <c r="FF225" s="668"/>
      <c r="FG225" s="668"/>
      <c r="FH225" s="668"/>
      <c r="FI225" s="668"/>
      <c r="FJ225" s="668"/>
      <c r="FK225" s="668"/>
      <c r="FL225" s="668"/>
      <c r="FM225" s="668"/>
      <c r="FN225" s="668"/>
      <c r="FO225" s="668"/>
      <c r="FP225" s="668"/>
      <c r="FQ225" s="668"/>
      <c r="FR225" s="668"/>
      <c r="FS225" s="668"/>
      <c r="FT225" s="668"/>
      <c r="FU225" s="668"/>
      <c r="FV225" s="668"/>
      <c r="FW225" s="668"/>
      <c r="FX225" s="668"/>
      <c r="FY225" s="668"/>
      <c r="FZ225" s="668"/>
      <c r="GA225" s="668"/>
      <c r="GB225" s="668"/>
      <c r="GC225" s="668"/>
      <c r="GD225" s="668"/>
      <c r="GE225" s="668"/>
      <c r="GF225" s="668"/>
      <c r="GG225" s="668"/>
      <c r="GH225" s="668"/>
      <c r="GI225" s="668"/>
      <c r="GJ225" s="668"/>
      <c r="GK225" s="668"/>
      <c r="GL225" s="668"/>
      <c r="GM225" s="668"/>
      <c r="GN225" s="668"/>
      <c r="GO225" s="668"/>
      <c r="GP225" s="668"/>
      <c r="GQ225" s="668"/>
      <c r="GR225" s="668"/>
      <c r="GS225" s="668"/>
      <c r="GT225" s="668"/>
      <c r="GU225" s="668"/>
      <c r="GV225" s="668"/>
      <c r="GW225" s="668"/>
      <c r="GX225" s="668"/>
      <c r="GY225" s="668"/>
      <c r="GZ225" s="668"/>
      <c r="HA225" s="668"/>
      <c r="HB225" s="668"/>
      <c r="HC225" s="668"/>
      <c r="HD225" s="668"/>
      <c r="HE225" s="668"/>
      <c r="HF225" s="668"/>
      <c r="HG225" s="668"/>
      <c r="HH225" s="668"/>
      <c r="HI225" s="668"/>
      <c r="HJ225" s="668"/>
      <c r="HK225" s="668"/>
      <c r="HL225" s="668"/>
      <c r="HM225" s="668"/>
      <c r="HN225" s="668"/>
      <c r="HO225" s="344"/>
      <c r="HP225" s="563"/>
      <c r="HR225" s="563"/>
      <c r="HS225" s="563"/>
      <c r="HT225" s="563"/>
      <c r="HU225" s="563"/>
      <c r="HV225" s="563"/>
      <c r="HW225" s="563"/>
      <c r="HX225" s="563"/>
    </row>
    <row r="226" spans="1:232" s="509" customFormat="1" ht="6" hidden="1" customHeight="1" outlineLevel="1">
      <c r="AO226" s="538"/>
      <c r="AT226" s="538"/>
      <c r="AY226" s="538"/>
      <c r="BD226" s="538"/>
      <c r="BI226" s="538"/>
      <c r="BN226" s="538"/>
      <c r="BS226" s="538"/>
      <c r="BX226" s="538"/>
      <c r="CC226" s="538"/>
      <c r="CH226" s="538"/>
      <c r="CM226" s="538"/>
      <c r="CX226" s="722"/>
      <c r="EB226" s="720"/>
      <c r="EV226" s="668"/>
      <c r="EW226" s="668"/>
      <c r="EX226" s="668"/>
      <c r="EY226" s="668"/>
      <c r="EZ226" s="668"/>
      <c r="FA226" s="668"/>
      <c r="FB226" s="668"/>
      <c r="FC226" s="668"/>
      <c r="FD226" s="668"/>
      <c r="FE226" s="668"/>
      <c r="FF226" s="668"/>
      <c r="FG226" s="668"/>
      <c r="FH226" s="668"/>
      <c r="FI226" s="668"/>
      <c r="FJ226" s="668"/>
      <c r="FK226" s="668"/>
      <c r="FL226" s="668"/>
      <c r="FM226" s="668"/>
      <c r="FN226" s="668"/>
      <c r="FO226" s="668"/>
      <c r="FP226" s="668"/>
      <c r="FQ226" s="668"/>
      <c r="FR226" s="668"/>
      <c r="FS226" s="668"/>
      <c r="FT226" s="668"/>
      <c r="FU226" s="668"/>
      <c r="FV226" s="668"/>
      <c r="FW226" s="668"/>
      <c r="FX226" s="668"/>
      <c r="FY226" s="668"/>
      <c r="FZ226" s="668"/>
      <c r="GA226" s="668"/>
      <c r="GB226" s="668"/>
      <c r="GC226" s="668"/>
      <c r="GD226" s="668"/>
      <c r="GE226" s="668"/>
      <c r="GF226" s="668"/>
      <c r="GG226" s="668"/>
      <c r="GH226" s="668"/>
      <c r="GI226" s="668"/>
      <c r="GJ226" s="668"/>
      <c r="GK226" s="668"/>
      <c r="GL226" s="668"/>
      <c r="GM226" s="668"/>
      <c r="GN226" s="668"/>
      <c r="GO226" s="668"/>
      <c r="GP226" s="668"/>
      <c r="GQ226" s="668"/>
      <c r="GR226" s="668"/>
      <c r="GS226" s="668"/>
      <c r="GT226" s="668"/>
      <c r="GU226" s="668"/>
      <c r="GV226" s="668"/>
      <c r="GW226" s="668"/>
      <c r="GX226" s="668"/>
      <c r="GY226" s="668"/>
      <c r="GZ226" s="668"/>
      <c r="HA226" s="668"/>
      <c r="HB226" s="668"/>
      <c r="HC226" s="668"/>
      <c r="HD226" s="668"/>
      <c r="HE226" s="668"/>
      <c r="HF226" s="668"/>
      <c r="HG226" s="668"/>
      <c r="HH226" s="668"/>
      <c r="HI226" s="668"/>
      <c r="HJ226" s="668"/>
      <c r="HK226" s="668"/>
      <c r="HL226" s="668"/>
      <c r="HM226" s="668"/>
      <c r="HN226" s="668"/>
      <c r="HP226" s="563"/>
      <c r="HR226" s="563"/>
      <c r="HS226" s="563"/>
      <c r="HT226" s="563"/>
      <c r="HU226" s="563"/>
      <c r="HV226" s="563"/>
      <c r="HW226" s="563"/>
      <c r="HX226" s="563"/>
    </row>
    <row r="227" spans="1:232" s="509" customFormat="1" ht="11.25" hidden="1" customHeight="1" outlineLevel="1">
      <c r="A227" s="517" t="s">
        <v>501</v>
      </c>
      <c r="AO227" s="538"/>
      <c r="AT227" s="538"/>
      <c r="AY227" s="538"/>
      <c r="BD227" s="538"/>
      <c r="BI227" s="538"/>
      <c r="BN227" s="538"/>
      <c r="BS227" s="538"/>
      <c r="BX227" s="538"/>
      <c r="CC227" s="538"/>
      <c r="CH227" s="538"/>
      <c r="CM227" s="538"/>
      <c r="CV227" s="539">
        <f>SUM(CV207, CV217)</f>
        <v>12.4</v>
      </c>
      <c r="CX227" s="539">
        <f>SUM(CX207, CX217)</f>
        <v>10.35</v>
      </c>
      <c r="CY227" s="539">
        <f>SUM(CY207, CY217)</f>
        <v>9.5500000000000007</v>
      </c>
      <c r="CZ227" s="539">
        <f>SUM(CZ207, CZ217)</f>
        <v>11.649999999999999</v>
      </c>
      <c r="DA227" s="539">
        <f>SUM(DA207, DA217)</f>
        <v>11.75</v>
      </c>
      <c r="DB227" s="542">
        <f>SUM(CX227:DA227)</f>
        <v>43.3</v>
      </c>
      <c r="DC227" s="539">
        <f>SUM(DC207, DC217)</f>
        <v>11.225</v>
      </c>
      <c r="DD227" s="539">
        <f>SUM(DD207, DD217)</f>
        <v>10.3</v>
      </c>
      <c r="DE227" s="539">
        <f>SUM(DE207, DE217)</f>
        <v>14.484999999999999</v>
      </c>
      <c r="DF227" s="539">
        <f>SUM(DF207, DF217)</f>
        <v>8.7750000000000004</v>
      </c>
      <c r="DG227" s="542">
        <f>SUM(DC227:DF227)</f>
        <v>44.784999999999997</v>
      </c>
      <c r="DH227" s="539">
        <f>SUM(DH207, DH217)</f>
        <v>7.8049999999999997</v>
      </c>
      <c r="DI227" s="539">
        <f>SUM(DI207, DI217)</f>
        <v>11.04</v>
      </c>
      <c r="DJ227" s="539">
        <f>SUM(DJ207, DJ217)</f>
        <v>14.04</v>
      </c>
      <c r="DK227" s="539">
        <f>SUM(DK207, DK217)</f>
        <v>15.815000000000001</v>
      </c>
      <c r="DL227" s="542">
        <f>SUM(DH227:DK227)</f>
        <v>48.7</v>
      </c>
      <c r="DM227" s="539">
        <f>SUM(DM207, DM217)</f>
        <v>15.95</v>
      </c>
      <c r="DN227" s="539">
        <f>SUM(DN207, DN217)</f>
        <v>17.600000000000001</v>
      </c>
      <c r="DO227" s="539">
        <f>SUM(DO207, DO217)</f>
        <v>16.95</v>
      </c>
      <c r="DP227" s="539">
        <f>SUM(DP207, DP217)</f>
        <v>16.145</v>
      </c>
      <c r="DQ227" s="542">
        <f>SUM(DM227:DP227)</f>
        <v>66.644999999999996</v>
      </c>
      <c r="DR227" s="539">
        <f>SUM(DR207, DR217)</f>
        <v>18.09</v>
      </c>
      <c r="DS227" s="539">
        <f>SUM(DS207, DS217)</f>
        <v>15.95</v>
      </c>
      <c r="DT227" s="539">
        <f>SUM(DT207, DT217)</f>
        <v>16.79</v>
      </c>
      <c r="DU227" s="539">
        <f>SUM(DU207, DU217)</f>
        <v>14.11</v>
      </c>
      <c r="DV227" s="542">
        <f>SUM(DR227:DU227)</f>
        <v>64.94</v>
      </c>
      <c r="DW227" s="539">
        <f>SUM(DW207, DW217)</f>
        <v>14.785</v>
      </c>
      <c r="DX227" s="539">
        <f>SUM(DX207, DX217)</f>
        <v>14</v>
      </c>
      <c r="DY227" s="539">
        <f>SUM(DY207, DY217)</f>
        <v>11.98</v>
      </c>
      <c r="DZ227" s="539">
        <f>SUM(DZ207, DZ217)</f>
        <v>10.215</v>
      </c>
      <c r="EA227" s="542">
        <f>SUM(DW227:DZ227)</f>
        <v>50.980000000000004</v>
      </c>
      <c r="EB227" s="713">
        <f>SUM(EB207, EB217)</f>
        <v>9.870000000000001</v>
      </c>
      <c r="EC227" s="539">
        <f>SUM(EC207, EC217)</f>
        <v>10.119999999999999</v>
      </c>
      <c r="ED227" s="539">
        <f>SUM(ED207, ED217)</f>
        <v>9.8800000000000008</v>
      </c>
      <c r="EE227" s="539">
        <f>SUM(EE207, EE217)</f>
        <v>9.7050000000000001</v>
      </c>
      <c r="EF227" s="542">
        <f>SUM(EB227:EE227)</f>
        <v>39.575000000000003</v>
      </c>
      <c r="EG227" s="539">
        <f>SUM(EG207, EG217)</f>
        <v>8.375</v>
      </c>
      <c r="EH227" s="539">
        <f>SUM(EH207, EH217)</f>
        <v>8.745000000000001</v>
      </c>
      <c r="EI227" s="539">
        <f>SUM(EI207, EI217)</f>
        <v>8.11</v>
      </c>
      <c r="EJ227" s="539">
        <f>SUM(EJ207, EJ217)</f>
        <v>7.0549999999999997</v>
      </c>
      <c r="EK227" s="542">
        <f>SUM(EG227:EJ227)</f>
        <v>32.284999999999997</v>
      </c>
      <c r="EL227" s="539">
        <f>SUM(EL207, EL217)</f>
        <v>6.08</v>
      </c>
      <c r="EM227" s="539">
        <f>SUM(EM207, EM217)</f>
        <v>4.7699999999999996</v>
      </c>
      <c r="EN227" s="539">
        <f>SUM(EN207, EN217)</f>
        <v>5.9550000000000001</v>
      </c>
      <c r="EO227" s="539">
        <f>SUM(EO207, EO217)</f>
        <v>6.0145499999999998</v>
      </c>
      <c r="EP227" s="542">
        <f>SUM(EL227:EO227)</f>
        <v>22.81955</v>
      </c>
      <c r="EQ227" s="539">
        <f>SUM(EQ207, EQ217)</f>
        <v>5.8942589999999999</v>
      </c>
      <c r="ER227" s="539">
        <f>SUM(ER207, ER217)</f>
        <v>6.2253470999999996</v>
      </c>
      <c r="ES227" s="539">
        <f>SUM(ES207, ES217)</f>
        <v>6.7233748680000005</v>
      </c>
      <c r="ET227" s="539">
        <f>SUM(ET207, ET217)</f>
        <v>6.8834338423200006</v>
      </c>
      <c r="EU227" s="542">
        <f>SUM(EQ227:ET227)</f>
        <v>25.726414810320001</v>
      </c>
      <c r="EV227" s="668"/>
      <c r="EW227" s="668"/>
      <c r="EX227" s="668"/>
      <c r="EY227" s="668"/>
      <c r="EZ227" s="668"/>
      <c r="FA227" s="668"/>
      <c r="FB227" s="668"/>
      <c r="FC227" s="668"/>
      <c r="FD227" s="668"/>
      <c r="FE227" s="668"/>
      <c r="FF227" s="668"/>
      <c r="FG227" s="668"/>
      <c r="FH227" s="668"/>
      <c r="FI227" s="668"/>
      <c r="FJ227" s="668"/>
      <c r="FK227" s="668"/>
      <c r="FL227" s="668"/>
      <c r="FM227" s="668"/>
      <c r="FN227" s="668"/>
      <c r="FO227" s="668"/>
      <c r="FP227" s="668"/>
      <c r="FQ227" s="668"/>
      <c r="FR227" s="668"/>
      <c r="FS227" s="668"/>
      <c r="FT227" s="668"/>
      <c r="FU227" s="668"/>
      <c r="FV227" s="668"/>
      <c r="FW227" s="668"/>
      <c r="FX227" s="668"/>
      <c r="FY227" s="668"/>
      <c r="FZ227" s="668"/>
      <c r="GA227" s="668"/>
      <c r="GB227" s="668"/>
      <c r="GC227" s="668"/>
      <c r="GD227" s="668"/>
      <c r="GE227" s="668"/>
      <c r="GF227" s="668"/>
      <c r="GG227" s="668"/>
      <c r="GH227" s="668"/>
      <c r="GI227" s="668"/>
      <c r="GJ227" s="668"/>
      <c r="GK227" s="668"/>
      <c r="GL227" s="668"/>
      <c r="GM227" s="668"/>
      <c r="GN227" s="668"/>
      <c r="GO227" s="668"/>
      <c r="GP227" s="668"/>
      <c r="GQ227" s="668"/>
      <c r="GR227" s="668"/>
      <c r="GS227" s="668"/>
      <c r="GT227" s="668"/>
      <c r="GU227" s="668"/>
      <c r="GV227" s="668"/>
      <c r="GW227" s="668"/>
      <c r="GX227" s="668"/>
      <c r="GY227" s="668"/>
      <c r="GZ227" s="668"/>
      <c r="HA227" s="668"/>
      <c r="HB227" s="668"/>
      <c r="HC227" s="668"/>
      <c r="HD227" s="668"/>
      <c r="HE227" s="668"/>
      <c r="HF227" s="668"/>
      <c r="HG227" s="668"/>
      <c r="HH227" s="668"/>
      <c r="HI227" s="668"/>
      <c r="HJ227" s="668"/>
      <c r="HK227" s="668"/>
      <c r="HL227" s="668"/>
      <c r="HM227" s="668"/>
      <c r="HN227" s="668"/>
      <c r="HO227" s="542"/>
      <c r="HP227" s="563"/>
      <c r="HR227" s="563"/>
      <c r="HS227" s="563"/>
      <c r="HT227" s="563"/>
      <c r="HU227" s="563"/>
      <c r="HV227" s="563"/>
      <c r="HW227" s="563"/>
      <c r="HX227" s="563"/>
    </row>
    <row r="228" spans="1:232" s="509" customFormat="1" ht="11.25" hidden="1" customHeight="1" outlineLevel="1">
      <c r="A228" s="509" t="s">
        <v>488</v>
      </c>
      <c r="AO228" s="538"/>
      <c r="AT228" s="538"/>
      <c r="AY228" s="538"/>
      <c r="BD228" s="538"/>
      <c r="BI228" s="538"/>
      <c r="BN228" s="538"/>
      <c r="BS228" s="538"/>
      <c r="BX228" s="538"/>
      <c r="CC228" s="538"/>
      <c r="CH228" s="538"/>
      <c r="CM228" s="538"/>
      <c r="CX228" s="348">
        <f>(CX227/CV227)-1</f>
        <v>-0.16532258064516137</v>
      </c>
      <c r="CY228" s="348">
        <f>(CY227/CX227)-1</f>
        <v>-7.7294685990338063E-2</v>
      </c>
      <c r="CZ228" s="348">
        <f>(CZ227/CY227)-1</f>
        <v>0.21989528795811486</v>
      </c>
      <c r="DA228" s="348">
        <f>(DA227/CZ227)-1</f>
        <v>8.583690987124637E-3</v>
      </c>
      <c r="DC228" s="348">
        <f>(DC227/DA227)-1</f>
        <v>-4.4680851063829796E-2</v>
      </c>
      <c r="DD228" s="348">
        <f>(DD227/DC227)-1</f>
        <v>-8.240534521158116E-2</v>
      </c>
      <c r="DE228" s="348">
        <f>(DE227/DD227)-1</f>
        <v>0.40631067961165024</v>
      </c>
      <c r="DF228" s="348">
        <f>(DF227/DE227)-1</f>
        <v>-0.39420089748015186</v>
      </c>
      <c r="DH228" s="348">
        <f>(DH227/DF227)-1</f>
        <v>-0.11054131054131056</v>
      </c>
      <c r="DI228" s="348">
        <f>(DI227/DH227)-1</f>
        <v>0.41447789878283148</v>
      </c>
      <c r="DJ228" s="348">
        <f>(DJ227/DI227)-1</f>
        <v>0.27173913043478271</v>
      </c>
      <c r="DK228" s="348">
        <f>(DK227/DJ227)-1</f>
        <v>0.12642450142450157</v>
      </c>
      <c r="DM228" s="348">
        <f>(DM227/DK227)-1</f>
        <v>8.5361998103066217E-3</v>
      </c>
      <c r="DN228" s="348">
        <f>(DN227/DM227)-1</f>
        <v>0.10344827586206917</v>
      </c>
      <c r="DO228" s="348">
        <f>(DO227/DN227)-1</f>
        <v>-3.6931818181818343E-2</v>
      </c>
      <c r="DP228" s="348">
        <f>(DP227/DO227)-1</f>
        <v>-4.7492625368731556E-2</v>
      </c>
      <c r="DQ228" s="723" t="s">
        <v>199</v>
      </c>
      <c r="DR228" s="348">
        <f>(DR227/DP227)-1</f>
        <v>0.12047073397336638</v>
      </c>
      <c r="DS228" s="348">
        <f>(DS227/DR227)-1</f>
        <v>-0.11829740187949145</v>
      </c>
      <c r="DT228" s="348">
        <f>(DT227/DS227)-1</f>
        <v>5.2664576802507801E-2</v>
      </c>
      <c r="DU228" s="348">
        <f>(DU227/DT227)-1</f>
        <v>-0.15961882072662303</v>
      </c>
      <c r="DW228" s="348">
        <f>(DW227/DU227)-1</f>
        <v>4.7838412473423242E-2</v>
      </c>
      <c r="DX228" s="348">
        <f>(DX227/DW227)-1</f>
        <v>-5.3094352384173149E-2</v>
      </c>
      <c r="DY228" s="348">
        <f>(DY227/DX227)-1</f>
        <v>-0.14428571428571424</v>
      </c>
      <c r="DZ228" s="348">
        <f>(DZ227/DY227)-1</f>
        <v>-0.14732888146911527</v>
      </c>
      <c r="EB228" s="352">
        <f>(EB227/DZ227)-1</f>
        <v>-3.3773861967694496E-2</v>
      </c>
      <c r="EC228" s="348">
        <f>(EC227/EB227)-1</f>
        <v>2.532928064842932E-2</v>
      </c>
      <c r="ED228" s="348">
        <f>(ED227/EC227)-1</f>
        <v>-2.3715415019762709E-2</v>
      </c>
      <c r="EE228" s="348">
        <f>(EE227/ED227)-1</f>
        <v>-1.7712550607287492E-2</v>
      </c>
      <c r="EG228" s="348">
        <f>(EG227/EE227)-1</f>
        <v>-0.1370427614631633</v>
      </c>
      <c r="EH228" s="348">
        <f>(EH227/EG227)-1</f>
        <v>4.4179104477612086E-2</v>
      </c>
      <c r="EI228" s="294">
        <f>(EI227/EH227)-1</f>
        <v>-7.2612921669525599E-2</v>
      </c>
      <c r="EJ228" s="348">
        <f>(EJ227/EI227)-1</f>
        <v>-0.1300863131935881</v>
      </c>
      <c r="EL228" s="348">
        <f>(EL227/EJ227)-1</f>
        <v>-0.13819985825655556</v>
      </c>
      <c r="EM228" s="348">
        <f>(EM227/EL227)-1</f>
        <v>-0.2154605263157896</v>
      </c>
      <c r="EN228" s="348">
        <f>(EN227/EM227)-1</f>
        <v>0.2484276729559749</v>
      </c>
      <c r="EO228" s="348">
        <f>(EO227/EN227)-1</f>
        <v>1.0000000000000009E-2</v>
      </c>
      <c r="EQ228" s="348">
        <f>(EQ227/EO227)-1</f>
        <v>-2.0000000000000018E-2</v>
      </c>
      <c r="ER228" s="348">
        <f>(ER227/EQ227)-1</f>
        <v>5.6171284634760621E-2</v>
      </c>
      <c r="ES228" s="348">
        <f>(ES227/ER227)-1</f>
        <v>8.0000000000000071E-2</v>
      </c>
      <c r="ET228" s="348">
        <f>(ET227/ES227)-1</f>
        <v>2.3806343906510818E-2</v>
      </c>
      <c r="EV228" s="668"/>
      <c r="EW228" s="668"/>
      <c r="EX228" s="668"/>
      <c r="EY228" s="668"/>
      <c r="EZ228" s="668"/>
      <c r="FA228" s="668"/>
      <c r="FB228" s="668"/>
      <c r="FC228" s="668"/>
      <c r="FD228" s="668"/>
      <c r="FE228" s="668"/>
      <c r="FF228" s="668"/>
      <c r="FG228" s="668"/>
      <c r="FH228" s="668"/>
      <c r="FI228" s="668"/>
      <c r="FJ228" s="668"/>
      <c r="FK228" s="668"/>
      <c r="FL228" s="668"/>
      <c r="FM228" s="668"/>
      <c r="FN228" s="668"/>
      <c r="FO228" s="668"/>
      <c r="FP228" s="668"/>
      <c r="FQ228" s="668"/>
      <c r="FR228" s="668"/>
      <c r="FS228" s="668"/>
      <c r="FT228" s="668"/>
      <c r="FU228" s="668"/>
      <c r="FV228" s="668"/>
      <c r="FW228" s="668"/>
      <c r="FX228" s="668"/>
      <c r="FY228" s="668"/>
      <c r="FZ228" s="668"/>
      <c r="GA228" s="668"/>
      <c r="GB228" s="668"/>
      <c r="GC228" s="668"/>
      <c r="GD228" s="668"/>
      <c r="GE228" s="668"/>
      <c r="GF228" s="668"/>
      <c r="GG228" s="668"/>
      <c r="GH228" s="668"/>
      <c r="GI228" s="668"/>
      <c r="GJ228" s="668"/>
      <c r="GK228" s="668"/>
      <c r="GL228" s="668"/>
      <c r="GM228" s="668"/>
      <c r="GN228" s="668"/>
      <c r="GO228" s="668"/>
      <c r="GP228" s="668"/>
      <c r="GQ228" s="668"/>
      <c r="GR228" s="668"/>
      <c r="GS228" s="668"/>
      <c r="GT228" s="668"/>
      <c r="GU228" s="668"/>
      <c r="GV228" s="668"/>
      <c r="GW228" s="668"/>
      <c r="GX228" s="668"/>
      <c r="GY228" s="668"/>
      <c r="GZ228" s="668"/>
      <c r="HA228" s="668"/>
      <c r="HB228" s="668"/>
      <c r="HC228" s="668"/>
      <c r="HD228" s="668"/>
      <c r="HE228" s="668"/>
      <c r="HF228" s="668"/>
      <c r="HG228" s="668"/>
      <c r="HH228" s="668"/>
      <c r="HI228" s="668"/>
      <c r="HJ228" s="668"/>
      <c r="HK228" s="668"/>
      <c r="HL228" s="668"/>
      <c r="HM228" s="668"/>
      <c r="HN228" s="668"/>
      <c r="HP228" s="563"/>
      <c r="HR228" s="563"/>
      <c r="HS228" s="563"/>
      <c r="HT228" s="563"/>
      <c r="HU228" s="563"/>
      <c r="HV228" s="563"/>
      <c r="HW228" s="563"/>
      <c r="HX228" s="563"/>
    </row>
    <row r="229" spans="1:232" s="509" customFormat="1" ht="11.25" hidden="1" customHeight="1" outlineLevel="1">
      <c r="A229" s="509" t="s">
        <v>489</v>
      </c>
      <c r="AO229" s="538"/>
      <c r="AT229" s="538"/>
      <c r="AY229" s="538"/>
      <c r="BD229" s="538"/>
      <c r="BI229" s="538"/>
      <c r="BN229" s="538"/>
      <c r="BS229" s="538"/>
      <c r="BX229" s="538"/>
      <c r="CC229" s="538"/>
      <c r="CH229" s="538"/>
      <c r="CM229" s="538"/>
      <c r="CX229" s="348"/>
      <c r="CY229" s="348"/>
      <c r="CZ229" s="348"/>
      <c r="DA229" s="348"/>
      <c r="DB229" s="321"/>
      <c r="DC229" s="348">
        <f t="shared" ref="DC229:EU229" si="255">(DC227/CX227)-1</f>
        <v>8.4541062801932298E-2</v>
      </c>
      <c r="DD229" s="348">
        <f t="shared" si="255"/>
        <v>7.8534031413612482E-2</v>
      </c>
      <c r="DE229" s="348">
        <f t="shared" si="255"/>
        <v>0.24334763948497873</v>
      </c>
      <c r="DF229" s="348">
        <f t="shared" si="255"/>
        <v>-0.2531914893617021</v>
      </c>
      <c r="DG229" s="321">
        <f t="shared" si="255"/>
        <v>3.4295612009237919E-2</v>
      </c>
      <c r="DH229" s="348">
        <f t="shared" si="255"/>
        <v>-0.30467706013363027</v>
      </c>
      <c r="DI229" s="348">
        <f t="shared" si="255"/>
        <v>7.1844660194174681E-2</v>
      </c>
      <c r="DJ229" s="348">
        <f t="shared" si="255"/>
        <v>-3.072143596824306E-2</v>
      </c>
      <c r="DK229" s="348">
        <f t="shared" si="255"/>
        <v>0.80227920227920224</v>
      </c>
      <c r="DL229" s="321">
        <f t="shared" si="255"/>
        <v>8.7417662163671084E-2</v>
      </c>
      <c r="DM229" s="348">
        <f t="shared" si="255"/>
        <v>1.0435618193465728</v>
      </c>
      <c r="DN229" s="348">
        <f t="shared" si="255"/>
        <v>0.59420289855072483</v>
      </c>
      <c r="DO229" s="348">
        <f t="shared" si="255"/>
        <v>0.20726495726495719</v>
      </c>
      <c r="DP229" s="348">
        <f t="shared" si="255"/>
        <v>2.0866266202971717E-2</v>
      </c>
      <c r="DQ229" s="321">
        <f t="shared" si="255"/>
        <v>0.36848049281314155</v>
      </c>
      <c r="DR229" s="348">
        <f t="shared" si="255"/>
        <v>0.13416927899686515</v>
      </c>
      <c r="DS229" s="348">
        <f t="shared" si="255"/>
        <v>-9.3750000000000111E-2</v>
      </c>
      <c r="DT229" s="348">
        <f t="shared" si="255"/>
        <v>-9.4395280235988199E-3</v>
      </c>
      <c r="DU229" s="348">
        <f t="shared" si="255"/>
        <v>-0.12604521523691548</v>
      </c>
      <c r="DV229" s="321">
        <f t="shared" si="255"/>
        <v>-2.5583314577237615E-2</v>
      </c>
      <c r="DW229" s="348">
        <f t="shared" si="255"/>
        <v>-0.18269762299613046</v>
      </c>
      <c r="DX229" s="348">
        <f t="shared" si="255"/>
        <v>-0.12225705329153602</v>
      </c>
      <c r="DY229" s="348">
        <f t="shared" si="255"/>
        <v>-0.28648004764740909</v>
      </c>
      <c r="DZ229" s="348">
        <f t="shared" si="255"/>
        <v>-0.27604535790219697</v>
      </c>
      <c r="EA229" s="321">
        <f t="shared" si="255"/>
        <v>-0.21496766245765309</v>
      </c>
      <c r="EB229" s="352">
        <f t="shared" si="255"/>
        <v>-0.33243151843084195</v>
      </c>
      <c r="EC229" s="348">
        <f t="shared" si="255"/>
        <v>-0.27714285714285725</v>
      </c>
      <c r="ED229" s="348">
        <f t="shared" si="255"/>
        <v>-0.17529215358931549</v>
      </c>
      <c r="EE229" s="348">
        <f t="shared" si="255"/>
        <v>-4.9926578560939738E-2</v>
      </c>
      <c r="EF229" s="321">
        <f t="shared" si="255"/>
        <v>-0.22371518242448019</v>
      </c>
      <c r="EG229" s="348">
        <f t="shared" si="255"/>
        <v>-0.15146909827760902</v>
      </c>
      <c r="EH229" s="348">
        <f t="shared" si="255"/>
        <v>-0.13586956521739113</v>
      </c>
      <c r="EI229" s="294">
        <f t="shared" si="255"/>
        <v>-0.17914979757085037</v>
      </c>
      <c r="EJ229" s="348">
        <f t="shared" si="255"/>
        <v>-0.27305512622359607</v>
      </c>
      <c r="EK229" s="321">
        <f t="shared" si="255"/>
        <v>-0.18420720151610881</v>
      </c>
      <c r="EL229" s="348">
        <f t="shared" si="255"/>
        <v>-0.27402985074626862</v>
      </c>
      <c r="EM229" s="348">
        <f t="shared" si="255"/>
        <v>-0.4545454545454547</v>
      </c>
      <c r="EN229" s="348">
        <f t="shared" si="255"/>
        <v>-0.26572133168927248</v>
      </c>
      <c r="EO229" s="348">
        <f t="shared" si="255"/>
        <v>-0.14747696669029053</v>
      </c>
      <c r="EP229" s="321">
        <f t="shared" si="255"/>
        <v>-0.29318414124206282</v>
      </c>
      <c r="EQ229" s="348">
        <f t="shared" si="255"/>
        <v>-3.0549506578947394E-2</v>
      </c>
      <c r="ER229" s="348">
        <f t="shared" si="255"/>
        <v>0.30510421383647812</v>
      </c>
      <c r="ES229" s="348">
        <f t="shared" si="255"/>
        <v>0.12903020453400504</v>
      </c>
      <c r="ET229" s="348">
        <f t="shared" si="255"/>
        <v>0.14446364937027711</v>
      </c>
      <c r="EU229" s="321">
        <f t="shared" si="255"/>
        <v>0.12738484371164205</v>
      </c>
      <c r="EV229" s="668"/>
      <c r="EW229" s="668"/>
      <c r="EX229" s="668"/>
      <c r="EY229" s="668"/>
      <c r="EZ229" s="668"/>
      <c r="FA229" s="668"/>
      <c r="FB229" s="668"/>
      <c r="FC229" s="668"/>
      <c r="FD229" s="668"/>
      <c r="FE229" s="668"/>
      <c r="FF229" s="668"/>
      <c r="FG229" s="668"/>
      <c r="FH229" s="668"/>
      <c r="FI229" s="668"/>
      <c r="FJ229" s="668"/>
      <c r="FK229" s="668"/>
      <c r="FL229" s="668"/>
      <c r="FM229" s="668"/>
      <c r="FN229" s="668"/>
      <c r="FO229" s="668"/>
      <c r="FP229" s="668"/>
      <c r="FQ229" s="668"/>
      <c r="FR229" s="668"/>
      <c r="FS229" s="668"/>
      <c r="FT229" s="668"/>
      <c r="FU229" s="668"/>
      <c r="FV229" s="668"/>
      <c r="FW229" s="668"/>
      <c r="FX229" s="668"/>
      <c r="FY229" s="668"/>
      <c r="FZ229" s="668"/>
      <c r="GA229" s="668"/>
      <c r="GB229" s="668"/>
      <c r="GC229" s="668"/>
      <c r="GD229" s="668"/>
      <c r="GE229" s="668"/>
      <c r="GF229" s="668"/>
      <c r="GG229" s="668"/>
      <c r="GH229" s="668"/>
      <c r="GI229" s="668"/>
      <c r="GJ229" s="668"/>
      <c r="GK229" s="668"/>
      <c r="GL229" s="668"/>
      <c r="GM229" s="668"/>
      <c r="GN229" s="668"/>
      <c r="GO229" s="668"/>
      <c r="GP229" s="668"/>
      <c r="GQ229" s="668"/>
      <c r="GR229" s="668"/>
      <c r="GS229" s="668"/>
      <c r="GT229" s="668"/>
      <c r="GU229" s="668"/>
      <c r="GV229" s="668"/>
      <c r="GW229" s="668"/>
      <c r="GX229" s="668"/>
      <c r="GY229" s="668"/>
      <c r="GZ229" s="668"/>
      <c r="HA229" s="668"/>
      <c r="HB229" s="668"/>
      <c r="HC229" s="668"/>
      <c r="HD229" s="668"/>
      <c r="HE229" s="668"/>
      <c r="HF229" s="668"/>
      <c r="HG229" s="668"/>
      <c r="HH229" s="668"/>
      <c r="HI229" s="668"/>
      <c r="HJ229" s="668"/>
      <c r="HK229" s="668"/>
      <c r="HL229" s="668"/>
      <c r="HM229" s="668"/>
      <c r="HN229" s="668"/>
      <c r="HO229" s="344"/>
      <c r="HP229" s="563"/>
      <c r="HR229" s="563"/>
      <c r="HS229" s="563"/>
      <c r="HT229" s="563"/>
      <c r="HU229" s="563"/>
      <c r="HV229" s="563"/>
      <c r="HW229" s="563"/>
      <c r="HX229" s="563"/>
    </row>
    <row r="230" spans="1:232" s="509" customFormat="1" ht="13.5" hidden="1" customHeight="1" outlineLevel="1">
      <c r="A230" s="517" t="s">
        <v>502</v>
      </c>
      <c r="AO230" s="538"/>
      <c r="AT230" s="538"/>
      <c r="AY230" s="538"/>
      <c r="BD230" s="538"/>
      <c r="BI230" s="538"/>
      <c r="BN230" s="538"/>
      <c r="BS230" s="538"/>
      <c r="BX230" s="538"/>
      <c r="CC230" s="538"/>
      <c r="CH230" s="538"/>
      <c r="CM230" s="538"/>
      <c r="CX230" s="539">
        <f t="shared" ref="CX230:EU230" si="256">CX234/CX227</f>
        <v>19.037681159420291</v>
      </c>
      <c r="CY230" s="539">
        <f t="shared" si="256"/>
        <v>20.420602094240838</v>
      </c>
      <c r="CZ230" s="539">
        <f t="shared" si="256"/>
        <v>21.631759656652363</v>
      </c>
      <c r="DA230" s="539">
        <f t="shared" si="256"/>
        <v>22.044468085106381</v>
      </c>
      <c r="DB230" s="542">
        <f t="shared" si="256"/>
        <v>20.856564665127021</v>
      </c>
      <c r="DC230" s="539">
        <f t="shared" si="256"/>
        <v>20.492806236080177</v>
      </c>
      <c r="DD230" s="539">
        <f t="shared" si="256"/>
        <v>20.623300970873785</v>
      </c>
      <c r="DE230" s="539">
        <f t="shared" si="256"/>
        <v>23.388332758025541</v>
      </c>
      <c r="DF230" s="539">
        <f t="shared" si="256"/>
        <v>25</v>
      </c>
      <c r="DG230" s="542">
        <f t="shared" si="256"/>
        <v>22.34245283018868</v>
      </c>
      <c r="DH230" s="539">
        <f t="shared" si="256"/>
        <v>24.676169122357464</v>
      </c>
      <c r="DI230" s="539">
        <f t="shared" si="256"/>
        <v>20.655797101449277</v>
      </c>
      <c r="DJ230" s="539">
        <f t="shared" si="256"/>
        <v>19.805555555555557</v>
      </c>
      <c r="DK230" s="539">
        <f t="shared" si="256"/>
        <v>22.063863420803035</v>
      </c>
      <c r="DL230" s="542">
        <f t="shared" si="256"/>
        <v>21.512268993839836</v>
      </c>
      <c r="DM230" s="539">
        <f t="shared" si="256"/>
        <v>22.576802507836994</v>
      </c>
      <c r="DN230" s="539">
        <f t="shared" si="256"/>
        <v>21.352272727272723</v>
      </c>
      <c r="DO230" s="539">
        <f t="shared" si="256"/>
        <v>20.357522123893805</v>
      </c>
      <c r="DP230" s="539">
        <f t="shared" si="256"/>
        <v>21.809848250232271</v>
      </c>
      <c r="DQ230" s="542">
        <f t="shared" si="256"/>
        <v>21.50318853627429</v>
      </c>
      <c r="DR230" s="539">
        <f t="shared" si="256"/>
        <v>21.263128800442232</v>
      </c>
      <c r="DS230" s="539">
        <f t="shared" si="256"/>
        <v>21.37460815047022</v>
      </c>
      <c r="DT230" s="539">
        <f t="shared" si="256"/>
        <v>21.25863609291245</v>
      </c>
      <c r="DU230" s="539">
        <f t="shared" si="256"/>
        <v>22.076541459957479</v>
      </c>
      <c r="DV230" s="542">
        <f t="shared" si="256"/>
        <v>21.466084077610105</v>
      </c>
      <c r="DW230" s="539">
        <f t="shared" si="256"/>
        <v>22.524010821778834</v>
      </c>
      <c r="DX230" s="539">
        <f t="shared" si="256"/>
        <v>22.642857142857142</v>
      </c>
      <c r="DY230" s="539">
        <f t="shared" si="256"/>
        <v>22.78247078464107</v>
      </c>
      <c r="DZ230" s="539">
        <f t="shared" si="256"/>
        <v>22.942486539402839</v>
      </c>
      <c r="EA230" s="542">
        <f t="shared" si="256"/>
        <v>22.701235778736763</v>
      </c>
      <c r="EB230" s="713">
        <f>EB234/EB227</f>
        <v>23.260486322188449</v>
      </c>
      <c r="EC230" s="539">
        <f t="shared" si="256"/>
        <v>23.100400197628456</v>
      </c>
      <c r="ED230" s="539">
        <f t="shared" si="256"/>
        <v>22.883599038461536</v>
      </c>
      <c r="EE230" s="539">
        <f t="shared" si="256"/>
        <v>23.322404899536323</v>
      </c>
      <c r="EF230" s="542">
        <f t="shared" si="256"/>
        <v>23.140643033480732</v>
      </c>
      <c r="EG230" s="539">
        <f t="shared" si="256"/>
        <v>23.515814691582086</v>
      </c>
      <c r="EH230" s="539">
        <f t="shared" si="256"/>
        <v>22.458577830766604</v>
      </c>
      <c r="EI230" s="539">
        <f t="shared" si="256"/>
        <v>21.011138555188936</v>
      </c>
      <c r="EJ230" s="539">
        <f t="shared" si="256"/>
        <v>21.221317398428802</v>
      </c>
      <c r="EK230" s="542">
        <f t="shared" si="256"/>
        <v>22.098867557706406</v>
      </c>
      <c r="EL230" s="539">
        <f t="shared" si="256"/>
        <v>22.345096157351769</v>
      </c>
      <c r="EM230" s="539">
        <f t="shared" si="256"/>
        <v>23.085474236332253</v>
      </c>
      <c r="EN230" s="539">
        <f t="shared" si="256"/>
        <v>22.097325484221685</v>
      </c>
      <c r="EO230" s="539">
        <f t="shared" si="256"/>
        <v>21.543460229884655</v>
      </c>
      <c r="EP230" s="542">
        <f t="shared" si="256"/>
        <v>22.223912773398094</v>
      </c>
      <c r="EQ230" s="539">
        <f t="shared" si="256"/>
        <v>21.758894832183501</v>
      </c>
      <c r="ER230" s="539">
        <f t="shared" si="256"/>
        <v>22.184057159626139</v>
      </c>
      <c r="ES230" s="539">
        <f t="shared" si="256"/>
        <v>22.627738302818663</v>
      </c>
      <c r="ET230" s="539">
        <f t="shared" si="256"/>
        <v>22.864636068726409</v>
      </c>
      <c r="EU230" s="542">
        <f t="shared" si="256"/>
        <v>22.384696763157514</v>
      </c>
      <c r="EV230" s="668"/>
      <c r="EW230" s="668"/>
      <c r="EX230" s="668"/>
      <c r="EY230" s="668"/>
      <c r="EZ230" s="668"/>
      <c r="FA230" s="668"/>
      <c r="FB230" s="668"/>
      <c r="FC230" s="668"/>
      <c r="FD230" s="668"/>
      <c r="FE230" s="668"/>
      <c r="FF230" s="668"/>
      <c r="FG230" s="668"/>
      <c r="FH230" s="668"/>
      <c r="FI230" s="668"/>
      <c r="FJ230" s="668"/>
      <c r="FK230" s="668"/>
      <c r="FL230" s="668"/>
      <c r="FM230" s="668"/>
      <c r="FN230" s="668"/>
      <c r="FO230" s="668"/>
      <c r="FP230" s="668"/>
      <c r="FQ230" s="668"/>
      <c r="FR230" s="668"/>
      <c r="FS230" s="668"/>
      <c r="FT230" s="668"/>
      <c r="FU230" s="668"/>
      <c r="FV230" s="668"/>
      <c r="FW230" s="668"/>
      <c r="FX230" s="668"/>
      <c r="FY230" s="668"/>
      <c r="FZ230" s="668"/>
      <c r="GA230" s="668"/>
      <c r="GB230" s="668"/>
      <c r="GC230" s="668"/>
      <c r="GD230" s="668"/>
      <c r="GE230" s="668"/>
      <c r="GF230" s="668"/>
      <c r="GG230" s="668"/>
      <c r="GH230" s="668"/>
      <c r="GI230" s="668"/>
      <c r="GJ230" s="668"/>
      <c r="GK230" s="668"/>
      <c r="GL230" s="668"/>
      <c r="GM230" s="668"/>
      <c r="GN230" s="668"/>
      <c r="GO230" s="668"/>
      <c r="GP230" s="668"/>
      <c r="GQ230" s="668"/>
      <c r="GR230" s="668"/>
      <c r="GS230" s="668"/>
      <c r="GT230" s="668"/>
      <c r="GU230" s="668"/>
      <c r="GV230" s="668"/>
      <c r="GW230" s="668"/>
      <c r="GX230" s="668"/>
      <c r="GY230" s="668"/>
      <c r="GZ230" s="668"/>
      <c r="HA230" s="668"/>
      <c r="HB230" s="668"/>
      <c r="HC230" s="668"/>
      <c r="HD230" s="668"/>
      <c r="HE230" s="668"/>
      <c r="HF230" s="668"/>
      <c r="HG230" s="668"/>
      <c r="HH230" s="668"/>
      <c r="HI230" s="668"/>
      <c r="HJ230" s="668"/>
      <c r="HK230" s="668"/>
      <c r="HL230" s="668"/>
      <c r="HM230" s="668"/>
      <c r="HN230" s="668"/>
      <c r="HO230" s="542"/>
      <c r="HP230" s="563"/>
      <c r="HR230" s="563"/>
      <c r="HS230" s="563"/>
      <c r="HT230" s="563"/>
      <c r="HU230" s="563"/>
      <c r="HV230" s="563"/>
      <c r="HW230" s="563"/>
      <c r="HX230" s="563"/>
    </row>
    <row r="231" spans="1:232" s="509" customFormat="1" ht="11.25" hidden="1" customHeight="1" outlineLevel="1">
      <c r="A231" s="509" t="s">
        <v>488</v>
      </c>
      <c r="AO231" s="538"/>
      <c r="AT231" s="538"/>
      <c r="AY231" s="538"/>
      <c r="BD231" s="538"/>
      <c r="BI231" s="538"/>
      <c r="BN231" s="538"/>
      <c r="BS231" s="538"/>
      <c r="BX231" s="538"/>
      <c r="CC231" s="538"/>
      <c r="CH231" s="538"/>
      <c r="CM231" s="538"/>
      <c r="CX231" s="348"/>
      <c r="CY231" s="348">
        <f>(CY230/CX230)-1</f>
        <v>7.2641248860092711E-2</v>
      </c>
      <c r="CZ231" s="348">
        <f>(CZ230/CY230)-1</f>
        <v>5.9310570610114688E-2</v>
      </c>
      <c r="DA231" s="348">
        <f>(DA230/CZ230)-1</f>
        <v>1.9078819060709185E-2</v>
      </c>
      <c r="DC231" s="348">
        <f>(DC230/DA230)-1</f>
        <v>-7.0387810812025609E-2</v>
      </c>
      <c r="DD231" s="348">
        <f>(DD230/DC230)-1</f>
        <v>6.3678313887463034E-3</v>
      </c>
      <c r="DE231" s="348">
        <f>(DE230/DD230)-1</f>
        <v>0.13407319182592548</v>
      </c>
      <c r="DF231" s="348">
        <f>(DF230/DE230)-1</f>
        <v>6.8909026506877691E-2</v>
      </c>
      <c r="DH231" s="348">
        <f>(DH230/DF230)-1</f>
        <v>-1.2953235105701455E-2</v>
      </c>
      <c r="DI231" s="348">
        <f>(DI230/DH230)-1</f>
        <v>-0.16292529042790482</v>
      </c>
      <c r="DJ231" s="348">
        <f>(DJ230/DI230)-1</f>
        <v>-4.1162369174998492E-2</v>
      </c>
      <c r="DK231" s="348">
        <f>(DK230/DJ230)-1</f>
        <v>0.11402395953563693</v>
      </c>
      <c r="DM231" s="348">
        <f>(DM230/DK230)-1</f>
        <v>2.3247927040299432E-2</v>
      </c>
      <c r="DN231" s="348">
        <f>(DN230/DM230)-1</f>
        <v>-5.4238405998334183E-2</v>
      </c>
      <c r="DO231" s="348">
        <f>(DO230/DN230)-1</f>
        <v>-4.6587574825622591E-2</v>
      </c>
      <c r="DP231" s="348">
        <f>(DP230/DO230)-1</f>
        <v>7.134100690151568E-2</v>
      </c>
      <c r="DQ231" s="723" t="s">
        <v>199</v>
      </c>
      <c r="DR231" s="348">
        <f>(DR230/DP230)-1</f>
        <v>-2.5067549462854055E-2</v>
      </c>
      <c r="DS231" s="348">
        <f>(DS230/DR230)-1</f>
        <v>5.2428478929060773E-3</v>
      </c>
      <c r="DT231" s="348">
        <f>(DT230/DS230)-1</f>
        <v>-5.4256928006054528E-3</v>
      </c>
      <c r="DU231" s="348">
        <f>(DU230/DT230)-1</f>
        <v>3.8474028318200348E-2</v>
      </c>
      <c r="DW231" s="348">
        <f>(DW230/DU230)-1</f>
        <v>2.0268997416691192E-2</v>
      </c>
      <c r="DX231" s="348">
        <f>(DX230/DW230)-1</f>
        <v>5.2764279869459418E-3</v>
      </c>
      <c r="DY231" s="348">
        <f>(DY230/DX230)-1</f>
        <v>6.1659021608044817E-3</v>
      </c>
      <c r="DZ231" s="348">
        <f>(DZ230/DY230)-1</f>
        <v>7.023634805652712E-3</v>
      </c>
      <c r="EB231" s="352">
        <f>(EB230/DZ230)-1</f>
        <v>1.3860737467992212E-2</v>
      </c>
      <c r="EC231" s="348">
        <f>(EC230/EB230)-1</f>
        <v>-6.8823206162841322E-3</v>
      </c>
      <c r="ED231" s="348">
        <f>(ED230/EC230)-1</f>
        <v>-9.3851689716257791E-3</v>
      </c>
      <c r="EE231" s="348">
        <f>(EE230/ED230)-1</f>
        <v>1.9175561516231232E-2</v>
      </c>
      <c r="EG231" s="348">
        <f>(EG230/EE230)-1</f>
        <v>8.292875150692991E-3</v>
      </c>
      <c r="EH231" s="348">
        <f>(EH230/EG230)-1</f>
        <v>-4.4958547032348362E-2</v>
      </c>
      <c r="EI231" s="294">
        <f>(EI230/EH230)-1</f>
        <v>-6.4449284655717753E-2</v>
      </c>
      <c r="EJ231" s="348">
        <f>(EJ230/EI230)-1</f>
        <v>1.0003210567947063E-2</v>
      </c>
      <c r="EL231" s="348">
        <f>(EL230/EJ230)-1</f>
        <v>5.2955183593181188E-2</v>
      </c>
      <c r="EM231" s="348">
        <f>(EM230/EL230)-1</f>
        <v>3.3133805903846625E-2</v>
      </c>
      <c r="EN231" s="348">
        <f>(EN230/EM230)-1</f>
        <v>-4.2803918255896356E-2</v>
      </c>
      <c r="EO231" s="348">
        <f>(EO230/EN230)-1</f>
        <v>-2.5064809527854837E-2</v>
      </c>
      <c r="EQ231" s="348">
        <f>(EQ230/EO230)-1</f>
        <v>1.0000000000000009E-2</v>
      </c>
      <c r="ER231" s="348">
        <f>(ER230/EQ230)-1</f>
        <v>1.9539702302057371E-2</v>
      </c>
      <c r="ES231" s="348">
        <f>(ES230/ER230)-1</f>
        <v>2.0000000000000018E-2</v>
      </c>
      <c r="ET231" s="348">
        <f>(ET230/ES230)-1</f>
        <v>1.0469352382347363E-2</v>
      </c>
      <c r="EV231" s="668"/>
      <c r="EW231" s="668"/>
      <c r="EX231" s="668"/>
      <c r="EY231" s="668"/>
      <c r="EZ231" s="668"/>
      <c r="FA231" s="668"/>
      <c r="FB231" s="668"/>
      <c r="FC231" s="668"/>
      <c r="FD231" s="668"/>
      <c r="FE231" s="668"/>
      <c r="FF231" s="668"/>
      <c r="FG231" s="668"/>
      <c r="FH231" s="668"/>
      <c r="FI231" s="668"/>
      <c r="FJ231" s="668"/>
      <c r="FK231" s="668"/>
      <c r="FL231" s="668"/>
      <c r="FM231" s="668"/>
      <c r="FN231" s="668"/>
      <c r="FO231" s="668"/>
      <c r="FP231" s="668"/>
      <c r="FQ231" s="668"/>
      <c r="FR231" s="668"/>
      <c r="FS231" s="668"/>
      <c r="FT231" s="668"/>
      <c r="FU231" s="668"/>
      <c r="FV231" s="668"/>
      <c r="FW231" s="668"/>
      <c r="FX231" s="668"/>
      <c r="FY231" s="668"/>
      <c r="FZ231" s="668"/>
      <c r="GA231" s="668"/>
      <c r="GB231" s="668"/>
      <c r="GC231" s="668"/>
      <c r="GD231" s="668"/>
      <c r="GE231" s="668"/>
      <c r="GF231" s="668"/>
      <c r="GG231" s="668"/>
      <c r="GH231" s="668"/>
      <c r="GI231" s="668"/>
      <c r="GJ231" s="668"/>
      <c r="GK231" s="668"/>
      <c r="GL231" s="668"/>
      <c r="GM231" s="668"/>
      <c r="GN231" s="668"/>
      <c r="GO231" s="668"/>
      <c r="GP231" s="668"/>
      <c r="GQ231" s="668"/>
      <c r="GR231" s="668"/>
      <c r="GS231" s="668"/>
      <c r="GT231" s="668"/>
      <c r="GU231" s="668"/>
      <c r="GV231" s="668"/>
      <c r="GW231" s="668"/>
      <c r="GX231" s="668"/>
      <c r="GY231" s="668"/>
      <c r="GZ231" s="668"/>
      <c r="HA231" s="668"/>
      <c r="HB231" s="668"/>
      <c r="HC231" s="668"/>
      <c r="HD231" s="668"/>
      <c r="HE231" s="668"/>
      <c r="HF231" s="668"/>
      <c r="HG231" s="668"/>
      <c r="HH231" s="668"/>
      <c r="HI231" s="668"/>
      <c r="HJ231" s="668"/>
      <c r="HK231" s="668"/>
      <c r="HL231" s="668"/>
      <c r="HM231" s="668"/>
      <c r="HN231" s="668"/>
      <c r="HP231" s="563"/>
      <c r="HR231" s="563"/>
      <c r="HS231" s="563"/>
      <c r="HT231" s="563"/>
      <c r="HU231" s="563"/>
      <c r="HV231" s="563"/>
      <c r="HW231" s="563"/>
      <c r="HX231" s="563"/>
    </row>
    <row r="232" spans="1:232" s="509" customFormat="1" ht="11.25" hidden="1" customHeight="1" outlineLevel="1">
      <c r="A232" s="509" t="s">
        <v>489</v>
      </c>
      <c r="AO232" s="538"/>
      <c r="AT232" s="538"/>
      <c r="AY232" s="538"/>
      <c r="BD232" s="538"/>
      <c r="BI232" s="538"/>
      <c r="BN232" s="538"/>
      <c r="BS232" s="538"/>
      <c r="BX232" s="538"/>
      <c r="CC232" s="538"/>
      <c r="CH232" s="538"/>
      <c r="CM232" s="538"/>
      <c r="CX232" s="348"/>
      <c r="CY232" s="348"/>
      <c r="CZ232" s="348"/>
      <c r="DA232" s="348"/>
      <c r="DB232" s="321"/>
      <c r="DC232" s="348">
        <f t="shared" ref="DC232:EU232" si="257">(DC230/CX230)-1</f>
        <v>7.6433945104698697E-2</v>
      </c>
      <c r="DD232" s="348">
        <f t="shared" si="257"/>
        <v>9.9261949132301019E-3</v>
      </c>
      <c r="DE232" s="348">
        <f t="shared" si="257"/>
        <v>8.1203430939238652E-2</v>
      </c>
      <c r="DF232" s="348">
        <f t="shared" si="257"/>
        <v>0.13407136445675572</v>
      </c>
      <c r="DG232" s="321">
        <f t="shared" si="257"/>
        <v>7.1243188363907306E-2</v>
      </c>
      <c r="DH232" s="348">
        <f t="shared" si="257"/>
        <v>0.20413811744884147</v>
      </c>
      <c r="DI232" s="348">
        <f t="shared" si="257"/>
        <v>1.5756997689839736E-3</v>
      </c>
      <c r="DJ232" s="348">
        <f t="shared" si="257"/>
        <v>-0.15318651566732899</v>
      </c>
      <c r="DK232" s="348">
        <f t="shared" si="257"/>
        <v>-0.11744546316787863</v>
      </c>
      <c r="DL232" s="321">
        <f t="shared" si="257"/>
        <v>-3.7157237956752742E-2</v>
      </c>
      <c r="DM232" s="348">
        <f t="shared" si="257"/>
        <v>-8.5076682855864005E-2</v>
      </c>
      <c r="DN232" s="348">
        <f t="shared" si="257"/>
        <v>3.3718167466632254E-2</v>
      </c>
      <c r="DO232" s="348">
        <f t="shared" si="257"/>
        <v>2.786927974779374E-2</v>
      </c>
      <c r="DP232" s="348">
        <f t="shared" si="257"/>
        <v>-1.1512724028705845E-2</v>
      </c>
      <c r="DQ232" s="321">
        <f t="shared" si="257"/>
        <v>-4.2210598836156521E-4</v>
      </c>
      <c r="DR232" s="348">
        <f t="shared" si="257"/>
        <v>-5.8186880402517294E-2</v>
      </c>
      <c r="DS232" s="348">
        <f t="shared" si="257"/>
        <v>1.0460443008939446E-3</v>
      </c>
      <c r="DT232" s="348">
        <f t="shared" si="257"/>
        <v>4.4264422926059366E-2</v>
      </c>
      <c r="DU232" s="348">
        <f t="shared" si="257"/>
        <v>1.2228109369003315E-2</v>
      </c>
      <c r="DV232" s="321">
        <f t="shared" si="257"/>
        <v>-1.7255328716293539E-3</v>
      </c>
      <c r="DW232" s="348">
        <f t="shared" si="257"/>
        <v>5.9298988082618243E-2</v>
      </c>
      <c r="DX232" s="348">
        <f t="shared" si="257"/>
        <v>5.9334373919693206E-2</v>
      </c>
      <c r="DY232" s="348">
        <f t="shared" si="257"/>
        <v>7.168073648133344E-2</v>
      </c>
      <c r="DZ232" s="348">
        <f t="shared" si="257"/>
        <v>3.9224671174876491E-2</v>
      </c>
      <c r="EA232" s="321">
        <f t="shared" si="257"/>
        <v>5.7539684306695094E-2</v>
      </c>
      <c r="EB232" s="352">
        <f t="shared" si="257"/>
        <v>3.2697351561272736E-2</v>
      </c>
      <c r="EC232" s="348">
        <f t="shared" si="257"/>
        <v>2.0206948791162027E-2</v>
      </c>
      <c r="ED232" s="348">
        <f t="shared" si="257"/>
        <v>4.4388624384252839E-3</v>
      </c>
      <c r="EE232" s="348">
        <f t="shared" si="257"/>
        <v>1.6559598258061081E-2</v>
      </c>
      <c r="EF232" s="321">
        <f t="shared" si="257"/>
        <v>1.9356094048216699E-2</v>
      </c>
      <c r="EG232" s="348">
        <f t="shared" si="257"/>
        <v>1.0976914491683587E-2</v>
      </c>
      <c r="EH232" s="348">
        <f t="shared" si="257"/>
        <v>-2.778403669940499E-2</v>
      </c>
      <c r="EI232" s="294">
        <f t="shared" si="257"/>
        <v>-8.1825436642438465E-2</v>
      </c>
      <c r="EJ232" s="348">
        <f t="shared" si="257"/>
        <v>-9.008880131179331E-2</v>
      </c>
      <c r="EK232" s="321">
        <f t="shared" si="257"/>
        <v>-4.5019296752775939E-2</v>
      </c>
      <c r="EL232" s="348">
        <f t="shared" si="257"/>
        <v>-4.9784306841361481E-2</v>
      </c>
      <c r="EM232" s="348">
        <f t="shared" si="257"/>
        <v>2.7913450722015343E-2</v>
      </c>
      <c r="EN232" s="348">
        <f t="shared" si="257"/>
        <v>5.1695767279803295E-2</v>
      </c>
      <c r="EO232" s="348">
        <f t="shared" si="257"/>
        <v>1.5180152363194255E-2</v>
      </c>
      <c r="EP232" s="321">
        <f t="shared" si="257"/>
        <v>5.6584445046861109E-3</v>
      </c>
      <c r="EQ232" s="348">
        <f t="shared" si="257"/>
        <v>-2.6234003247974425E-2</v>
      </c>
      <c r="ER232" s="348">
        <f t="shared" si="257"/>
        <v>-3.9046937805048421E-2</v>
      </c>
      <c r="ES232" s="348">
        <f t="shared" si="257"/>
        <v>2.4003484900275041E-2</v>
      </c>
      <c r="ET232" s="348">
        <f t="shared" si="257"/>
        <v>6.1326074119191221E-2</v>
      </c>
      <c r="EU232" s="321">
        <f t="shared" si="257"/>
        <v>7.2347291585790341E-3</v>
      </c>
      <c r="EV232" s="668"/>
      <c r="EW232" s="668"/>
      <c r="EX232" s="668"/>
      <c r="EY232" s="668"/>
      <c r="EZ232" s="668"/>
      <c r="FA232" s="668"/>
      <c r="FB232" s="668"/>
      <c r="FC232" s="668"/>
      <c r="FD232" s="668"/>
      <c r="FE232" s="668"/>
      <c r="FF232" s="668"/>
      <c r="FG232" s="668"/>
      <c r="FH232" s="668"/>
      <c r="FI232" s="668"/>
      <c r="FJ232" s="668"/>
      <c r="FK232" s="668"/>
      <c r="FL232" s="668"/>
      <c r="FM232" s="668"/>
      <c r="FN232" s="668"/>
      <c r="FO232" s="668"/>
      <c r="FP232" s="668"/>
      <c r="FQ232" s="668"/>
      <c r="FR232" s="668"/>
      <c r="FS232" s="668"/>
      <c r="FT232" s="668"/>
      <c r="FU232" s="668"/>
      <c r="FV232" s="668"/>
      <c r="FW232" s="668"/>
      <c r="FX232" s="668"/>
      <c r="FY232" s="668"/>
      <c r="FZ232" s="668"/>
      <c r="GA232" s="668"/>
      <c r="GB232" s="668"/>
      <c r="GC232" s="668"/>
      <c r="GD232" s="668"/>
      <c r="GE232" s="668"/>
      <c r="GF232" s="668"/>
      <c r="GG232" s="668"/>
      <c r="GH232" s="668"/>
      <c r="GI232" s="668"/>
      <c r="GJ232" s="668"/>
      <c r="GK232" s="668"/>
      <c r="GL232" s="668"/>
      <c r="GM232" s="668"/>
      <c r="GN232" s="668"/>
      <c r="GO232" s="668"/>
      <c r="GP232" s="668"/>
      <c r="GQ232" s="668"/>
      <c r="GR232" s="668"/>
      <c r="GS232" s="668"/>
      <c r="GT232" s="668"/>
      <c r="GU232" s="668"/>
      <c r="GV232" s="668"/>
      <c r="GW232" s="668"/>
      <c r="GX232" s="668"/>
      <c r="GY232" s="668"/>
      <c r="GZ232" s="668"/>
      <c r="HA232" s="668"/>
      <c r="HB232" s="668"/>
      <c r="HC232" s="668"/>
      <c r="HD232" s="668"/>
      <c r="HE232" s="668"/>
      <c r="HF232" s="668"/>
      <c r="HG232" s="668"/>
      <c r="HH232" s="668"/>
      <c r="HI232" s="668"/>
      <c r="HJ232" s="668"/>
      <c r="HK232" s="668"/>
      <c r="HL232" s="668"/>
      <c r="HM232" s="668"/>
      <c r="HN232" s="668"/>
      <c r="HO232" s="344"/>
      <c r="HP232" s="563"/>
      <c r="HR232" s="563"/>
      <c r="HS232" s="563"/>
      <c r="HT232" s="563"/>
      <c r="HU232" s="563"/>
      <c r="HV232" s="563"/>
      <c r="HW232" s="563"/>
      <c r="HX232" s="563"/>
    </row>
    <row r="233" spans="1:232" s="509" customFormat="1" ht="6" hidden="1" customHeight="1" outlineLevel="1">
      <c r="AO233" s="538"/>
      <c r="AT233" s="538"/>
      <c r="AY233" s="538"/>
      <c r="BD233" s="538"/>
      <c r="BI233" s="538"/>
      <c r="BN233" s="538"/>
      <c r="BS233" s="538"/>
      <c r="BX233" s="538"/>
      <c r="CC233" s="538"/>
      <c r="CH233" s="538"/>
      <c r="CM233" s="538"/>
      <c r="CX233" s="722"/>
      <c r="EB233" s="720"/>
      <c r="EV233" s="668"/>
      <c r="EW233" s="668"/>
      <c r="EX233" s="668"/>
      <c r="EY233" s="668"/>
      <c r="EZ233" s="668"/>
      <c r="FA233" s="668"/>
      <c r="FB233" s="668"/>
      <c r="FC233" s="668"/>
      <c r="FD233" s="668"/>
      <c r="FE233" s="668"/>
      <c r="FF233" s="668"/>
      <c r="FG233" s="668"/>
      <c r="FH233" s="668"/>
      <c r="FI233" s="668"/>
      <c r="FJ233" s="668"/>
      <c r="FK233" s="668"/>
      <c r="FL233" s="668"/>
      <c r="FM233" s="668"/>
      <c r="FN233" s="668"/>
      <c r="FO233" s="668"/>
      <c r="FP233" s="668"/>
      <c r="FQ233" s="668"/>
      <c r="FR233" s="668"/>
      <c r="FS233" s="668"/>
      <c r="FT233" s="668"/>
      <c r="FU233" s="668"/>
      <c r="FV233" s="668"/>
      <c r="FW233" s="668"/>
      <c r="FX233" s="668"/>
      <c r="FY233" s="668"/>
      <c r="FZ233" s="668"/>
      <c r="GA233" s="668"/>
      <c r="GB233" s="668"/>
      <c r="GC233" s="668"/>
      <c r="GD233" s="668"/>
      <c r="GE233" s="668"/>
      <c r="GF233" s="668"/>
      <c r="GG233" s="668"/>
      <c r="GH233" s="668"/>
      <c r="GI233" s="668"/>
      <c r="GJ233" s="668"/>
      <c r="GK233" s="668"/>
      <c r="GL233" s="668"/>
      <c r="GM233" s="668"/>
      <c r="GN233" s="668"/>
      <c r="GO233" s="668"/>
      <c r="GP233" s="668"/>
      <c r="GQ233" s="668"/>
      <c r="GR233" s="668"/>
      <c r="GS233" s="668"/>
      <c r="GT233" s="668"/>
      <c r="GU233" s="668"/>
      <c r="GV233" s="668"/>
      <c r="GW233" s="668"/>
      <c r="GX233" s="668"/>
      <c r="GY233" s="668"/>
      <c r="GZ233" s="668"/>
      <c r="HA233" s="668"/>
      <c r="HB233" s="668"/>
      <c r="HC233" s="668"/>
      <c r="HD233" s="668"/>
      <c r="HE233" s="668"/>
      <c r="HF233" s="668"/>
      <c r="HG233" s="668"/>
      <c r="HH233" s="668"/>
      <c r="HI233" s="668"/>
      <c r="HJ233" s="668"/>
      <c r="HK233" s="668"/>
      <c r="HL233" s="668"/>
      <c r="HM233" s="668"/>
      <c r="HN233" s="668"/>
      <c r="HP233" s="563"/>
      <c r="HR233" s="563"/>
      <c r="HS233" s="563"/>
      <c r="HT233" s="563"/>
      <c r="HU233" s="563"/>
      <c r="HV233" s="563"/>
      <c r="HW233" s="563"/>
      <c r="HX233" s="563"/>
    </row>
    <row r="234" spans="1:232" s="509" customFormat="1" ht="11.25" hidden="1" customHeight="1" outlineLevel="1">
      <c r="A234" s="724" t="s">
        <v>503</v>
      </c>
      <c r="AO234" s="538"/>
      <c r="AT234" s="538"/>
      <c r="AY234" s="538"/>
      <c r="BD234" s="538"/>
      <c r="BI234" s="538"/>
      <c r="BN234" s="538"/>
      <c r="BS234" s="538"/>
      <c r="BX234" s="538"/>
      <c r="CC234" s="538"/>
      <c r="CH234" s="538"/>
      <c r="CM234" s="538"/>
      <c r="CV234" s="509">
        <v>278</v>
      </c>
      <c r="CW234" s="701" t="s">
        <v>199</v>
      </c>
      <c r="CX234" s="539">
        <f>CX223+CX213</f>
        <v>197.04</v>
      </c>
      <c r="CY234" s="539">
        <f>CY223+CY213</f>
        <v>195.01675000000003</v>
      </c>
      <c r="CZ234" s="539">
        <f>CZ223+CZ213</f>
        <v>252.01</v>
      </c>
      <c r="DA234" s="539">
        <f>DA223+DA213</f>
        <v>259.02249999999998</v>
      </c>
      <c r="DB234" s="542">
        <f>SUM(CX234:DA234)</f>
        <v>903.08924999999999</v>
      </c>
      <c r="DC234" s="539">
        <f>DC223+DC213</f>
        <v>230.03174999999999</v>
      </c>
      <c r="DD234" s="539">
        <f>DD223+DD213</f>
        <v>212.42000000000002</v>
      </c>
      <c r="DE234" s="539">
        <f>DE223+DE213</f>
        <v>338.78</v>
      </c>
      <c r="DF234" s="539">
        <f>DF223+DF213</f>
        <v>219.375</v>
      </c>
      <c r="DG234" s="542">
        <f>SUM(DC234:DF234)</f>
        <v>1000.6067499999999</v>
      </c>
      <c r="DH234" s="539">
        <f>DH223+DH213</f>
        <v>192.5975</v>
      </c>
      <c r="DI234" s="539">
        <f>DI223+DI213</f>
        <v>228.04</v>
      </c>
      <c r="DJ234" s="539">
        <f>DJ223+DJ213</f>
        <v>278.07</v>
      </c>
      <c r="DK234" s="539">
        <f>DK223+DK213</f>
        <v>348.94</v>
      </c>
      <c r="DL234" s="542">
        <f>SUM(DH234:DK234)</f>
        <v>1047.6475</v>
      </c>
      <c r="DM234" s="539">
        <f>DM223+DM213</f>
        <v>360.1</v>
      </c>
      <c r="DN234" s="539">
        <f>DN223+DN213</f>
        <v>375.79999999999995</v>
      </c>
      <c r="DO234" s="539">
        <f>DO223+DO213</f>
        <v>345.06</v>
      </c>
      <c r="DP234" s="539">
        <f>DP223+DP213</f>
        <v>352.12</v>
      </c>
      <c r="DQ234" s="542">
        <f>SUM(DM234:DP234)</f>
        <v>1433.08</v>
      </c>
      <c r="DR234" s="539">
        <f>DR223+DR213</f>
        <v>384.65</v>
      </c>
      <c r="DS234" s="539">
        <f>DS223+DS213</f>
        <v>340.92500000000001</v>
      </c>
      <c r="DT234" s="539">
        <f>DT223+DT213</f>
        <v>356.9325</v>
      </c>
      <c r="DU234" s="539">
        <f>DU223+DU213</f>
        <v>311.5</v>
      </c>
      <c r="DV234" s="542">
        <f>SUM(DR234:DU234)</f>
        <v>1394.0075000000002</v>
      </c>
      <c r="DW234" s="539">
        <f>DW223+DW213</f>
        <v>333.01750000000004</v>
      </c>
      <c r="DX234" s="539">
        <f>DX223+DX213</f>
        <v>317</v>
      </c>
      <c r="DY234" s="539">
        <f>DY223+DY213</f>
        <v>272.93400000000003</v>
      </c>
      <c r="DZ234" s="539">
        <f>DZ223+DZ213</f>
        <v>234.35750000000002</v>
      </c>
      <c r="EA234" s="542">
        <f>SUM(DW234:DZ234)</f>
        <v>1157.3090000000002</v>
      </c>
      <c r="EB234" s="713">
        <f>EB223+EB213</f>
        <v>229.58100000000002</v>
      </c>
      <c r="EC234" s="539">
        <f>EC223+EC213</f>
        <v>233.77604999999997</v>
      </c>
      <c r="ED234" s="539">
        <f>ED223+ED213</f>
        <v>226.08995849999999</v>
      </c>
      <c r="EE234" s="539">
        <f>EE223+EE213</f>
        <v>226.34393955000002</v>
      </c>
      <c r="EF234" s="542">
        <f>SUM(EB234:EE234)</f>
        <v>915.79094805</v>
      </c>
      <c r="EG234" s="539">
        <f>EG223+EG213</f>
        <v>196.94494804199996</v>
      </c>
      <c r="EH234" s="539">
        <f>EH223+EH213</f>
        <v>196.40026313005399</v>
      </c>
      <c r="EI234" s="539">
        <f>EI223+EI213</f>
        <v>170.40033368258224</v>
      </c>
      <c r="EJ234" s="539">
        <f>EJ223+EJ213</f>
        <v>149.71639424591518</v>
      </c>
      <c r="EK234" s="542">
        <f>SUM(EG234:EJ234)</f>
        <v>713.46193910055126</v>
      </c>
      <c r="EL234" s="539">
        <f>EL223+EL213</f>
        <v>135.85818463669875</v>
      </c>
      <c r="EM234" s="539">
        <f>EM223+EM213</f>
        <v>110.11771210730484</v>
      </c>
      <c r="EN234" s="539">
        <f>EN223+EN213</f>
        <v>131.58957325854013</v>
      </c>
      <c r="EO234" s="539">
        <f>EO223+EO213</f>
        <v>129.57421872565274</v>
      </c>
      <c r="EP234" s="542">
        <f>SUM(EL234:EO234)</f>
        <v>507.13968872819646</v>
      </c>
      <c r="EQ234" s="539">
        <f>EQ223+EQ213</f>
        <v>128.25256169465109</v>
      </c>
      <c r="ER234" s="539">
        <f>ER223+ER213</f>
        <v>138.10345590491281</v>
      </c>
      <c r="ES234" s="539">
        <f>ES223+ES213</f>
        <v>152.13476702485198</v>
      </c>
      <c r="ET234" s="539">
        <f>ET223+ET213</f>
        <v>157.3872097078019</v>
      </c>
      <c r="EU234" s="542">
        <f>SUM(EQ234:ET234)</f>
        <v>575.87799433221767</v>
      </c>
      <c r="EV234" s="668"/>
      <c r="EW234" s="668"/>
      <c r="EX234" s="668"/>
      <c r="EY234" s="668"/>
      <c r="EZ234" s="668"/>
      <c r="FA234" s="668"/>
      <c r="FB234" s="668"/>
      <c r="FC234" s="668"/>
      <c r="FD234" s="668"/>
      <c r="FE234" s="668"/>
      <c r="FF234" s="668"/>
      <c r="FG234" s="668"/>
      <c r="FH234" s="668"/>
      <c r="FI234" s="668"/>
      <c r="FJ234" s="668"/>
      <c r="FK234" s="668"/>
      <c r="FL234" s="668"/>
      <c r="FM234" s="668"/>
      <c r="FN234" s="668"/>
      <c r="FO234" s="668"/>
      <c r="FP234" s="668"/>
      <c r="FQ234" s="668"/>
      <c r="FR234" s="668"/>
      <c r="FS234" s="668"/>
      <c r="FT234" s="668"/>
      <c r="FU234" s="668"/>
      <c r="FV234" s="668"/>
      <c r="FW234" s="668"/>
      <c r="FX234" s="668"/>
      <c r="FY234" s="668"/>
      <c r="FZ234" s="668"/>
      <c r="GA234" s="668"/>
      <c r="GB234" s="668"/>
      <c r="GC234" s="668"/>
      <c r="GD234" s="668"/>
      <c r="GE234" s="668"/>
      <c r="GF234" s="668"/>
      <c r="GG234" s="668"/>
      <c r="GH234" s="668"/>
      <c r="GI234" s="668"/>
      <c r="GJ234" s="668"/>
      <c r="GK234" s="668"/>
      <c r="GL234" s="668"/>
      <c r="GM234" s="668"/>
      <c r="GN234" s="668"/>
      <c r="GO234" s="668"/>
      <c r="GP234" s="668"/>
      <c r="GQ234" s="668"/>
      <c r="GR234" s="668"/>
      <c r="GS234" s="668"/>
      <c r="GT234" s="668"/>
      <c r="GU234" s="668"/>
      <c r="GV234" s="668"/>
      <c r="GW234" s="668"/>
      <c r="GX234" s="668"/>
      <c r="GY234" s="668"/>
      <c r="GZ234" s="668"/>
      <c r="HA234" s="668"/>
      <c r="HB234" s="668"/>
      <c r="HC234" s="668"/>
      <c r="HD234" s="668"/>
      <c r="HE234" s="668"/>
      <c r="HF234" s="668"/>
      <c r="HG234" s="668"/>
      <c r="HH234" s="668"/>
      <c r="HI234" s="668"/>
      <c r="HJ234" s="668"/>
      <c r="HK234" s="668"/>
      <c r="HL234" s="668"/>
      <c r="HM234" s="668"/>
      <c r="HN234" s="668"/>
      <c r="HO234" s="542"/>
      <c r="HP234" s="563"/>
      <c r="HR234" s="563"/>
      <c r="HS234" s="563"/>
      <c r="HT234" s="563"/>
      <c r="HU234" s="563"/>
      <c r="HV234" s="563"/>
      <c r="HW234" s="563"/>
      <c r="HX234" s="563"/>
    </row>
    <row r="235" spans="1:232" s="509" customFormat="1" hidden="1" outlineLevel="1">
      <c r="A235" s="509" t="s">
        <v>488</v>
      </c>
      <c r="AO235" s="538"/>
      <c r="AT235" s="538"/>
      <c r="AY235" s="538"/>
      <c r="BD235" s="538"/>
      <c r="BI235" s="538"/>
      <c r="BN235" s="538"/>
      <c r="BS235" s="538"/>
      <c r="BX235" s="538"/>
      <c r="CC235" s="538"/>
      <c r="CH235" s="538"/>
      <c r="CM235" s="538"/>
      <c r="CV235" s="701" t="s">
        <v>199</v>
      </c>
      <c r="CW235" s="701" t="s">
        <v>199</v>
      </c>
      <c r="CX235" s="701" t="s">
        <v>199</v>
      </c>
      <c r="CY235" s="348">
        <f>(CY234/CX234)-1</f>
        <v>-1.0268219650832133E-2</v>
      </c>
      <c r="CZ235" s="348">
        <f>(CZ234/CY234)-1</f>
        <v>0.29224797357150067</v>
      </c>
      <c r="DA235" s="348">
        <f>(DA234/CZ234)-1</f>
        <v>2.7826276735050115E-2</v>
      </c>
      <c r="DB235" s="701" t="s">
        <v>199</v>
      </c>
      <c r="DC235" s="348">
        <f>(DC234/DA234)-1</f>
        <v>-0.11192367458425423</v>
      </c>
      <c r="DD235" s="348">
        <f>(DD234/DC234)-1</f>
        <v>-7.6562257166673642E-2</v>
      </c>
      <c r="DE235" s="348">
        <f>(DE234/DD234)-1</f>
        <v>0.59485924112607069</v>
      </c>
      <c r="DF235" s="348">
        <f>(DF234/DE234)-1</f>
        <v>-0.3524558710667689</v>
      </c>
      <c r="DG235" s="701" t="s">
        <v>199</v>
      </c>
      <c r="DH235" s="348">
        <f>(DH234/DF234)-1</f>
        <v>-0.12206267806267812</v>
      </c>
      <c r="DI235" s="348">
        <f>(DI234/DH234)-1</f>
        <v>0.184023676319786</v>
      </c>
      <c r="DJ235" s="348">
        <f>(DJ234/DI234)-1</f>
        <v>0.21939133485353457</v>
      </c>
      <c r="DK235" s="348">
        <f>(DK234/DJ234)-1</f>
        <v>0.25486388319487907</v>
      </c>
      <c r="DL235" s="701" t="s">
        <v>199</v>
      </c>
      <c r="DM235" s="348">
        <f>(DM234/DK234)-1</f>
        <v>3.1982575800997282E-2</v>
      </c>
      <c r="DN235" s="348">
        <f>(DN234/DM234)-1</f>
        <v>4.3599000277700473E-2</v>
      </c>
      <c r="DO235" s="348">
        <f>(DO234/DN234)-1</f>
        <v>-8.1798829164449027E-2</v>
      </c>
      <c r="DP235" s="348">
        <f>(DP234/DO234)-1</f>
        <v>2.0460209818582209E-2</v>
      </c>
      <c r="DQ235" s="701" t="s">
        <v>199</v>
      </c>
      <c r="DR235" s="348">
        <f>(DR234/DP234)-1</f>
        <v>9.238327842780869E-2</v>
      </c>
      <c r="DS235" s="348">
        <f>(DS234/DR234)-1</f>
        <v>-0.11367476927076559</v>
      </c>
      <c r="DT235" s="348">
        <f>(DT234/DS234)-1</f>
        <v>4.6953142186697994E-2</v>
      </c>
      <c r="DU235" s="348">
        <f>(DU234/DT234)-1</f>
        <v>-0.12728597143717646</v>
      </c>
      <c r="DV235" s="701" t="s">
        <v>199</v>
      </c>
      <c r="DW235" s="348">
        <f>(DW234/DU234)-1</f>
        <v>6.9077046548956744E-2</v>
      </c>
      <c r="DX235" s="348">
        <f>(DX234/DW234)-1</f>
        <v>-4.8098072924095736E-2</v>
      </c>
      <c r="DY235" s="348">
        <f>(DY234/DX234)-1</f>
        <v>-0.13900946372239742</v>
      </c>
      <c r="DZ235" s="348">
        <f>(DZ234/DY234)-1</f>
        <v>-0.14134003092322689</v>
      </c>
      <c r="EA235" s="701" t="s">
        <v>199</v>
      </c>
      <c r="EB235" s="352">
        <f>(EB234/DZ234)-1</f>
        <v>-2.0381255133716691E-2</v>
      </c>
      <c r="EC235" s="348">
        <f>(EC234/EB234)-1</f>
        <v>1.8272635801742876E-2</v>
      </c>
      <c r="ED235" s="348">
        <f>(ED234/EC234)-1</f>
        <v>-3.2878010814195835E-2</v>
      </c>
      <c r="EE235" s="348">
        <f>(EE234/ED234)-1</f>
        <v>1.1233628051641187E-3</v>
      </c>
      <c r="EF235" s="701" t="s">
        <v>199</v>
      </c>
      <c r="EG235" s="348">
        <f>(EG234/EE234)-1</f>
        <v>-0.12988636482359062</v>
      </c>
      <c r="EH235" s="348">
        <f>(EH234/EG234)-1</f>
        <v>-2.7656709012400249E-3</v>
      </c>
      <c r="EI235" s="294">
        <f>(EI234/EH234)-1</f>
        <v>-0.13238235546688082</v>
      </c>
      <c r="EJ235" s="348">
        <f>(EJ234/EI234)-1</f>
        <v>-0.12138438340852442</v>
      </c>
      <c r="EK235" s="701" t="s">
        <v>199</v>
      </c>
      <c r="EL235" s="348">
        <f>(EL234/EJ234)-1</f>
        <v>-9.2563073529901896E-2</v>
      </c>
      <c r="EM235" s="348">
        <f>(EM234/EL234)-1</f>
        <v>-0.1894657476708308</v>
      </c>
      <c r="EN235" s="348">
        <f>(EN234/EM234)-1</f>
        <v>0.19499007689436842</v>
      </c>
      <c r="EO235" s="348">
        <f>(EO234/EN234)-1</f>
        <v>-1.5315457623133466E-2</v>
      </c>
      <c r="EP235" s="701" t="s">
        <v>199</v>
      </c>
      <c r="EQ235" s="348">
        <f>(EQ234/EO234)-1</f>
        <v>-1.0199999999999987E-2</v>
      </c>
      <c r="ER235" s="348">
        <f>(ER234/EQ234)-1</f>
        <v>7.6808557116505138E-2</v>
      </c>
      <c r="ES235" s="348">
        <f>(ES234/ER234)-1</f>
        <v>0.10160000000000036</v>
      </c>
      <c r="ET235" s="348">
        <f>(ET234/ES234)-1</f>
        <v>3.4524933292150894E-2</v>
      </c>
      <c r="EU235" s="701" t="s">
        <v>199</v>
      </c>
      <c r="EV235" s="668"/>
      <c r="EW235" s="668"/>
      <c r="EX235" s="668"/>
      <c r="EY235" s="668"/>
      <c r="EZ235" s="668"/>
      <c r="FA235" s="668"/>
      <c r="FB235" s="668"/>
      <c r="FC235" s="668"/>
      <c r="FD235" s="668"/>
      <c r="FE235" s="668"/>
      <c r="FF235" s="668"/>
      <c r="FG235" s="668"/>
      <c r="FH235" s="668"/>
      <c r="FI235" s="668"/>
      <c r="FJ235" s="668"/>
      <c r="FK235" s="668"/>
      <c r="FL235" s="668"/>
      <c r="FM235" s="668"/>
      <c r="FN235" s="668"/>
      <c r="FO235" s="668"/>
      <c r="FP235" s="668"/>
      <c r="FQ235" s="668"/>
      <c r="FR235" s="668"/>
      <c r="FS235" s="668"/>
      <c r="FT235" s="668"/>
      <c r="FU235" s="668"/>
      <c r="FV235" s="668"/>
      <c r="FW235" s="668"/>
      <c r="FX235" s="668"/>
      <c r="FY235" s="668"/>
      <c r="FZ235" s="668"/>
      <c r="GA235" s="668"/>
      <c r="GB235" s="668"/>
      <c r="GC235" s="668"/>
      <c r="GD235" s="668"/>
      <c r="GE235" s="668"/>
      <c r="GF235" s="668"/>
      <c r="GG235" s="668"/>
      <c r="GH235" s="668"/>
      <c r="GI235" s="668"/>
      <c r="GJ235" s="668"/>
      <c r="GK235" s="668"/>
      <c r="GL235" s="668"/>
      <c r="GM235" s="668"/>
      <c r="GN235" s="668"/>
      <c r="GO235" s="668"/>
      <c r="GP235" s="668"/>
      <c r="GQ235" s="668"/>
      <c r="GR235" s="668"/>
      <c r="GS235" s="668"/>
      <c r="GT235" s="668"/>
      <c r="GU235" s="668"/>
      <c r="GV235" s="668"/>
      <c r="GW235" s="668"/>
      <c r="GX235" s="668"/>
      <c r="GY235" s="668"/>
      <c r="GZ235" s="668"/>
      <c r="HA235" s="668"/>
      <c r="HB235" s="668"/>
      <c r="HC235" s="668"/>
      <c r="HD235" s="668"/>
      <c r="HE235" s="668"/>
      <c r="HF235" s="668"/>
      <c r="HG235" s="668"/>
      <c r="HH235" s="668"/>
      <c r="HI235" s="668"/>
      <c r="HJ235" s="668"/>
      <c r="HK235" s="668"/>
      <c r="HL235" s="668"/>
      <c r="HM235" s="668"/>
      <c r="HN235" s="668"/>
      <c r="HO235" s="701"/>
      <c r="HP235" s="563"/>
      <c r="HR235" s="563"/>
      <c r="HS235" s="563"/>
      <c r="HT235" s="563"/>
      <c r="HU235" s="563"/>
      <c r="HV235" s="563"/>
      <c r="HW235" s="563"/>
      <c r="HX235" s="563"/>
    </row>
    <row r="236" spans="1:232" s="509" customFormat="1" hidden="1" outlineLevel="1">
      <c r="A236" s="509" t="s">
        <v>489</v>
      </c>
      <c r="AO236" s="538"/>
      <c r="AT236" s="538"/>
      <c r="AY236" s="538"/>
      <c r="BD236" s="538"/>
      <c r="BI236" s="538"/>
      <c r="BN236" s="538"/>
      <c r="BS236" s="538"/>
      <c r="BX236" s="538"/>
      <c r="CC236" s="538"/>
      <c r="CH236" s="538"/>
      <c r="CM236" s="538"/>
      <c r="CV236" s="701" t="s">
        <v>199</v>
      </c>
      <c r="CW236" s="701" t="s">
        <v>199</v>
      </c>
      <c r="CX236" s="701" t="s">
        <v>199</v>
      </c>
      <c r="CY236" s="701" t="s">
        <v>199</v>
      </c>
      <c r="CZ236" s="701" t="s">
        <v>199</v>
      </c>
      <c r="DA236" s="701" t="s">
        <v>199</v>
      </c>
      <c r="DB236" s="701" t="s">
        <v>199</v>
      </c>
      <c r="DC236" s="348">
        <f t="shared" ref="DC236:EU236" si="258">(DC234/CX234)-1</f>
        <v>0.16743681485992701</v>
      </c>
      <c r="DD236" s="348">
        <f t="shared" si="258"/>
        <v>8.9239770429975884E-2</v>
      </c>
      <c r="DE236" s="348">
        <f t="shared" si="258"/>
        <v>0.34431173366136258</v>
      </c>
      <c r="DF236" s="348">
        <f t="shared" si="258"/>
        <v>-0.15306585335250789</v>
      </c>
      <c r="DG236" s="321">
        <f t="shared" si="258"/>
        <v>0.10798212911957483</v>
      </c>
      <c r="DH236" s="348">
        <f t="shared" si="258"/>
        <v>-0.16273514417031554</v>
      </c>
      <c r="DI236" s="348">
        <f t="shared" si="258"/>
        <v>7.3533565577629023E-2</v>
      </c>
      <c r="DJ236" s="348">
        <f t="shared" si="258"/>
        <v>-0.17920184190330002</v>
      </c>
      <c r="DK236" s="348">
        <f t="shared" si="258"/>
        <v>0.5906096866096866</v>
      </c>
      <c r="DL236" s="321">
        <f t="shared" si="258"/>
        <v>4.7012225332279778E-2</v>
      </c>
      <c r="DM236" s="348">
        <f t="shared" si="258"/>
        <v>0.86970235854567179</v>
      </c>
      <c r="DN236" s="348">
        <f t="shared" si="258"/>
        <v>0.64795649885984896</v>
      </c>
      <c r="DO236" s="348">
        <f t="shared" si="258"/>
        <v>0.24091056208868267</v>
      </c>
      <c r="DP236" s="348">
        <f t="shared" si="258"/>
        <v>9.1133146099615647E-3</v>
      </c>
      <c r="DQ236" s="321">
        <f t="shared" si="258"/>
        <v>0.36790284900216896</v>
      </c>
      <c r="DR236" s="348">
        <f t="shared" si="258"/>
        <v>6.8175506803665575E-2</v>
      </c>
      <c r="DS236" s="348">
        <f t="shared" si="258"/>
        <v>-9.2802022352314939E-2</v>
      </c>
      <c r="DT236" s="348">
        <f t="shared" si="258"/>
        <v>3.4407059641801352E-2</v>
      </c>
      <c r="DU236" s="348">
        <f t="shared" si="258"/>
        <v>-0.11535840054526869</v>
      </c>
      <c r="DV236" s="321">
        <f t="shared" si="258"/>
        <v>-2.72647025985987E-2</v>
      </c>
      <c r="DW236" s="348">
        <f t="shared" si="258"/>
        <v>-0.13423241908228245</v>
      </c>
      <c r="DX236" s="348">
        <f t="shared" si="258"/>
        <v>-7.0176725086162683E-2</v>
      </c>
      <c r="DY236" s="348">
        <f t="shared" si="258"/>
        <v>-0.23533441196864946</v>
      </c>
      <c r="DZ236" s="348">
        <f t="shared" si="258"/>
        <v>-0.24764847512038524</v>
      </c>
      <c r="EA236" s="321">
        <f t="shared" si="258"/>
        <v>-0.16979714958491965</v>
      </c>
      <c r="EB236" s="352">
        <f t="shared" si="258"/>
        <v>-0.3106037970977501</v>
      </c>
      <c r="EC236" s="348">
        <f t="shared" si="258"/>
        <v>-0.26253611987381709</v>
      </c>
      <c r="ED236" s="348">
        <f t="shared" si="258"/>
        <v>-0.17163138890720842</v>
      </c>
      <c r="EE236" s="348">
        <f t="shared" si="258"/>
        <v>-3.4193744386247449E-2</v>
      </c>
      <c r="EF236" s="321">
        <f t="shared" si="258"/>
        <v>-0.20868934048728571</v>
      </c>
      <c r="EG236" s="348">
        <f t="shared" si="258"/>
        <v>-0.14215484712585125</v>
      </c>
      <c r="EH236" s="348">
        <f t="shared" si="258"/>
        <v>-0.15987859693046391</v>
      </c>
      <c r="EI236" s="294">
        <f t="shared" si="258"/>
        <v>-0.24631622380264961</v>
      </c>
      <c r="EJ236" s="348">
        <f t="shared" si="258"/>
        <v>-0.33854471852186518</v>
      </c>
      <c r="EK236" s="321">
        <f t="shared" si="258"/>
        <v>-0.2209336195998326</v>
      </c>
      <c r="EL236" s="348">
        <f t="shared" si="258"/>
        <v>-0.31017177141438534</v>
      </c>
      <c r="EM236" s="348">
        <f t="shared" si="258"/>
        <v>-0.43931993596981</v>
      </c>
      <c r="EN236" s="348">
        <f t="shared" si="258"/>
        <v>-0.22776223253375716</v>
      </c>
      <c r="EO236" s="348">
        <f t="shared" si="258"/>
        <v>-0.13453553715151667</v>
      </c>
      <c r="EP236" s="321">
        <f t="shared" si="258"/>
        <v>-0.28918466293024903</v>
      </c>
      <c r="EQ236" s="348">
        <f t="shared" si="258"/>
        <v>-5.5982073972105639E-2</v>
      </c>
      <c r="ER236" s="348">
        <f t="shared" si="258"/>
        <v>0.25414389076969823</v>
      </c>
      <c r="ES236" s="348">
        <f t="shared" si="258"/>
        <v>0.1561308640004917</v>
      </c>
      <c r="ET236" s="348">
        <f t="shared" si="258"/>
        <v>0.21464911195827896</v>
      </c>
      <c r="EU236" s="321">
        <f t="shared" si="258"/>
        <v>0.13554116771338287</v>
      </c>
      <c r="EV236" s="668"/>
      <c r="EW236" s="668"/>
      <c r="EX236" s="668"/>
      <c r="EY236" s="668"/>
      <c r="EZ236" s="668"/>
      <c r="FA236" s="668"/>
      <c r="FB236" s="668"/>
      <c r="FC236" s="668"/>
      <c r="FD236" s="668"/>
      <c r="FE236" s="668"/>
      <c r="FF236" s="668"/>
      <c r="FG236" s="668"/>
      <c r="FH236" s="668"/>
      <c r="FI236" s="668"/>
      <c r="FJ236" s="668"/>
      <c r="FK236" s="668"/>
      <c r="FL236" s="668"/>
      <c r="FM236" s="668"/>
      <c r="FN236" s="668"/>
      <c r="FO236" s="668"/>
      <c r="FP236" s="668"/>
      <c r="FQ236" s="668"/>
      <c r="FR236" s="668"/>
      <c r="FS236" s="668"/>
      <c r="FT236" s="668"/>
      <c r="FU236" s="668"/>
      <c r="FV236" s="668"/>
      <c r="FW236" s="668"/>
      <c r="FX236" s="668"/>
      <c r="FY236" s="668"/>
      <c r="FZ236" s="668"/>
      <c r="GA236" s="668"/>
      <c r="GB236" s="668"/>
      <c r="GC236" s="668"/>
      <c r="GD236" s="668"/>
      <c r="GE236" s="668"/>
      <c r="GF236" s="668"/>
      <c r="GG236" s="668"/>
      <c r="GH236" s="668"/>
      <c r="GI236" s="668"/>
      <c r="GJ236" s="668"/>
      <c r="GK236" s="668"/>
      <c r="GL236" s="668"/>
      <c r="GM236" s="668"/>
      <c r="GN236" s="668"/>
      <c r="GO236" s="668"/>
      <c r="GP236" s="668"/>
      <c r="GQ236" s="668"/>
      <c r="GR236" s="668"/>
      <c r="GS236" s="668"/>
      <c r="GT236" s="668"/>
      <c r="GU236" s="668"/>
      <c r="GV236" s="668"/>
      <c r="GW236" s="668"/>
      <c r="GX236" s="668"/>
      <c r="GY236" s="668"/>
      <c r="GZ236" s="668"/>
      <c r="HA236" s="668"/>
      <c r="HB236" s="668"/>
      <c r="HC236" s="668"/>
      <c r="HD236" s="668"/>
      <c r="HE236" s="668"/>
      <c r="HF236" s="668"/>
      <c r="HG236" s="668"/>
      <c r="HH236" s="668"/>
      <c r="HI236" s="668"/>
      <c r="HJ236" s="668"/>
      <c r="HK236" s="668"/>
      <c r="HL236" s="668"/>
      <c r="HM236" s="668"/>
      <c r="HN236" s="668"/>
      <c r="HO236" s="344"/>
      <c r="HP236" s="563"/>
      <c r="HR236" s="563"/>
      <c r="HS236" s="563"/>
      <c r="HT236" s="563"/>
      <c r="HU236" s="563"/>
      <c r="HV236" s="563"/>
      <c r="HW236" s="563"/>
      <c r="HX236" s="563"/>
    </row>
    <row r="237" spans="1:232" s="509" customFormat="1" hidden="1" outlineLevel="1">
      <c r="AO237" s="538"/>
      <c r="AT237" s="538"/>
      <c r="AY237" s="538"/>
      <c r="BD237" s="538"/>
      <c r="BI237" s="538"/>
      <c r="BN237" s="538"/>
      <c r="BS237" s="538"/>
      <c r="BX237" s="538"/>
      <c r="CC237" s="538"/>
      <c r="CH237" s="538"/>
      <c r="CM237" s="538"/>
      <c r="CV237" s="701"/>
      <c r="CW237" s="701"/>
      <c r="CX237" s="701"/>
      <c r="CY237" s="701"/>
      <c r="CZ237" s="701"/>
      <c r="DA237" s="701"/>
      <c r="DB237" s="701"/>
      <c r="DC237" s="348"/>
      <c r="DD237" s="348"/>
      <c r="DE237" s="348"/>
      <c r="DF237" s="348"/>
      <c r="DG237" s="321"/>
      <c r="DH237" s="348"/>
      <c r="DI237" s="348"/>
      <c r="DJ237" s="348"/>
      <c r="DK237" s="348"/>
      <c r="DL237" s="321"/>
      <c r="DM237" s="348"/>
      <c r="DN237" s="348"/>
      <c r="DO237" s="348"/>
      <c r="DP237" s="348"/>
      <c r="DQ237" s="321"/>
      <c r="DR237" s="348"/>
      <c r="DS237" s="348"/>
      <c r="DT237" s="348"/>
      <c r="DU237" s="348"/>
      <c r="DV237" s="321"/>
      <c r="DW237" s="348"/>
      <c r="DX237" s="348"/>
      <c r="DY237" s="348"/>
      <c r="DZ237" s="348"/>
      <c r="EA237" s="321"/>
      <c r="EB237" s="352"/>
      <c r="EC237" s="348"/>
      <c r="ED237" s="348"/>
      <c r="EE237" s="348"/>
      <c r="EF237" s="321"/>
      <c r="EG237" s="348"/>
      <c r="EH237" s="348"/>
      <c r="EI237" s="294"/>
      <c r="EJ237" s="348"/>
      <c r="EK237" s="321"/>
      <c r="EL237" s="348"/>
      <c r="EM237" s="348"/>
      <c r="EN237" s="348"/>
      <c r="EO237" s="348"/>
      <c r="EP237" s="321"/>
      <c r="EQ237" s="348"/>
      <c r="ER237" s="348"/>
      <c r="ES237" s="348"/>
      <c r="ET237" s="348"/>
      <c r="EU237" s="321"/>
      <c r="EV237" s="668"/>
      <c r="EW237" s="668"/>
      <c r="EX237" s="668"/>
      <c r="EY237" s="668"/>
      <c r="EZ237" s="668"/>
      <c r="FA237" s="668"/>
      <c r="FB237" s="668"/>
      <c r="FC237" s="668"/>
      <c r="FD237" s="668"/>
      <c r="FE237" s="668"/>
      <c r="FF237" s="668"/>
      <c r="FG237" s="668"/>
      <c r="FH237" s="668"/>
      <c r="FI237" s="668"/>
      <c r="FJ237" s="668"/>
      <c r="FK237" s="668"/>
      <c r="FL237" s="668"/>
      <c r="FM237" s="668"/>
      <c r="FN237" s="668"/>
      <c r="FO237" s="668"/>
      <c r="FP237" s="668"/>
      <c r="FQ237" s="668"/>
      <c r="FR237" s="668"/>
      <c r="FS237" s="668"/>
      <c r="FT237" s="668"/>
      <c r="FU237" s="668"/>
      <c r="FV237" s="668"/>
      <c r="FW237" s="668"/>
      <c r="FX237" s="668"/>
      <c r="FY237" s="668"/>
      <c r="FZ237" s="668"/>
      <c r="GA237" s="668"/>
      <c r="GB237" s="668"/>
      <c r="GC237" s="668"/>
      <c r="GD237" s="668"/>
      <c r="GE237" s="668"/>
      <c r="GF237" s="668"/>
      <c r="GG237" s="668"/>
      <c r="GH237" s="668"/>
      <c r="GI237" s="668"/>
      <c r="GJ237" s="668"/>
      <c r="GK237" s="668"/>
      <c r="GL237" s="668"/>
      <c r="GM237" s="668"/>
      <c r="GN237" s="668"/>
      <c r="GO237" s="668"/>
      <c r="GP237" s="668"/>
      <c r="GQ237" s="668"/>
      <c r="GR237" s="668"/>
      <c r="GS237" s="668"/>
      <c r="GT237" s="668"/>
      <c r="GU237" s="668"/>
      <c r="GV237" s="668"/>
      <c r="GW237" s="668"/>
      <c r="GX237" s="668"/>
      <c r="GY237" s="668"/>
      <c r="GZ237" s="668"/>
      <c r="HA237" s="668"/>
      <c r="HB237" s="668"/>
      <c r="HC237" s="668"/>
      <c r="HD237" s="668"/>
      <c r="HE237" s="668"/>
      <c r="HF237" s="668"/>
      <c r="HG237" s="668"/>
      <c r="HH237" s="668"/>
      <c r="HI237" s="668"/>
      <c r="HJ237" s="668"/>
      <c r="HK237" s="668"/>
      <c r="HL237" s="668"/>
      <c r="HM237" s="668"/>
      <c r="HN237" s="668"/>
      <c r="HO237" s="344"/>
      <c r="HP237" s="563"/>
      <c r="HR237" s="563"/>
      <c r="HS237" s="563"/>
      <c r="HT237" s="563"/>
      <c r="HU237" s="563"/>
      <c r="HV237" s="563"/>
      <c r="HW237" s="563"/>
      <c r="HX237" s="563"/>
    </row>
    <row r="238" spans="1:232" s="509" customFormat="1" hidden="1" outlineLevel="1">
      <c r="A238" s="723" t="s">
        <v>504</v>
      </c>
      <c r="AO238" s="538"/>
      <c r="AT238" s="538"/>
      <c r="AY238" s="538"/>
      <c r="BD238" s="538"/>
      <c r="BI238" s="538"/>
      <c r="BN238" s="538"/>
      <c r="BS238" s="538"/>
      <c r="BX238" s="538"/>
      <c r="CC238" s="538"/>
      <c r="CH238" s="538"/>
      <c r="CM238" s="538"/>
      <c r="CW238" s="701"/>
      <c r="CX238" s="539">
        <f>CX337-CX234</f>
        <v>-3.9999999999992042E-2</v>
      </c>
      <c r="CY238" s="539">
        <f>CY337-CY234</f>
        <v>-1.6750000000030241E-2</v>
      </c>
      <c r="CZ238" s="539">
        <f>CZ337-CZ234</f>
        <v>-9.9999999999909051E-3</v>
      </c>
      <c r="DA238" s="539">
        <f>DA337-DA234</f>
        <v>-2.2499999999979536E-2</v>
      </c>
      <c r="DB238" s="542"/>
      <c r="DC238" s="539">
        <f>DC337-DC234</f>
        <v>-3.1749999999988177E-2</v>
      </c>
      <c r="DD238" s="539">
        <f>DD337-DD234</f>
        <v>35.579999999999984</v>
      </c>
      <c r="DE238" s="539">
        <f>DE337-DE234</f>
        <v>46.220000000000027</v>
      </c>
      <c r="DF238" s="539">
        <f>DF337-DF234</f>
        <v>50.625</v>
      </c>
      <c r="DG238" s="542">
        <f>SUM(DC238:DF238)</f>
        <v>132.39325000000002</v>
      </c>
      <c r="DH238" s="539">
        <f>DH337-DH234</f>
        <v>29.402500000000003</v>
      </c>
      <c r="DI238" s="539">
        <f>DI337-DI234</f>
        <v>22.960000000000008</v>
      </c>
      <c r="DJ238" s="539">
        <f>DJ337-DJ234</f>
        <v>27.930000000000007</v>
      </c>
      <c r="DK238" s="539">
        <f>DK337-DK234</f>
        <v>78.06</v>
      </c>
      <c r="DL238" s="542">
        <f>SUM(DH238:DK238)</f>
        <v>158.35250000000002</v>
      </c>
      <c r="DM238" s="539">
        <f>DM337-DM234</f>
        <v>48.899999999999977</v>
      </c>
      <c r="DN238" s="539">
        <f>DN337-DN234</f>
        <v>64.200000000000045</v>
      </c>
      <c r="DO238" s="539">
        <f>DO337-DO234</f>
        <v>44.94</v>
      </c>
      <c r="DP238" s="539">
        <f>DP337-DP234</f>
        <v>71.88</v>
      </c>
      <c r="DQ238" s="542">
        <f>SUM(DM238:DP238)</f>
        <v>229.92000000000002</v>
      </c>
      <c r="DR238" s="539">
        <f>DR337-DR234</f>
        <v>28.350000000000023</v>
      </c>
      <c r="DS238" s="539">
        <f>DS337-DS234</f>
        <v>26.074999999999989</v>
      </c>
      <c r="DT238" s="539">
        <f>DT337-DT234</f>
        <v>46.067499999999995</v>
      </c>
      <c r="DU238" s="539">
        <f>DU337-DU234</f>
        <v>70.5</v>
      </c>
      <c r="DV238" s="542">
        <f>SUM(DR238:DU238)</f>
        <v>170.99250000000001</v>
      </c>
      <c r="DW238" s="539">
        <f>DW337-DW234</f>
        <v>48.982499999999959</v>
      </c>
      <c r="DX238" s="539">
        <f>DX337-DX234</f>
        <v>50</v>
      </c>
      <c r="DY238" s="539">
        <f>DY337-DY234</f>
        <v>69.065999999999974</v>
      </c>
      <c r="DZ238" s="539">
        <f>DZ337-DZ234</f>
        <v>91.642499999999984</v>
      </c>
      <c r="EA238" s="542">
        <f>SUM(DW238:DZ238)</f>
        <v>259.69099999999992</v>
      </c>
      <c r="EB238" s="725">
        <f>+EB246-EB234-EB201</f>
        <v>154.57870000000003</v>
      </c>
      <c r="EC238" s="713">
        <f>+EC246-EC234-EC201</f>
        <v>137.45645000000013</v>
      </c>
      <c r="ED238" s="713">
        <f>+ED246-ED234-ED201</f>
        <v>89.74134150000009</v>
      </c>
      <c r="EE238" s="713">
        <f>+EE246-EE234-EE201</f>
        <v>110.2097104500001</v>
      </c>
      <c r="EF238" s="542">
        <f>SUM(EB238:EE238)</f>
        <v>491.98620195000035</v>
      </c>
      <c r="EG238" s="713">
        <f>+EG246-EG234-EG201</f>
        <v>138.52890195800012</v>
      </c>
      <c r="EH238" s="713">
        <f>+EH246-EH234-EH201</f>
        <v>60.860236869946107</v>
      </c>
      <c r="EI238" s="713">
        <f>+EI246-EI234-EI201</f>
        <v>18.823011317417922</v>
      </c>
      <c r="EJ238" s="713">
        <f>+EJ246-EJ234-EJ201</f>
        <v>0.55326409670328758</v>
      </c>
      <c r="EK238" s="542">
        <f>+SUM(EG238:EJ238)</f>
        <v>218.76541424206744</v>
      </c>
      <c r="EL238" s="713">
        <f>+EL246-EL234-EL201</f>
        <v>8.3009003633012526</v>
      </c>
      <c r="EM238" s="713">
        <f>+EM246-EM234-EM201</f>
        <v>11.919272892695119</v>
      </c>
      <c r="EN238" s="713">
        <f>+EN246-EN234-EN201</f>
        <v>24.39966731212985</v>
      </c>
      <c r="EO238" s="539">
        <f>+EN238*(1+EO239)</f>
        <v>12.199833656064925</v>
      </c>
      <c r="EP238" s="542">
        <f>+SUM(EL238:EO238)</f>
        <v>56.819674224191147</v>
      </c>
      <c r="EQ238" s="539">
        <f>+EO238*(1+EQ239)</f>
        <v>10.369858607655186</v>
      </c>
      <c r="ER238" s="539">
        <f>+EQ238*(1+ER239)</f>
        <v>10.888351538037945</v>
      </c>
      <c r="ES238" s="539">
        <f>+ER238*(1+ES239)</f>
        <v>11.977186691841741</v>
      </c>
      <c r="ET238" s="539">
        <f>+ES238*(1+ET239)</f>
        <v>12.576046026433829</v>
      </c>
      <c r="EU238" s="542">
        <f>+SUM(EQ238:ET238)</f>
        <v>45.811442863968701</v>
      </c>
      <c r="EV238" s="668"/>
      <c r="EW238" s="668"/>
      <c r="EX238" s="668"/>
      <c r="EY238" s="668"/>
      <c r="EZ238" s="668"/>
      <c r="FA238" s="668"/>
      <c r="FB238" s="668"/>
      <c r="FC238" s="668"/>
      <c r="FD238" s="668"/>
      <c r="FE238" s="668"/>
      <c r="FF238" s="668"/>
      <c r="FG238" s="668"/>
      <c r="FH238" s="668"/>
      <c r="FI238" s="668"/>
      <c r="FJ238" s="668"/>
      <c r="FK238" s="668"/>
      <c r="FL238" s="668"/>
      <c r="FM238" s="668"/>
      <c r="FN238" s="668"/>
      <c r="FO238" s="668"/>
      <c r="FP238" s="668"/>
      <c r="FQ238" s="668"/>
      <c r="FR238" s="668"/>
      <c r="FS238" s="668"/>
      <c r="FT238" s="668"/>
      <c r="FU238" s="668"/>
      <c r="FV238" s="668"/>
      <c r="FW238" s="668"/>
      <c r="FX238" s="668"/>
      <c r="FY238" s="668"/>
      <c r="FZ238" s="668"/>
      <c r="GA238" s="668"/>
      <c r="GB238" s="668"/>
      <c r="GC238" s="668"/>
      <c r="GD238" s="668"/>
      <c r="GE238" s="668"/>
      <c r="GF238" s="668"/>
      <c r="GG238" s="668"/>
      <c r="GH238" s="668"/>
      <c r="GI238" s="668"/>
      <c r="GJ238" s="668"/>
      <c r="GK238" s="668"/>
      <c r="GL238" s="668"/>
      <c r="GM238" s="668"/>
      <c r="GN238" s="668"/>
      <c r="GO238" s="668"/>
      <c r="GP238" s="668"/>
      <c r="GQ238" s="668"/>
      <c r="GR238" s="668"/>
      <c r="GS238" s="668"/>
      <c r="GT238" s="668"/>
      <c r="GU238" s="668"/>
      <c r="GV238" s="668"/>
      <c r="GW238" s="668"/>
      <c r="GX238" s="668"/>
      <c r="GY238" s="668"/>
      <c r="GZ238" s="668"/>
      <c r="HA238" s="668"/>
      <c r="HB238" s="668"/>
      <c r="HC238" s="668"/>
      <c r="HD238" s="668"/>
      <c r="HE238" s="668"/>
      <c r="HF238" s="668"/>
      <c r="HG238" s="668"/>
      <c r="HH238" s="668"/>
      <c r="HI238" s="668"/>
      <c r="HJ238" s="668"/>
      <c r="HK238" s="668"/>
      <c r="HL238" s="668"/>
      <c r="HM238" s="668"/>
      <c r="HN238" s="668"/>
      <c r="HO238" s="542"/>
      <c r="HP238" s="726"/>
      <c r="HR238" s="563"/>
      <c r="HS238" s="563"/>
      <c r="HT238" s="563"/>
      <c r="HU238" s="563"/>
      <c r="HV238" s="563"/>
      <c r="HW238" s="563"/>
      <c r="HX238" s="563"/>
    </row>
    <row r="239" spans="1:232" s="509" customFormat="1" hidden="1" outlineLevel="1">
      <c r="A239" s="509" t="s">
        <v>488</v>
      </c>
      <c r="AO239" s="538"/>
      <c r="AT239" s="538"/>
      <c r="AY239" s="538"/>
      <c r="BD239" s="538"/>
      <c r="BI239" s="538"/>
      <c r="BN239" s="538"/>
      <c r="BS239" s="538"/>
      <c r="BX239" s="538"/>
      <c r="CC239" s="538"/>
      <c r="CH239" s="538"/>
      <c r="CM239" s="538"/>
      <c r="CV239" s="701"/>
      <c r="CW239" s="701"/>
      <c r="CX239" s="701"/>
      <c r="CY239" s="348"/>
      <c r="CZ239" s="348"/>
      <c r="DA239" s="348"/>
      <c r="DB239" s="701"/>
      <c r="DC239" s="348"/>
      <c r="DD239" s="348"/>
      <c r="DE239" s="348"/>
      <c r="DF239" s="348"/>
      <c r="DG239" s="701"/>
      <c r="DH239" s="348">
        <f>(DH238/DF238)-1</f>
        <v>-0.41920987654320985</v>
      </c>
      <c r="DI239" s="348">
        <f>(DI238/DH238)-1</f>
        <v>-0.21911402091658849</v>
      </c>
      <c r="DJ239" s="348">
        <f>(DJ238/DI238)-1</f>
        <v>0.2164634146341462</v>
      </c>
      <c r="DK239" s="348">
        <f>(DK238/DJ238)-1</f>
        <v>1.7948442534908695</v>
      </c>
      <c r="DL239" s="701" t="s">
        <v>199</v>
      </c>
      <c r="DM239" s="348">
        <f>(DM238/DK238)-1</f>
        <v>-0.37355880092236771</v>
      </c>
      <c r="DN239" s="348">
        <f>(DN238/DM238)-1</f>
        <v>0.31288343558282361</v>
      </c>
      <c r="DO239" s="348">
        <f>(DO238/DN238)-1</f>
        <v>-0.30000000000000049</v>
      </c>
      <c r="DP239" s="348">
        <f>(DP238/DO238)-1</f>
        <v>0.5994659546061416</v>
      </c>
      <c r="DQ239" s="701" t="s">
        <v>199</v>
      </c>
      <c r="DR239" s="348">
        <f>(DR238/DP238)-1</f>
        <v>-0.60559265442403976</v>
      </c>
      <c r="DS239" s="348">
        <f>(DS238/DR238)-1</f>
        <v>-8.0246913580248047E-2</v>
      </c>
      <c r="DT239" s="348">
        <f>(DT238/DS238)-1</f>
        <v>0.76673058485139078</v>
      </c>
      <c r="DU239" s="348">
        <f>(DU238/DT238)-1</f>
        <v>0.53036305421392527</v>
      </c>
      <c r="DV239" s="701" t="s">
        <v>199</v>
      </c>
      <c r="DW239" s="348">
        <f>(DW238/DU238)-1</f>
        <v>-0.3052127659574474</v>
      </c>
      <c r="DX239" s="348">
        <f>(DX238/DW238)-1</f>
        <v>2.0772724952790034E-2</v>
      </c>
      <c r="DY239" s="348">
        <f>(DY238/DX238)-1</f>
        <v>0.38131999999999944</v>
      </c>
      <c r="DZ239" s="348">
        <f>(DZ238/DY238)-1</f>
        <v>0.32688298149596062</v>
      </c>
      <c r="EA239" s="701" t="s">
        <v>199</v>
      </c>
      <c r="EB239" s="352">
        <f>EB238/DZ238-1</f>
        <v>0.68675778159696699</v>
      </c>
      <c r="EC239" s="352">
        <f>EC238/EB238-1</f>
        <v>-0.11076720143202068</v>
      </c>
      <c r="ED239" s="352">
        <f>ED238/EC238-1</f>
        <v>-0.34712891610397323</v>
      </c>
      <c r="EE239" s="352">
        <f>EE238/ED238-1</f>
        <v>0.22808182503044039</v>
      </c>
      <c r="EF239" s="701" t="s">
        <v>199</v>
      </c>
      <c r="EG239" s="352">
        <f>EG238/EE238-1</f>
        <v>0.25695731703104197</v>
      </c>
      <c r="EH239" s="352">
        <f>EH238/EG238-1</f>
        <v>-0.56066758626010027</v>
      </c>
      <c r="EI239" s="352">
        <f>EI238/EH238-1</f>
        <v>-0.69071741607510784</v>
      </c>
      <c r="EJ239" s="352">
        <f>EJ238/EI238-1</f>
        <v>-0.97060703585768326</v>
      </c>
      <c r="EK239" s="701" t="s">
        <v>199</v>
      </c>
      <c r="EL239" s="352">
        <f>EL238/EJ238-1</f>
        <v>14.003504497695571</v>
      </c>
      <c r="EM239" s="352">
        <f>EM238/EL238-1</f>
        <v>0.43590121204091248</v>
      </c>
      <c r="EN239" s="352">
        <f>EN238/EM238-1</f>
        <v>1.0470768252217382</v>
      </c>
      <c r="EO239" s="711">
        <v>-0.5</v>
      </c>
      <c r="EP239" s="701" t="s">
        <v>199</v>
      </c>
      <c r="EQ239" s="711">
        <v>-0.15</v>
      </c>
      <c r="ER239" s="711">
        <v>0.05</v>
      </c>
      <c r="ES239" s="711">
        <v>0.1</v>
      </c>
      <c r="ET239" s="711">
        <v>0.05</v>
      </c>
      <c r="EU239" s="701" t="s">
        <v>199</v>
      </c>
      <c r="EV239" s="668"/>
      <c r="EW239" s="668"/>
      <c r="EX239" s="668"/>
      <c r="EY239" s="668"/>
      <c r="EZ239" s="668"/>
      <c r="FA239" s="668"/>
      <c r="FB239" s="668"/>
      <c r="FC239" s="668"/>
      <c r="FD239" s="668"/>
      <c r="FE239" s="668"/>
      <c r="FF239" s="668"/>
      <c r="FG239" s="668"/>
      <c r="FH239" s="668"/>
      <c r="FI239" s="668"/>
      <c r="FJ239" s="668"/>
      <c r="FK239" s="668"/>
      <c r="FL239" s="668"/>
      <c r="FM239" s="668"/>
      <c r="FN239" s="668"/>
      <c r="FO239" s="668"/>
      <c r="FP239" s="668"/>
      <c r="FQ239" s="668"/>
      <c r="FR239" s="668"/>
      <c r="FS239" s="668"/>
      <c r="FT239" s="668"/>
      <c r="FU239" s="668"/>
      <c r="FV239" s="668"/>
      <c r="FW239" s="668"/>
      <c r="FX239" s="668"/>
      <c r="FY239" s="668"/>
      <c r="FZ239" s="668"/>
      <c r="GA239" s="668"/>
      <c r="GB239" s="668"/>
      <c r="GC239" s="668"/>
      <c r="GD239" s="668"/>
      <c r="GE239" s="668"/>
      <c r="GF239" s="668"/>
      <c r="GG239" s="668"/>
      <c r="GH239" s="668"/>
      <c r="GI239" s="668"/>
      <c r="GJ239" s="668"/>
      <c r="GK239" s="668"/>
      <c r="GL239" s="668"/>
      <c r="GM239" s="668"/>
      <c r="GN239" s="668"/>
      <c r="GO239" s="668"/>
      <c r="GP239" s="668"/>
      <c r="GQ239" s="668"/>
      <c r="GR239" s="668"/>
      <c r="GS239" s="668"/>
      <c r="GT239" s="668"/>
      <c r="GU239" s="668"/>
      <c r="GV239" s="668"/>
      <c r="GW239" s="668"/>
      <c r="GX239" s="668"/>
      <c r="GY239" s="668"/>
      <c r="GZ239" s="668"/>
      <c r="HA239" s="668"/>
      <c r="HB239" s="668"/>
      <c r="HC239" s="668"/>
      <c r="HD239" s="668"/>
      <c r="HE239" s="668"/>
      <c r="HF239" s="668"/>
      <c r="HG239" s="668"/>
      <c r="HH239" s="668"/>
      <c r="HI239" s="668"/>
      <c r="HJ239" s="668"/>
      <c r="HK239" s="668"/>
      <c r="HL239" s="668"/>
      <c r="HM239" s="668"/>
      <c r="HN239" s="668"/>
      <c r="HO239" s="701"/>
      <c r="HP239" s="563"/>
      <c r="HR239" s="563"/>
      <c r="HS239" s="563"/>
      <c r="HT239" s="563"/>
      <c r="HU239" s="563"/>
      <c r="HV239" s="563"/>
      <c r="HW239" s="563"/>
      <c r="HX239" s="563"/>
    </row>
    <row r="240" spans="1:232" s="509" customFormat="1" hidden="1" outlineLevel="1">
      <c r="A240" s="509" t="s">
        <v>489</v>
      </c>
      <c r="AO240" s="538"/>
      <c r="AT240" s="538"/>
      <c r="AY240" s="538"/>
      <c r="BD240" s="538"/>
      <c r="BI240" s="538"/>
      <c r="BN240" s="538"/>
      <c r="BS240" s="538"/>
      <c r="BX240" s="538"/>
      <c r="CC240" s="538"/>
      <c r="CH240" s="538"/>
      <c r="CM240" s="538"/>
      <c r="CV240" s="701"/>
      <c r="CW240" s="701"/>
      <c r="CX240" s="701"/>
      <c r="CY240" s="701"/>
      <c r="CZ240" s="701"/>
      <c r="DA240" s="701"/>
      <c r="DB240" s="701"/>
      <c r="DC240" s="348"/>
      <c r="DD240" s="348"/>
      <c r="DE240" s="348"/>
      <c r="DF240" s="348"/>
      <c r="DG240" s="321"/>
      <c r="DH240" s="348"/>
      <c r="DI240" s="348"/>
      <c r="DJ240" s="348"/>
      <c r="DK240" s="348"/>
      <c r="DL240" s="321">
        <f t="shared" ref="DL240:EU240" si="259">(DL238/DG238)-1</f>
        <v>0.19607683926484154</v>
      </c>
      <c r="DM240" s="348">
        <f t="shared" si="259"/>
        <v>0.66312388402346634</v>
      </c>
      <c r="DN240" s="348">
        <f t="shared" si="259"/>
        <v>1.7961672473867605</v>
      </c>
      <c r="DO240" s="348">
        <f t="shared" si="259"/>
        <v>0.60902255639097702</v>
      </c>
      <c r="DP240" s="348">
        <f t="shared" si="259"/>
        <v>-7.9169869331283671E-2</v>
      </c>
      <c r="DQ240" s="321">
        <f t="shared" si="259"/>
        <v>0.45195055335406753</v>
      </c>
      <c r="DR240" s="348">
        <f t="shared" si="259"/>
        <v>-0.42024539877300537</v>
      </c>
      <c r="DS240" s="348">
        <f t="shared" si="259"/>
        <v>-0.59384735202492256</v>
      </c>
      <c r="DT240" s="348">
        <f t="shared" si="259"/>
        <v>2.508900756564314E-2</v>
      </c>
      <c r="DU240" s="348">
        <f t="shared" si="259"/>
        <v>-1.9198664440734481E-2</v>
      </c>
      <c r="DV240" s="321">
        <f t="shared" si="259"/>
        <v>-0.25629566805845516</v>
      </c>
      <c r="DW240" s="348">
        <f t="shared" si="259"/>
        <v>0.72777777777777497</v>
      </c>
      <c r="DX240" s="348">
        <f t="shared" si="259"/>
        <v>0.91754554170661629</v>
      </c>
      <c r="DY240" s="348">
        <f t="shared" si="259"/>
        <v>0.49923481847289253</v>
      </c>
      <c r="DZ240" s="348">
        <f t="shared" si="259"/>
        <v>0.29989361702127626</v>
      </c>
      <c r="EA240" s="321">
        <f t="shared" si="259"/>
        <v>0.51872742956562368</v>
      </c>
      <c r="EB240" s="727">
        <f t="shared" si="259"/>
        <v>2.1557944163731975</v>
      </c>
      <c r="EC240" s="348">
        <f t="shared" si="259"/>
        <v>1.7491290000000026</v>
      </c>
      <c r="ED240" s="348">
        <f t="shared" si="259"/>
        <v>0.29935628963600203</v>
      </c>
      <c r="EE240" s="348">
        <f t="shared" si="259"/>
        <v>0.20260480072019127</v>
      </c>
      <c r="EF240" s="321">
        <f t="shared" si="259"/>
        <v>0.89450617060275683</v>
      </c>
      <c r="EG240" s="348">
        <f t="shared" si="259"/>
        <v>-0.10382929887494141</v>
      </c>
      <c r="EH240" s="348">
        <f t="shared" si="259"/>
        <v>-0.5572398612800924</v>
      </c>
      <c r="EI240" s="348">
        <f t="shared" si="259"/>
        <v>-0.7902526193302124</v>
      </c>
      <c r="EJ240" s="348">
        <f t="shared" si="259"/>
        <v>-0.99497989701230283</v>
      </c>
      <c r="EK240" s="348">
        <f t="shared" si="259"/>
        <v>-0.55534237875984138</v>
      </c>
      <c r="EL240" s="348">
        <f t="shared" si="259"/>
        <v>-0.94007820573198542</v>
      </c>
      <c r="EM240" s="348">
        <f t="shared" si="259"/>
        <v>-0.80415336012960748</v>
      </c>
      <c r="EN240" s="348">
        <f t="shared" si="259"/>
        <v>0.29626800412915633</v>
      </c>
      <c r="EO240" s="348">
        <f t="shared" si="259"/>
        <v>21.050651269004408</v>
      </c>
      <c r="EP240" s="348">
        <f t="shared" si="259"/>
        <v>-0.74027121964846199</v>
      </c>
      <c r="EQ240" s="348">
        <f t="shared" si="259"/>
        <v>0.24924504015262183</v>
      </c>
      <c r="ER240" s="348">
        <f t="shared" si="259"/>
        <v>-8.6491966744799309E-2</v>
      </c>
      <c r="ES240" s="348">
        <f t="shared" si="259"/>
        <v>-0.50912500000000005</v>
      </c>
      <c r="ET240" s="348">
        <f t="shared" si="259"/>
        <v>3.0837500000000073E-2</v>
      </c>
      <c r="EU240" s="348">
        <f t="shared" si="259"/>
        <v>-0.19373978310378381</v>
      </c>
      <c r="EV240" s="668"/>
      <c r="EW240" s="668"/>
      <c r="EX240" s="668"/>
      <c r="EY240" s="668"/>
      <c r="EZ240" s="668"/>
      <c r="FA240" s="668"/>
      <c r="FB240" s="668"/>
      <c r="FC240" s="668"/>
      <c r="FD240" s="668"/>
      <c r="FE240" s="668"/>
      <c r="FF240" s="668"/>
      <c r="FG240" s="668"/>
      <c r="FH240" s="668"/>
      <c r="FI240" s="668"/>
      <c r="FJ240" s="668"/>
      <c r="FK240" s="668"/>
      <c r="FL240" s="668"/>
      <c r="FM240" s="668"/>
      <c r="FN240" s="668"/>
      <c r="FO240" s="668"/>
      <c r="FP240" s="668"/>
      <c r="FQ240" s="668"/>
      <c r="FR240" s="668"/>
      <c r="FS240" s="668"/>
      <c r="FT240" s="668"/>
      <c r="FU240" s="668"/>
      <c r="FV240" s="668"/>
      <c r="FW240" s="668"/>
      <c r="FX240" s="668"/>
      <c r="FY240" s="668"/>
      <c r="FZ240" s="668"/>
      <c r="GA240" s="668"/>
      <c r="GB240" s="668"/>
      <c r="GC240" s="668"/>
      <c r="GD240" s="668"/>
      <c r="GE240" s="668"/>
      <c r="GF240" s="668"/>
      <c r="GG240" s="668"/>
      <c r="GH240" s="668"/>
      <c r="GI240" s="668"/>
      <c r="GJ240" s="668"/>
      <c r="GK240" s="668"/>
      <c r="GL240" s="668"/>
      <c r="GM240" s="668"/>
      <c r="GN240" s="668"/>
      <c r="GO240" s="668"/>
      <c r="GP240" s="668"/>
      <c r="GQ240" s="668"/>
      <c r="GR240" s="668"/>
      <c r="GS240" s="668"/>
      <c r="GT240" s="668"/>
      <c r="GU240" s="668"/>
      <c r="GV240" s="668"/>
      <c r="GW240" s="668"/>
      <c r="GX240" s="668"/>
      <c r="GY240" s="668"/>
      <c r="GZ240" s="668"/>
      <c r="HA240" s="668"/>
      <c r="HB240" s="668"/>
      <c r="HC240" s="668"/>
      <c r="HD240" s="668"/>
      <c r="HE240" s="668"/>
      <c r="HF240" s="668"/>
      <c r="HG240" s="668"/>
      <c r="HH240" s="668"/>
      <c r="HI240" s="668"/>
      <c r="HJ240" s="668"/>
      <c r="HK240" s="668"/>
      <c r="HL240" s="668"/>
      <c r="HM240" s="668"/>
      <c r="HN240" s="668"/>
      <c r="HO240" s="344"/>
      <c r="HP240" s="563"/>
      <c r="HR240" s="563"/>
      <c r="HS240" s="563"/>
      <c r="HT240" s="563"/>
      <c r="HU240" s="563"/>
      <c r="HV240" s="563"/>
      <c r="HW240" s="563"/>
      <c r="HX240" s="563"/>
    </row>
    <row r="241" spans="1:232" s="509" customFormat="1" hidden="1" outlineLevel="1">
      <c r="AO241" s="538"/>
      <c r="AT241" s="538"/>
      <c r="AY241" s="538"/>
      <c r="BD241" s="538"/>
      <c r="BI241" s="538"/>
      <c r="BN241" s="538"/>
      <c r="BS241" s="538"/>
      <c r="BX241" s="538"/>
      <c r="CC241" s="538"/>
      <c r="CH241" s="538"/>
      <c r="CM241" s="538"/>
      <c r="CV241" s="701"/>
      <c r="CW241" s="701"/>
      <c r="CX241" s="701"/>
      <c r="CY241" s="701"/>
      <c r="CZ241" s="701"/>
      <c r="DA241" s="701"/>
      <c r="DB241" s="701"/>
      <c r="DC241" s="348"/>
      <c r="DD241" s="348"/>
      <c r="DE241" s="348"/>
      <c r="DF241" s="348"/>
      <c r="DG241" s="321"/>
      <c r="DH241" s="348"/>
      <c r="DI241" s="348"/>
      <c r="DJ241" s="348"/>
      <c r="DK241" s="348"/>
      <c r="DL241" s="321"/>
      <c r="DM241" s="348"/>
      <c r="DN241" s="348"/>
      <c r="DO241" s="348"/>
      <c r="DP241" s="348"/>
      <c r="DQ241" s="321"/>
      <c r="DR241" s="348"/>
      <c r="DS241" s="348"/>
      <c r="DT241" s="348"/>
      <c r="DU241" s="348"/>
      <c r="DV241" s="321"/>
      <c r="DW241" s="348"/>
      <c r="DX241" s="348"/>
      <c r="DY241" s="348"/>
      <c r="DZ241" s="348"/>
      <c r="EA241" s="321"/>
      <c r="EB241" s="352"/>
      <c r="EC241" s="348"/>
      <c r="ED241" s="348"/>
      <c r="EE241" s="348"/>
      <c r="EF241" s="321"/>
      <c r="EG241" s="348"/>
      <c r="EH241" s="348"/>
      <c r="EI241" s="294"/>
      <c r="EJ241" s="348"/>
      <c r="EK241" s="321"/>
      <c r="EL241" s="348"/>
      <c r="EM241" s="348"/>
      <c r="EN241" s="348"/>
      <c r="EO241" s="348"/>
      <c r="EP241" s="321"/>
      <c r="EQ241" s="348"/>
      <c r="ER241" s="348"/>
      <c r="ES241" s="348"/>
      <c r="ET241" s="348"/>
      <c r="EU241" s="321"/>
      <c r="EV241" s="668"/>
      <c r="EW241" s="668"/>
      <c r="EX241" s="668"/>
      <c r="EY241" s="668"/>
      <c r="EZ241" s="668"/>
      <c r="FA241" s="668"/>
      <c r="FB241" s="668"/>
      <c r="FC241" s="668"/>
      <c r="FD241" s="668"/>
      <c r="FE241" s="668"/>
      <c r="FF241" s="668"/>
      <c r="FG241" s="668"/>
      <c r="FH241" s="668"/>
      <c r="FI241" s="668"/>
      <c r="FJ241" s="668"/>
      <c r="FK241" s="668"/>
      <c r="FL241" s="668"/>
      <c r="FM241" s="668"/>
      <c r="FN241" s="668"/>
      <c r="FO241" s="668"/>
      <c r="FP241" s="668"/>
      <c r="FQ241" s="668"/>
      <c r="FR241" s="668"/>
      <c r="FS241" s="668"/>
      <c r="FT241" s="668"/>
      <c r="FU241" s="668"/>
      <c r="FV241" s="668"/>
      <c r="FW241" s="668"/>
      <c r="FX241" s="668"/>
      <c r="FY241" s="668"/>
      <c r="FZ241" s="668"/>
      <c r="GA241" s="668"/>
      <c r="GB241" s="668"/>
      <c r="GC241" s="668"/>
      <c r="GD241" s="668"/>
      <c r="GE241" s="668"/>
      <c r="GF241" s="668"/>
      <c r="GG241" s="668"/>
      <c r="GH241" s="668"/>
      <c r="GI241" s="668"/>
      <c r="GJ241" s="668"/>
      <c r="GK241" s="668"/>
      <c r="GL241" s="668"/>
      <c r="GM241" s="668"/>
      <c r="GN241" s="668"/>
      <c r="GO241" s="668"/>
      <c r="GP241" s="668"/>
      <c r="GQ241" s="668"/>
      <c r="GR241" s="668"/>
      <c r="GS241" s="668"/>
      <c r="GT241" s="668"/>
      <c r="GU241" s="668"/>
      <c r="GV241" s="668"/>
      <c r="GW241" s="668"/>
      <c r="GX241" s="668"/>
      <c r="GY241" s="668"/>
      <c r="GZ241" s="668"/>
      <c r="HA241" s="668"/>
      <c r="HB241" s="668"/>
      <c r="HC241" s="668"/>
      <c r="HD241" s="668"/>
      <c r="HE241" s="668"/>
      <c r="HF241" s="668"/>
      <c r="HG241" s="668"/>
      <c r="HH241" s="668"/>
      <c r="HI241" s="668"/>
      <c r="HJ241" s="668"/>
      <c r="HK241" s="668"/>
      <c r="HL241" s="668"/>
      <c r="HM241" s="668"/>
      <c r="HN241" s="668"/>
      <c r="HO241" s="344"/>
      <c r="HP241" s="563"/>
      <c r="HR241" s="563"/>
      <c r="HS241" s="563"/>
      <c r="HT241" s="563"/>
      <c r="HU241" s="563"/>
      <c r="HV241" s="563"/>
      <c r="HW241" s="563"/>
      <c r="HX241" s="563"/>
    </row>
    <row r="242" spans="1:232" s="509" customFormat="1" hidden="1" outlineLevel="1">
      <c r="A242" s="728" t="s">
        <v>505</v>
      </c>
      <c r="B242" s="729"/>
      <c r="C242" s="729"/>
      <c r="D242" s="729"/>
      <c r="E242" s="729"/>
      <c r="F242" s="729"/>
      <c r="G242" s="729"/>
      <c r="H242" s="729"/>
      <c r="I242" s="729"/>
      <c r="J242" s="729"/>
      <c r="K242" s="729"/>
      <c r="L242" s="729"/>
      <c r="M242" s="729"/>
      <c r="N242" s="729"/>
      <c r="O242" s="729"/>
      <c r="P242" s="729"/>
      <c r="Q242" s="729"/>
      <c r="R242" s="729"/>
      <c r="S242" s="729"/>
      <c r="T242" s="729"/>
      <c r="U242" s="729"/>
      <c r="V242" s="729"/>
      <c r="W242" s="729"/>
      <c r="X242" s="729"/>
      <c r="Y242" s="729"/>
      <c r="Z242" s="729"/>
      <c r="AA242" s="729"/>
      <c r="AB242" s="729"/>
      <c r="AC242" s="729"/>
      <c r="AD242" s="729"/>
      <c r="AE242" s="729"/>
      <c r="AF242" s="729"/>
      <c r="AG242" s="729"/>
      <c r="AH242" s="729"/>
      <c r="AI242" s="729"/>
      <c r="AJ242" s="729"/>
      <c r="AK242" s="729"/>
      <c r="AL242" s="729"/>
      <c r="AM242" s="729"/>
      <c r="AN242" s="729"/>
      <c r="AO242" s="730"/>
      <c r="AP242" s="729"/>
      <c r="AQ242" s="729"/>
      <c r="AR242" s="729"/>
      <c r="AS242" s="729"/>
      <c r="AT242" s="730"/>
      <c r="AU242" s="729"/>
      <c r="AV242" s="729"/>
      <c r="AW242" s="729"/>
      <c r="AX242" s="729"/>
      <c r="AY242" s="730"/>
      <c r="AZ242" s="729"/>
      <c r="BA242" s="729"/>
      <c r="BB242" s="729"/>
      <c r="BC242" s="729"/>
      <c r="BD242" s="730"/>
      <c r="BE242" s="729"/>
      <c r="BF242" s="729"/>
      <c r="BG242" s="729"/>
      <c r="BH242" s="729"/>
      <c r="BI242" s="730"/>
      <c r="BJ242" s="729"/>
      <c r="BK242" s="729"/>
      <c r="BL242" s="729"/>
      <c r="BM242" s="729"/>
      <c r="BN242" s="730"/>
      <c r="BO242" s="729"/>
      <c r="BP242" s="729"/>
      <c r="BQ242" s="729"/>
      <c r="BR242" s="729"/>
      <c r="BS242" s="730"/>
      <c r="BT242" s="729"/>
      <c r="BU242" s="729"/>
      <c r="BV242" s="729"/>
      <c r="BW242" s="729"/>
      <c r="BX242" s="730"/>
      <c r="BY242" s="729"/>
      <c r="BZ242" s="729"/>
      <c r="CA242" s="729"/>
      <c r="CB242" s="729"/>
      <c r="CC242" s="730"/>
      <c r="CD242" s="729"/>
      <c r="CE242" s="729"/>
      <c r="CF242" s="729"/>
      <c r="CG242" s="729"/>
      <c r="CH242" s="730"/>
      <c r="CI242" s="729"/>
      <c r="CJ242" s="729"/>
      <c r="CK242" s="729"/>
      <c r="CL242" s="729"/>
      <c r="CM242" s="730"/>
      <c r="CN242" s="729"/>
      <c r="CO242" s="729"/>
      <c r="CP242" s="729"/>
      <c r="CQ242" s="729"/>
      <c r="CR242" s="729"/>
      <c r="CS242" s="729"/>
      <c r="CT242" s="729"/>
      <c r="CU242" s="729"/>
      <c r="CV242" s="731">
        <v>166</v>
      </c>
      <c r="CW242" s="731"/>
      <c r="CX242" s="700">
        <f>SUM(CX238, CX234)</f>
        <v>197</v>
      </c>
      <c r="CY242" s="700">
        <f>SUM(CY238, CY234)</f>
        <v>195</v>
      </c>
      <c r="CZ242" s="700">
        <f>SUM(CZ238, CZ234)</f>
        <v>252</v>
      </c>
      <c r="DA242" s="700">
        <f>SUM(DA238, DA234)</f>
        <v>259</v>
      </c>
      <c r="DB242" s="699">
        <f>SUM(CX242:DA242)</f>
        <v>903</v>
      </c>
      <c r="DC242" s="700">
        <f>SUM(DC238, DC234)</f>
        <v>230</v>
      </c>
      <c r="DD242" s="700">
        <f>SUM(DD238, DD234)</f>
        <v>248</v>
      </c>
      <c r="DE242" s="700">
        <f>SUM(DE238, DE234)</f>
        <v>385</v>
      </c>
      <c r="DF242" s="700">
        <f>SUM(DF238, DF234)</f>
        <v>270</v>
      </c>
      <c r="DG242" s="699">
        <f>SUM(DC242:DF242)</f>
        <v>1133</v>
      </c>
      <c r="DH242" s="700">
        <f>SUM(DH238, DH234)</f>
        <v>222</v>
      </c>
      <c r="DI242" s="700">
        <f>SUM(DI238, DI234)</f>
        <v>251</v>
      </c>
      <c r="DJ242" s="700">
        <f>SUM(DJ238, DJ234)</f>
        <v>306</v>
      </c>
      <c r="DK242" s="700">
        <f>SUM(DK238, DK234)</f>
        <v>427</v>
      </c>
      <c r="DL242" s="699">
        <f>SUM(DH242:DK242)</f>
        <v>1206</v>
      </c>
      <c r="DM242" s="700">
        <f>SUM(DM238, DM234)</f>
        <v>409</v>
      </c>
      <c r="DN242" s="700">
        <f>SUM(DN238, DN234)</f>
        <v>440</v>
      </c>
      <c r="DO242" s="700">
        <f>SUM(DO238, DO234)</f>
        <v>390</v>
      </c>
      <c r="DP242" s="700">
        <f>SUM(DP238, DP234)</f>
        <v>424</v>
      </c>
      <c r="DQ242" s="699">
        <f>SUM(DM242:DP242)</f>
        <v>1663</v>
      </c>
      <c r="DR242" s="700">
        <f>SUM(DR238, DR234)</f>
        <v>413</v>
      </c>
      <c r="DS242" s="700">
        <f>SUM(DS238, DS234)</f>
        <v>367</v>
      </c>
      <c r="DT242" s="700">
        <f>SUM(DT238, DT234)</f>
        <v>403</v>
      </c>
      <c r="DU242" s="700">
        <f>SUM(DU238, DU234)</f>
        <v>382</v>
      </c>
      <c r="DV242" s="699">
        <f>SUM(DR242:DU242)</f>
        <v>1565</v>
      </c>
      <c r="DW242" s="700">
        <f>SUM(DW238, DW234)</f>
        <v>382</v>
      </c>
      <c r="DX242" s="700">
        <f>SUM(DX238, DX234)</f>
        <v>367</v>
      </c>
      <c r="DY242" s="700">
        <f>SUM(DY238, DY234)</f>
        <v>342</v>
      </c>
      <c r="DZ242" s="700">
        <f>SUM(DZ238, DZ234)</f>
        <v>326</v>
      </c>
      <c r="EA242" s="699">
        <f>SUM(DW242:DZ242)</f>
        <v>1417</v>
      </c>
      <c r="EB242" s="732">
        <f>+EB234+EB238</f>
        <v>384.15970000000004</v>
      </c>
      <c r="EC242" s="700">
        <f>SUM(EC238, EC234)</f>
        <v>371.23250000000007</v>
      </c>
      <c r="ED242" s="700">
        <f>SUM(ED238, ED234)</f>
        <v>315.83130000000006</v>
      </c>
      <c r="EE242" s="700">
        <f>SUM(EE238, EE234)</f>
        <v>336.55365000000012</v>
      </c>
      <c r="EF242" s="699">
        <f>SUM(EB242:EE242)</f>
        <v>1407.7771500000001</v>
      </c>
      <c r="EG242" s="700">
        <f>SUM(EG238, EG234)</f>
        <v>335.47385000000008</v>
      </c>
      <c r="EH242" s="700">
        <f>SUM(EH238, EH234)</f>
        <v>257.26050000000009</v>
      </c>
      <c r="EI242" s="700">
        <f>SUM(EI238, EI234)</f>
        <v>189.22334500000017</v>
      </c>
      <c r="EJ242" s="700">
        <f>SUM(EJ238, EJ234)</f>
        <v>150.26965834261847</v>
      </c>
      <c r="EK242" s="699">
        <f>SUM(EG242:EJ242)</f>
        <v>932.2273533426187</v>
      </c>
      <c r="EL242" s="700">
        <f>SUM(EL238, EL234)</f>
        <v>144.159085</v>
      </c>
      <c r="EM242" s="700">
        <f>SUM(EM238, EM234)</f>
        <v>122.03698499999996</v>
      </c>
      <c r="EN242" s="700">
        <f>SUM(EN238, EN234)</f>
        <v>155.98924057066998</v>
      </c>
      <c r="EO242" s="700">
        <f>SUM(EO238, EO234)</f>
        <v>141.77405238171767</v>
      </c>
      <c r="EP242" s="699">
        <f>SUM(EL242:EO242)</f>
        <v>563.95936295238755</v>
      </c>
      <c r="EQ242" s="700">
        <f>SUM(EQ238, EQ234)</f>
        <v>138.62242030230627</v>
      </c>
      <c r="ER242" s="700">
        <f>SUM(ER238, ER234)</f>
        <v>148.99180744295074</v>
      </c>
      <c r="ES242" s="700">
        <f>SUM(ES238, ES234)</f>
        <v>164.11195371669373</v>
      </c>
      <c r="ET242" s="700">
        <f>SUM(ET238, ET234)</f>
        <v>169.96325573423573</v>
      </c>
      <c r="EU242" s="699">
        <f>SUM(EQ242:ET242)</f>
        <v>621.68943719618653</v>
      </c>
      <c r="EV242" s="668"/>
      <c r="EW242" s="668"/>
      <c r="EX242" s="668"/>
      <c r="EY242" s="668"/>
      <c r="EZ242" s="668"/>
      <c r="FA242" s="668"/>
      <c r="FB242" s="668"/>
      <c r="FC242" s="668"/>
      <c r="FD242" s="668"/>
      <c r="FE242" s="668"/>
      <c r="FF242" s="668"/>
      <c r="FG242" s="668"/>
      <c r="FH242" s="668"/>
      <c r="FI242" s="668"/>
      <c r="FJ242" s="668"/>
      <c r="FK242" s="668"/>
      <c r="FL242" s="668"/>
      <c r="FM242" s="668"/>
      <c r="FN242" s="668"/>
      <c r="FO242" s="668"/>
      <c r="FP242" s="668"/>
      <c r="FQ242" s="668"/>
      <c r="FR242" s="668"/>
      <c r="FS242" s="668"/>
      <c r="FT242" s="668"/>
      <c r="FU242" s="668"/>
      <c r="FV242" s="668"/>
      <c r="FW242" s="668"/>
      <c r="FX242" s="668"/>
      <c r="FY242" s="668"/>
      <c r="FZ242" s="668"/>
      <c r="GA242" s="668"/>
      <c r="GB242" s="668"/>
      <c r="GC242" s="668"/>
      <c r="GD242" s="668"/>
      <c r="GE242" s="668"/>
      <c r="GF242" s="668"/>
      <c r="GG242" s="668"/>
      <c r="GH242" s="668"/>
      <c r="GI242" s="668"/>
      <c r="GJ242" s="668"/>
      <c r="GK242" s="668"/>
      <c r="GL242" s="668"/>
      <c r="GM242" s="668"/>
      <c r="GN242" s="668"/>
      <c r="GO242" s="668"/>
      <c r="GP242" s="668"/>
      <c r="GQ242" s="668"/>
      <c r="GR242" s="668"/>
      <c r="GS242" s="668"/>
      <c r="GT242" s="668"/>
      <c r="GU242" s="668"/>
      <c r="GV242" s="668"/>
      <c r="GW242" s="668"/>
      <c r="GX242" s="668"/>
      <c r="GY242" s="668"/>
      <c r="GZ242" s="668"/>
      <c r="HA242" s="668"/>
      <c r="HB242" s="668"/>
      <c r="HC242" s="668"/>
      <c r="HD242" s="668"/>
      <c r="HE242" s="668"/>
      <c r="HF242" s="668"/>
      <c r="HG242" s="668"/>
      <c r="HH242" s="668"/>
      <c r="HI242" s="668"/>
      <c r="HJ242" s="668"/>
      <c r="HK242" s="668"/>
      <c r="HL242" s="668"/>
      <c r="HM242" s="668"/>
      <c r="HN242" s="668"/>
      <c r="HO242" s="542"/>
      <c r="HP242" s="563"/>
      <c r="HR242" s="563"/>
      <c r="HS242" s="563"/>
      <c r="HT242" s="563"/>
      <c r="HU242" s="563"/>
      <c r="HV242" s="563"/>
      <c r="HW242" s="563"/>
      <c r="HX242" s="563"/>
    </row>
    <row r="243" spans="1:232" s="509" customFormat="1" hidden="1" outlineLevel="1">
      <c r="A243" s="509" t="s">
        <v>488</v>
      </c>
      <c r="AO243" s="538"/>
      <c r="AT243" s="538"/>
      <c r="AY243" s="538"/>
      <c r="BD243" s="538"/>
      <c r="BI243" s="538"/>
      <c r="BN243" s="538"/>
      <c r="BS243" s="538"/>
      <c r="BX243" s="538"/>
      <c r="CC243" s="538"/>
      <c r="CH243" s="538"/>
      <c r="CM243" s="538"/>
      <c r="CV243" s="701"/>
      <c r="CW243" s="701"/>
      <c r="CX243" s="701" t="s">
        <v>199</v>
      </c>
      <c r="CY243" s="294">
        <f>(CY242/CX242)-1</f>
        <v>-1.0152284263959421E-2</v>
      </c>
      <c r="CZ243" s="294">
        <f>(CZ242/CY242)-1</f>
        <v>0.29230769230769238</v>
      </c>
      <c r="DA243" s="294">
        <f>(DA242/CZ242)-1</f>
        <v>2.7777777777777679E-2</v>
      </c>
      <c r="DB243" s="701" t="s">
        <v>199</v>
      </c>
      <c r="DC243" s="294">
        <f>(DC242/DA242)-1</f>
        <v>-0.11196911196911197</v>
      </c>
      <c r="DD243" s="294">
        <f>(DD242/DC242)-1</f>
        <v>7.8260869565217384E-2</v>
      </c>
      <c r="DE243" s="294">
        <f>(DE242/DD242)-1</f>
        <v>0.55241935483870974</v>
      </c>
      <c r="DF243" s="294">
        <f>(DF242/DE242)-1</f>
        <v>-0.29870129870129869</v>
      </c>
      <c r="DG243" s="701" t="s">
        <v>199</v>
      </c>
      <c r="DH243" s="294">
        <f>(DH242/DF242)-1</f>
        <v>-0.17777777777777781</v>
      </c>
      <c r="DI243" s="294">
        <f>(DI242/DH242)-1</f>
        <v>0.13063063063063063</v>
      </c>
      <c r="DJ243" s="294">
        <f>(DJ242/DI242)-1</f>
        <v>0.21912350597609564</v>
      </c>
      <c r="DK243" s="294">
        <f>(DK242/DJ242)-1</f>
        <v>0.39542483660130712</v>
      </c>
      <c r="DL243" s="701" t="s">
        <v>199</v>
      </c>
      <c r="DM243" s="294">
        <f>(DM242/DK242)-1</f>
        <v>-4.2154566744730726E-2</v>
      </c>
      <c r="DN243" s="294">
        <f>(DN242/DM242)-1</f>
        <v>7.5794621026894937E-2</v>
      </c>
      <c r="DO243" s="294">
        <f>(DO242/DN242)-1</f>
        <v>-0.11363636363636365</v>
      </c>
      <c r="DP243" s="294">
        <f>(DP242/DO242)-1</f>
        <v>8.7179487179487092E-2</v>
      </c>
      <c r="DQ243" s="701" t="s">
        <v>199</v>
      </c>
      <c r="DR243" s="294">
        <f>(DR242/DP242)-1</f>
        <v>-2.5943396226415061E-2</v>
      </c>
      <c r="DS243" s="294">
        <f>(DS242/DR242)-1</f>
        <v>-0.11138014527845042</v>
      </c>
      <c r="DT243" s="294">
        <f>(DT242/DS242)-1</f>
        <v>9.8092643051771011E-2</v>
      </c>
      <c r="DU243" s="294">
        <f>(DU242/DT242)-1</f>
        <v>-5.2109181141439254E-2</v>
      </c>
      <c r="DV243" s="701" t="s">
        <v>199</v>
      </c>
      <c r="DW243" s="294">
        <f>(DW242/DU242)-1</f>
        <v>0</v>
      </c>
      <c r="DX243" s="294">
        <f>(DX242/DW242)-1</f>
        <v>-3.9267015706806241E-2</v>
      </c>
      <c r="DY243" s="294">
        <f>(DY242/DX242)-1</f>
        <v>-6.8119891008174394E-2</v>
      </c>
      <c r="DZ243" s="294">
        <f>(DZ242/DY242)-1</f>
        <v>-4.6783625730994149E-2</v>
      </c>
      <c r="EA243" s="701" t="s">
        <v>199</v>
      </c>
      <c r="EB243" s="702">
        <f>(EB242/DZ242)-1</f>
        <v>0.17840398773006139</v>
      </c>
      <c r="EC243" s="294">
        <f>(EC242/EB242)-1</f>
        <v>-3.3650588544295479E-2</v>
      </c>
      <c r="ED243" s="294">
        <f>(ED242/EC242)-1</f>
        <v>-0.1492358562356475</v>
      </c>
      <c r="EE243" s="294">
        <f>(EE242/ED242)-1</f>
        <v>6.5612084679384397E-2</v>
      </c>
      <c r="EF243" s="701" t="s">
        <v>199</v>
      </c>
      <c r="EG243" s="294">
        <f>(EG242/EE242)-1</f>
        <v>-3.208403771583046E-3</v>
      </c>
      <c r="EH243" s="294">
        <f>(EH242/EG242)-1</f>
        <v>-0.23314291113897545</v>
      </c>
      <c r="EI243" s="294">
        <f>(EI242/EH242)-1</f>
        <v>-0.26446794202763313</v>
      </c>
      <c r="EJ243" s="294">
        <f>(EJ242/EI242)-1</f>
        <v>-0.20586089236178373</v>
      </c>
      <c r="EK243" s="701" t="s">
        <v>199</v>
      </c>
      <c r="EL243" s="294">
        <f>(EL242/EJ242)-1</f>
        <v>-4.066405294331743E-2</v>
      </c>
      <c r="EM243" s="294">
        <f>(EM242/EL242)-1</f>
        <v>-0.15345616268305284</v>
      </c>
      <c r="EN243" s="294">
        <f>(EN242/EM242)-1</f>
        <v>0.27821283499153981</v>
      </c>
      <c r="EO243" s="294">
        <f>(EO242/EN242)-1</f>
        <v>-9.1129286461986481E-2</v>
      </c>
      <c r="EP243" s="701" t="s">
        <v>199</v>
      </c>
      <c r="EQ243" s="294">
        <f>(EQ242/EO242)-1</f>
        <v>-2.2229963991759472E-2</v>
      </c>
      <c r="ER243" s="294">
        <f>(ER242/EQ242)-1</f>
        <v>7.4803102687365008E-2</v>
      </c>
      <c r="ES243" s="294">
        <f>(ES242/ER242)-1</f>
        <v>0.10148307167514914</v>
      </c>
      <c r="ET243" s="294">
        <f>(ET242/ES242)-1</f>
        <v>3.5654331601237876E-2</v>
      </c>
      <c r="EU243" s="701" t="s">
        <v>199</v>
      </c>
      <c r="EV243" s="668"/>
      <c r="EW243" s="668"/>
      <c r="EX243" s="668"/>
      <c r="EY243" s="668"/>
      <c r="EZ243" s="668"/>
      <c r="FA243" s="668"/>
      <c r="FB243" s="668"/>
      <c r="FC243" s="668"/>
      <c r="FD243" s="668"/>
      <c r="FE243" s="668"/>
      <c r="FF243" s="668"/>
      <c r="FG243" s="668"/>
      <c r="FH243" s="668"/>
      <c r="FI243" s="668"/>
      <c r="FJ243" s="668"/>
      <c r="FK243" s="668"/>
      <c r="FL243" s="668"/>
      <c r="FM243" s="668"/>
      <c r="FN243" s="668"/>
      <c r="FO243" s="668"/>
      <c r="FP243" s="668"/>
      <c r="FQ243" s="668"/>
      <c r="FR243" s="668"/>
      <c r="FS243" s="668"/>
      <c r="FT243" s="668"/>
      <c r="FU243" s="668"/>
      <c r="FV243" s="668"/>
      <c r="FW243" s="668"/>
      <c r="FX243" s="668"/>
      <c r="FY243" s="668"/>
      <c r="FZ243" s="668"/>
      <c r="GA243" s="668"/>
      <c r="GB243" s="668"/>
      <c r="GC243" s="668"/>
      <c r="GD243" s="668"/>
      <c r="GE243" s="668"/>
      <c r="GF243" s="668"/>
      <c r="GG243" s="668"/>
      <c r="GH243" s="668"/>
      <c r="GI243" s="668"/>
      <c r="GJ243" s="668"/>
      <c r="GK243" s="668"/>
      <c r="GL243" s="668"/>
      <c r="GM243" s="668"/>
      <c r="GN243" s="668"/>
      <c r="GO243" s="668"/>
      <c r="GP243" s="668"/>
      <c r="GQ243" s="668"/>
      <c r="GR243" s="668"/>
      <c r="GS243" s="668"/>
      <c r="GT243" s="668"/>
      <c r="GU243" s="668"/>
      <c r="GV243" s="668"/>
      <c r="GW243" s="668"/>
      <c r="GX243" s="668"/>
      <c r="GY243" s="668"/>
      <c r="GZ243" s="668"/>
      <c r="HA243" s="668"/>
      <c r="HB243" s="668"/>
      <c r="HC243" s="668"/>
      <c r="HD243" s="668"/>
      <c r="HE243" s="668"/>
      <c r="HF243" s="668"/>
      <c r="HG243" s="668"/>
      <c r="HH243" s="668"/>
      <c r="HI243" s="668"/>
      <c r="HJ243" s="668"/>
      <c r="HK243" s="668"/>
      <c r="HL243" s="668"/>
      <c r="HM243" s="668"/>
      <c r="HN243" s="668"/>
      <c r="HO243" s="701"/>
      <c r="HP243" s="563"/>
      <c r="HR243" s="563"/>
      <c r="HS243" s="563"/>
      <c r="HT243" s="563"/>
      <c r="HU243" s="563"/>
      <c r="HV243" s="563"/>
      <c r="HW243" s="563"/>
      <c r="HX243" s="563"/>
    </row>
    <row r="244" spans="1:232" s="509" customFormat="1" hidden="1" outlineLevel="1">
      <c r="A244" s="703" t="s">
        <v>489</v>
      </c>
      <c r="B244" s="703"/>
      <c r="C244" s="703"/>
      <c r="D244" s="703"/>
      <c r="E244" s="703"/>
      <c r="F244" s="703"/>
      <c r="G244" s="703"/>
      <c r="H244" s="703"/>
      <c r="I244" s="703"/>
      <c r="J244" s="703"/>
      <c r="K244" s="703"/>
      <c r="L244" s="703"/>
      <c r="M244" s="703"/>
      <c r="N244" s="703"/>
      <c r="O244" s="703"/>
      <c r="P244" s="703"/>
      <c r="Q244" s="703"/>
      <c r="R244" s="703"/>
      <c r="S244" s="703"/>
      <c r="T244" s="703"/>
      <c r="U244" s="703"/>
      <c r="V244" s="703"/>
      <c r="W244" s="703"/>
      <c r="X244" s="703"/>
      <c r="Y244" s="703"/>
      <c r="Z244" s="703"/>
      <c r="AA244" s="703"/>
      <c r="AB244" s="703"/>
      <c r="AC244" s="703"/>
      <c r="AD244" s="703"/>
      <c r="AE244" s="703"/>
      <c r="AF244" s="703"/>
      <c r="AG244" s="703"/>
      <c r="AH244" s="703"/>
      <c r="AI244" s="703"/>
      <c r="AJ244" s="703"/>
      <c r="AK244" s="703"/>
      <c r="AL244" s="703"/>
      <c r="AM244" s="703"/>
      <c r="AN244" s="703"/>
      <c r="AO244" s="704"/>
      <c r="AP244" s="703"/>
      <c r="AQ244" s="703"/>
      <c r="AR244" s="703"/>
      <c r="AS244" s="703"/>
      <c r="AT244" s="704"/>
      <c r="AU244" s="703"/>
      <c r="AV244" s="703"/>
      <c r="AW244" s="703"/>
      <c r="AX244" s="703"/>
      <c r="AY244" s="704"/>
      <c r="AZ244" s="703"/>
      <c r="BA244" s="703"/>
      <c r="BB244" s="703"/>
      <c r="BC244" s="703"/>
      <c r="BD244" s="704"/>
      <c r="BE244" s="703"/>
      <c r="BF244" s="703"/>
      <c r="BG244" s="703"/>
      <c r="BH244" s="703"/>
      <c r="BI244" s="704"/>
      <c r="BJ244" s="703"/>
      <c r="BK244" s="703"/>
      <c r="BL244" s="703"/>
      <c r="BM244" s="703"/>
      <c r="BN244" s="704"/>
      <c r="BO244" s="703"/>
      <c r="BP244" s="703"/>
      <c r="BQ244" s="703"/>
      <c r="BR244" s="703"/>
      <c r="BS244" s="704"/>
      <c r="BT244" s="703"/>
      <c r="BU244" s="703"/>
      <c r="BV244" s="703"/>
      <c r="BW244" s="703"/>
      <c r="BX244" s="704"/>
      <c r="BY244" s="703"/>
      <c r="BZ244" s="703"/>
      <c r="CA244" s="703"/>
      <c r="CB244" s="703"/>
      <c r="CC244" s="704"/>
      <c r="CD244" s="703"/>
      <c r="CE244" s="703"/>
      <c r="CF244" s="703"/>
      <c r="CG244" s="703"/>
      <c r="CH244" s="704"/>
      <c r="CI244" s="703"/>
      <c r="CJ244" s="703"/>
      <c r="CK244" s="703"/>
      <c r="CL244" s="703"/>
      <c r="CM244" s="704"/>
      <c r="CN244" s="703"/>
      <c r="CO244" s="703"/>
      <c r="CP244" s="703"/>
      <c r="CQ244" s="703"/>
      <c r="CR244" s="703"/>
      <c r="CS244" s="703"/>
      <c r="CT244" s="703"/>
      <c r="CU244" s="703"/>
      <c r="CV244" s="705"/>
      <c r="CW244" s="705"/>
      <c r="CX244" s="705" t="s">
        <v>199</v>
      </c>
      <c r="CY244" s="705" t="s">
        <v>199</v>
      </c>
      <c r="CZ244" s="705" t="s">
        <v>199</v>
      </c>
      <c r="DA244" s="705" t="s">
        <v>199</v>
      </c>
      <c r="DB244" s="705" t="s">
        <v>199</v>
      </c>
      <c r="DC244" s="346">
        <f t="shared" ref="DC244:EU244" si="260">(DC242/CX242)-1</f>
        <v>0.1675126903553299</v>
      </c>
      <c r="DD244" s="346">
        <f t="shared" si="260"/>
        <v>0.27179487179487172</v>
      </c>
      <c r="DE244" s="346">
        <f t="shared" si="260"/>
        <v>0.52777777777777768</v>
      </c>
      <c r="DF244" s="346">
        <f t="shared" si="260"/>
        <v>4.2471042471042386E-2</v>
      </c>
      <c r="DG244" s="706">
        <f t="shared" si="260"/>
        <v>0.25470653377630126</v>
      </c>
      <c r="DH244" s="346">
        <f t="shared" si="260"/>
        <v>-3.4782608695652195E-2</v>
      </c>
      <c r="DI244" s="346">
        <f t="shared" si="260"/>
        <v>1.2096774193548487E-2</v>
      </c>
      <c r="DJ244" s="346">
        <f t="shared" si="260"/>
        <v>-0.20519480519480515</v>
      </c>
      <c r="DK244" s="346">
        <f t="shared" si="260"/>
        <v>0.58148148148148149</v>
      </c>
      <c r="DL244" s="706">
        <f t="shared" si="260"/>
        <v>6.4430714916151821E-2</v>
      </c>
      <c r="DM244" s="346">
        <f t="shared" si="260"/>
        <v>0.8423423423423424</v>
      </c>
      <c r="DN244" s="346">
        <f t="shared" si="260"/>
        <v>0.75298804780876494</v>
      </c>
      <c r="DO244" s="346">
        <f t="shared" si="260"/>
        <v>0.27450980392156854</v>
      </c>
      <c r="DP244" s="346">
        <f t="shared" si="260"/>
        <v>-7.0257611241217877E-3</v>
      </c>
      <c r="DQ244" s="706">
        <f t="shared" si="260"/>
        <v>0.37893864013266998</v>
      </c>
      <c r="DR244" s="346">
        <f t="shared" si="260"/>
        <v>9.7799511002445438E-3</v>
      </c>
      <c r="DS244" s="346">
        <f t="shared" si="260"/>
        <v>-0.16590909090909089</v>
      </c>
      <c r="DT244" s="346">
        <f t="shared" si="260"/>
        <v>3.3333333333333437E-2</v>
      </c>
      <c r="DU244" s="346">
        <f t="shared" si="260"/>
        <v>-9.9056603773584939E-2</v>
      </c>
      <c r="DV244" s="706">
        <f t="shared" si="260"/>
        <v>-5.8929645219482851E-2</v>
      </c>
      <c r="DW244" s="346">
        <f t="shared" si="260"/>
        <v>-7.5060532687651338E-2</v>
      </c>
      <c r="DX244" s="346">
        <f t="shared" si="260"/>
        <v>0</v>
      </c>
      <c r="DY244" s="346">
        <f t="shared" si="260"/>
        <v>-0.15136476426799006</v>
      </c>
      <c r="DZ244" s="346">
        <f t="shared" si="260"/>
        <v>-0.1465968586387435</v>
      </c>
      <c r="EA244" s="706">
        <f t="shared" si="260"/>
        <v>-9.4568690095846675E-2</v>
      </c>
      <c r="EB244" s="707">
        <f t="shared" si="260"/>
        <v>5.6536649214660173E-3</v>
      </c>
      <c r="EC244" s="346">
        <f t="shared" si="260"/>
        <v>1.1532697547684156E-2</v>
      </c>
      <c r="ED244" s="346">
        <f t="shared" si="260"/>
        <v>-7.6516666666666455E-2</v>
      </c>
      <c r="EE244" s="346">
        <f t="shared" si="260"/>
        <v>3.237315950920272E-2</v>
      </c>
      <c r="EF244" s="706">
        <f t="shared" si="260"/>
        <v>-6.5087155963301502E-3</v>
      </c>
      <c r="EG244" s="346">
        <f t="shared" si="260"/>
        <v>-0.12673336115162515</v>
      </c>
      <c r="EH244" s="346">
        <f t="shared" si="260"/>
        <v>-0.30700975803573216</v>
      </c>
      <c r="EI244" s="346">
        <f t="shared" si="260"/>
        <v>-0.40087209532430723</v>
      </c>
      <c r="EJ244" s="346">
        <f t="shared" si="260"/>
        <v>-0.55350459475742309</v>
      </c>
      <c r="EK244" s="706">
        <f t="shared" si="260"/>
        <v>-0.33780190043387293</v>
      </c>
      <c r="EL244" s="346">
        <f t="shared" si="260"/>
        <v>-0.57028219934281021</v>
      </c>
      <c r="EM244" s="346">
        <f t="shared" si="260"/>
        <v>-0.52562874984694541</v>
      </c>
      <c r="EN244" s="346">
        <f t="shared" si="260"/>
        <v>-0.17563427191993752</v>
      </c>
      <c r="EO244" s="346">
        <f t="shared" si="260"/>
        <v>-5.6535737517487528E-2</v>
      </c>
      <c r="EP244" s="706">
        <f t="shared" si="260"/>
        <v>-0.39504096191745486</v>
      </c>
      <c r="EQ244" s="346">
        <f t="shared" si="260"/>
        <v>-3.8406630408993947E-2</v>
      </c>
      <c r="ER244" s="346">
        <f t="shared" si="260"/>
        <v>0.22087420828161886</v>
      </c>
      <c r="ES244" s="346">
        <f t="shared" si="260"/>
        <v>5.2072265473616541E-2</v>
      </c>
      <c r="ET244" s="346">
        <f t="shared" si="260"/>
        <v>0.19883189398170287</v>
      </c>
      <c r="EU244" s="706">
        <f t="shared" si="260"/>
        <v>0.10236566326618979</v>
      </c>
      <c r="EV244" s="668"/>
      <c r="EW244" s="668"/>
      <c r="EX244" s="668"/>
      <c r="EY244" s="668"/>
      <c r="EZ244" s="668"/>
      <c r="FA244" s="668"/>
      <c r="FB244" s="668"/>
      <c r="FC244" s="668"/>
      <c r="FD244" s="668"/>
      <c r="FE244" s="668"/>
      <c r="FF244" s="668"/>
      <c r="FG244" s="668"/>
      <c r="FH244" s="668"/>
      <c r="FI244" s="668"/>
      <c r="FJ244" s="668"/>
      <c r="FK244" s="668"/>
      <c r="FL244" s="668"/>
      <c r="FM244" s="668"/>
      <c r="FN244" s="668"/>
      <c r="FO244" s="668"/>
      <c r="FP244" s="668"/>
      <c r="FQ244" s="668"/>
      <c r="FR244" s="668"/>
      <c r="FS244" s="668"/>
      <c r="FT244" s="668"/>
      <c r="FU244" s="668"/>
      <c r="FV244" s="668"/>
      <c r="FW244" s="668"/>
      <c r="FX244" s="668"/>
      <c r="FY244" s="668"/>
      <c r="FZ244" s="668"/>
      <c r="GA244" s="668"/>
      <c r="GB244" s="668"/>
      <c r="GC244" s="668"/>
      <c r="GD244" s="668"/>
      <c r="GE244" s="668"/>
      <c r="GF244" s="668"/>
      <c r="GG244" s="668"/>
      <c r="GH244" s="668"/>
      <c r="GI244" s="668"/>
      <c r="GJ244" s="668"/>
      <c r="GK244" s="668"/>
      <c r="GL244" s="668"/>
      <c r="GM244" s="668"/>
      <c r="GN244" s="668"/>
      <c r="GO244" s="668"/>
      <c r="GP244" s="668"/>
      <c r="GQ244" s="668"/>
      <c r="GR244" s="668"/>
      <c r="GS244" s="668"/>
      <c r="GT244" s="668"/>
      <c r="GU244" s="668"/>
      <c r="GV244" s="668"/>
      <c r="GW244" s="668"/>
      <c r="GX244" s="668"/>
      <c r="GY244" s="668"/>
      <c r="GZ244" s="668"/>
      <c r="HA244" s="668"/>
      <c r="HB244" s="668"/>
      <c r="HC244" s="668"/>
      <c r="HD244" s="668"/>
      <c r="HE244" s="668"/>
      <c r="HF244" s="668"/>
      <c r="HG244" s="668"/>
      <c r="HH244" s="668"/>
      <c r="HI244" s="668"/>
      <c r="HJ244" s="668"/>
      <c r="HK244" s="668"/>
      <c r="HL244" s="668"/>
      <c r="HM244" s="668"/>
      <c r="HN244" s="668"/>
      <c r="HO244" s="344"/>
      <c r="HP244" s="563"/>
      <c r="HR244" s="563"/>
      <c r="HS244" s="563"/>
      <c r="HT244" s="563"/>
      <c r="HU244" s="563"/>
      <c r="HV244" s="563"/>
      <c r="HW244" s="563"/>
      <c r="HX244" s="563"/>
    </row>
    <row r="245" spans="1:232" s="509" customFormat="1" hidden="1" outlineLevel="1">
      <c r="AO245" s="538"/>
      <c r="AT245" s="538"/>
      <c r="AY245" s="538"/>
      <c r="BD245" s="538"/>
      <c r="BI245" s="538"/>
      <c r="BN245" s="538"/>
      <c r="BO245" s="342"/>
      <c r="BP245" s="342"/>
      <c r="BQ245" s="342"/>
      <c r="BR245" s="342"/>
      <c r="BS245" s="344"/>
      <c r="BT245" s="342"/>
      <c r="BU245" s="342"/>
      <c r="BV245" s="342"/>
      <c r="BW245" s="342"/>
      <c r="BX245" s="344"/>
      <c r="BY245" s="342"/>
      <c r="BZ245" s="342"/>
      <c r="CA245" s="342"/>
      <c r="CB245" s="342"/>
      <c r="CC245" s="344"/>
      <c r="CD245" s="342"/>
      <c r="CE245" s="342"/>
      <c r="CF245" s="342"/>
      <c r="CG245" s="342"/>
      <c r="CH245" s="344"/>
      <c r="CI245" s="342"/>
      <c r="CJ245" s="342"/>
      <c r="CK245" s="342"/>
      <c r="CL245" s="342"/>
      <c r="CM245" s="344"/>
      <c r="CN245" s="342"/>
      <c r="CO245" s="342"/>
      <c r="CP245" s="342"/>
      <c r="CQ245" s="342"/>
      <c r="CR245" s="344"/>
      <c r="CS245" s="342"/>
      <c r="CT245" s="342"/>
      <c r="CU245" s="342"/>
      <c r="CV245" s="342"/>
      <c r="CW245" s="344"/>
      <c r="CX245" s="342"/>
      <c r="CY245" s="342"/>
      <c r="CZ245" s="342"/>
      <c r="DA245" s="342"/>
      <c r="DB245" s="344"/>
      <c r="DC245" s="342"/>
      <c r="DD245" s="342"/>
      <c r="DE245" s="342"/>
      <c r="DF245" s="342"/>
      <c r="DG245" s="344"/>
      <c r="DH245" s="342"/>
      <c r="DI245" s="342"/>
      <c r="DJ245" s="342"/>
      <c r="DK245" s="342"/>
      <c r="DL245" s="344"/>
      <c r="DM245" s="342"/>
      <c r="DN245" s="342"/>
      <c r="DO245" s="342"/>
      <c r="DP245" s="342"/>
      <c r="DQ245" s="344"/>
      <c r="DR245" s="342"/>
      <c r="DS245" s="342"/>
      <c r="DT245" s="342"/>
      <c r="DU245" s="342"/>
      <c r="DV245" s="344"/>
      <c r="DW245" s="342"/>
      <c r="DX245" s="342"/>
      <c r="DY245" s="342"/>
      <c r="DZ245" s="342"/>
      <c r="EA245" s="344"/>
      <c r="EB245" s="342"/>
      <c r="EC245" s="342"/>
      <c r="ED245" s="342"/>
      <c r="EE245" s="342"/>
      <c r="EF245" s="344"/>
      <c r="EG245" s="342"/>
      <c r="EH245" s="342"/>
      <c r="EI245" s="342"/>
      <c r="EJ245" s="342"/>
      <c r="EK245" s="344"/>
      <c r="EL245" s="342"/>
      <c r="EM245" s="342"/>
      <c r="EN245" s="342"/>
      <c r="EO245" s="342"/>
      <c r="EP245" s="344"/>
      <c r="EQ245" s="342"/>
      <c r="ER245" s="342"/>
      <c r="ES245" s="342"/>
      <c r="ET245" s="342"/>
      <c r="EU245" s="344"/>
      <c r="EV245" s="668"/>
      <c r="EW245" s="668"/>
      <c r="EX245" s="668"/>
      <c r="EY245" s="668"/>
      <c r="EZ245" s="668"/>
      <c r="FA245" s="668"/>
      <c r="FB245" s="668"/>
      <c r="FC245" s="668"/>
      <c r="FD245" s="668"/>
      <c r="FE245" s="668"/>
      <c r="FF245" s="668"/>
      <c r="FG245" s="668"/>
      <c r="FH245" s="668"/>
      <c r="FI245" s="668"/>
      <c r="FJ245" s="668"/>
      <c r="FK245" s="668"/>
      <c r="FL245" s="668"/>
      <c r="FM245" s="668"/>
      <c r="FN245" s="668"/>
      <c r="FO245" s="668"/>
      <c r="FP245" s="668"/>
      <c r="FQ245" s="668"/>
      <c r="FR245" s="668"/>
      <c r="FS245" s="668"/>
      <c r="FT245" s="668"/>
      <c r="FU245" s="668"/>
      <c r="FV245" s="668"/>
      <c r="FW245" s="668"/>
      <c r="FX245" s="668"/>
      <c r="FY245" s="668"/>
      <c r="FZ245" s="668"/>
      <c r="GA245" s="668"/>
      <c r="GB245" s="668"/>
      <c r="GC245" s="668"/>
      <c r="GD245" s="668"/>
      <c r="GE245" s="668"/>
      <c r="GF245" s="668"/>
      <c r="GG245" s="668"/>
      <c r="GH245" s="668"/>
      <c r="GI245" s="668"/>
      <c r="GJ245" s="668"/>
      <c r="GK245" s="668"/>
      <c r="GL245" s="668"/>
      <c r="GM245" s="668"/>
      <c r="GN245" s="668"/>
      <c r="GO245" s="668"/>
      <c r="GP245" s="668"/>
      <c r="GQ245" s="668"/>
      <c r="GR245" s="668"/>
      <c r="GS245" s="668"/>
      <c r="GT245" s="668"/>
      <c r="GU245" s="668"/>
      <c r="GV245" s="668"/>
      <c r="GW245" s="668"/>
      <c r="GX245" s="668"/>
      <c r="GY245" s="668"/>
      <c r="GZ245" s="668"/>
      <c r="HA245" s="668"/>
      <c r="HB245" s="668"/>
      <c r="HC245" s="668"/>
      <c r="HD245" s="668"/>
      <c r="HE245" s="668"/>
      <c r="HF245" s="668"/>
      <c r="HG245" s="668"/>
      <c r="HH245" s="668"/>
      <c r="HI245" s="668"/>
      <c r="HJ245" s="668"/>
      <c r="HK245" s="668"/>
      <c r="HL245" s="668"/>
      <c r="HM245" s="668"/>
      <c r="HN245" s="668"/>
      <c r="HO245" s="344"/>
      <c r="HP245" s="293"/>
      <c r="HQ245" s="342"/>
      <c r="HR245" s="293"/>
      <c r="HS245" s="353"/>
      <c r="HT245" s="563"/>
      <c r="HU245" s="563"/>
      <c r="HV245" s="563"/>
      <c r="HW245" s="563"/>
      <c r="HX245" s="563"/>
    </row>
    <row r="246" spans="1:232" s="509" customFormat="1" hidden="1" outlineLevel="1">
      <c r="A246" s="733" t="s">
        <v>506</v>
      </c>
      <c r="B246" s="734"/>
      <c r="C246" s="734"/>
      <c r="D246" s="734"/>
      <c r="E246" s="734"/>
      <c r="F246" s="734"/>
      <c r="G246" s="734"/>
      <c r="H246" s="734"/>
      <c r="I246" s="734"/>
      <c r="J246" s="734"/>
      <c r="K246" s="734"/>
      <c r="L246" s="734"/>
      <c r="M246" s="734"/>
      <c r="N246" s="734"/>
      <c r="O246" s="734"/>
      <c r="P246" s="734"/>
      <c r="Q246" s="734"/>
      <c r="R246" s="734"/>
      <c r="S246" s="734"/>
      <c r="T246" s="734"/>
      <c r="U246" s="734"/>
      <c r="V246" s="734"/>
      <c r="W246" s="734"/>
      <c r="X246" s="734"/>
      <c r="Y246" s="734"/>
      <c r="Z246" s="734"/>
      <c r="AA246" s="734"/>
      <c r="AB246" s="734"/>
      <c r="AC246" s="734"/>
      <c r="AD246" s="734"/>
      <c r="AE246" s="734"/>
      <c r="AF246" s="734"/>
      <c r="AG246" s="734"/>
      <c r="AH246" s="734"/>
      <c r="AI246" s="734"/>
      <c r="AJ246" s="734"/>
      <c r="AK246" s="734"/>
      <c r="AL246" s="734"/>
      <c r="AM246" s="734"/>
      <c r="AN246" s="734"/>
      <c r="AO246" s="735"/>
      <c r="AP246" s="734"/>
      <c r="AQ246" s="734"/>
      <c r="AR246" s="734"/>
      <c r="AS246" s="734"/>
      <c r="AT246" s="735"/>
      <c r="AU246" s="734"/>
      <c r="AV246" s="734"/>
      <c r="AW246" s="734"/>
      <c r="AX246" s="734"/>
      <c r="AY246" s="735"/>
      <c r="AZ246" s="734"/>
      <c r="BA246" s="734"/>
      <c r="BB246" s="734"/>
      <c r="BC246" s="734"/>
      <c r="BD246" s="735"/>
      <c r="BE246" s="734"/>
      <c r="BF246" s="734"/>
      <c r="BG246" s="734"/>
      <c r="BH246" s="734"/>
      <c r="BI246" s="735"/>
      <c r="BJ246" s="734"/>
      <c r="BK246" s="734"/>
      <c r="BL246" s="734"/>
      <c r="BM246" s="734"/>
      <c r="BN246" s="735"/>
      <c r="BO246" s="736"/>
      <c r="BP246" s="736"/>
      <c r="BQ246" s="736"/>
      <c r="BR246" s="736"/>
      <c r="BS246" s="737"/>
      <c r="BT246" s="736"/>
      <c r="BU246" s="736"/>
      <c r="BV246" s="736"/>
      <c r="BW246" s="736"/>
      <c r="BX246" s="738"/>
      <c r="BY246" s="736"/>
      <c r="BZ246" s="736"/>
      <c r="CA246" s="736"/>
      <c r="CB246" s="736"/>
      <c r="CC246" s="738"/>
      <c r="CD246" s="736"/>
      <c r="CE246" s="736"/>
      <c r="CF246" s="736"/>
      <c r="CG246" s="736"/>
      <c r="CH246" s="738"/>
      <c r="CI246" s="736"/>
      <c r="CJ246" s="736"/>
      <c r="CK246" s="736"/>
      <c r="CL246" s="736"/>
      <c r="CM246" s="738"/>
      <c r="CN246" s="736"/>
      <c r="CO246" s="736"/>
      <c r="CP246" s="736"/>
      <c r="CQ246" s="736"/>
      <c r="CR246" s="738"/>
      <c r="CS246" s="739"/>
      <c r="CT246" s="739"/>
      <c r="CU246" s="739"/>
      <c r="CV246" s="739"/>
      <c r="CW246" s="738"/>
      <c r="CX246" s="739"/>
      <c r="CY246" s="739"/>
      <c r="CZ246" s="739"/>
      <c r="DA246" s="739"/>
      <c r="DB246" s="738"/>
      <c r="DC246" s="739"/>
      <c r="DD246" s="739"/>
      <c r="DE246" s="739"/>
      <c r="DF246" s="739"/>
      <c r="DG246" s="738"/>
      <c r="DH246" s="740"/>
      <c r="DI246" s="740"/>
      <c r="DJ246" s="740"/>
      <c r="DK246" s="740"/>
      <c r="DL246" s="737"/>
      <c r="DM246" s="740"/>
      <c r="DN246" s="740"/>
      <c r="DO246" s="740"/>
      <c r="DP246" s="740"/>
      <c r="DQ246" s="741"/>
      <c r="DR246" s="742"/>
      <c r="DS246" s="742"/>
      <c r="DT246" s="742"/>
      <c r="DU246" s="742"/>
      <c r="DV246" s="741"/>
      <c r="DW246" s="742"/>
      <c r="DX246" s="742"/>
      <c r="DY246" s="742"/>
      <c r="DZ246" s="742"/>
      <c r="EA246" s="741"/>
      <c r="EB246" s="742">
        <v>913</v>
      </c>
      <c r="EC246" s="742">
        <v>994</v>
      </c>
      <c r="ED246" s="742">
        <v>925</v>
      </c>
      <c r="EE246" s="742">
        <v>888</v>
      </c>
      <c r="EF246" s="741">
        <f>SUM(EB246:EE246)</f>
        <v>3720</v>
      </c>
      <c r="EG246" s="742">
        <v>861</v>
      </c>
      <c r="EH246" s="742">
        <v>828</v>
      </c>
      <c r="EI246" s="742">
        <v>781</v>
      </c>
      <c r="EJ246" s="742">
        <v>662</v>
      </c>
      <c r="EK246" s="741">
        <f>+SUM(EG246:EJ246)</f>
        <v>3132</v>
      </c>
      <c r="EL246" s="742">
        <v>532</v>
      </c>
      <c r="EM246" s="742">
        <v>379</v>
      </c>
      <c r="EN246" s="742">
        <v>424</v>
      </c>
      <c r="EO246" s="743">
        <v>470</v>
      </c>
      <c r="EP246" s="744">
        <f>+SUM(EL246:EO246)</f>
        <v>1805</v>
      </c>
      <c r="EQ246" s="743">
        <v>460</v>
      </c>
      <c r="ER246" s="743">
        <v>435</v>
      </c>
      <c r="ES246" s="743">
        <v>472</v>
      </c>
      <c r="ET246" s="743">
        <v>600</v>
      </c>
      <c r="EU246" s="744">
        <f>+SUM(EQ246:ET246)</f>
        <v>1967</v>
      </c>
      <c r="EV246" s="668"/>
      <c r="EW246" s="668"/>
      <c r="EX246" s="668"/>
      <c r="EY246" s="668"/>
      <c r="EZ246" s="668"/>
      <c r="FA246" s="668"/>
      <c r="FB246" s="668"/>
      <c r="FC246" s="668"/>
      <c r="FD246" s="668"/>
      <c r="FE246" s="668"/>
      <c r="FF246" s="668"/>
      <c r="FG246" s="668"/>
      <c r="FH246" s="668"/>
      <c r="FI246" s="668"/>
      <c r="FJ246" s="668"/>
      <c r="FK246" s="668"/>
      <c r="FL246" s="668"/>
      <c r="FM246" s="668"/>
      <c r="FN246" s="668"/>
      <c r="FO246" s="668"/>
      <c r="FP246" s="668"/>
      <c r="FQ246" s="668"/>
      <c r="FR246" s="668"/>
      <c r="FS246" s="668"/>
      <c r="FT246" s="668"/>
      <c r="FU246" s="668"/>
      <c r="FV246" s="668"/>
      <c r="FW246" s="668"/>
      <c r="FX246" s="668"/>
      <c r="FY246" s="668"/>
      <c r="FZ246" s="668"/>
      <c r="GA246" s="668"/>
      <c r="GB246" s="668"/>
      <c r="GC246" s="668"/>
      <c r="GD246" s="668"/>
      <c r="GE246" s="668"/>
      <c r="GF246" s="668"/>
      <c r="GG246" s="668"/>
      <c r="GH246" s="668"/>
      <c r="GI246" s="668"/>
      <c r="GJ246" s="668"/>
      <c r="GK246" s="668"/>
      <c r="GL246" s="668"/>
      <c r="GM246" s="668"/>
      <c r="GN246" s="668"/>
      <c r="GO246" s="668"/>
      <c r="GP246" s="668"/>
      <c r="GQ246" s="668"/>
      <c r="GR246" s="668"/>
      <c r="GS246" s="668"/>
      <c r="GT246" s="668"/>
      <c r="GU246" s="668"/>
      <c r="GV246" s="668"/>
      <c r="GW246" s="668"/>
      <c r="GX246" s="668"/>
      <c r="GY246" s="668"/>
      <c r="GZ246" s="668"/>
      <c r="HA246" s="668"/>
      <c r="HB246" s="668"/>
      <c r="HC246" s="668"/>
      <c r="HD246" s="668"/>
      <c r="HE246" s="668"/>
      <c r="HF246" s="668"/>
      <c r="HG246" s="668"/>
      <c r="HH246" s="668"/>
      <c r="HI246" s="668"/>
      <c r="HJ246" s="668"/>
      <c r="HK246" s="668"/>
      <c r="HL246" s="668"/>
      <c r="HM246" s="668"/>
      <c r="HN246" s="668"/>
      <c r="HO246" s="542"/>
      <c r="HP246" s="563"/>
      <c r="HR246" s="563"/>
      <c r="HS246" s="563"/>
      <c r="HT246" s="563"/>
      <c r="HU246" s="563"/>
      <c r="HV246" s="563"/>
      <c r="HW246" s="563"/>
      <c r="HX246" s="563"/>
    </row>
    <row r="247" spans="1:232" s="509" customFormat="1" hidden="1" outlineLevel="1">
      <c r="A247" s="509" t="s">
        <v>488</v>
      </c>
      <c r="AO247" s="538"/>
      <c r="AT247" s="538"/>
      <c r="AY247" s="538"/>
      <c r="BD247" s="538"/>
      <c r="BI247" s="538"/>
      <c r="BN247" s="538"/>
      <c r="BO247" s="342"/>
      <c r="BP247" s="342"/>
      <c r="BQ247" s="342"/>
      <c r="BR247" s="342"/>
      <c r="BS247" s="541"/>
      <c r="BT247" s="342"/>
      <c r="BU247" s="342"/>
      <c r="BV247" s="342"/>
      <c r="BW247" s="342"/>
      <c r="BX247" s="648"/>
      <c r="BY247" s="342"/>
      <c r="BZ247" s="342"/>
      <c r="CA247" s="342"/>
      <c r="CB247" s="342"/>
      <c r="CC247" s="648"/>
      <c r="CD247" s="342"/>
      <c r="CE247" s="342"/>
      <c r="CF247" s="342"/>
      <c r="CG247" s="342"/>
      <c r="CH247" s="648"/>
      <c r="CI247" s="342"/>
      <c r="CJ247" s="342"/>
      <c r="CK247" s="342"/>
      <c r="CL247" s="342"/>
      <c r="CM247" s="648"/>
      <c r="CN247" s="342"/>
      <c r="CO247" s="342"/>
      <c r="CP247" s="342"/>
      <c r="CQ247" s="342"/>
      <c r="CR247" s="648"/>
      <c r="CS247" s="342"/>
      <c r="CT247" s="342"/>
      <c r="CU247" s="342"/>
      <c r="CV247" s="342"/>
      <c r="CW247" s="648"/>
      <c r="CX247" s="342"/>
      <c r="CY247" s="342"/>
      <c r="CZ247" s="342"/>
      <c r="DA247" s="342"/>
      <c r="DB247" s="648"/>
      <c r="DC247" s="342"/>
      <c r="DD247" s="342"/>
      <c r="DE247" s="342"/>
      <c r="DF247" s="342"/>
      <c r="DG247" s="648"/>
      <c r="DH247" s="342"/>
      <c r="DI247" s="342"/>
      <c r="DJ247" s="342"/>
      <c r="DK247" s="342"/>
      <c r="DL247" s="648"/>
      <c r="DM247" s="342"/>
      <c r="DN247" s="342"/>
      <c r="DO247" s="342"/>
      <c r="DP247" s="342"/>
      <c r="DQ247" s="648"/>
      <c r="DR247" s="342"/>
      <c r="DS247" s="342"/>
      <c r="DT247" s="342"/>
      <c r="DU247" s="342"/>
      <c r="DV247" s="648"/>
      <c r="DW247" s="342"/>
      <c r="DX247" s="342"/>
      <c r="DY247" s="342"/>
      <c r="DZ247" s="342"/>
      <c r="EA247" s="648"/>
      <c r="EB247" s="648"/>
      <c r="EC247" s="342">
        <f>(EC246-EB246)/EB246</f>
        <v>8.8718510405257398E-2</v>
      </c>
      <c r="ED247" s="342">
        <f>(ED246-EC246)/EC246</f>
        <v>-6.9416498993963779E-2</v>
      </c>
      <c r="EE247" s="342">
        <f>(EE246-ED246)/ED246</f>
        <v>-0.04</v>
      </c>
      <c r="EF247" s="648" t="s">
        <v>199</v>
      </c>
      <c r="EG247" s="342">
        <f>(EG246-EE246)/EE246</f>
        <v>-3.0405405405405407E-2</v>
      </c>
      <c r="EH247" s="342">
        <f>(EH246-EG246)/EG246</f>
        <v>-3.8327526132404179E-2</v>
      </c>
      <c r="EI247" s="342">
        <f>(EI246-EH246)/EH246</f>
        <v>-5.6763285024154592E-2</v>
      </c>
      <c r="EJ247" s="342">
        <f>(EJ246-EI246)/EI246</f>
        <v>-0.15236875800256081</v>
      </c>
      <c r="EK247" s="342" t="s">
        <v>199</v>
      </c>
      <c r="EL247" s="342">
        <f>+EL246/EJ246-1</f>
        <v>-0.1963746223564955</v>
      </c>
      <c r="EM247" s="342">
        <f>+EM246/EL246-1</f>
        <v>-0.28759398496240607</v>
      </c>
      <c r="EN247" s="342">
        <f>+EN246/EM246-1</f>
        <v>0.1187335092348285</v>
      </c>
      <c r="EO247" s="342">
        <f>(EO246-EN246)/EN246</f>
        <v>0.10849056603773585</v>
      </c>
      <c r="EP247" s="648" t="s">
        <v>199</v>
      </c>
      <c r="EQ247" s="342">
        <f>+EQ246/EO246-1</f>
        <v>-2.1276595744680882E-2</v>
      </c>
      <c r="ER247" s="342">
        <f>(ER246-EQ246)/EQ246</f>
        <v>-5.434782608695652E-2</v>
      </c>
      <c r="ES247" s="342">
        <f>(ES246-ER246)/ER246</f>
        <v>8.5057471264367815E-2</v>
      </c>
      <c r="ET247" s="342">
        <f>AVERAGE(EO247,EJ247,EE247)</f>
        <v>-2.795939732160832E-2</v>
      </c>
      <c r="EU247" s="648" t="s">
        <v>199</v>
      </c>
      <c r="EV247" s="668"/>
      <c r="EW247" s="668"/>
      <c r="EX247" s="668"/>
      <c r="EY247" s="668"/>
      <c r="EZ247" s="668"/>
      <c r="FA247" s="668"/>
      <c r="FB247" s="668"/>
      <c r="FC247" s="668"/>
      <c r="FD247" s="668"/>
      <c r="FE247" s="668"/>
      <c r="FF247" s="668"/>
      <c r="FG247" s="668"/>
      <c r="FH247" s="668"/>
      <c r="FI247" s="668"/>
      <c r="FJ247" s="668"/>
      <c r="FK247" s="668"/>
      <c r="FL247" s="668"/>
      <c r="FM247" s="668"/>
      <c r="FN247" s="668"/>
      <c r="FO247" s="668"/>
      <c r="FP247" s="668"/>
      <c r="FQ247" s="668"/>
      <c r="FR247" s="668"/>
      <c r="FS247" s="668"/>
      <c r="FT247" s="668"/>
      <c r="FU247" s="668"/>
      <c r="FV247" s="668"/>
      <c r="FW247" s="668"/>
      <c r="FX247" s="668"/>
      <c r="FY247" s="668"/>
      <c r="FZ247" s="668"/>
      <c r="GA247" s="668"/>
      <c r="GB247" s="668"/>
      <c r="GC247" s="668"/>
      <c r="GD247" s="668"/>
      <c r="GE247" s="668"/>
      <c r="GF247" s="668"/>
      <c r="GG247" s="668"/>
      <c r="GH247" s="668"/>
      <c r="GI247" s="668"/>
      <c r="GJ247" s="668"/>
      <c r="GK247" s="668"/>
      <c r="GL247" s="668"/>
      <c r="GM247" s="668"/>
      <c r="GN247" s="668"/>
      <c r="GO247" s="668"/>
      <c r="GP247" s="668"/>
      <c r="GQ247" s="668"/>
      <c r="GR247" s="668"/>
      <c r="GS247" s="668"/>
      <c r="GT247" s="668"/>
      <c r="GU247" s="668"/>
      <c r="GV247" s="668"/>
      <c r="GW247" s="668"/>
      <c r="GX247" s="668"/>
      <c r="GY247" s="668"/>
      <c r="GZ247" s="668"/>
      <c r="HA247" s="668"/>
      <c r="HB247" s="668"/>
      <c r="HC247" s="668"/>
      <c r="HD247" s="668"/>
      <c r="HE247" s="668"/>
      <c r="HF247" s="668"/>
      <c r="HG247" s="668"/>
      <c r="HH247" s="668"/>
      <c r="HI247" s="668"/>
      <c r="HJ247" s="668"/>
      <c r="HK247" s="668"/>
      <c r="HL247" s="668"/>
      <c r="HM247" s="668"/>
      <c r="HN247" s="668"/>
      <c r="HO247" s="648"/>
      <c r="HP247" s="293"/>
      <c r="HQ247" s="342"/>
      <c r="HR247" s="293"/>
      <c r="HS247" s="745"/>
      <c r="HT247" s="563"/>
      <c r="HU247" s="563"/>
      <c r="HV247" s="563"/>
      <c r="HW247" s="563"/>
      <c r="HX247" s="563"/>
    </row>
    <row r="248" spans="1:232" s="509" customFormat="1" hidden="1" outlineLevel="1">
      <c r="A248" s="746" t="s">
        <v>489</v>
      </c>
      <c r="B248" s="746"/>
      <c r="C248" s="746"/>
      <c r="D248" s="746"/>
      <c r="E248" s="746"/>
      <c r="F248" s="746"/>
      <c r="G248" s="746"/>
      <c r="H248" s="746"/>
      <c r="I248" s="746"/>
      <c r="J248" s="746"/>
      <c r="K248" s="746"/>
      <c r="L248" s="746"/>
      <c r="M248" s="746"/>
      <c r="N248" s="746"/>
      <c r="O248" s="746"/>
      <c r="P248" s="746"/>
      <c r="Q248" s="746"/>
      <c r="R248" s="746"/>
      <c r="S248" s="746"/>
      <c r="T248" s="746"/>
      <c r="U248" s="746"/>
      <c r="V248" s="746"/>
      <c r="W248" s="746"/>
      <c r="X248" s="746"/>
      <c r="Y248" s="746"/>
      <c r="Z248" s="746"/>
      <c r="AA248" s="746"/>
      <c r="AB248" s="746"/>
      <c r="AC248" s="746"/>
      <c r="AD248" s="746"/>
      <c r="AE248" s="746"/>
      <c r="AF248" s="746"/>
      <c r="AG248" s="746"/>
      <c r="AH248" s="746"/>
      <c r="AI248" s="746"/>
      <c r="AJ248" s="746"/>
      <c r="AK248" s="746"/>
      <c r="AL248" s="746"/>
      <c r="AM248" s="746"/>
      <c r="AN248" s="746"/>
      <c r="AO248" s="747"/>
      <c r="AP248" s="746"/>
      <c r="AQ248" s="746"/>
      <c r="AR248" s="746"/>
      <c r="AS248" s="746"/>
      <c r="AT248" s="747"/>
      <c r="AU248" s="746"/>
      <c r="AV248" s="746"/>
      <c r="AW248" s="746"/>
      <c r="AX248" s="746"/>
      <c r="AY248" s="747"/>
      <c r="AZ248" s="746"/>
      <c r="BA248" s="746"/>
      <c r="BB248" s="746"/>
      <c r="BC248" s="746"/>
      <c r="BD248" s="747"/>
      <c r="BE248" s="746"/>
      <c r="BF248" s="746"/>
      <c r="BG248" s="746"/>
      <c r="BH248" s="746"/>
      <c r="BI248" s="747"/>
      <c r="BJ248" s="746"/>
      <c r="BK248" s="746"/>
      <c r="BL248" s="746"/>
      <c r="BM248" s="746"/>
      <c r="BN248" s="747"/>
      <c r="BO248" s="748"/>
      <c r="BP248" s="748"/>
      <c r="BQ248" s="748"/>
      <c r="BR248" s="748"/>
      <c r="BS248" s="749"/>
      <c r="BT248" s="748"/>
      <c r="BU248" s="748"/>
      <c r="BV248" s="748"/>
      <c r="BW248" s="748"/>
      <c r="BX248" s="749"/>
      <c r="BY248" s="748"/>
      <c r="BZ248" s="748"/>
      <c r="CA248" s="748"/>
      <c r="CB248" s="748"/>
      <c r="CC248" s="749"/>
      <c r="CD248" s="748"/>
      <c r="CE248" s="748"/>
      <c r="CF248" s="748"/>
      <c r="CG248" s="748"/>
      <c r="CH248" s="749"/>
      <c r="CI248" s="748"/>
      <c r="CJ248" s="748"/>
      <c r="CK248" s="748"/>
      <c r="CL248" s="748"/>
      <c r="CM248" s="749"/>
      <c r="CN248" s="748"/>
      <c r="CO248" s="748"/>
      <c r="CP248" s="748"/>
      <c r="CQ248" s="748"/>
      <c r="CR248" s="749"/>
      <c r="CS248" s="748"/>
      <c r="CT248" s="748"/>
      <c r="CU248" s="748"/>
      <c r="CV248" s="748"/>
      <c r="CW248" s="749"/>
      <c r="CX248" s="748"/>
      <c r="CY248" s="748"/>
      <c r="CZ248" s="748"/>
      <c r="DA248" s="748"/>
      <c r="DB248" s="749"/>
      <c r="DC248" s="748"/>
      <c r="DD248" s="748"/>
      <c r="DE248" s="748"/>
      <c r="DF248" s="748"/>
      <c r="DG248" s="749"/>
      <c r="DH248" s="748"/>
      <c r="DI248" s="748"/>
      <c r="DJ248" s="748"/>
      <c r="DK248" s="748"/>
      <c r="DL248" s="749"/>
      <c r="DM248" s="748"/>
      <c r="DN248" s="748"/>
      <c r="DO248" s="748"/>
      <c r="DP248" s="748"/>
      <c r="DQ248" s="749"/>
      <c r="DR248" s="748"/>
      <c r="DS248" s="748"/>
      <c r="DT248" s="748"/>
      <c r="DU248" s="748"/>
      <c r="DV248" s="749"/>
      <c r="DW248" s="748"/>
      <c r="DX248" s="748"/>
      <c r="DY248" s="748"/>
      <c r="DZ248" s="748"/>
      <c r="EA248" s="749"/>
      <c r="EB248" s="750"/>
      <c r="EC248" s="750" t="s">
        <v>199</v>
      </c>
      <c r="ED248" s="750" t="s">
        <v>199</v>
      </c>
      <c r="EE248" s="750" t="s">
        <v>199</v>
      </c>
      <c r="EF248" s="750" t="s">
        <v>199</v>
      </c>
      <c r="EG248" s="748">
        <f t="shared" ref="EG248:EU248" si="261">(EG246/EB246)-1</f>
        <v>-5.6955093099671394E-2</v>
      </c>
      <c r="EH248" s="748">
        <f t="shared" si="261"/>
        <v>-0.16700201207243459</v>
      </c>
      <c r="EI248" s="748">
        <f t="shared" si="261"/>
        <v>-0.15567567567567564</v>
      </c>
      <c r="EJ248" s="748">
        <f t="shared" si="261"/>
        <v>-0.25450450450450446</v>
      </c>
      <c r="EK248" s="751">
        <f t="shared" si="261"/>
        <v>-0.15806451612903227</v>
      </c>
      <c r="EL248" s="748">
        <f t="shared" si="261"/>
        <v>-0.38211382113821135</v>
      </c>
      <c r="EM248" s="748">
        <f t="shared" si="261"/>
        <v>-0.54227053140096615</v>
      </c>
      <c r="EN248" s="748">
        <f t="shared" si="261"/>
        <v>-0.45710627400768244</v>
      </c>
      <c r="EO248" s="748">
        <f t="shared" si="261"/>
        <v>-0.29003021148036257</v>
      </c>
      <c r="EP248" s="749">
        <f t="shared" si="261"/>
        <v>-0.42369093231162192</v>
      </c>
      <c r="EQ248" s="748">
        <f t="shared" si="261"/>
        <v>-0.13533834586466165</v>
      </c>
      <c r="ER248" s="748">
        <f t="shared" si="261"/>
        <v>0.14775725593667555</v>
      </c>
      <c r="ES248" s="748">
        <f t="shared" si="261"/>
        <v>0.1132075471698113</v>
      </c>
      <c r="ET248" s="748">
        <f t="shared" si="261"/>
        <v>0.27659574468085113</v>
      </c>
      <c r="EU248" s="749">
        <f t="shared" si="261"/>
        <v>8.975069252077561E-2</v>
      </c>
      <c r="EV248" s="668"/>
      <c r="EW248" s="668"/>
      <c r="EX248" s="668"/>
      <c r="EY248" s="668"/>
      <c r="EZ248" s="668"/>
      <c r="FA248" s="668"/>
      <c r="FB248" s="668"/>
      <c r="FC248" s="668"/>
      <c r="FD248" s="668"/>
      <c r="FE248" s="668"/>
      <c r="FF248" s="668"/>
      <c r="FG248" s="668"/>
      <c r="FH248" s="668"/>
      <c r="FI248" s="668"/>
      <c r="FJ248" s="668"/>
      <c r="FK248" s="668"/>
      <c r="FL248" s="668"/>
      <c r="FM248" s="668"/>
      <c r="FN248" s="668"/>
      <c r="FO248" s="668"/>
      <c r="FP248" s="668"/>
      <c r="FQ248" s="668"/>
      <c r="FR248" s="668"/>
      <c r="FS248" s="668"/>
      <c r="FT248" s="668"/>
      <c r="FU248" s="668"/>
      <c r="FV248" s="668"/>
      <c r="FW248" s="668"/>
      <c r="FX248" s="668"/>
      <c r="FY248" s="668"/>
      <c r="FZ248" s="668"/>
      <c r="GA248" s="668"/>
      <c r="GB248" s="668"/>
      <c r="GC248" s="668"/>
      <c r="GD248" s="668"/>
      <c r="GE248" s="668"/>
      <c r="GF248" s="668"/>
      <c r="GG248" s="668"/>
      <c r="GH248" s="668"/>
      <c r="GI248" s="668"/>
      <c r="GJ248" s="668"/>
      <c r="GK248" s="668"/>
      <c r="GL248" s="668"/>
      <c r="GM248" s="668"/>
      <c r="GN248" s="668"/>
      <c r="GO248" s="668"/>
      <c r="GP248" s="668"/>
      <c r="GQ248" s="668"/>
      <c r="GR248" s="668"/>
      <c r="GS248" s="668"/>
      <c r="GT248" s="668"/>
      <c r="GU248" s="668"/>
      <c r="GV248" s="668"/>
      <c r="GW248" s="668"/>
      <c r="GX248" s="668"/>
      <c r="GY248" s="668"/>
      <c r="GZ248" s="668"/>
      <c r="HA248" s="668"/>
      <c r="HB248" s="668"/>
      <c r="HC248" s="668"/>
      <c r="HD248" s="668"/>
      <c r="HE248" s="668"/>
      <c r="HF248" s="668"/>
      <c r="HG248" s="668"/>
      <c r="HH248" s="668"/>
      <c r="HI248" s="668"/>
      <c r="HJ248" s="668"/>
      <c r="HK248" s="668"/>
      <c r="HL248" s="668"/>
      <c r="HM248" s="668"/>
      <c r="HN248" s="668"/>
      <c r="HO248" s="344"/>
      <c r="HP248" s="293"/>
      <c r="HQ248" s="342"/>
      <c r="HR248" s="293"/>
      <c r="HS248" s="353"/>
      <c r="HT248" s="563"/>
      <c r="HU248" s="563"/>
      <c r="HV248" s="563"/>
      <c r="HW248" s="563"/>
      <c r="HX248" s="563"/>
    </row>
    <row r="249" spans="1:232" s="509" customFormat="1" hidden="1" outlineLevel="1">
      <c r="A249" s="509" t="s">
        <v>507</v>
      </c>
      <c r="B249" s="752"/>
      <c r="C249" s="752"/>
      <c r="D249" s="752"/>
      <c r="E249" s="752"/>
      <c r="F249" s="752"/>
      <c r="G249" s="752"/>
      <c r="H249" s="752"/>
      <c r="I249" s="752"/>
      <c r="J249" s="752"/>
      <c r="K249" s="752"/>
      <c r="L249" s="752"/>
      <c r="M249" s="752"/>
      <c r="N249" s="752"/>
      <c r="O249" s="752"/>
      <c r="P249" s="752"/>
      <c r="Q249" s="752"/>
      <c r="R249" s="752"/>
      <c r="S249" s="752"/>
      <c r="T249" s="752"/>
      <c r="U249" s="752"/>
      <c r="V249" s="752"/>
      <c r="W249" s="752"/>
      <c r="X249" s="752"/>
      <c r="Y249" s="752"/>
      <c r="Z249" s="752"/>
      <c r="AA249" s="752"/>
      <c r="AB249" s="752"/>
      <c r="AC249" s="752"/>
      <c r="AD249" s="752"/>
      <c r="AE249" s="752"/>
      <c r="AF249" s="752"/>
      <c r="AG249" s="752"/>
      <c r="AH249" s="752"/>
      <c r="AI249" s="752"/>
      <c r="AJ249" s="752"/>
      <c r="AK249" s="752"/>
      <c r="AL249" s="752"/>
      <c r="AM249" s="752"/>
      <c r="AN249" s="752"/>
      <c r="AO249" s="753"/>
      <c r="AP249" s="752"/>
      <c r="AQ249" s="752"/>
      <c r="AR249" s="752"/>
      <c r="AS249" s="752"/>
      <c r="AT249" s="753"/>
      <c r="AU249" s="752"/>
      <c r="AV249" s="752"/>
      <c r="AW249" s="752"/>
      <c r="AX249" s="752"/>
      <c r="AY249" s="753"/>
      <c r="AZ249" s="752"/>
      <c r="BA249" s="752"/>
      <c r="BB249" s="752"/>
      <c r="BC249" s="752"/>
      <c r="BD249" s="753"/>
      <c r="BE249" s="752"/>
      <c r="BF249" s="752"/>
      <c r="BG249" s="752"/>
      <c r="BH249" s="752"/>
      <c r="BI249" s="753"/>
      <c r="BJ249" s="752"/>
      <c r="BK249" s="752"/>
      <c r="BL249" s="752"/>
      <c r="BM249" s="752"/>
      <c r="BN249" s="753"/>
      <c r="BO249" s="754"/>
      <c r="BP249" s="754"/>
      <c r="BQ249" s="754"/>
      <c r="BR249" s="754"/>
      <c r="BS249" s="755"/>
      <c r="BT249" s="754"/>
      <c r="BU249" s="754"/>
      <c r="BV249" s="754"/>
      <c r="BW249" s="754"/>
      <c r="BX249" s="524"/>
      <c r="BY249" s="754"/>
      <c r="BZ249" s="754"/>
      <c r="CA249" s="754"/>
      <c r="CB249" s="754"/>
      <c r="CC249" s="524"/>
      <c r="CD249" s="754"/>
      <c r="CE249" s="754"/>
      <c r="CF249" s="754"/>
      <c r="CG249" s="754"/>
      <c r="CH249" s="524"/>
      <c r="CI249" s="754"/>
      <c r="CJ249" s="754"/>
      <c r="CK249" s="754"/>
      <c r="CL249" s="754"/>
      <c r="CM249" s="524"/>
      <c r="CN249" s="754"/>
      <c r="CO249" s="754"/>
      <c r="CP249" s="754"/>
      <c r="CQ249" s="754"/>
      <c r="CR249" s="524"/>
      <c r="CS249" s="523"/>
      <c r="CT249" s="523"/>
      <c r="CU249" s="523"/>
      <c r="CV249" s="523"/>
      <c r="CW249" s="524"/>
      <c r="CX249" s="523"/>
      <c r="CY249" s="523"/>
      <c r="CZ249" s="523"/>
      <c r="DA249" s="523"/>
      <c r="DB249" s="524"/>
      <c r="DC249" s="523"/>
      <c r="DD249" s="523"/>
      <c r="DE249" s="523"/>
      <c r="DF249" s="523"/>
      <c r="DG249" s="524"/>
      <c r="DH249" s="650"/>
      <c r="DI249" s="650"/>
      <c r="DJ249" s="650"/>
      <c r="DK249" s="650"/>
      <c r="DL249" s="755"/>
      <c r="DM249" s="756"/>
      <c r="DN249" s="756"/>
      <c r="DO249" s="756"/>
      <c r="DP249" s="756"/>
      <c r="DQ249" s="757"/>
      <c r="DR249" s="756"/>
      <c r="DS249" s="756"/>
      <c r="DT249" s="756"/>
      <c r="DU249" s="756"/>
      <c r="DV249" s="757"/>
      <c r="DW249" s="756"/>
      <c r="DX249" s="756"/>
      <c r="DY249" s="756"/>
      <c r="DZ249" s="756"/>
      <c r="EA249" s="757"/>
      <c r="EB249" s="336">
        <f t="shared" ref="EB249:EJ249" si="262">+EB246/EB$9</f>
        <v>0.83915441176470584</v>
      </c>
      <c r="EC249" s="336">
        <f t="shared" si="262"/>
        <v>0.8561584840654608</v>
      </c>
      <c r="ED249" s="336">
        <f t="shared" si="262"/>
        <v>0.63312799452429847</v>
      </c>
      <c r="EE249" s="336">
        <f t="shared" si="262"/>
        <v>0.55884203901825047</v>
      </c>
      <c r="EF249" s="758">
        <f t="shared" si="262"/>
        <v>0.70201924891488965</v>
      </c>
      <c r="EG249" s="336">
        <f t="shared" si="262"/>
        <v>0.61632068718682886</v>
      </c>
      <c r="EH249" s="336">
        <f t="shared" si="262"/>
        <v>0.57460097154753642</v>
      </c>
      <c r="EI249" s="337">
        <f t="shared" si="262"/>
        <v>0.54653603918824356</v>
      </c>
      <c r="EJ249" s="337">
        <f t="shared" si="262"/>
        <v>0.53430185633575467</v>
      </c>
      <c r="EK249" s="359">
        <f>+EK246/EK$9</f>
        <v>0.56883399927351974</v>
      </c>
      <c r="EL249" s="336">
        <f>+EL246/EL$9</f>
        <v>0.51650485436893201</v>
      </c>
      <c r="EM249" s="336">
        <f>+EM246/EM$9</f>
        <v>0.40233545647558389</v>
      </c>
      <c r="EN249" s="336">
        <f>+EN246/EN$9</f>
        <v>0.39962299717247879</v>
      </c>
      <c r="EO249" s="756"/>
      <c r="EP249" s="757"/>
      <c r="EQ249" s="756"/>
      <c r="ER249" s="756"/>
      <c r="ES249" s="756"/>
      <c r="ET249" s="756"/>
      <c r="EU249" s="757"/>
      <c r="EV249" s="668"/>
      <c r="EW249" s="668"/>
      <c r="EX249" s="668"/>
      <c r="EY249" s="668"/>
      <c r="EZ249" s="668"/>
      <c r="FA249" s="668"/>
      <c r="FB249" s="668"/>
      <c r="FC249" s="668"/>
      <c r="FD249" s="668"/>
      <c r="FE249" s="668"/>
      <c r="FF249" s="668"/>
      <c r="FG249" s="668"/>
      <c r="FH249" s="668"/>
      <c r="FI249" s="668"/>
      <c r="FJ249" s="668"/>
      <c r="FK249" s="668"/>
      <c r="FL249" s="668"/>
      <c r="FM249" s="668"/>
      <c r="FN249" s="668"/>
      <c r="FO249" s="668"/>
      <c r="FP249" s="668"/>
      <c r="FQ249" s="668"/>
      <c r="FR249" s="668"/>
      <c r="FS249" s="668"/>
      <c r="FT249" s="668"/>
      <c r="FU249" s="668"/>
      <c r="FV249" s="668"/>
      <c r="FW249" s="668"/>
      <c r="FX249" s="668"/>
      <c r="FY249" s="668"/>
      <c r="FZ249" s="668"/>
      <c r="GA249" s="668"/>
      <c r="GB249" s="668"/>
      <c r="GC249" s="668"/>
      <c r="GD249" s="668"/>
      <c r="GE249" s="668"/>
      <c r="GF249" s="668"/>
      <c r="GG249" s="668"/>
      <c r="GH249" s="668"/>
      <c r="GI249" s="668"/>
      <c r="GJ249" s="668"/>
      <c r="GK249" s="668"/>
      <c r="GL249" s="668"/>
      <c r="GM249" s="668"/>
      <c r="GN249" s="668"/>
      <c r="GO249" s="668"/>
      <c r="GP249" s="668"/>
      <c r="GQ249" s="668"/>
      <c r="GR249" s="668"/>
      <c r="GS249" s="668"/>
      <c r="GT249" s="668"/>
      <c r="GU249" s="668"/>
      <c r="GV249" s="668"/>
      <c r="GW249" s="668"/>
      <c r="GX249" s="668"/>
      <c r="GY249" s="668"/>
      <c r="GZ249" s="668"/>
      <c r="HA249" s="668"/>
      <c r="HB249" s="668"/>
      <c r="HC249" s="668"/>
      <c r="HD249" s="668"/>
      <c r="HE249" s="668"/>
      <c r="HF249" s="668"/>
      <c r="HG249" s="668"/>
      <c r="HH249" s="668"/>
      <c r="HI249" s="668"/>
      <c r="HJ249" s="668"/>
      <c r="HK249" s="668"/>
      <c r="HL249" s="668"/>
      <c r="HM249" s="668"/>
      <c r="HN249" s="668"/>
      <c r="HO249" s="757"/>
      <c r="HP249" s="563"/>
      <c r="HR249" s="563"/>
      <c r="HS249" s="563"/>
      <c r="HT249" s="563"/>
      <c r="HU249" s="563"/>
      <c r="HV249" s="563"/>
      <c r="HW249" s="563"/>
      <c r="HX249" s="563"/>
    </row>
    <row r="250" spans="1:232" s="509" customFormat="1" hidden="1" outlineLevel="1">
      <c r="A250" s="509" t="s">
        <v>508</v>
      </c>
      <c r="B250" s="752"/>
      <c r="C250" s="752"/>
      <c r="D250" s="752"/>
      <c r="E250" s="752"/>
      <c r="F250" s="752"/>
      <c r="G250" s="752"/>
      <c r="H250" s="752"/>
      <c r="I250" s="752"/>
      <c r="J250" s="752"/>
      <c r="K250" s="752"/>
      <c r="L250" s="752"/>
      <c r="M250" s="752"/>
      <c r="N250" s="752"/>
      <c r="O250" s="752"/>
      <c r="P250" s="752"/>
      <c r="Q250" s="752"/>
      <c r="R250" s="752"/>
      <c r="S250" s="752"/>
      <c r="T250" s="752"/>
      <c r="U250" s="752"/>
      <c r="V250" s="752"/>
      <c r="W250" s="752"/>
      <c r="X250" s="752"/>
      <c r="Y250" s="752"/>
      <c r="Z250" s="752"/>
      <c r="AA250" s="752"/>
      <c r="AB250" s="752"/>
      <c r="AC250" s="752"/>
      <c r="AD250" s="752"/>
      <c r="AE250" s="752"/>
      <c r="AF250" s="752"/>
      <c r="AG250" s="752"/>
      <c r="AH250" s="752"/>
      <c r="AI250" s="752"/>
      <c r="AJ250" s="752"/>
      <c r="AK250" s="752"/>
      <c r="AL250" s="752"/>
      <c r="AM250" s="752"/>
      <c r="AN250" s="752"/>
      <c r="AO250" s="753"/>
      <c r="AP250" s="752"/>
      <c r="AQ250" s="752"/>
      <c r="AR250" s="752"/>
      <c r="AS250" s="752"/>
      <c r="AT250" s="753"/>
      <c r="AU250" s="752"/>
      <c r="AV250" s="752"/>
      <c r="AW250" s="752"/>
      <c r="AX250" s="752"/>
      <c r="AY250" s="753"/>
      <c r="AZ250" s="752"/>
      <c r="BA250" s="752"/>
      <c r="BB250" s="752"/>
      <c r="BC250" s="752"/>
      <c r="BD250" s="753"/>
      <c r="BE250" s="752"/>
      <c r="BF250" s="752"/>
      <c r="BG250" s="752"/>
      <c r="BH250" s="752"/>
      <c r="BI250" s="753"/>
      <c r="BJ250" s="752"/>
      <c r="BK250" s="752"/>
      <c r="BL250" s="752"/>
      <c r="BM250" s="752"/>
      <c r="BN250" s="753"/>
      <c r="BO250" s="754"/>
      <c r="BP250" s="754"/>
      <c r="BQ250" s="754"/>
      <c r="BR250" s="754"/>
      <c r="BS250" s="755"/>
      <c r="BT250" s="754"/>
      <c r="BU250" s="754"/>
      <c r="BV250" s="754"/>
      <c r="BW250" s="754"/>
      <c r="BX250" s="524"/>
      <c r="BY250" s="754"/>
      <c r="BZ250" s="754"/>
      <c r="CA250" s="754"/>
      <c r="CB250" s="754"/>
      <c r="CC250" s="524"/>
      <c r="CD250" s="754"/>
      <c r="CE250" s="754"/>
      <c r="CF250" s="754"/>
      <c r="CG250" s="754"/>
      <c r="CH250" s="524"/>
      <c r="CI250" s="754"/>
      <c r="CJ250" s="754"/>
      <c r="CK250" s="754"/>
      <c r="CL250" s="754"/>
      <c r="CM250" s="524"/>
      <c r="CN250" s="754"/>
      <c r="CO250" s="754"/>
      <c r="CP250" s="754"/>
      <c r="CQ250" s="754"/>
      <c r="CR250" s="524"/>
      <c r="CS250" s="523"/>
      <c r="CT250" s="523"/>
      <c r="CU250" s="523"/>
      <c r="CV250" s="523"/>
      <c r="CW250" s="524"/>
      <c r="CX250" s="523"/>
      <c r="CY250" s="523"/>
      <c r="CZ250" s="523"/>
      <c r="DA250" s="523"/>
      <c r="DB250" s="524"/>
      <c r="DC250" s="523"/>
      <c r="DD250" s="523"/>
      <c r="DE250" s="523"/>
      <c r="DF250" s="523"/>
      <c r="DG250" s="524"/>
      <c r="DH250" s="650"/>
      <c r="DI250" s="650"/>
      <c r="DJ250" s="650"/>
      <c r="DK250" s="650"/>
      <c r="DL250" s="755"/>
      <c r="DM250" s="756"/>
      <c r="DN250" s="756"/>
      <c r="DO250" s="756"/>
      <c r="DP250" s="756"/>
      <c r="DQ250" s="757"/>
      <c r="DR250" s="756"/>
      <c r="DS250" s="756"/>
      <c r="DT250" s="756"/>
      <c r="DU250" s="756"/>
      <c r="DV250" s="757"/>
      <c r="DW250" s="756"/>
      <c r="DX250" s="756"/>
      <c r="DY250" s="756"/>
      <c r="DZ250" s="756"/>
      <c r="EA250" s="757"/>
      <c r="EB250" s="756">
        <v>-75</v>
      </c>
      <c r="EC250" s="756">
        <v>-20</v>
      </c>
      <c r="ED250" s="756">
        <v>9</v>
      </c>
      <c r="EE250" s="756">
        <v>-15</v>
      </c>
      <c r="EF250" s="757">
        <f>SUM(EB250:EE250)</f>
        <v>-101</v>
      </c>
      <c r="EG250" s="756">
        <v>2</v>
      </c>
      <c r="EH250" s="756">
        <v>-6</v>
      </c>
      <c r="EI250" s="756">
        <v>-17</v>
      </c>
      <c r="EJ250" s="756">
        <v>-56</v>
      </c>
      <c r="EK250" s="757">
        <f>SUM(EG250:EJ250)</f>
        <v>-77</v>
      </c>
      <c r="EL250" s="756">
        <v>-75</v>
      </c>
      <c r="EM250" s="756">
        <v>-147</v>
      </c>
      <c r="EN250" s="756">
        <v>-181</v>
      </c>
      <c r="EO250" s="756"/>
      <c r="EP250" s="757"/>
      <c r="EQ250" s="756"/>
      <c r="ER250" s="756"/>
      <c r="ES250" s="756"/>
      <c r="ET250" s="756"/>
      <c r="EU250" s="757"/>
      <c r="EV250" s="668"/>
      <c r="EW250" s="668"/>
      <c r="EX250" s="668"/>
      <c r="EY250" s="668"/>
      <c r="EZ250" s="668"/>
      <c r="FA250" s="668"/>
      <c r="FB250" s="668"/>
      <c r="FC250" s="668"/>
      <c r="FD250" s="668"/>
      <c r="FE250" s="668"/>
      <c r="FF250" s="668"/>
      <c r="FG250" s="668"/>
      <c r="FH250" s="668"/>
      <c r="FI250" s="668"/>
      <c r="FJ250" s="668"/>
      <c r="FK250" s="668"/>
      <c r="FL250" s="668"/>
      <c r="FM250" s="668"/>
      <c r="FN250" s="668"/>
      <c r="FO250" s="668"/>
      <c r="FP250" s="668"/>
      <c r="FQ250" s="668"/>
      <c r="FR250" s="668"/>
      <c r="FS250" s="668"/>
      <c r="FT250" s="668"/>
      <c r="FU250" s="668"/>
      <c r="FV250" s="668"/>
      <c r="FW250" s="668"/>
      <c r="FX250" s="668"/>
      <c r="FY250" s="668"/>
      <c r="FZ250" s="668"/>
      <c r="GA250" s="668"/>
      <c r="GB250" s="668"/>
      <c r="GC250" s="668"/>
      <c r="GD250" s="668"/>
      <c r="GE250" s="668"/>
      <c r="GF250" s="668"/>
      <c r="GG250" s="668"/>
      <c r="GH250" s="668"/>
      <c r="GI250" s="668"/>
      <c r="GJ250" s="668"/>
      <c r="GK250" s="668"/>
      <c r="GL250" s="668"/>
      <c r="GM250" s="668"/>
      <c r="GN250" s="668"/>
      <c r="GO250" s="668"/>
      <c r="GP250" s="668"/>
      <c r="GQ250" s="668"/>
      <c r="GR250" s="668"/>
      <c r="GS250" s="668"/>
      <c r="GT250" s="668"/>
      <c r="GU250" s="668"/>
      <c r="GV250" s="668"/>
      <c r="GW250" s="668"/>
      <c r="GX250" s="668"/>
      <c r="GY250" s="668"/>
      <c r="GZ250" s="668"/>
      <c r="HA250" s="668"/>
      <c r="HB250" s="668"/>
      <c r="HC250" s="668"/>
      <c r="HD250" s="668"/>
      <c r="HE250" s="668"/>
      <c r="HF250" s="668"/>
      <c r="HG250" s="668"/>
      <c r="HH250" s="668"/>
      <c r="HI250" s="668"/>
      <c r="HJ250" s="668"/>
      <c r="HK250" s="668"/>
      <c r="HL250" s="668"/>
      <c r="HM250" s="668"/>
      <c r="HN250" s="668"/>
      <c r="HO250" s="757"/>
      <c r="HP250" s="563"/>
      <c r="HR250" s="563"/>
      <c r="HS250" s="563"/>
      <c r="HT250" s="563"/>
      <c r="HU250" s="563"/>
      <c r="HV250" s="563"/>
      <c r="HW250" s="563"/>
      <c r="HX250" s="563"/>
    </row>
    <row r="251" spans="1:232" s="509" customFormat="1" hidden="1" outlineLevel="1">
      <c r="A251" s="509" t="s">
        <v>509</v>
      </c>
      <c r="B251" s="752"/>
      <c r="C251" s="752"/>
      <c r="D251" s="752"/>
      <c r="E251" s="752"/>
      <c r="F251" s="752"/>
      <c r="G251" s="752"/>
      <c r="H251" s="752"/>
      <c r="I251" s="752"/>
      <c r="J251" s="752"/>
      <c r="K251" s="752"/>
      <c r="L251" s="752"/>
      <c r="M251" s="752"/>
      <c r="N251" s="752"/>
      <c r="O251" s="752"/>
      <c r="P251" s="752"/>
      <c r="Q251" s="752"/>
      <c r="R251" s="752"/>
      <c r="S251" s="752"/>
      <c r="T251" s="752"/>
      <c r="U251" s="752"/>
      <c r="V251" s="752"/>
      <c r="W251" s="752"/>
      <c r="X251" s="752"/>
      <c r="Y251" s="752"/>
      <c r="Z251" s="752"/>
      <c r="AA251" s="752"/>
      <c r="AB251" s="752"/>
      <c r="AC251" s="752"/>
      <c r="AD251" s="752"/>
      <c r="AE251" s="752"/>
      <c r="AF251" s="752"/>
      <c r="AG251" s="752"/>
      <c r="AH251" s="752"/>
      <c r="AI251" s="752"/>
      <c r="AJ251" s="752"/>
      <c r="AK251" s="752"/>
      <c r="AL251" s="752"/>
      <c r="AM251" s="752"/>
      <c r="AN251" s="752"/>
      <c r="AO251" s="753"/>
      <c r="AP251" s="752"/>
      <c r="AQ251" s="752"/>
      <c r="AR251" s="752"/>
      <c r="AS251" s="752"/>
      <c r="AT251" s="753"/>
      <c r="AU251" s="752"/>
      <c r="AV251" s="752"/>
      <c r="AW251" s="752"/>
      <c r="AX251" s="752"/>
      <c r="AY251" s="753"/>
      <c r="AZ251" s="752"/>
      <c r="BA251" s="752"/>
      <c r="BB251" s="752"/>
      <c r="BC251" s="752"/>
      <c r="BD251" s="753"/>
      <c r="BE251" s="752"/>
      <c r="BF251" s="752"/>
      <c r="BG251" s="752"/>
      <c r="BH251" s="752"/>
      <c r="BI251" s="753"/>
      <c r="BJ251" s="752"/>
      <c r="BK251" s="752"/>
      <c r="BL251" s="752"/>
      <c r="BM251" s="752"/>
      <c r="BN251" s="753"/>
      <c r="BO251" s="754"/>
      <c r="BP251" s="754"/>
      <c r="BQ251" s="754"/>
      <c r="BR251" s="754"/>
      <c r="BS251" s="755"/>
      <c r="BT251" s="754"/>
      <c r="BU251" s="754"/>
      <c r="BV251" s="754"/>
      <c r="BW251" s="754"/>
      <c r="BX251" s="524"/>
      <c r="BY251" s="754"/>
      <c r="BZ251" s="754"/>
      <c r="CA251" s="754"/>
      <c r="CB251" s="754"/>
      <c r="CC251" s="524"/>
      <c r="CD251" s="754"/>
      <c r="CE251" s="754"/>
      <c r="CF251" s="754"/>
      <c r="CG251" s="754"/>
      <c r="CH251" s="524"/>
      <c r="CI251" s="754"/>
      <c r="CJ251" s="754"/>
      <c r="CK251" s="754"/>
      <c r="CL251" s="754"/>
      <c r="CM251" s="524"/>
      <c r="CN251" s="754"/>
      <c r="CO251" s="754"/>
      <c r="CP251" s="754"/>
      <c r="CQ251" s="754"/>
      <c r="CR251" s="524"/>
      <c r="CS251" s="523"/>
      <c r="CT251" s="523"/>
      <c r="CU251" s="523"/>
      <c r="CV251" s="523"/>
      <c r="CW251" s="524"/>
      <c r="CX251" s="523"/>
      <c r="CY251" s="523"/>
      <c r="CZ251" s="523"/>
      <c r="DA251" s="523"/>
      <c r="DB251" s="524"/>
      <c r="DC251" s="523"/>
      <c r="DD251" s="523"/>
      <c r="DE251" s="523"/>
      <c r="DF251" s="523"/>
      <c r="DG251" s="524"/>
      <c r="DH251" s="650"/>
      <c r="DI251" s="650"/>
      <c r="DJ251" s="650"/>
      <c r="DK251" s="650"/>
      <c r="DL251" s="755"/>
      <c r="DM251" s="756"/>
      <c r="DN251" s="756"/>
      <c r="DO251" s="756"/>
      <c r="DP251" s="756"/>
      <c r="DQ251" s="757"/>
      <c r="DR251" s="756"/>
      <c r="DS251" s="756"/>
      <c r="DT251" s="756"/>
      <c r="DU251" s="756"/>
      <c r="DV251" s="757"/>
      <c r="DW251" s="756"/>
      <c r="DX251" s="756"/>
      <c r="DY251" s="756"/>
      <c r="DZ251" s="756"/>
      <c r="EA251" s="757"/>
      <c r="EB251" s="336">
        <f t="shared" ref="EB251:EJ251" si="263">+EB250/EB246</f>
        <v>-8.2146768893756841E-2</v>
      </c>
      <c r="EC251" s="336">
        <f t="shared" si="263"/>
        <v>-2.0120724346076459E-2</v>
      </c>
      <c r="ED251" s="336">
        <f t="shared" si="263"/>
        <v>9.7297297297297292E-3</v>
      </c>
      <c r="EE251" s="336">
        <f t="shared" si="263"/>
        <v>-1.6891891891891893E-2</v>
      </c>
      <c r="EF251" s="758">
        <f t="shared" si="263"/>
        <v>-2.7150537634408601E-2</v>
      </c>
      <c r="EG251" s="336">
        <f t="shared" si="263"/>
        <v>2.3228803716608595E-3</v>
      </c>
      <c r="EH251" s="336">
        <f t="shared" si="263"/>
        <v>-7.246376811594203E-3</v>
      </c>
      <c r="EI251" s="337">
        <f t="shared" si="263"/>
        <v>-2.176696542893726E-2</v>
      </c>
      <c r="EJ251" s="337">
        <f t="shared" si="263"/>
        <v>-8.4592145015105744E-2</v>
      </c>
      <c r="EK251" s="359">
        <f>+EK250/EK246</f>
        <v>-2.4584929757343551E-2</v>
      </c>
      <c r="EL251" s="336">
        <f>+EL250/EL246</f>
        <v>-0.14097744360902256</v>
      </c>
      <c r="EM251" s="336">
        <f>+EM250/EM246</f>
        <v>-0.38786279683377306</v>
      </c>
      <c r="EN251" s="336">
        <f>+EN250/EN246</f>
        <v>-0.42688679245283018</v>
      </c>
      <c r="EO251" s="756"/>
      <c r="EP251" s="757"/>
      <c r="EQ251" s="756"/>
      <c r="ER251" s="756"/>
      <c r="ES251" s="756"/>
      <c r="ET251" s="756"/>
      <c r="EU251" s="757"/>
      <c r="EV251" s="668"/>
      <c r="EW251" s="668"/>
      <c r="EX251" s="668"/>
      <c r="EY251" s="668"/>
      <c r="EZ251" s="668"/>
      <c r="FA251" s="668"/>
      <c r="FB251" s="668"/>
      <c r="FC251" s="668"/>
      <c r="FD251" s="668"/>
      <c r="FE251" s="668"/>
      <c r="FF251" s="668"/>
      <c r="FG251" s="668"/>
      <c r="FH251" s="668"/>
      <c r="FI251" s="668"/>
      <c r="FJ251" s="668"/>
      <c r="FK251" s="668"/>
      <c r="FL251" s="668"/>
      <c r="FM251" s="668"/>
      <c r="FN251" s="668"/>
      <c r="FO251" s="668"/>
      <c r="FP251" s="668"/>
      <c r="FQ251" s="668"/>
      <c r="FR251" s="668"/>
      <c r="FS251" s="668"/>
      <c r="FT251" s="668"/>
      <c r="FU251" s="668"/>
      <c r="FV251" s="668"/>
      <c r="FW251" s="668"/>
      <c r="FX251" s="668"/>
      <c r="FY251" s="668"/>
      <c r="FZ251" s="668"/>
      <c r="GA251" s="668"/>
      <c r="GB251" s="668"/>
      <c r="GC251" s="668"/>
      <c r="GD251" s="668"/>
      <c r="GE251" s="668"/>
      <c r="GF251" s="668"/>
      <c r="GG251" s="668"/>
      <c r="GH251" s="668"/>
      <c r="GI251" s="668"/>
      <c r="GJ251" s="668"/>
      <c r="GK251" s="668"/>
      <c r="GL251" s="668"/>
      <c r="GM251" s="668"/>
      <c r="GN251" s="668"/>
      <c r="GO251" s="668"/>
      <c r="GP251" s="668"/>
      <c r="GQ251" s="668"/>
      <c r="GR251" s="668"/>
      <c r="GS251" s="668"/>
      <c r="GT251" s="668"/>
      <c r="GU251" s="668"/>
      <c r="GV251" s="668"/>
      <c r="GW251" s="668"/>
      <c r="GX251" s="668"/>
      <c r="GY251" s="668"/>
      <c r="GZ251" s="668"/>
      <c r="HA251" s="668"/>
      <c r="HB251" s="668"/>
      <c r="HC251" s="668"/>
      <c r="HD251" s="668"/>
      <c r="HE251" s="668"/>
      <c r="HF251" s="668"/>
      <c r="HG251" s="668"/>
      <c r="HH251" s="668"/>
      <c r="HI251" s="668"/>
      <c r="HJ251" s="668"/>
      <c r="HK251" s="668"/>
      <c r="HL251" s="668"/>
      <c r="HM251" s="668"/>
      <c r="HN251" s="668"/>
      <c r="HO251" s="757"/>
      <c r="HP251" s="563"/>
      <c r="HR251" s="563"/>
      <c r="HS251" s="563"/>
      <c r="HT251" s="563"/>
      <c r="HU251" s="563"/>
      <c r="HV251" s="563"/>
      <c r="HW251" s="563"/>
      <c r="HX251" s="563"/>
    </row>
    <row r="252" spans="1:232" s="764" customFormat="1" hidden="1" outlineLevel="1">
      <c r="A252" s="759"/>
      <c r="B252" s="657"/>
      <c r="C252" s="657"/>
      <c r="D252" s="657"/>
      <c r="E252" s="657"/>
      <c r="F252" s="657"/>
      <c r="G252" s="657"/>
      <c r="H252" s="657"/>
      <c r="I252" s="657"/>
      <c r="J252" s="657"/>
      <c r="K252" s="657"/>
      <c r="L252" s="657"/>
      <c r="M252" s="657"/>
      <c r="N252" s="657"/>
      <c r="O252" s="657"/>
      <c r="P252" s="657"/>
      <c r="Q252" s="657"/>
      <c r="R252" s="657"/>
      <c r="S252" s="657"/>
      <c r="T252" s="657"/>
      <c r="U252" s="657"/>
      <c r="V252" s="657"/>
      <c r="W252" s="657"/>
      <c r="X252" s="657"/>
      <c r="Y252" s="657"/>
      <c r="Z252" s="657"/>
      <c r="AA252" s="657"/>
      <c r="AB252" s="657"/>
      <c r="AC252" s="657"/>
      <c r="AD252" s="657"/>
      <c r="AE252" s="657"/>
      <c r="AF252" s="657"/>
      <c r="AG252" s="657"/>
      <c r="AH252" s="657"/>
      <c r="AI252" s="657"/>
      <c r="AJ252" s="657"/>
      <c r="AK252" s="657"/>
      <c r="AL252" s="657"/>
      <c r="AM252" s="657"/>
      <c r="AN252" s="657"/>
      <c r="AO252" s="656"/>
      <c r="AP252" s="657"/>
      <c r="AQ252" s="657"/>
      <c r="AR252" s="657"/>
      <c r="AS252" s="657"/>
      <c r="AT252" s="656"/>
      <c r="AU252" s="657"/>
      <c r="AV252" s="657"/>
      <c r="AW252" s="657"/>
      <c r="AX252" s="657"/>
      <c r="AY252" s="656"/>
      <c r="AZ252" s="657"/>
      <c r="BA252" s="657"/>
      <c r="BB252" s="657"/>
      <c r="BC252" s="657"/>
      <c r="BD252" s="760"/>
      <c r="BE252" s="759"/>
      <c r="BF252" s="759"/>
      <c r="BG252" s="759"/>
      <c r="BH252" s="759"/>
      <c r="BI252" s="760"/>
      <c r="BJ252" s="759"/>
      <c r="BK252" s="759"/>
      <c r="BL252" s="759"/>
      <c r="BM252" s="759"/>
      <c r="BN252" s="760"/>
      <c r="BO252" s="759"/>
      <c r="BP252" s="759"/>
      <c r="BQ252" s="759"/>
      <c r="BR252" s="759"/>
      <c r="BS252" s="760"/>
      <c r="BT252" s="761"/>
      <c r="BU252" s="761"/>
      <c r="BV252" s="761"/>
      <c r="BW252" s="761"/>
      <c r="BX252" s="761"/>
      <c r="BY252" s="761"/>
      <c r="BZ252" s="761"/>
      <c r="CA252" s="761"/>
      <c r="CB252" s="761"/>
      <c r="CC252" s="761"/>
      <c r="CD252" s="761"/>
      <c r="CE252" s="761"/>
      <c r="CF252" s="761"/>
      <c r="CG252" s="761"/>
      <c r="CH252" s="761"/>
      <c r="CI252" s="761"/>
      <c r="CJ252" s="761"/>
      <c r="CK252" s="761"/>
      <c r="CL252" s="761"/>
      <c r="CM252" s="761"/>
      <c r="CN252" s="761"/>
      <c r="CO252" s="761"/>
      <c r="CP252" s="761"/>
      <c r="CQ252" s="761"/>
      <c r="CR252" s="761"/>
      <c r="CS252" s="761"/>
      <c r="CT252" s="761"/>
      <c r="CU252" s="761"/>
      <c r="CV252" s="761"/>
      <c r="CW252" s="762"/>
      <c r="CX252" s="761"/>
      <c r="CY252" s="761"/>
      <c r="CZ252" s="761"/>
      <c r="DA252" s="761"/>
      <c r="DB252" s="762"/>
      <c r="DC252" s="761"/>
      <c r="DD252" s="761"/>
      <c r="DE252" s="761"/>
      <c r="DF252" s="761"/>
      <c r="DG252" s="762"/>
      <c r="DH252" s="761"/>
      <c r="DI252" s="761"/>
      <c r="DJ252" s="761"/>
      <c r="DK252" s="761"/>
      <c r="DL252" s="761"/>
      <c r="DM252" s="761"/>
      <c r="DN252" s="761"/>
      <c r="DO252" s="761"/>
      <c r="DP252" s="761"/>
      <c r="DQ252" s="761"/>
      <c r="DR252" s="761"/>
      <c r="DS252" s="761"/>
      <c r="DT252" s="761"/>
      <c r="DU252" s="761"/>
      <c r="DV252" s="761"/>
      <c r="DW252" s="761"/>
      <c r="DX252" s="761"/>
      <c r="DY252" s="761"/>
      <c r="DZ252" s="761"/>
      <c r="EA252" s="761"/>
      <c r="EB252" s="761"/>
      <c r="EC252" s="761"/>
      <c r="ED252" s="761"/>
      <c r="EE252" s="761"/>
      <c r="EF252" s="762"/>
      <c r="EG252" s="761"/>
      <c r="EH252" s="761"/>
      <c r="EI252" s="761"/>
      <c r="EJ252" s="761"/>
      <c r="EK252" s="761"/>
      <c r="EL252" s="761"/>
      <c r="EM252" s="761"/>
      <c r="EN252" s="761"/>
      <c r="EO252" s="761"/>
      <c r="EP252" s="761"/>
      <c r="EQ252" s="761"/>
      <c r="ER252" s="761"/>
      <c r="ES252" s="761"/>
      <c r="ET252" s="761"/>
      <c r="EU252" s="761"/>
      <c r="EV252" s="761"/>
      <c r="EW252" s="761"/>
      <c r="EX252" s="761"/>
      <c r="EY252" s="761"/>
      <c r="EZ252" s="761"/>
      <c r="FA252" s="761"/>
      <c r="FB252" s="761"/>
      <c r="FC252" s="761"/>
      <c r="FD252" s="761"/>
      <c r="FE252" s="761"/>
      <c r="FF252" s="761"/>
      <c r="FG252" s="761"/>
      <c r="FH252" s="761"/>
      <c r="FI252" s="761"/>
      <c r="FJ252" s="761"/>
      <c r="FK252" s="761"/>
      <c r="FL252" s="761"/>
      <c r="FM252" s="761"/>
      <c r="FN252" s="761"/>
      <c r="FO252" s="761"/>
      <c r="FP252" s="761"/>
      <c r="FQ252" s="761"/>
      <c r="FR252" s="761"/>
      <c r="FS252" s="761"/>
      <c r="FT252" s="761"/>
      <c r="FU252" s="761"/>
      <c r="FV252" s="761"/>
      <c r="FW252" s="761"/>
      <c r="FX252" s="761"/>
      <c r="FY252" s="761"/>
      <c r="FZ252" s="761"/>
      <c r="GA252" s="761"/>
      <c r="GB252" s="761"/>
      <c r="GC252" s="761"/>
      <c r="GD252" s="761"/>
      <c r="GE252" s="761"/>
      <c r="GF252" s="761"/>
      <c r="GG252" s="761"/>
      <c r="GH252" s="761"/>
      <c r="GI252" s="761"/>
      <c r="GJ252" s="761"/>
      <c r="GK252" s="761"/>
      <c r="GL252" s="761"/>
      <c r="GM252" s="761"/>
      <c r="GN252" s="761"/>
      <c r="GO252" s="761"/>
      <c r="GP252" s="761"/>
      <c r="GQ252" s="761"/>
      <c r="GR252" s="761"/>
      <c r="GS252" s="761"/>
      <c r="GT252" s="761"/>
      <c r="GU252" s="761"/>
      <c r="GV252" s="761"/>
      <c r="GW252" s="761"/>
      <c r="GX252" s="761"/>
      <c r="GY252" s="761"/>
      <c r="GZ252" s="761"/>
      <c r="HA252" s="761"/>
      <c r="HB252" s="761"/>
      <c r="HC252" s="761"/>
      <c r="HD252" s="761"/>
      <c r="HE252" s="761"/>
      <c r="HF252" s="761"/>
      <c r="HG252" s="761"/>
      <c r="HH252" s="761"/>
      <c r="HI252" s="761"/>
      <c r="HJ252" s="761"/>
      <c r="HK252" s="761"/>
      <c r="HL252" s="761"/>
      <c r="HM252" s="761"/>
      <c r="HN252" s="761"/>
      <c r="HO252" s="763"/>
      <c r="HP252" s="726"/>
      <c r="HR252" s="726"/>
      <c r="HS252" s="726"/>
      <c r="HT252" s="726"/>
      <c r="HU252" s="726"/>
      <c r="HV252" s="726"/>
      <c r="HW252" s="726"/>
      <c r="HX252" s="726"/>
    </row>
    <row r="253" spans="1:232" s="509" customFormat="1" hidden="1" outlineLevel="1">
      <c r="AO253" s="538"/>
      <c r="AT253" s="538"/>
      <c r="AY253" s="538"/>
      <c r="BD253" s="538"/>
      <c r="BI253" s="538"/>
      <c r="BN253" s="538"/>
      <c r="BS253" s="538"/>
      <c r="BX253" s="538"/>
      <c r="CC253" s="538"/>
      <c r="CH253" s="538"/>
      <c r="CM253" s="538"/>
      <c r="CV253" s="701"/>
      <c r="CW253" s="701"/>
      <c r="CX253" s="701"/>
      <c r="CY253" s="701"/>
      <c r="CZ253" s="701"/>
      <c r="DA253" s="701"/>
      <c r="DB253" s="701"/>
      <c r="DC253" s="348"/>
      <c r="DD253" s="348"/>
      <c r="DE253" s="348"/>
      <c r="DF253" s="348"/>
      <c r="DG253" s="321"/>
      <c r="DH253" s="348"/>
      <c r="DI253" s="348"/>
      <c r="DJ253" s="348"/>
      <c r="DK253" s="348"/>
      <c r="DL253" s="321"/>
      <c r="DM253" s="348"/>
      <c r="DN253" s="348"/>
      <c r="DO253" s="348"/>
      <c r="DP253" s="348"/>
      <c r="DQ253" s="321"/>
      <c r="DR253" s="348"/>
      <c r="DS253" s="348"/>
      <c r="DT253" s="348"/>
      <c r="DU253" s="348"/>
      <c r="DV253" s="321"/>
      <c r="DW253" s="348"/>
      <c r="DX253" s="348"/>
      <c r="DY253" s="348"/>
      <c r="DZ253" s="348"/>
      <c r="EA253" s="321"/>
      <c r="EB253" s="348"/>
      <c r="EC253" s="348"/>
      <c r="ED253" s="348"/>
      <c r="EE253" s="348"/>
      <c r="EF253" s="321"/>
      <c r="EG253" s="348"/>
      <c r="EH253" s="348"/>
      <c r="EI253" s="294"/>
      <c r="EJ253" s="348"/>
      <c r="EK253" s="321"/>
      <c r="EL253" s="348"/>
      <c r="EM253" s="348"/>
      <c r="EN253" s="348"/>
      <c r="EO253" s="348"/>
      <c r="EP253" s="321"/>
      <c r="EQ253" s="348"/>
      <c r="ER253" s="348"/>
      <c r="ES253" s="348"/>
      <c r="ET253" s="348"/>
      <c r="EU253" s="321"/>
      <c r="EV253" s="348"/>
      <c r="EW253" s="348"/>
      <c r="EX253" s="348"/>
      <c r="EY253" s="348"/>
      <c r="EZ253" s="321"/>
      <c r="FA253" s="348"/>
      <c r="FB253" s="348"/>
      <c r="FC253" s="348"/>
      <c r="FD253" s="348"/>
      <c r="FE253" s="321"/>
      <c r="FF253" s="348"/>
      <c r="FG253" s="348"/>
      <c r="FH253" s="348"/>
      <c r="FI253" s="348"/>
      <c r="FJ253" s="321"/>
      <c r="FK253" s="321"/>
      <c r="FL253" s="321"/>
      <c r="FM253" s="321"/>
      <c r="FN253" s="321"/>
      <c r="FO253" s="321"/>
      <c r="FP253" s="321"/>
      <c r="FQ253" s="321"/>
      <c r="FR253" s="321"/>
      <c r="FS253" s="712"/>
      <c r="FT253" s="321"/>
      <c r="FU253" s="321"/>
      <c r="FV253" s="321"/>
      <c r="FW253" s="321"/>
      <c r="FX253" s="321"/>
      <c r="FY253" s="321"/>
      <c r="FZ253" s="321"/>
      <c r="GA253" s="321"/>
      <c r="GB253" s="321"/>
      <c r="GC253" s="321"/>
      <c r="GD253" s="321"/>
      <c r="GE253" s="321"/>
      <c r="GF253" s="321"/>
      <c r="GG253" s="321"/>
      <c r="GH253" s="321"/>
      <c r="GI253" s="321"/>
      <c r="GJ253" s="321"/>
      <c r="GK253" s="321"/>
      <c r="GL253" s="321"/>
      <c r="GM253" s="321"/>
      <c r="GN253" s="321"/>
      <c r="GO253" s="321"/>
      <c r="GP253" s="321"/>
      <c r="GQ253" s="321"/>
      <c r="GR253" s="321"/>
      <c r="GS253" s="321"/>
      <c r="GT253" s="321"/>
      <c r="GU253" s="321"/>
      <c r="GV253" s="321"/>
      <c r="GW253" s="321"/>
      <c r="GX253" s="321"/>
      <c r="GY253" s="321"/>
      <c r="GZ253" s="321"/>
      <c r="HA253" s="321"/>
      <c r="HB253" s="321"/>
      <c r="HC253" s="321"/>
      <c r="HD253" s="321"/>
      <c r="HE253" s="321"/>
      <c r="HF253" s="321"/>
      <c r="HG253" s="321"/>
      <c r="HH253" s="321"/>
      <c r="HI253" s="321"/>
      <c r="HJ253" s="321"/>
      <c r="HK253" s="321"/>
      <c r="HL253" s="321"/>
      <c r="HM253" s="321"/>
      <c r="HN253" s="321"/>
      <c r="HO253" s="344"/>
      <c r="HP253" s="563"/>
      <c r="HR253" s="563"/>
      <c r="HS253" s="563"/>
      <c r="HT253" s="563"/>
      <c r="HU253" s="563"/>
      <c r="HV253" s="563"/>
      <c r="HW253" s="563"/>
      <c r="HX253" s="563"/>
    </row>
    <row r="254" spans="1:232" s="509" customFormat="1" hidden="1" outlineLevel="1">
      <c r="A254" s="656" t="s">
        <v>510</v>
      </c>
      <c r="AO254" s="538"/>
      <c r="AT254" s="538"/>
      <c r="AY254" s="538"/>
      <c r="BD254" s="538"/>
      <c r="BI254" s="538"/>
      <c r="BN254" s="538"/>
      <c r="BS254" s="538"/>
      <c r="BX254" s="538"/>
      <c r="CC254" s="538"/>
      <c r="CH254" s="538"/>
      <c r="CM254" s="538"/>
      <c r="CV254" s="701"/>
      <c r="CW254" s="701"/>
      <c r="CX254" s="701"/>
      <c r="CY254" s="701"/>
      <c r="CZ254" s="701"/>
      <c r="DA254" s="701"/>
      <c r="DB254" s="701"/>
      <c r="DC254" s="348"/>
      <c r="DD254" s="348"/>
      <c r="DE254" s="348"/>
      <c r="DF254" s="348"/>
      <c r="DG254" s="321"/>
      <c r="DH254" s="348"/>
      <c r="DI254" s="348"/>
      <c r="DJ254" s="348"/>
      <c r="DK254" s="348"/>
      <c r="DL254" s="321"/>
      <c r="DM254" s="348"/>
      <c r="DN254" s="348"/>
      <c r="DO254" s="348"/>
      <c r="DP254" s="348"/>
      <c r="DQ254" s="321"/>
      <c r="DR254" s="348"/>
      <c r="DS254" s="348"/>
      <c r="DT254" s="348"/>
      <c r="DU254" s="348"/>
      <c r="DV254" s="321"/>
      <c r="DW254" s="348"/>
      <c r="DX254" s="348"/>
      <c r="DY254" s="348"/>
      <c r="DZ254" s="348"/>
      <c r="EA254" s="321"/>
      <c r="EB254" s="348"/>
      <c r="EC254" s="348"/>
      <c r="ED254" s="348"/>
      <c r="EE254" s="348"/>
      <c r="EF254" s="321"/>
      <c r="EG254" s="348"/>
      <c r="EH254" s="348"/>
      <c r="EI254" s="294"/>
      <c r="EJ254" s="348"/>
      <c r="EK254" s="321"/>
      <c r="EL254" s="348"/>
      <c r="EM254" s="348"/>
      <c r="EN254" s="348"/>
      <c r="EO254" s="348"/>
      <c r="EP254" s="321"/>
      <c r="EQ254" s="348"/>
      <c r="ER254" s="348"/>
      <c r="ES254" s="348"/>
      <c r="ET254" s="348"/>
      <c r="EU254" s="321"/>
      <c r="EV254" s="348"/>
      <c r="EW254" s="348"/>
      <c r="EX254" s="348"/>
      <c r="EY254" s="348"/>
      <c r="EZ254" s="321"/>
      <c r="FA254" s="348"/>
      <c r="FB254" s="348"/>
      <c r="FC254" s="348"/>
      <c r="FD254" s="348"/>
      <c r="FE254" s="321"/>
      <c r="FF254" s="348"/>
      <c r="FG254" s="348"/>
      <c r="FH254" s="348"/>
      <c r="FI254" s="348"/>
      <c r="FJ254" s="321"/>
      <c r="FK254" s="321"/>
      <c r="FL254" s="321"/>
      <c r="FM254" s="321"/>
      <c r="FN254" s="321"/>
      <c r="FO254" s="321"/>
      <c r="FP254" s="321"/>
      <c r="FQ254" s="321"/>
      <c r="FR254" s="321"/>
      <c r="FS254" s="712"/>
      <c r="FT254" s="321"/>
      <c r="FU254" s="321"/>
      <c r="FV254" s="321"/>
      <c r="FW254" s="321"/>
      <c r="FX254" s="321"/>
      <c r="FY254" s="321"/>
      <c r="FZ254" s="321"/>
      <c r="GA254" s="321"/>
      <c r="GB254" s="321"/>
      <c r="GC254" s="321"/>
      <c r="GD254" s="321"/>
      <c r="GE254" s="321"/>
      <c r="GF254" s="321"/>
      <c r="GG254" s="321"/>
      <c r="GH254" s="321"/>
      <c r="GI254" s="321"/>
      <c r="GJ254" s="321"/>
      <c r="GK254" s="321"/>
      <c r="GL254" s="321"/>
      <c r="GM254" s="321"/>
      <c r="GN254" s="321"/>
      <c r="GO254" s="321"/>
      <c r="GP254" s="321"/>
      <c r="GQ254" s="321"/>
      <c r="GR254" s="321"/>
      <c r="GS254" s="321"/>
      <c r="GT254" s="321"/>
      <c r="GU254" s="321"/>
      <c r="GV254" s="321"/>
      <c r="GW254" s="321"/>
      <c r="GX254" s="321"/>
      <c r="GY254" s="321"/>
      <c r="GZ254" s="321"/>
      <c r="HA254" s="321"/>
      <c r="HB254" s="321"/>
      <c r="HC254" s="321"/>
      <c r="HD254" s="321"/>
      <c r="HE254" s="321"/>
      <c r="HF254" s="321"/>
      <c r="HG254" s="321"/>
      <c r="HH254" s="321"/>
      <c r="HI254" s="321"/>
      <c r="HJ254" s="321"/>
      <c r="HK254" s="321"/>
      <c r="HL254" s="321"/>
      <c r="HM254" s="321"/>
      <c r="HN254" s="321"/>
      <c r="HO254" s="344"/>
      <c r="HP254" s="563"/>
      <c r="HR254" s="563"/>
      <c r="HS254" s="563"/>
      <c r="HT254" s="563"/>
      <c r="HU254" s="563"/>
      <c r="HV254" s="563"/>
      <c r="HW254" s="563"/>
      <c r="HX254" s="563"/>
    </row>
    <row r="255" spans="1:232" s="509" customFormat="1" hidden="1" outlineLevel="1">
      <c r="A255" s="538" t="s">
        <v>511</v>
      </c>
      <c r="AO255" s="538"/>
      <c r="AT255" s="538"/>
      <c r="AY255" s="538"/>
      <c r="BD255" s="538"/>
      <c r="BI255" s="538"/>
      <c r="BN255" s="538"/>
      <c r="BS255" s="538"/>
      <c r="BX255" s="538"/>
      <c r="CC255" s="538"/>
      <c r="CH255" s="538"/>
      <c r="CM255" s="538"/>
      <c r="CV255" s="701"/>
      <c r="CW255" s="701"/>
      <c r="CX255" s="701"/>
      <c r="CY255" s="701"/>
      <c r="CZ255" s="701"/>
      <c r="DA255" s="701"/>
      <c r="DB255" s="701"/>
      <c r="DC255" s="348"/>
      <c r="DD255" s="348"/>
      <c r="DE255" s="348"/>
      <c r="DF255" s="348"/>
      <c r="DG255" s="321"/>
      <c r="DH255" s="348"/>
      <c r="DI255" s="348"/>
      <c r="DJ255" s="348"/>
      <c r="DK255" s="348"/>
      <c r="DL255" s="321"/>
      <c r="DM255" s="348"/>
      <c r="DN255" s="348"/>
      <c r="DO255" s="348"/>
      <c r="DP255" s="348"/>
      <c r="DQ255" s="321"/>
      <c r="DR255" s="348"/>
      <c r="DS255" s="348"/>
      <c r="DT255" s="348"/>
      <c r="DU255" s="348"/>
      <c r="DV255" s="321"/>
      <c r="DW255" s="348"/>
      <c r="DX255" s="348"/>
      <c r="DY255" s="348"/>
      <c r="DZ255" s="348"/>
      <c r="EA255" s="321"/>
      <c r="EB255" s="348"/>
      <c r="EC255" s="348"/>
      <c r="ED255" s="348"/>
      <c r="EE255" s="348"/>
      <c r="EF255" s="321"/>
      <c r="EG255" s="348"/>
      <c r="EH255" s="348"/>
      <c r="EI255" s="765"/>
      <c r="EJ255" s="765"/>
      <c r="EK255" s="321"/>
      <c r="EL255" s="348"/>
      <c r="EM255" s="348"/>
      <c r="EN255" s="348"/>
      <c r="EO255" s="348"/>
      <c r="EP255" s="321"/>
      <c r="EQ255" s="348"/>
      <c r="ER255" s="348"/>
      <c r="ES255" s="348"/>
      <c r="ET255" s="348"/>
      <c r="EU255" s="321"/>
      <c r="EV255" s="348"/>
      <c r="EW255" s="348"/>
      <c r="EX255" s="348"/>
      <c r="EY255" s="348"/>
      <c r="EZ255" s="321"/>
      <c r="FA255" s="348"/>
      <c r="FB255" s="348"/>
      <c r="FC255" s="348"/>
      <c r="FD255" s="348"/>
      <c r="FE255" s="321"/>
      <c r="FF255" s="348"/>
      <c r="FG255" s="348"/>
      <c r="FH255" s="348"/>
      <c r="FI255" s="348"/>
      <c r="FJ255" s="321"/>
      <c r="FK255" s="321"/>
      <c r="FL255" s="321"/>
      <c r="FM255" s="321"/>
      <c r="FN255" s="321"/>
      <c r="FO255" s="321"/>
      <c r="FP255" s="321"/>
      <c r="FQ255" s="321"/>
      <c r="FR255" s="321"/>
      <c r="FS255" s="712"/>
      <c r="FT255" s="321"/>
      <c r="FU255" s="321"/>
      <c r="FV255" s="321"/>
      <c r="FW255" s="321"/>
      <c r="FX255" s="321"/>
      <c r="FY255" s="321"/>
      <c r="FZ255" s="321"/>
      <c r="GA255" s="321"/>
      <c r="GB255" s="321"/>
      <c r="GC255" s="321"/>
      <c r="GD255" s="321"/>
      <c r="GE255" s="321"/>
      <c r="GF255" s="321"/>
      <c r="GG255" s="321"/>
      <c r="GH255" s="321"/>
      <c r="GI255" s="321"/>
      <c r="GJ255" s="321"/>
      <c r="GK255" s="321"/>
      <c r="GL255" s="321"/>
      <c r="GM255" s="321"/>
      <c r="GN255" s="321"/>
      <c r="GO255" s="321"/>
      <c r="GP255" s="321"/>
      <c r="GQ255" s="321"/>
      <c r="GR255" s="321"/>
      <c r="GS255" s="321"/>
      <c r="GT255" s="321"/>
      <c r="GU255" s="321"/>
      <c r="GV255" s="321"/>
      <c r="GW255" s="321"/>
      <c r="GX255" s="321"/>
      <c r="GY255" s="321"/>
      <c r="GZ255" s="321"/>
      <c r="HA255" s="321"/>
      <c r="HB255" s="321"/>
      <c r="HC255" s="321"/>
      <c r="HD255" s="321"/>
      <c r="HE255" s="321"/>
      <c r="HF255" s="321"/>
      <c r="HG255" s="321"/>
      <c r="HH255" s="321"/>
      <c r="HI255" s="321"/>
      <c r="HJ255" s="321"/>
      <c r="HK255" s="321"/>
      <c r="HL255" s="321"/>
      <c r="HM255" s="321"/>
      <c r="HN255" s="321"/>
      <c r="HO255" s="344"/>
      <c r="HP255" s="563"/>
      <c r="HR255" s="563"/>
      <c r="HS255" s="563"/>
      <c r="HT255" s="563"/>
      <c r="HU255" s="563"/>
      <c r="HV255" s="563"/>
      <c r="HW255" s="563"/>
      <c r="HX255" s="563"/>
    </row>
    <row r="256" spans="1:232" s="509" customFormat="1" hidden="1" outlineLevel="1">
      <c r="A256" s="509" t="s">
        <v>512</v>
      </c>
      <c r="AO256" s="538"/>
      <c r="AT256" s="538"/>
      <c r="AY256" s="538"/>
      <c r="BD256" s="538"/>
      <c r="BI256" s="538"/>
      <c r="BN256" s="538"/>
      <c r="BS256" s="538"/>
      <c r="BX256" s="538"/>
      <c r="CC256" s="538"/>
      <c r="CH256" s="538"/>
      <c r="CM256" s="538"/>
      <c r="CV256" s="701"/>
      <c r="CW256" s="701"/>
      <c r="CX256" s="701"/>
      <c r="CY256" s="701"/>
      <c r="CZ256" s="701"/>
      <c r="DA256" s="701"/>
      <c r="DB256" s="701"/>
      <c r="DC256" s="348"/>
      <c r="DD256" s="348"/>
      <c r="DE256" s="348"/>
      <c r="DF256" s="348"/>
      <c r="DG256" s="321"/>
      <c r="DH256" s="348"/>
      <c r="DI256" s="348"/>
      <c r="DJ256" s="348"/>
      <c r="DK256" s="348"/>
      <c r="DL256" s="321"/>
      <c r="DM256" s="348"/>
      <c r="DN256" s="348"/>
      <c r="DO256" s="348"/>
      <c r="DP256" s="348"/>
      <c r="DQ256" s="321"/>
      <c r="DR256" s="348"/>
      <c r="DS256" s="348"/>
      <c r="DT256" s="348"/>
      <c r="DU256" s="348"/>
      <c r="DV256" s="321"/>
      <c r="DW256" s="348"/>
      <c r="DX256" s="348"/>
      <c r="DY256" s="348"/>
      <c r="DZ256" s="348"/>
      <c r="EA256" s="321"/>
      <c r="EB256" s="766">
        <v>0.2</v>
      </c>
      <c r="EC256" s="765">
        <v>0.2</v>
      </c>
      <c r="ED256" s="767">
        <v>2600</v>
      </c>
      <c r="EE256" s="767">
        <v>3350</v>
      </c>
      <c r="EF256" s="356">
        <f>SUM(EB256:EE256)</f>
        <v>5950.4</v>
      </c>
      <c r="EG256" s="354">
        <v>2700</v>
      </c>
      <c r="EH256" s="354">
        <v>3650</v>
      </c>
      <c r="EI256" s="355">
        <v>4000</v>
      </c>
      <c r="EJ256" s="354">
        <v>3450</v>
      </c>
      <c r="EK256" s="356">
        <f>SUM(EG256:EJ256)</f>
        <v>13800</v>
      </c>
      <c r="EL256" s="354">
        <v>2950</v>
      </c>
      <c r="EM256" s="354">
        <v>3600</v>
      </c>
      <c r="EN256" s="354">
        <v>4000</v>
      </c>
      <c r="EO256" s="354">
        <v>3400</v>
      </c>
      <c r="EP256" s="356">
        <f>SUM(EL256:EO256)</f>
        <v>13950</v>
      </c>
      <c r="EQ256" s="354">
        <v>3050</v>
      </c>
      <c r="ER256" s="354">
        <v>3250</v>
      </c>
      <c r="ES256" s="354">
        <v>3400</v>
      </c>
      <c r="ET256" s="354">
        <v>3000</v>
      </c>
      <c r="EU256" s="356">
        <f>SUM(EQ256:ET256)</f>
        <v>12700</v>
      </c>
      <c r="EV256" s="354"/>
      <c r="EW256" s="354"/>
      <c r="EX256" s="354"/>
      <c r="EY256" s="354"/>
      <c r="EZ256" s="356"/>
      <c r="FA256" s="354"/>
      <c r="FB256" s="354"/>
      <c r="FC256" s="354"/>
      <c r="FD256" s="354"/>
      <c r="FE256" s="356"/>
      <c r="FF256" s="354"/>
      <c r="FG256" s="354"/>
      <c r="FH256" s="354"/>
      <c r="FI256" s="354"/>
      <c r="FJ256" s="356"/>
      <c r="FK256" s="356"/>
      <c r="FL256" s="356"/>
      <c r="FM256" s="356"/>
      <c r="FN256" s="356"/>
      <c r="FO256" s="356"/>
      <c r="FP256" s="356"/>
      <c r="FQ256" s="356"/>
      <c r="FR256" s="356"/>
      <c r="FS256" s="768"/>
      <c r="FT256" s="356"/>
      <c r="FU256" s="356"/>
      <c r="FV256" s="356"/>
      <c r="FW256" s="356"/>
      <c r="FX256" s="356"/>
      <c r="FY256" s="356"/>
      <c r="FZ256" s="356"/>
      <c r="GA256" s="356"/>
      <c r="GB256" s="356"/>
      <c r="GC256" s="356"/>
      <c r="GD256" s="356"/>
      <c r="GE256" s="356"/>
      <c r="GF256" s="356"/>
      <c r="GG256" s="356"/>
      <c r="GH256" s="356"/>
      <c r="GI256" s="356"/>
      <c r="GJ256" s="356"/>
      <c r="GK256" s="356"/>
      <c r="GL256" s="356"/>
      <c r="GM256" s="356"/>
      <c r="GN256" s="356"/>
      <c r="GO256" s="356"/>
      <c r="GP256" s="356"/>
      <c r="GQ256" s="356"/>
      <c r="GR256" s="356"/>
      <c r="GS256" s="356"/>
      <c r="GT256" s="356"/>
      <c r="GU256" s="356"/>
      <c r="GV256" s="356"/>
      <c r="GW256" s="356"/>
      <c r="GX256" s="356"/>
      <c r="GY256" s="356"/>
      <c r="GZ256" s="356"/>
      <c r="HA256" s="356"/>
      <c r="HB256" s="356"/>
      <c r="HC256" s="356"/>
      <c r="HD256" s="356"/>
      <c r="HE256" s="356"/>
      <c r="HF256" s="356"/>
      <c r="HG256" s="356"/>
      <c r="HH256" s="356"/>
      <c r="HI256" s="356"/>
      <c r="HJ256" s="356"/>
      <c r="HK256" s="356"/>
      <c r="HL256" s="356"/>
      <c r="HM256" s="356"/>
      <c r="HN256" s="356"/>
      <c r="HO256" s="542"/>
      <c r="HP256" s="726"/>
      <c r="HR256" s="563"/>
      <c r="HS256" s="563"/>
      <c r="HT256" s="563"/>
      <c r="HU256" s="563"/>
      <c r="HV256" s="563"/>
      <c r="HW256" s="563"/>
      <c r="HX256" s="563"/>
    </row>
    <row r="257" spans="1:232" s="509" customFormat="1" hidden="1" outlineLevel="1">
      <c r="A257" s="509" t="s">
        <v>488</v>
      </c>
      <c r="AO257" s="538"/>
      <c r="AT257" s="538"/>
      <c r="AY257" s="538"/>
      <c r="BD257" s="538"/>
      <c r="BI257" s="538"/>
      <c r="BN257" s="538"/>
      <c r="BS257" s="538"/>
      <c r="BX257" s="538"/>
      <c r="CC257" s="538"/>
      <c r="CH257" s="538"/>
      <c r="CM257" s="538"/>
      <c r="CV257" s="701"/>
      <c r="CW257" s="701"/>
      <c r="CX257" s="701"/>
      <c r="CY257" s="701"/>
      <c r="CZ257" s="701"/>
      <c r="DA257" s="701"/>
      <c r="DB257" s="701"/>
      <c r="DC257" s="348"/>
      <c r="DD257" s="348"/>
      <c r="DE257" s="348"/>
      <c r="DF257" s="348"/>
      <c r="DG257" s="321"/>
      <c r="DH257" s="348"/>
      <c r="DI257" s="348"/>
      <c r="DJ257" s="348"/>
      <c r="DK257" s="348"/>
      <c r="DL257" s="321"/>
      <c r="DM257" s="348"/>
      <c r="DN257" s="348"/>
      <c r="DO257" s="348"/>
      <c r="DP257" s="348"/>
      <c r="DQ257" s="321"/>
      <c r="DR257" s="348"/>
      <c r="DS257" s="348"/>
      <c r="DT257" s="348"/>
      <c r="DU257" s="348"/>
      <c r="DV257" s="321"/>
      <c r="DW257" s="348"/>
      <c r="DX257" s="348"/>
      <c r="DY257" s="348"/>
      <c r="DZ257" s="348"/>
      <c r="EA257" s="321"/>
      <c r="EB257" s="769" t="s">
        <v>199</v>
      </c>
      <c r="EC257" s="701" t="s">
        <v>199</v>
      </c>
      <c r="ED257" s="701" t="s">
        <v>199</v>
      </c>
      <c r="EE257" s="348">
        <f>(EE256/ED256)-1</f>
        <v>0.28846153846153855</v>
      </c>
      <c r="EF257" s="648" t="s">
        <v>199</v>
      </c>
      <c r="EG257" s="348">
        <f>(EG256/EE256)-1</f>
        <v>-0.19402985074626866</v>
      </c>
      <c r="EH257" s="348">
        <f>(EH256/EG256)-1</f>
        <v>0.35185185185185186</v>
      </c>
      <c r="EI257" s="294">
        <f>(EI256/EH256)-1</f>
        <v>9.5890410958904049E-2</v>
      </c>
      <c r="EJ257" s="348">
        <f>(EJ256/EI256)-1</f>
        <v>-0.13749999999999996</v>
      </c>
      <c r="EK257" s="648" t="s">
        <v>199</v>
      </c>
      <c r="EL257" s="348">
        <f>(EL256/EJ256)-1</f>
        <v>-0.14492753623188404</v>
      </c>
      <c r="EM257" s="348">
        <f>(EM256/EL256)-1</f>
        <v>0.22033898305084754</v>
      </c>
      <c r="EN257" s="348">
        <f>(EN256/EM256)-1</f>
        <v>0.11111111111111116</v>
      </c>
      <c r="EO257" s="348">
        <f>(EO256/EN256)-1</f>
        <v>-0.15000000000000002</v>
      </c>
      <c r="EP257" s="648" t="s">
        <v>199</v>
      </c>
      <c r="EQ257" s="348">
        <f>(EQ256/EO256)-1</f>
        <v>-0.1029411764705882</v>
      </c>
      <c r="ER257" s="348">
        <f>(ER256/EQ256)-1</f>
        <v>6.5573770491803351E-2</v>
      </c>
      <c r="ES257" s="348">
        <f>(ES256/ER256)-1</f>
        <v>4.6153846153846212E-2</v>
      </c>
      <c r="ET257" s="348">
        <f>(ET256/ES256)-1</f>
        <v>-0.11764705882352944</v>
      </c>
      <c r="EU257" s="648" t="s">
        <v>199</v>
      </c>
      <c r="EV257" s="348"/>
      <c r="EW257" s="348"/>
      <c r="EX257" s="348"/>
      <c r="EY257" s="348"/>
      <c r="EZ257" s="648"/>
      <c r="FA257" s="348"/>
      <c r="FB257" s="348"/>
      <c r="FC257" s="348"/>
      <c r="FD257" s="348"/>
      <c r="FE257" s="648"/>
      <c r="FF257" s="348"/>
      <c r="FG257" s="348"/>
      <c r="FH257" s="348"/>
      <c r="FI257" s="348"/>
      <c r="FJ257" s="648"/>
      <c r="FK257" s="648"/>
      <c r="FL257" s="648"/>
      <c r="FM257" s="648"/>
      <c r="FN257" s="648"/>
      <c r="FO257" s="648"/>
      <c r="FP257" s="648"/>
      <c r="FQ257" s="648"/>
      <c r="FR257" s="648"/>
      <c r="FS257" s="648"/>
      <c r="FT257" s="648"/>
      <c r="FU257" s="648"/>
      <c r="FV257" s="648"/>
      <c r="FW257" s="648"/>
      <c r="FX257" s="648"/>
      <c r="FY257" s="648"/>
      <c r="FZ257" s="648"/>
      <c r="GA257" s="648"/>
      <c r="GB257" s="648"/>
      <c r="GC257" s="648"/>
      <c r="GD257" s="648"/>
      <c r="GE257" s="648"/>
      <c r="GF257" s="648"/>
      <c r="GG257" s="648"/>
      <c r="GH257" s="648"/>
      <c r="GI257" s="648"/>
      <c r="GJ257" s="648"/>
      <c r="GK257" s="648"/>
      <c r="GL257" s="648"/>
      <c r="GM257" s="648"/>
      <c r="GN257" s="648"/>
      <c r="GO257" s="648"/>
      <c r="GP257" s="648"/>
      <c r="GQ257" s="648"/>
      <c r="GR257" s="648"/>
      <c r="GS257" s="648"/>
      <c r="GT257" s="648"/>
      <c r="GU257" s="648"/>
      <c r="GV257" s="648"/>
      <c r="GW257" s="648"/>
      <c r="GX257" s="648"/>
      <c r="GY257" s="648"/>
      <c r="GZ257" s="648"/>
      <c r="HA257" s="648"/>
      <c r="HB257" s="648"/>
      <c r="HC257" s="648"/>
      <c r="HD257" s="648"/>
      <c r="HE257" s="648"/>
      <c r="HF257" s="648"/>
      <c r="HG257" s="648"/>
      <c r="HH257" s="648"/>
      <c r="HI257" s="648"/>
      <c r="HJ257" s="648"/>
      <c r="HK257" s="648"/>
      <c r="HL257" s="648"/>
      <c r="HM257" s="648"/>
      <c r="HN257" s="648"/>
      <c r="HO257" s="648"/>
      <c r="HP257" s="563"/>
      <c r="HR257" s="563"/>
      <c r="HS257" s="563"/>
      <c r="HT257" s="563"/>
      <c r="HU257" s="563"/>
      <c r="HV257" s="563"/>
      <c r="HW257" s="563"/>
      <c r="HX257" s="563"/>
    </row>
    <row r="258" spans="1:232" s="509" customFormat="1" hidden="1" outlineLevel="1">
      <c r="A258" s="509" t="s">
        <v>489</v>
      </c>
      <c r="AO258" s="538"/>
      <c r="AT258" s="538"/>
      <c r="AY258" s="538"/>
      <c r="BD258" s="538"/>
      <c r="BI258" s="538"/>
      <c r="BN258" s="538"/>
      <c r="BS258" s="538"/>
      <c r="BX258" s="538"/>
      <c r="CC258" s="538"/>
      <c r="CH258" s="538"/>
      <c r="CM258" s="538"/>
      <c r="CV258" s="701"/>
      <c r="CW258" s="701"/>
      <c r="CX258" s="701"/>
      <c r="CY258" s="701"/>
      <c r="CZ258" s="701"/>
      <c r="DA258" s="701"/>
      <c r="DB258" s="701"/>
      <c r="DC258" s="348"/>
      <c r="DD258" s="348"/>
      <c r="DE258" s="348"/>
      <c r="DF258" s="348"/>
      <c r="DG258" s="321"/>
      <c r="DH258" s="348"/>
      <c r="DI258" s="348"/>
      <c r="DJ258" s="348"/>
      <c r="DK258" s="348"/>
      <c r="DL258" s="321"/>
      <c r="DM258" s="348"/>
      <c r="DN258" s="348"/>
      <c r="DO258" s="348"/>
      <c r="DP258" s="348"/>
      <c r="DQ258" s="321"/>
      <c r="DR258" s="348"/>
      <c r="DS258" s="348"/>
      <c r="DT258" s="348"/>
      <c r="DU258" s="348"/>
      <c r="DV258" s="321"/>
      <c r="DW258" s="348"/>
      <c r="DX258" s="348"/>
      <c r="DY258" s="348"/>
      <c r="DZ258" s="348"/>
      <c r="EA258" s="321"/>
      <c r="EB258" s="769" t="s">
        <v>199</v>
      </c>
      <c r="EC258" s="701" t="s">
        <v>199</v>
      </c>
      <c r="ED258" s="701" t="s">
        <v>199</v>
      </c>
      <c r="EE258" s="701" t="s">
        <v>199</v>
      </c>
      <c r="EF258" s="701" t="s">
        <v>199</v>
      </c>
      <c r="EG258" s="701" t="s">
        <v>199</v>
      </c>
      <c r="EH258" s="701" t="s">
        <v>199</v>
      </c>
      <c r="EI258" s="701" t="s">
        <v>199</v>
      </c>
      <c r="EJ258" s="340">
        <f t="shared" ref="EJ258:EU258" si="264">(EJ256/EE256)-1</f>
        <v>2.9850746268656803E-2</v>
      </c>
      <c r="EK258" s="321">
        <f t="shared" si="264"/>
        <v>1.3191718203818232</v>
      </c>
      <c r="EL258" s="340">
        <f t="shared" si="264"/>
        <v>9.259259259259256E-2</v>
      </c>
      <c r="EM258" s="340">
        <f t="shared" si="264"/>
        <v>-1.3698630136986356E-2</v>
      </c>
      <c r="EN258" s="340">
        <f t="shared" si="264"/>
        <v>0</v>
      </c>
      <c r="EO258" s="340">
        <f t="shared" si="264"/>
        <v>-1.4492753623188359E-2</v>
      </c>
      <c r="EP258" s="321">
        <f t="shared" si="264"/>
        <v>1.0869565217391353E-2</v>
      </c>
      <c r="EQ258" s="340">
        <f t="shared" si="264"/>
        <v>3.3898305084745672E-2</v>
      </c>
      <c r="ER258" s="340">
        <f t="shared" si="264"/>
        <v>-9.722222222222221E-2</v>
      </c>
      <c r="ES258" s="340">
        <f t="shared" si="264"/>
        <v>-0.15000000000000002</v>
      </c>
      <c r="ET258" s="340">
        <f t="shared" si="264"/>
        <v>-0.11764705882352944</v>
      </c>
      <c r="EU258" s="321">
        <f t="shared" si="264"/>
        <v>-8.9605734767025047E-2</v>
      </c>
      <c r="EV258" s="340"/>
      <c r="EW258" s="340"/>
      <c r="EX258" s="340"/>
      <c r="EY258" s="340"/>
      <c r="EZ258" s="321"/>
      <c r="FA258" s="340"/>
      <c r="FB258" s="340"/>
      <c r="FC258" s="340"/>
      <c r="FD258" s="340"/>
      <c r="FE258" s="321"/>
      <c r="FF258" s="340"/>
      <c r="FG258" s="340"/>
      <c r="FH258" s="340"/>
      <c r="FI258" s="340"/>
      <c r="FJ258" s="321"/>
      <c r="FK258" s="321"/>
      <c r="FL258" s="321"/>
      <c r="FM258" s="321"/>
      <c r="FN258" s="321"/>
      <c r="FO258" s="321"/>
      <c r="FP258" s="321"/>
      <c r="FQ258" s="321"/>
      <c r="FR258" s="321"/>
      <c r="FS258" s="712"/>
      <c r="FT258" s="321"/>
      <c r="FU258" s="321"/>
      <c r="FV258" s="321"/>
      <c r="FW258" s="321"/>
      <c r="FX258" s="321"/>
      <c r="FY258" s="321"/>
      <c r="FZ258" s="321"/>
      <c r="GA258" s="321"/>
      <c r="GB258" s="321"/>
      <c r="GC258" s="321"/>
      <c r="GD258" s="321"/>
      <c r="GE258" s="321"/>
      <c r="GF258" s="321"/>
      <c r="GG258" s="321"/>
      <c r="GH258" s="321"/>
      <c r="GI258" s="321"/>
      <c r="GJ258" s="321"/>
      <c r="GK258" s="321"/>
      <c r="GL258" s="321"/>
      <c r="GM258" s="321"/>
      <c r="GN258" s="321"/>
      <c r="GO258" s="321"/>
      <c r="GP258" s="321"/>
      <c r="GQ258" s="321"/>
      <c r="GR258" s="321"/>
      <c r="GS258" s="321"/>
      <c r="GT258" s="321"/>
      <c r="GU258" s="321"/>
      <c r="GV258" s="321"/>
      <c r="GW258" s="321"/>
      <c r="GX258" s="321"/>
      <c r="GY258" s="321"/>
      <c r="GZ258" s="321"/>
      <c r="HA258" s="321"/>
      <c r="HB258" s="321"/>
      <c r="HC258" s="321"/>
      <c r="HD258" s="321"/>
      <c r="HE258" s="321"/>
      <c r="HF258" s="321"/>
      <c r="HG258" s="321"/>
      <c r="HH258" s="321"/>
      <c r="HI258" s="321"/>
      <c r="HJ258" s="321"/>
      <c r="HK258" s="321"/>
      <c r="HL258" s="321"/>
      <c r="HM258" s="321"/>
      <c r="HN258" s="321"/>
      <c r="HO258" s="344"/>
      <c r="HP258" s="563"/>
      <c r="HR258" s="563"/>
      <c r="HS258" s="563"/>
      <c r="HT258" s="563"/>
      <c r="HU258" s="563"/>
      <c r="HV258" s="563"/>
      <c r="HW258" s="563"/>
      <c r="HX258" s="563"/>
    </row>
    <row r="259" spans="1:232" s="509" customFormat="1" hidden="1" outlineLevel="1">
      <c r="A259" s="509" t="s">
        <v>490</v>
      </c>
      <c r="AO259" s="538"/>
      <c r="AT259" s="538"/>
      <c r="AY259" s="538"/>
      <c r="BD259" s="538"/>
      <c r="BI259" s="538"/>
      <c r="BN259" s="538"/>
      <c r="BS259" s="538"/>
      <c r="BX259" s="538"/>
      <c r="CC259" s="538"/>
      <c r="CH259" s="538"/>
      <c r="CM259" s="538"/>
      <c r="CV259" s="701"/>
      <c r="CW259" s="701"/>
      <c r="CX259" s="701"/>
      <c r="CY259" s="701"/>
      <c r="CZ259" s="701"/>
      <c r="DA259" s="701"/>
      <c r="DB259" s="701"/>
      <c r="DC259" s="348"/>
      <c r="DD259" s="348"/>
      <c r="DE259" s="348"/>
      <c r="DF259" s="348"/>
      <c r="DG259" s="321"/>
      <c r="DH259" s="348"/>
      <c r="DI259" s="348"/>
      <c r="DJ259" s="348"/>
      <c r="DK259" s="348"/>
      <c r="DL259" s="321"/>
      <c r="DM259" s="348"/>
      <c r="DN259" s="348"/>
      <c r="DO259" s="348"/>
      <c r="DP259" s="348"/>
      <c r="DQ259" s="321"/>
      <c r="DR259" s="348"/>
      <c r="DS259" s="348"/>
      <c r="DT259" s="348"/>
      <c r="DU259" s="348"/>
      <c r="DV259" s="321"/>
      <c r="DW259" s="348"/>
      <c r="DX259" s="348"/>
      <c r="DY259" s="348"/>
      <c r="DZ259" s="348"/>
      <c r="EA259" s="321"/>
      <c r="EB259" s="770">
        <v>88</v>
      </c>
      <c r="EC259" s="767">
        <v>88</v>
      </c>
      <c r="ED259" s="767">
        <v>88</v>
      </c>
      <c r="EE259" s="767">
        <v>88</v>
      </c>
      <c r="EF259" s="524">
        <f>(EF262/EF256)</f>
        <v>8.8000000000000009E-2</v>
      </c>
      <c r="EG259" s="767">
        <v>75</v>
      </c>
      <c r="EH259" s="767">
        <v>75</v>
      </c>
      <c r="EI259" s="767">
        <v>72</v>
      </c>
      <c r="EJ259" s="767">
        <v>72</v>
      </c>
      <c r="EK259" s="524">
        <f>(EK262/EK256)</f>
        <v>7.3380434782608694E-2</v>
      </c>
      <c r="EL259" s="767">
        <v>71</v>
      </c>
      <c r="EM259" s="767">
        <v>68</v>
      </c>
      <c r="EN259" s="767">
        <v>68</v>
      </c>
      <c r="EO259" s="767">
        <v>68</v>
      </c>
      <c r="EP259" s="524">
        <f>(EP262/EP256)</f>
        <v>6.8634408602150546E-2</v>
      </c>
      <c r="EQ259" s="767">
        <v>65</v>
      </c>
      <c r="ER259" s="767">
        <v>65</v>
      </c>
      <c r="ES259" s="767">
        <v>65</v>
      </c>
      <c r="ET259" s="767">
        <v>65</v>
      </c>
      <c r="EU259" s="524">
        <f>(EU262/EU256)</f>
        <v>6.5000000000000002E-2</v>
      </c>
      <c r="EV259" s="767"/>
      <c r="EW259" s="767"/>
      <c r="EX259" s="767"/>
      <c r="EY259" s="767"/>
      <c r="EZ259" s="524"/>
      <c r="FA259" s="767"/>
      <c r="FB259" s="767"/>
      <c r="FC259" s="767"/>
      <c r="FD259" s="767"/>
      <c r="FE259" s="524"/>
      <c r="FF259" s="767"/>
      <c r="FG259" s="767"/>
      <c r="FH259" s="767"/>
      <c r="FI259" s="767"/>
      <c r="FJ259" s="524"/>
      <c r="FK259" s="524"/>
      <c r="FL259" s="524"/>
      <c r="FM259" s="524"/>
      <c r="FN259" s="524"/>
      <c r="FO259" s="524"/>
      <c r="FP259" s="524"/>
      <c r="FQ259" s="524"/>
      <c r="FR259" s="524"/>
      <c r="FS259" s="524"/>
      <c r="FT259" s="524"/>
      <c r="FU259" s="524"/>
      <c r="FV259" s="524"/>
      <c r="FW259" s="524"/>
      <c r="FX259" s="524"/>
      <c r="FY259" s="524"/>
      <c r="FZ259" s="524"/>
      <c r="GA259" s="524"/>
      <c r="GB259" s="524"/>
      <c r="GC259" s="524"/>
      <c r="GD259" s="524"/>
      <c r="GE259" s="524"/>
      <c r="GF259" s="524"/>
      <c r="GG259" s="524"/>
      <c r="GH259" s="524"/>
      <c r="GI259" s="524"/>
      <c r="GJ259" s="524"/>
      <c r="GK259" s="524"/>
      <c r="GL259" s="524"/>
      <c r="GM259" s="524"/>
      <c r="GN259" s="524"/>
      <c r="GO259" s="524"/>
      <c r="GP259" s="524"/>
      <c r="GQ259" s="524"/>
      <c r="GR259" s="524"/>
      <c r="GS259" s="524"/>
      <c r="GT259" s="524"/>
      <c r="GU259" s="524"/>
      <c r="GV259" s="524"/>
      <c r="GW259" s="524"/>
      <c r="GX259" s="524"/>
      <c r="GY259" s="524"/>
      <c r="GZ259" s="524"/>
      <c r="HA259" s="524"/>
      <c r="HB259" s="524"/>
      <c r="HC259" s="524"/>
      <c r="HD259" s="524"/>
      <c r="HE259" s="524"/>
      <c r="HF259" s="524"/>
      <c r="HG259" s="524"/>
      <c r="HH259" s="524"/>
      <c r="HI259" s="524"/>
      <c r="HJ259" s="524"/>
      <c r="HK259" s="524"/>
      <c r="HL259" s="524"/>
      <c r="HM259" s="524"/>
      <c r="HN259" s="524"/>
      <c r="HO259" s="524"/>
      <c r="HP259" s="563"/>
      <c r="HR259" s="563"/>
      <c r="HS259" s="563"/>
      <c r="HT259" s="563"/>
      <c r="HU259" s="563"/>
      <c r="HV259" s="563"/>
      <c r="HW259" s="563"/>
      <c r="HX259" s="563"/>
    </row>
    <row r="260" spans="1:232" s="509" customFormat="1" hidden="1" outlineLevel="1">
      <c r="A260" s="509" t="s">
        <v>488</v>
      </c>
      <c r="AO260" s="538"/>
      <c r="AT260" s="538"/>
      <c r="AY260" s="538"/>
      <c r="BD260" s="538"/>
      <c r="BI260" s="538"/>
      <c r="BN260" s="538"/>
      <c r="BS260" s="538"/>
      <c r="BX260" s="538"/>
      <c r="CC260" s="538"/>
      <c r="CH260" s="538"/>
      <c r="CM260" s="538"/>
      <c r="CV260" s="701"/>
      <c r="CW260" s="701"/>
      <c r="CX260" s="701"/>
      <c r="CY260" s="701"/>
      <c r="CZ260" s="701"/>
      <c r="DA260" s="701"/>
      <c r="DB260" s="701"/>
      <c r="DC260" s="348"/>
      <c r="DD260" s="348"/>
      <c r="DE260" s="348"/>
      <c r="DF260" s="348"/>
      <c r="DG260" s="321"/>
      <c r="DH260" s="348"/>
      <c r="DI260" s="348"/>
      <c r="DJ260" s="348"/>
      <c r="DK260" s="348"/>
      <c r="DL260" s="321"/>
      <c r="DM260" s="348"/>
      <c r="DN260" s="348"/>
      <c r="DO260" s="348"/>
      <c r="DP260" s="348"/>
      <c r="DQ260" s="321"/>
      <c r="DR260" s="348"/>
      <c r="DS260" s="348"/>
      <c r="DT260" s="348"/>
      <c r="DU260" s="348"/>
      <c r="DV260" s="321"/>
      <c r="DW260" s="348"/>
      <c r="DX260" s="348"/>
      <c r="DY260" s="348"/>
      <c r="DZ260" s="348"/>
      <c r="EA260" s="321"/>
      <c r="EB260" s="769" t="s">
        <v>199</v>
      </c>
      <c r="EC260" s="348">
        <f>(EC259/EB259)-1</f>
        <v>0</v>
      </c>
      <c r="ED260" s="348">
        <f>(ED259/EC259)-1</f>
        <v>0</v>
      </c>
      <c r="EE260" s="348">
        <f>(EE259/ED259)-1</f>
        <v>0</v>
      </c>
      <c r="EF260" s="648" t="s">
        <v>199</v>
      </c>
      <c r="EG260" s="348">
        <f>(EG259/EE259)-1</f>
        <v>-0.14772727272727271</v>
      </c>
      <c r="EH260" s="348">
        <f>(EH259/EG259)-1</f>
        <v>0</v>
      </c>
      <c r="EI260" s="294">
        <f>(EI259/EH259)-1</f>
        <v>-4.0000000000000036E-2</v>
      </c>
      <c r="EJ260" s="348">
        <v>0.05</v>
      </c>
      <c r="EK260" s="648" t="s">
        <v>199</v>
      </c>
      <c r="EL260" s="348">
        <f>(EL259/EJ259)-1</f>
        <v>-1.388888888888884E-2</v>
      </c>
      <c r="EM260" s="348">
        <f>(EM259/EL259)-1</f>
        <v>-4.2253521126760618E-2</v>
      </c>
      <c r="EN260" s="348">
        <f>(EN259/EM259)-1</f>
        <v>0</v>
      </c>
      <c r="EO260" s="348">
        <v>0.05</v>
      </c>
      <c r="EP260" s="648" t="s">
        <v>199</v>
      </c>
      <c r="EQ260" s="348">
        <f>(EQ259/EO259)-1</f>
        <v>-4.4117647058823484E-2</v>
      </c>
      <c r="ER260" s="348">
        <f>(ER259/EQ259)-1</f>
        <v>0</v>
      </c>
      <c r="ES260" s="348">
        <f>(ES259/ER259)-1</f>
        <v>0</v>
      </c>
      <c r="ET260" s="348">
        <v>0.05</v>
      </c>
      <c r="EU260" s="648" t="s">
        <v>199</v>
      </c>
      <c r="EV260" s="348"/>
      <c r="EW260" s="348"/>
      <c r="EX260" s="348"/>
      <c r="EY260" s="348"/>
      <c r="EZ260" s="648"/>
      <c r="FA260" s="348"/>
      <c r="FB260" s="348"/>
      <c r="FC260" s="348"/>
      <c r="FD260" s="348"/>
      <c r="FE260" s="648"/>
      <c r="FF260" s="348"/>
      <c r="FG260" s="348"/>
      <c r="FH260" s="348"/>
      <c r="FI260" s="348"/>
      <c r="FJ260" s="648"/>
      <c r="FK260" s="648"/>
      <c r="FL260" s="648"/>
      <c r="FM260" s="648"/>
      <c r="FN260" s="648"/>
      <c r="FO260" s="648"/>
      <c r="FP260" s="648"/>
      <c r="FQ260" s="648"/>
      <c r="FR260" s="648"/>
      <c r="FS260" s="648"/>
      <c r="FT260" s="648"/>
      <c r="FU260" s="648"/>
      <c r="FV260" s="648"/>
      <c r="FW260" s="648"/>
      <c r="FX260" s="648"/>
      <c r="FY260" s="648"/>
      <c r="FZ260" s="648"/>
      <c r="GA260" s="648"/>
      <c r="GB260" s="648"/>
      <c r="GC260" s="648"/>
      <c r="GD260" s="648"/>
      <c r="GE260" s="648"/>
      <c r="GF260" s="648"/>
      <c r="GG260" s="648"/>
      <c r="GH260" s="648"/>
      <c r="GI260" s="648"/>
      <c r="GJ260" s="648"/>
      <c r="GK260" s="648"/>
      <c r="GL260" s="648"/>
      <c r="GM260" s="648"/>
      <c r="GN260" s="648"/>
      <c r="GO260" s="648"/>
      <c r="GP260" s="648"/>
      <c r="GQ260" s="648"/>
      <c r="GR260" s="648"/>
      <c r="GS260" s="648"/>
      <c r="GT260" s="648"/>
      <c r="GU260" s="648"/>
      <c r="GV260" s="648"/>
      <c r="GW260" s="648"/>
      <c r="GX260" s="648"/>
      <c r="GY260" s="648"/>
      <c r="GZ260" s="648"/>
      <c r="HA260" s="648"/>
      <c r="HB260" s="648"/>
      <c r="HC260" s="648"/>
      <c r="HD260" s="648"/>
      <c r="HE260" s="648"/>
      <c r="HF260" s="648"/>
      <c r="HG260" s="648"/>
      <c r="HH260" s="648"/>
      <c r="HI260" s="648"/>
      <c r="HJ260" s="648"/>
      <c r="HK260" s="648"/>
      <c r="HL260" s="648"/>
      <c r="HM260" s="648"/>
      <c r="HN260" s="648"/>
      <c r="HO260" s="648"/>
      <c r="HP260" s="563"/>
      <c r="HR260" s="563"/>
      <c r="HS260" s="563"/>
      <c r="HT260" s="563"/>
      <c r="HU260" s="563"/>
      <c r="HV260" s="563"/>
      <c r="HW260" s="563"/>
      <c r="HX260" s="563"/>
    </row>
    <row r="261" spans="1:232" s="509" customFormat="1" hidden="1" outlineLevel="1">
      <c r="A261" s="509" t="s">
        <v>489</v>
      </c>
      <c r="AO261" s="538"/>
      <c r="AT261" s="538"/>
      <c r="AY261" s="538"/>
      <c r="BD261" s="538"/>
      <c r="BI261" s="538"/>
      <c r="BN261" s="538"/>
      <c r="BS261" s="538"/>
      <c r="BX261" s="538"/>
      <c r="CC261" s="538"/>
      <c r="CH261" s="538"/>
      <c r="CM261" s="538"/>
      <c r="CV261" s="701"/>
      <c r="CW261" s="701"/>
      <c r="CX261" s="701"/>
      <c r="CY261" s="701"/>
      <c r="CZ261" s="701"/>
      <c r="DA261" s="701"/>
      <c r="DB261" s="701"/>
      <c r="DC261" s="348"/>
      <c r="DD261" s="348"/>
      <c r="DE261" s="348"/>
      <c r="DF261" s="348"/>
      <c r="DG261" s="321"/>
      <c r="DH261" s="348"/>
      <c r="DI261" s="348"/>
      <c r="DJ261" s="348"/>
      <c r="DK261" s="348"/>
      <c r="DL261" s="321"/>
      <c r="DM261" s="348"/>
      <c r="DN261" s="348"/>
      <c r="DO261" s="348"/>
      <c r="DP261" s="348"/>
      <c r="DQ261" s="321"/>
      <c r="DR261" s="348"/>
      <c r="DS261" s="348"/>
      <c r="DT261" s="348"/>
      <c r="DU261" s="348"/>
      <c r="DV261" s="321"/>
      <c r="DW261" s="348"/>
      <c r="DX261" s="348"/>
      <c r="DY261" s="348"/>
      <c r="DZ261" s="348"/>
      <c r="EA261" s="321"/>
      <c r="EB261" s="769" t="s">
        <v>199</v>
      </c>
      <c r="EC261" s="701" t="s">
        <v>199</v>
      </c>
      <c r="ED261" s="701" t="s">
        <v>199</v>
      </c>
      <c r="EE261" s="701" t="s">
        <v>199</v>
      </c>
      <c r="EF261" s="701" t="s">
        <v>199</v>
      </c>
      <c r="EG261" s="701" t="s">
        <v>199</v>
      </c>
      <c r="EH261" s="701" t="s">
        <v>199</v>
      </c>
      <c r="EI261" s="701" t="s">
        <v>199</v>
      </c>
      <c r="EJ261" s="340">
        <f>(EJ259/EE259)-1</f>
        <v>-0.18181818181818177</v>
      </c>
      <c r="EK261" s="321">
        <f>(EK259/EF259)-1</f>
        <v>-0.16613142292490124</v>
      </c>
      <c r="EL261" s="701" t="s">
        <v>199</v>
      </c>
      <c r="EM261" s="701" t="s">
        <v>199</v>
      </c>
      <c r="EN261" s="701" t="s">
        <v>199</v>
      </c>
      <c r="EO261" s="340">
        <f>(EO259/EJ259)-1</f>
        <v>-5.555555555555558E-2</v>
      </c>
      <c r="EP261" s="321">
        <f>(EP259/EK259)-1</f>
        <v>-6.4676997274796255E-2</v>
      </c>
      <c r="EQ261" s="701" t="s">
        <v>199</v>
      </c>
      <c r="ER261" s="701" t="s">
        <v>199</v>
      </c>
      <c r="ES261" s="701" t="s">
        <v>199</v>
      </c>
      <c r="ET261" s="340">
        <f>(ET259/EO259)-1</f>
        <v>-4.4117647058823484E-2</v>
      </c>
      <c r="EU261" s="321">
        <f>(EU259/EP259)-1</f>
        <v>-5.2953156822810654E-2</v>
      </c>
      <c r="EV261" s="701"/>
      <c r="EW261" s="701"/>
      <c r="EX261" s="701"/>
      <c r="EY261" s="340"/>
      <c r="EZ261" s="321"/>
      <c r="FA261" s="701"/>
      <c r="FB261" s="701"/>
      <c r="FC261" s="701"/>
      <c r="FD261" s="340"/>
      <c r="FE261" s="321"/>
      <c r="FF261" s="701"/>
      <c r="FG261" s="701"/>
      <c r="FH261" s="701"/>
      <c r="FI261" s="340"/>
      <c r="FJ261" s="321"/>
      <c r="FK261" s="321"/>
      <c r="FL261" s="321"/>
      <c r="FM261" s="321"/>
      <c r="FN261" s="321"/>
      <c r="FO261" s="321"/>
      <c r="FP261" s="321"/>
      <c r="FQ261" s="321"/>
      <c r="FR261" s="321"/>
      <c r="FS261" s="712"/>
      <c r="FT261" s="321"/>
      <c r="FU261" s="321"/>
      <c r="FV261" s="321"/>
      <c r="FW261" s="321"/>
      <c r="FX261" s="321"/>
      <c r="FY261" s="321"/>
      <c r="FZ261" s="321"/>
      <c r="GA261" s="321"/>
      <c r="GB261" s="321"/>
      <c r="GC261" s="321"/>
      <c r="GD261" s="321"/>
      <c r="GE261" s="321"/>
      <c r="GF261" s="321"/>
      <c r="GG261" s="321"/>
      <c r="GH261" s="321"/>
      <c r="GI261" s="321"/>
      <c r="GJ261" s="321"/>
      <c r="GK261" s="321"/>
      <c r="GL261" s="321"/>
      <c r="GM261" s="321"/>
      <c r="GN261" s="321"/>
      <c r="GO261" s="321"/>
      <c r="GP261" s="321"/>
      <c r="GQ261" s="321"/>
      <c r="GR261" s="321"/>
      <c r="GS261" s="321"/>
      <c r="GT261" s="321"/>
      <c r="GU261" s="321"/>
      <c r="GV261" s="321"/>
      <c r="GW261" s="321"/>
      <c r="GX261" s="321"/>
      <c r="GY261" s="321"/>
      <c r="GZ261" s="321"/>
      <c r="HA261" s="321"/>
      <c r="HB261" s="321"/>
      <c r="HC261" s="321"/>
      <c r="HD261" s="321"/>
      <c r="HE261" s="321"/>
      <c r="HF261" s="321"/>
      <c r="HG261" s="321"/>
      <c r="HH261" s="321"/>
      <c r="HI261" s="321"/>
      <c r="HJ261" s="321"/>
      <c r="HK261" s="321"/>
      <c r="HL261" s="321"/>
      <c r="HM261" s="321"/>
      <c r="HN261" s="321"/>
      <c r="HO261" s="344"/>
      <c r="HP261" s="563"/>
      <c r="HR261" s="563"/>
      <c r="HS261" s="563"/>
      <c r="HT261" s="563"/>
      <c r="HU261" s="563"/>
      <c r="HV261" s="563"/>
      <c r="HW261" s="563"/>
      <c r="HX261" s="563"/>
    </row>
    <row r="262" spans="1:232" s="509" customFormat="1" hidden="1" outlineLevel="1">
      <c r="A262" s="538" t="s">
        <v>513</v>
      </c>
      <c r="AO262" s="538"/>
      <c r="AT262" s="538"/>
      <c r="AY262" s="538"/>
      <c r="BD262" s="538"/>
      <c r="BI262" s="538"/>
      <c r="BN262" s="538"/>
      <c r="BS262" s="538"/>
      <c r="BX262" s="538"/>
      <c r="CC262" s="538"/>
      <c r="CH262" s="538"/>
      <c r="CM262" s="538"/>
      <c r="CV262" s="701"/>
      <c r="CW262" s="701"/>
      <c r="CX262" s="701"/>
      <c r="CY262" s="701"/>
      <c r="CZ262" s="701"/>
      <c r="DA262" s="701"/>
      <c r="DB262" s="701"/>
      <c r="DC262" s="348"/>
      <c r="DD262" s="348"/>
      <c r="DE262" s="348"/>
      <c r="DF262" s="348"/>
      <c r="DG262" s="321"/>
      <c r="DH262" s="348"/>
      <c r="DI262" s="348"/>
      <c r="DJ262" s="348"/>
      <c r="DK262" s="348"/>
      <c r="DL262" s="321"/>
      <c r="DM262" s="348"/>
      <c r="DN262" s="348"/>
      <c r="DO262" s="348"/>
      <c r="DP262" s="348"/>
      <c r="DQ262" s="321"/>
      <c r="DR262" s="348"/>
      <c r="DS262" s="348"/>
      <c r="DT262" s="348"/>
      <c r="DU262" s="348"/>
      <c r="DV262" s="321"/>
      <c r="DW262" s="348"/>
      <c r="DX262" s="348"/>
      <c r="DY262" s="348"/>
      <c r="DZ262" s="348"/>
      <c r="EA262" s="321"/>
      <c r="EB262" s="771">
        <f>EB256*EB259/1000</f>
        <v>1.7600000000000001E-2</v>
      </c>
      <c r="EC262" s="670">
        <f>EC256*EC259/1000</f>
        <v>1.7600000000000001E-2</v>
      </c>
      <c r="ED262" s="670">
        <f>ED256*ED259/1000</f>
        <v>228.8</v>
      </c>
      <c r="EE262" s="670">
        <f>EE256*EE259/1000</f>
        <v>294.8</v>
      </c>
      <c r="EF262" s="542">
        <f>SUM(EB262:EE262)</f>
        <v>523.63520000000005</v>
      </c>
      <c r="EG262" s="670">
        <f>EG256*EG259/1000</f>
        <v>202.5</v>
      </c>
      <c r="EH262" s="670">
        <f>EH256*EH259/1000</f>
        <v>273.75</v>
      </c>
      <c r="EI262" s="670">
        <f>EI256*EI259/1000</f>
        <v>288</v>
      </c>
      <c r="EJ262" s="670">
        <f>EJ256*EJ259/1000</f>
        <v>248.4</v>
      </c>
      <c r="EK262" s="542">
        <f>SUM(EG262:EJ262)</f>
        <v>1012.65</v>
      </c>
      <c r="EL262" s="670">
        <f>EL256*EL259/1000</f>
        <v>209.45</v>
      </c>
      <c r="EM262" s="670">
        <f>EM256*EM259/1000</f>
        <v>244.8</v>
      </c>
      <c r="EN262" s="670">
        <f>EN256*EN259/1000</f>
        <v>272</v>
      </c>
      <c r="EO262" s="670">
        <f>EO256*EO259/1000</f>
        <v>231.2</v>
      </c>
      <c r="EP262" s="542">
        <f>SUM(EL262:EO262)</f>
        <v>957.45</v>
      </c>
      <c r="EQ262" s="670">
        <f>EQ256*EQ259/1000</f>
        <v>198.25</v>
      </c>
      <c r="ER262" s="670">
        <f>ER256*ER259/1000</f>
        <v>211.25</v>
      </c>
      <c r="ES262" s="670">
        <f>ES256*ES259/1000</f>
        <v>221</v>
      </c>
      <c r="ET262" s="670">
        <f>ET256*ET259/1000</f>
        <v>195</v>
      </c>
      <c r="EU262" s="542">
        <f>SUM(EQ262:ET262)</f>
        <v>825.5</v>
      </c>
      <c r="EV262" s="670"/>
      <c r="EW262" s="670"/>
      <c r="EX262" s="670"/>
      <c r="EY262" s="670"/>
      <c r="EZ262" s="542"/>
      <c r="FA262" s="670"/>
      <c r="FB262" s="670"/>
      <c r="FC262" s="670"/>
      <c r="FD262" s="670"/>
      <c r="FE262" s="542"/>
      <c r="FF262" s="670"/>
      <c r="FG262" s="670"/>
      <c r="FH262" s="670"/>
      <c r="FI262" s="670"/>
      <c r="FJ262" s="542"/>
      <c r="FK262" s="542"/>
      <c r="FL262" s="542"/>
      <c r="FM262" s="542"/>
      <c r="FN262" s="542"/>
      <c r="FO262" s="542"/>
      <c r="FP262" s="542"/>
      <c r="FQ262" s="542"/>
      <c r="FR262" s="542"/>
      <c r="FS262" s="542"/>
      <c r="FT262" s="542"/>
      <c r="FU262" s="542"/>
      <c r="FV262" s="542"/>
      <c r="FW262" s="542"/>
      <c r="FX262" s="542"/>
      <c r="FY262" s="542"/>
      <c r="FZ262" s="542"/>
      <c r="GA262" s="542"/>
      <c r="GB262" s="542"/>
      <c r="GC262" s="542"/>
      <c r="GD262" s="542"/>
      <c r="GE262" s="542"/>
      <c r="GF262" s="542"/>
      <c r="GG262" s="542"/>
      <c r="GH262" s="542"/>
      <c r="GI262" s="542"/>
      <c r="GJ262" s="542"/>
      <c r="GK262" s="542"/>
      <c r="GL262" s="542"/>
      <c r="GM262" s="542"/>
      <c r="GN262" s="542"/>
      <c r="GO262" s="542"/>
      <c r="GP262" s="542"/>
      <c r="GQ262" s="542"/>
      <c r="GR262" s="542"/>
      <c r="GS262" s="542"/>
      <c r="GT262" s="542"/>
      <c r="GU262" s="542"/>
      <c r="GV262" s="542"/>
      <c r="GW262" s="542"/>
      <c r="GX262" s="542"/>
      <c r="GY262" s="542"/>
      <c r="GZ262" s="542"/>
      <c r="HA262" s="542"/>
      <c r="HB262" s="542"/>
      <c r="HC262" s="542"/>
      <c r="HD262" s="542"/>
      <c r="HE262" s="542"/>
      <c r="HF262" s="542"/>
      <c r="HG262" s="542"/>
      <c r="HH262" s="542"/>
      <c r="HI262" s="542"/>
      <c r="HJ262" s="542"/>
      <c r="HK262" s="542"/>
      <c r="HL262" s="542"/>
      <c r="HM262" s="542"/>
      <c r="HN262" s="542"/>
      <c r="HO262" s="542"/>
      <c r="HP262" s="563"/>
      <c r="HR262" s="563"/>
      <c r="HS262" s="563"/>
      <c r="HT262" s="563"/>
      <c r="HU262" s="563"/>
      <c r="HV262" s="563"/>
      <c r="HW262" s="563"/>
      <c r="HX262" s="563"/>
    </row>
    <row r="263" spans="1:232" s="509" customFormat="1" ht="16.5" hidden="1" customHeight="1" outlineLevel="1">
      <c r="A263" s="509" t="s">
        <v>514</v>
      </c>
      <c r="AO263" s="538"/>
      <c r="AT263" s="538"/>
      <c r="AY263" s="538"/>
      <c r="BD263" s="538"/>
      <c r="BI263" s="538"/>
      <c r="BN263" s="538"/>
      <c r="BS263" s="538"/>
      <c r="BX263" s="538"/>
      <c r="CC263" s="538"/>
      <c r="CH263" s="538"/>
      <c r="CM263" s="538"/>
      <c r="CV263" s="701"/>
      <c r="CW263" s="701"/>
      <c r="CX263" s="701"/>
      <c r="CY263" s="701"/>
      <c r="CZ263" s="701"/>
      <c r="DA263" s="701"/>
      <c r="DB263" s="701"/>
      <c r="DC263" s="348"/>
      <c r="DD263" s="348"/>
      <c r="DE263" s="348"/>
      <c r="DF263" s="348"/>
      <c r="DG263" s="321"/>
      <c r="DH263" s="348"/>
      <c r="DI263" s="348"/>
      <c r="DJ263" s="348"/>
      <c r="DK263" s="348"/>
      <c r="DL263" s="321"/>
      <c r="DM263" s="348"/>
      <c r="DN263" s="348"/>
      <c r="DO263" s="348"/>
      <c r="DP263" s="348"/>
      <c r="DQ263" s="321"/>
      <c r="DR263" s="348"/>
      <c r="DS263" s="348"/>
      <c r="DT263" s="348"/>
      <c r="DU263" s="348"/>
      <c r="DV263" s="321"/>
      <c r="DW263" s="348"/>
      <c r="DX263" s="348"/>
      <c r="DY263" s="348"/>
      <c r="DZ263" s="348"/>
      <c r="EA263" s="321"/>
      <c r="EB263" s="772">
        <f>+EB274-EB256</f>
        <v>-0.2</v>
      </c>
      <c r="EC263" s="773">
        <f>+EC274-EC256</f>
        <v>-0.2</v>
      </c>
      <c r="ED263" s="773">
        <f>+ED274-ED256</f>
        <v>1547</v>
      </c>
      <c r="EE263" s="773">
        <f>+EE274-EE256</f>
        <v>1978</v>
      </c>
      <c r="EF263" s="356">
        <f>SUM(EB263:EE263)</f>
        <v>3524.6</v>
      </c>
      <c r="EG263" s="357">
        <f>+EG274-EG256</f>
        <v>1707</v>
      </c>
      <c r="EH263" s="357">
        <f>+EH274-EH256</f>
        <v>2510</v>
      </c>
      <c r="EI263" s="358">
        <f>+EI274-EI256</f>
        <v>2600</v>
      </c>
      <c r="EJ263" s="358">
        <f>+EJ274-EJ256</f>
        <v>2669</v>
      </c>
      <c r="EK263" s="356">
        <f>SUM(EG263:EJ263)</f>
        <v>9486</v>
      </c>
      <c r="EL263" s="358">
        <f>+EL274-EL256</f>
        <v>2458</v>
      </c>
      <c r="EM263" s="358">
        <f>+EM274-EM256</f>
        <v>3010</v>
      </c>
      <c r="EN263" s="358">
        <f>+EN274-EN256</f>
        <v>3639</v>
      </c>
      <c r="EO263" s="354">
        <v>2900</v>
      </c>
      <c r="EP263" s="356">
        <f>SUM(EL263:EO263)</f>
        <v>12007</v>
      </c>
      <c r="EQ263" s="354">
        <v>2600</v>
      </c>
      <c r="ER263" s="354">
        <v>2750</v>
      </c>
      <c r="ES263" s="354">
        <v>2950</v>
      </c>
      <c r="ET263" s="354">
        <v>2650</v>
      </c>
      <c r="EU263" s="356">
        <f>SUM(EQ263:ET263)</f>
        <v>10950</v>
      </c>
      <c r="EV263" s="354"/>
      <c r="EW263" s="354"/>
      <c r="EX263" s="354"/>
      <c r="EY263" s="354"/>
      <c r="EZ263" s="356"/>
      <c r="FA263" s="354"/>
      <c r="FB263" s="354"/>
      <c r="FC263" s="354"/>
      <c r="FD263" s="354"/>
      <c r="FE263" s="356"/>
      <c r="FF263" s="354"/>
      <c r="FG263" s="354"/>
      <c r="FH263" s="354"/>
      <c r="FI263" s="354"/>
      <c r="FJ263" s="356"/>
      <c r="FK263" s="356"/>
      <c r="FL263" s="356"/>
      <c r="FM263" s="356"/>
      <c r="FN263" s="356"/>
      <c r="FO263" s="356"/>
      <c r="FP263" s="356"/>
      <c r="FQ263" s="356"/>
      <c r="FR263" s="356"/>
      <c r="FS263" s="768"/>
      <c r="FT263" s="356"/>
      <c r="FU263" s="356"/>
      <c r="FV263" s="356"/>
      <c r="FW263" s="356"/>
      <c r="FX263" s="356"/>
      <c r="FY263" s="356"/>
      <c r="FZ263" s="356"/>
      <c r="GA263" s="356"/>
      <c r="GB263" s="356"/>
      <c r="GC263" s="356"/>
      <c r="GD263" s="356"/>
      <c r="GE263" s="356"/>
      <c r="GF263" s="356"/>
      <c r="GG263" s="356"/>
      <c r="GH263" s="356"/>
      <c r="GI263" s="356"/>
      <c r="GJ263" s="356"/>
      <c r="GK263" s="356"/>
      <c r="GL263" s="356"/>
      <c r="GM263" s="356"/>
      <c r="GN263" s="356"/>
      <c r="GO263" s="356"/>
      <c r="GP263" s="356"/>
      <c r="GQ263" s="356"/>
      <c r="GR263" s="356"/>
      <c r="GS263" s="356"/>
      <c r="GT263" s="356"/>
      <c r="GU263" s="356"/>
      <c r="GV263" s="356"/>
      <c r="GW263" s="356"/>
      <c r="GX263" s="356"/>
      <c r="GY263" s="356"/>
      <c r="GZ263" s="356"/>
      <c r="HA263" s="356"/>
      <c r="HB263" s="356"/>
      <c r="HC263" s="356"/>
      <c r="HD263" s="356"/>
      <c r="HE263" s="356"/>
      <c r="HF263" s="356"/>
      <c r="HG263" s="356"/>
      <c r="HH263" s="356"/>
      <c r="HI263" s="356"/>
      <c r="HJ263" s="356"/>
      <c r="HK263" s="356"/>
      <c r="HL263" s="356"/>
      <c r="HM263" s="356"/>
      <c r="HN263" s="356"/>
      <c r="HO263" s="542"/>
      <c r="HP263" s="563"/>
      <c r="HR263" s="563"/>
      <c r="HS263" s="563"/>
      <c r="HT263" s="563"/>
      <c r="HU263" s="563"/>
      <c r="HV263" s="563"/>
      <c r="HW263" s="563"/>
      <c r="HX263" s="563"/>
    </row>
    <row r="264" spans="1:232" s="509" customFormat="1" hidden="1" outlineLevel="1">
      <c r="A264" s="509" t="s">
        <v>488</v>
      </c>
      <c r="AO264" s="538"/>
      <c r="AT264" s="538"/>
      <c r="AY264" s="538"/>
      <c r="BD264" s="538"/>
      <c r="BI264" s="538"/>
      <c r="BN264" s="538"/>
      <c r="BS264" s="538"/>
      <c r="BX264" s="538"/>
      <c r="CC264" s="538"/>
      <c r="CH264" s="538"/>
      <c r="CM264" s="538"/>
      <c r="CV264" s="701"/>
      <c r="CW264" s="701"/>
      <c r="CX264" s="701"/>
      <c r="CY264" s="701"/>
      <c r="CZ264" s="701"/>
      <c r="DA264" s="701"/>
      <c r="DB264" s="701"/>
      <c r="DC264" s="348"/>
      <c r="DD264" s="348"/>
      <c r="DE264" s="348"/>
      <c r="DF264" s="348"/>
      <c r="DG264" s="321"/>
      <c r="DH264" s="348"/>
      <c r="DI264" s="348"/>
      <c r="DJ264" s="348"/>
      <c r="DK264" s="348"/>
      <c r="DL264" s="321"/>
      <c r="DM264" s="348"/>
      <c r="DN264" s="348"/>
      <c r="DO264" s="348"/>
      <c r="DP264" s="348"/>
      <c r="DQ264" s="321"/>
      <c r="DR264" s="348"/>
      <c r="DS264" s="348"/>
      <c r="DT264" s="348"/>
      <c r="DU264" s="348"/>
      <c r="DV264" s="321"/>
      <c r="DW264" s="348"/>
      <c r="DX264" s="348"/>
      <c r="DY264" s="348"/>
      <c r="DZ264" s="348"/>
      <c r="EA264" s="321"/>
      <c r="EB264" s="769" t="s">
        <v>199</v>
      </c>
      <c r="EC264" s="701" t="s">
        <v>199</v>
      </c>
      <c r="ED264" s="701" t="s">
        <v>199</v>
      </c>
      <c r="EE264" s="348">
        <f>(EE263/ED263)-1</f>
        <v>0.27860374919198438</v>
      </c>
      <c r="EF264" s="648" t="s">
        <v>199</v>
      </c>
      <c r="EG264" s="348">
        <f>(EG263/EE263)-1</f>
        <v>-0.13700707785642063</v>
      </c>
      <c r="EH264" s="348">
        <f>(EH263/EG263)-1</f>
        <v>0.47041593438781493</v>
      </c>
      <c r="EI264" s="294">
        <f>(EI263/EH263)-1</f>
        <v>3.5856573705179251E-2</v>
      </c>
      <c r="EJ264" s="348">
        <f>(EJ263/EI263)-1</f>
        <v>2.6538461538461622E-2</v>
      </c>
      <c r="EK264" s="648" t="s">
        <v>199</v>
      </c>
      <c r="EL264" s="348">
        <f>(EL263/EJ263)-1</f>
        <v>-7.9055826152116926E-2</v>
      </c>
      <c r="EM264" s="348">
        <f>(EM263/EL263)-1</f>
        <v>0.2245728234336859</v>
      </c>
      <c r="EN264" s="348">
        <f>(EN263/EM263)-1</f>
        <v>0.20897009966777413</v>
      </c>
      <c r="EO264" s="348">
        <f>(EO263/EN263)-1</f>
        <v>-0.20307776861775217</v>
      </c>
      <c r="EP264" s="648" t="s">
        <v>199</v>
      </c>
      <c r="EQ264" s="348">
        <f>(EQ263/EO263)-1</f>
        <v>-0.10344827586206895</v>
      </c>
      <c r="ER264" s="348">
        <f>(ER263/EQ263)-1</f>
        <v>5.7692307692307709E-2</v>
      </c>
      <c r="ES264" s="348">
        <f>(ES263/ER263)-1</f>
        <v>7.2727272727272751E-2</v>
      </c>
      <c r="ET264" s="348">
        <f>(ET263/ES263)-1</f>
        <v>-0.10169491525423724</v>
      </c>
      <c r="EU264" s="648" t="s">
        <v>199</v>
      </c>
      <c r="EV264" s="348"/>
      <c r="EW264" s="348"/>
      <c r="EX264" s="348"/>
      <c r="EY264" s="348"/>
      <c r="EZ264" s="648"/>
      <c r="FA264" s="348"/>
      <c r="FB264" s="348"/>
      <c r="FC264" s="348"/>
      <c r="FD264" s="348"/>
      <c r="FE264" s="648"/>
      <c r="FF264" s="348"/>
      <c r="FG264" s="348"/>
      <c r="FH264" s="348"/>
      <c r="FI264" s="348"/>
      <c r="FJ264" s="648"/>
      <c r="FK264" s="648"/>
      <c r="FL264" s="648"/>
      <c r="FM264" s="648"/>
      <c r="FN264" s="648"/>
      <c r="FO264" s="648"/>
      <c r="FP264" s="648"/>
      <c r="FQ264" s="648"/>
      <c r="FR264" s="648"/>
      <c r="FS264" s="648"/>
      <c r="FT264" s="648"/>
      <c r="FU264" s="648"/>
      <c r="FV264" s="648"/>
      <c r="FW264" s="648"/>
      <c r="FX264" s="648"/>
      <c r="FY264" s="648"/>
      <c r="FZ264" s="648"/>
      <c r="GA264" s="648"/>
      <c r="GB264" s="648"/>
      <c r="GC264" s="648"/>
      <c r="GD264" s="648"/>
      <c r="GE264" s="648"/>
      <c r="GF264" s="648"/>
      <c r="GG264" s="648"/>
      <c r="GH264" s="648"/>
      <c r="GI264" s="648"/>
      <c r="GJ264" s="648"/>
      <c r="GK264" s="648"/>
      <c r="GL264" s="648"/>
      <c r="GM264" s="648"/>
      <c r="GN264" s="648"/>
      <c r="GO264" s="648"/>
      <c r="GP264" s="648"/>
      <c r="GQ264" s="648"/>
      <c r="GR264" s="648"/>
      <c r="GS264" s="648"/>
      <c r="GT264" s="648"/>
      <c r="GU264" s="648"/>
      <c r="GV264" s="648"/>
      <c r="GW264" s="648"/>
      <c r="GX264" s="648"/>
      <c r="GY264" s="648"/>
      <c r="GZ264" s="648"/>
      <c r="HA264" s="648"/>
      <c r="HB264" s="648"/>
      <c r="HC264" s="648"/>
      <c r="HD264" s="648"/>
      <c r="HE264" s="648"/>
      <c r="HF264" s="648"/>
      <c r="HG264" s="648"/>
      <c r="HH264" s="648"/>
      <c r="HI264" s="648"/>
      <c r="HJ264" s="648"/>
      <c r="HK264" s="648"/>
      <c r="HL264" s="648"/>
      <c r="HM264" s="648"/>
      <c r="HN264" s="648"/>
      <c r="HO264" s="648"/>
      <c r="HP264" s="563"/>
      <c r="HR264" s="563"/>
      <c r="HS264" s="563"/>
      <c r="HT264" s="563"/>
      <c r="HU264" s="563"/>
      <c r="HV264" s="563"/>
      <c r="HW264" s="563"/>
      <c r="HX264" s="563"/>
    </row>
    <row r="265" spans="1:232" s="509" customFormat="1" hidden="1" outlineLevel="1">
      <c r="A265" s="509" t="s">
        <v>489</v>
      </c>
      <c r="AO265" s="538"/>
      <c r="AT265" s="538"/>
      <c r="AY265" s="538"/>
      <c r="BD265" s="538"/>
      <c r="BI265" s="538"/>
      <c r="BN265" s="538"/>
      <c r="BS265" s="538"/>
      <c r="BX265" s="538"/>
      <c r="CC265" s="538"/>
      <c r="CH265" s="538"/>
      <c r="CM265" s="538"/>
      <c r="CV265" s="701"/>
      <c r="CW265" s="701"/>
      <c r="CX265" s="701"/>
      <c r="CY265" s="701"/>
      <c r="CZ265" s="701"/>
      <c r="DA265" s="701"/>
      <c r="DB265" s="701"/>
      <c r="DC265" s="348"/>
      <c r="DD265" s="348"/>
      <c r="DE265" s="348"/>
      <c r="DF265" s="348"/>
      <c r="DG265" s="321"/>
      <c r="DH265" s="348"/>
      <c r="DI265" s="348"/>
      <c r="DJ265" s="348"/>
      <c r="DK265" s="348"/>
      <c r="DL265" s="321"/>
      <c r="DM265" s="348"/>
      <c r="DN265" s="348"/>
      <c r="DO265" s="348"/>
      <c r="DP265" s="348"/>
      <c r="DQ265" s="321"/>
      <c r="DR265" s="348"/>
      <c r="DS265" s="348"/>
      <c r="DT265" s="348"/>
      <c r="DU265" s="348"/>
      <c r="DV265" s="321"/>
      <c r="DW265" s="348"/>
      <c r="DX265" s="348"/>
      <c r="DY265" s="348"/>
      <c r="DZ265" s="348"/>
      <c r="EA265" s="321"/>
      <c r="EB265" s="769" t="s">
        <v>199</v>
      </c>
      <c r="EC265" s="701" t="s">
        <v>199</v>
      </c>
      <c r="ED265" s="701" t="s">
        <v>199</v>
      </c>
      <c r="EE265" s="701" t="s">
        <v>199</v>
      </c>
      <c r="EF265" s="701" t="s">
        <v>199</v>
      </c>
      <c r="EG265" s="701" t="s">
        <v>199</v>
      </c>
      <c r="EH265" s="701" t="s">
        <v>199</v>
      </c>
      <c r="EI265" s="701" t="s">
        <v>199</v>
      </c>
      <c r="EJ265" s="340">
        <f t="shared" ref="EJ265:EU265" si="265">(EJ263/EE263)-1</f>
        <v>0.34934277047522744</v>
      </c>
      <c r="EK265" s="321">
        <f t="shared" si="265"/>
        <v>1.691369233388186</v>
      </c>
      <c r="EL265" s="340">
        <f t="shared" si="265"/>
        <v>0.43995313415348569</v>
      </c>
      <c r="EM265" s="340">
        <f t="shared" si="265"/>
        <v>0.19920318725099606</v>
      </c>
      <c r="EN265" s="340">
        <f t="shared" si="265"/>
        <v>0.39961538461538471</v>
      </c>
      <c r="EO265" s="340">
        <f t="shared" si="265"/>
        <v>8.6549269389284422E-2</v>
      </c>
      <c r="EP265" s="321">
        <f t="shared" si="265"/>
        <v>0.26576006746784731</v>
      </c>
      <c r="EQ265" s="340">
        <f t="shared" si="265"/>
        <v>5.7770545158665643E-2</v>
      </c>
      <c r="ER265" s="340">
        <f t="shared" si="265"/>
        <v>-8.637873754152825E-2</v>
      </c>
      <c r="ES265" s="340">
        <f t="shared" si="265"/>
        <v>-0.18933773014564437</v>
      </c>
      <c r="ET265" s="340">
        <f t="shared" si="265"/>
        <v>-8.6206896551724088E-2</v>
      </c>
      <c r="EU265" s="321">
        <f t="shared" si="265"/>
        <v>-8.8031981344215859E-2</v>
      </c>
      <c r="EV265" s="340"/>
      <c r="EW265" s="340"/>
      <c r="EX265" s="340"/>
      <c r="EY265" s="340"/>
      <c r="EZ265" s="321"/>
      <c r="FA265" s="340"/>
      <c r="FB265" s="340"/>
      <c r="FC265" s="340"/>
      <c r="FD265" s="340"/>
      <c r="FE265" s="321"/>
      <c r="FF265" s="340"/>
      <c r="FG265" s="340"/>
      <c r="FH265" s="340"/>
      <c r="FI265" s="340"/>
      <c r="FJ265" s="321"/>
      <c r="FK265" s="321"/>
      <c r="FL265" s="321"/>
      <c r="FM265" s="321"/>
      <c r="FN265" s="321"/>
      <c r="FO265" s="321"/>
      <c r="FP265" s="321"/>
      <c r="FQ265" s="321"/>
      <c r="FR265" s="321"/>
      <c r="FS265" s="712"/>
      <c r="FT265" s="321"/>
      <c r="FU265" s="321"/>
      <c r="FV265" s="321"/>
      <c r="FW265" s="321"/>
      <c r="FX265" s="321"/>
      <c r="FY265" s="321"/>
      <c r="FZ265" s="321"/>
      <c r="GA265" s="321"/>
      <c r="GB265" s="321"/>
      <c r="GC265" s="321"/>
      <c r="GD265" s="321"/>
      <c r="GE265" s="321"/>
      <c r="GF265" s="321"/>
      <c r="GG265" s="321"/>
      <c r="GH265" s="321"/>
      <c r="GI265" s="321"/>
      <c r="GJ265" s="321"/>
      <c r="GK265" s="321"/>
      <c r="GL265" s="321"/>
      <c r="GM265" s="321"/>
      <c r="GN265" s="321"/>
      <c r="GO265" s="321"/>
      <c r="GP265" s="321"/>
      <c r="GQ265" s="321"/>
      <c r="GR265" s="321"/>
      <c r="GS265" s="321"/>
      <c r="GT265" s="321"/>
      <c r="GU265" s="321"/>
      <c r="GV265" s="321"/>
      <c r="GW265" s="321"/>
      <c r="GX265" s="321"/>
      <c r="GY265" s="321"/>
      <c r="GZ265" s="321"/>
      <c r="HA265" s="321"/>
      <c r="HB265" s="321"/>
      <c r="HC265" s="321"/>
      <c r="HD265" s="321"/>
      <c r="HE265" s="321"/>
      <c r="HF265" s="321"/>
      <c r="HG265" s="321"/>
      <c r="HH265" s="321"/>
      <c r="HI265" s="321"/>
      <c r="HJ265" s="321"/>
      <c r="HK265" s="321"/>
      <c r="HL265" s="321"/>
      <c r="HM265" s="321"/>
      <c r="HN265" s="321"/>
      <c r="HO265" s="344"/>
      <c r="HP265" s="563"/>
      <c r="HR265" s="563"/>
      <c r="HS265" s="563"/>
      <c r="HT265" s="563"/>
      <c r="HU265" s="563"/>
      <c r="HV265" s="563"/>
      <c r="HW265" s="563"/>
      <c r="HX265" s="563"/>
    </row>
    <row r="266" spans="1:232" s="509" customFormat="1" hidden="1" outlineLevel="1">
      <c r="A266" s="509" t="s">
        <v>490</v>
      </c>
      <c r="AO266" s="538"/>
      <c r="AT266" s="538"/>
      <c r="AY266" s="538"/>
      <c r="BD266" s="538"/>
      <c r="BI266" s="538"/>
      <c r="BN266" s="538"/>
      <c r="BS266" s="538"/>
      <c r="BX266" s="538"/>
      <c r="CC266" s="538"/>
      <c r="CH266" s="538"/>
      <c r="CM266" s="538"/>
      <c r="CV266" s="701"/>
      <c r="CW266" s="701"/>
      <c r="CX266" s="701"/>
      <c r="CY266" s="701"/>
      <c r="CZ266" s="701"/>
      <c r="DA266" s="701"/>
      <c r="DB266" s="701"/>
      <c r="DC266" s="348"/>
      <c r="DD266" s="348"/>
      <c r="DE266" s="348"/>
      <c r="DF266" s="348"/>
      <c r="DG266" s="321"/>
      <c r="DH266" s="348"/>
      <c r="DI266" s="348"/>
      <c r="DJ266" s="348"/>
      <c r="DK266" s="348"/>
      <c r="DL266" s="321"/>
      <c r="DM266" s="348"/>
      <c r="DN266" s="348"/>
      <c r="DO266" s="348"/>
      <c r="DP266" s="348"/>
      <c r="DQ266" s="321"/>
      <c r="DR266" s="348"/>
      <c r="DS266" s="348"/>
      <c r="DT266" s="348"/>
      <c r="DU266" s="348"/>
      <c r="DV266" s="321"/>
      <c r="DW266" s="348"/>
      <c r="DX266" s="348"/>
      <c r="DY266" s="348"/>
      <c r="DZ266" s="348"/>
      <c r="EA266" s="321"/>
      <c r="EB266" s="770">
        <v>88</v>
      </c>
      <c r="EC266" s="767">
        <v>88</v>
      </c>
      <c r="ED266" s="767">
        <v>88</v>
      </c>
      <c r="EE266" s="767">
        <v>88</v>
      </c>
      <c r="EF266" s="524">
        <f>(EF269/EF263)</f>
        <v>8.8000000000000009E-2</v>
      </c>
      <c r="EG266" s="767">
        <v>75</v>
      </c>
      <c r="EH266" s="767">
        <v>75</v>
      </c>
      <c r="EI266" s="767">
        <v>72</v>
      </c>
      <c r="EJ266" s="767">
        <v>72</v>
      </c>
      <c r="EK266" s="524">
        <f>(EK269/EK263)</f>
        <v>7.3333649588867802E-2</v>
      </c>
      <c r="EL266" s="767">
        <v>71</v>
      </c>
      <c r="EM266" s="767">
        <v>68</v>
      </c>
      <c r="EN266" s="767">
        <v>68</v>
      </c>
      <c r="EO266" s="767">
        <v>68</v>
      </c>
      <c r="EP266" s="524">
        <f>(EP269/EP263)</f>
        <v>6.8614141750645452E-2</v>
      </c>
      <c r="EQ266" s="767">
        <v>65</v>
      </c>
      <c r="ER266" s="767">
        <v>65</v>
      </c>
      <c r="ES266" s="767">
        <v>65</v>
      </c>
      <c r="ET266" s="767">
        <v>65</v>
      </c>
      <c r="EU266" s="524">
        <f>(EU269/EU263)</f>
        <v>6.5000000000000002E-2</v>
      </c>
      <c r="EV266" s="767"/>
      <c r="EW266" s="767"/>
      <c r="EX266" s="767"/>
      <c r="EY266" s="767"/>
      <c r="EZ266" s="524"/>
      <c r="FA266" s="767"/>
      <c r="FB266" s="767"/>
      <c r="FC266" s="767"/>
      <c r="FD266" s="767"/>
      <c r="FE266" s="524"/>
      <c r="FF266" s="767"/>
      <c r="FG266" s="767"/>
      <c r="FH266" s="767"/>
      <c r="FI266" s="767"/>
      <c r="FJ266" s="524"/>
      <c r="FK266" s="524"/>
      <c r="FL266" s="524"/>
      <c r="FM266" s="524"/>
      <c r="FN266" s="524"/>
      <c r="FO266" s="524"/>
      <c r="FP266" s="524"/>
      <c r="FQ266" s="524"/>
      <c r="FR266" s="524"/>
      <c r="FS266" s="524"/>
      <c r="FT266" s="524"/>
      <c r="FU266" s="524"/>
      <c r="FV266" s="524"/>
      <c r="FW266" s="524"/>
      <c r="FX266" s="524"/>
      <c r="FY266" s="524"/>
      <c r="FZ266" s="524"/>
      <c r="GA266" s="524"/>
      <c r="GB266" s="524"/>
      <c r="GC266" s="524"/>
      <c r="GD266" s="524"/>
      <c r="GE266" s="524"/>
      <c r="GF266" s="524"/>
      <c r="GG266" s="524"/>
      <c r="GH266" s="524"/>
      <c r="GI266" s="524"/>
      <c r="GJ266" s="524"/>
      <c r="GK266" s="524"/>
      <c r="GL266" s="524"/>
      <c r="GM266" s="524"/>
      <c r="GN266" s="524"/>
      <c r="GO266" s="524"/>
      <c r="GP266" s="524"/>
      <c r="GQ266" s="524"/>
      <c r="GR266" s="524"/>
      <c r="GS266" s="524"/>
      <c r="GT266" s="524"/>
      <c r="GU266" s="524"/>
      <c r="GV266" s="524"/>
      <c r="GW266" s="524"/>
      <c r="GX266" s="524"/>
      <c r="GY266" s="524"/>
      <c r="GZ266" s="524"/>
      <c r="HA266" s="524"/>
      <c r="HB266" s="524"/>
      <c r="HC266" s="524"/>
      <c r="HD266" s="524"/>
      <c r="HE266" s="524"/>
      <c r="HF266" s="524"/>
      <c r="HG266" s="524"/>
      <c r="HH266" s="524"/>
      <c r="HI266" s="524"/>
      <c r="HJ266" s="524"/>
      <c r="HK266" s="524"/>
      <c r="HL266" s="524"/>
      <c r="HM266" s="524"/>
      <c r="HN266" s="524"/>
      <c r="HO266" s="524"/>
      <c r="HP266" s="563"/>
      <c r="HR266" s="563"/>
      <c r="HS266" s="563"/>
      <c r="HT266" s="563"/>
      <c r="HU266" s="563"/>
      <c r="HV266" s="563"/>
      <c r="HW266" s="563"/>
      <c r="HX266" s="563"/>
    </row>
    <row r="267" spans="1:232" s="509" customFormat="1" hidden="1" outlineLevel="1">
      <c r="A267" s="509" t="s">
        <v>488</v>
      </c>
      <c r="AO267" s="538"/>
      <c r="AT267" s="538"/>
      <c r="AY267" s="538"/>
      <c r="BD267" s="538"/>
      <c r="BI267" s="538"/>
      <c r="BN267" s="538"/>
      <c r="BS267" s="538"/>
      <c r="BX267" s="538"/>
      <c r="CC267" s="538"/>
      <c r="CH267" s="538"/>
      <c r="CM267" s="538"/>
      <c r="CV267" s="701"/>
      <c r="CW267" s="701"/>
      <c r="CX267" s="701"/>
      <c r="CY267" s="701"/>
      <c r="CZ267" s="701"/>
      <c r="DA267" s="701"/>
      <c r="DB267" s="701"/>
      <c r="DC267" s="348"/>
      <c r="DD267" s="348"/>
      <c r="DE267" s="348"/>
      <c r="DF267" s="348"/>
      <c r="DG267" s="321"/>
      <c r="DH267" s="348"/>
      <c r="DI267" s="348"/>
      <c r="DJ267" s="348"/>
      <c r="DK267" s="348"/>
      <c r="DL267" s="321"/>
      <c r="DM267" s="348"/>
      <c r="DN267" s="348"/>
      <c r="DO267" s="348"/>
      <c r="DP267" s="348"/>
      <c r="DQ267" s="321"/>
      <c r="DR267" s="348"/>
      <c r="DS267" s="348"/>
      <c r="DT267" s="348"/>
      <c r="DU267" s="348"/>
      <c r="DV267" s="321"/>
      <c r="DW267" s="348"/>
      <c r="DX267" s="348"/>
      <c r="DY267" s="348"/>
      <c r="DZ267" s="348"/>
      <c r="EA267" s="321"/>
      <c r="EB267" s="769" t="s">
        <v>199</v>
      </c>
      <c r="EC267" s="701" t="s">
        <v>199</v>
      </c>
      <c r="ED267" s="701" t="s">
        <v>199</v>
      </c>
      <c r="EE267" s="701" t="s">
        <v>199</v>
      </c>
      <c r="EF267" s="648" t="s">
        <v>199</v>
      </c>
      <c r="EG267" s="348">
        <f>(EG266/EE266)-1</f>
        <v>-0.14772727272727271</v>
      </c>
      <c r="EH267" s="348">
        <f>(EH266/EG266)-1</f>
        <v>0</v>
      </c>
      <c r="EI267" s="294">
        <f>(EI266/EH266)-1</f>
        <v>-4.0000000000000036E-2</v>
      </c>
      <c r="EJ267" s="348">
        <v>0.05</v>
      </c>
      <c r="EK267" s="648" t="s">
        <v>199</v>
      </c>
      <c r="EL267" s="348">
        <f>(EL266/EJ266)-1</f>
        <v>-1.388888888888884E-2</v>
      </c>
      <c r="EM267" s="348">
        <f>(EM266/EL266)-1</f>
        <v>-4.2253521126760618E-2</v>
      </c>
      <c r="EN267" s="348">
        <f>(EN266/EM266)-1</f>
        <v>0</v>
      </c>
      <c r="EO267" s="348">
        <v>0.05</v>
      </c>
      <c r="EP267" s="648" t="s">
        <v>199</v>
      </c>
      <c r="EQ267" s="348">
        <f>(EQ266/EO266)-1</f>
        <v>-4.4117647058823484E-2</v>
      </c>
      <c r="ER267" s="348">
        <f>(ER266/EQ266)-1</f>
        <v>0</v>
      </c>
      <c r="ES267" s="348">
        <f>(ES266/ER266)-1</f>
        <v>0</v>
      </c>
      <c r="ET267" s="348">
        <v>0.05</v>
      </c>
      <c r="EU267" s="648" t="s">
        <v>199</v>
      </c>
      <c r="EV267" s="348"/>
      <c r="EW267" s="348"/>
      <c r="EX267" s="348"/>
      <c r="EY267" s="348"/>
      <c r="EZ267" s="648"/>
      <c r="FA267" s="348"/>
      <c r="FB267" s="348"/>
      <c r="FC267" s="348"/>
      <c r="FD267" s="348"/>
      <c r="FE267" s="648"/>
      <c r="FF267" s="348"/>
      <c r="FG267" s="348"/>
      <c r="FH267" s="348"/>
      <c r="FI267" s="348"/>
      <c r="FJ267" s="648"/>
      <c r="FK267" s="648"/>
      <c r="FL267" s="648"/>
      <c r="FM267" s="648"/>
      <c r="FN267" s="648"/>
      <c r="FO267" s="648"/>
      <c r="FP267" s="648"/>
      <c r="FQ267" s="648"/>
      <c r="FR267" s="648"/>
      <c r="FS267" s="648"/>
      <c r="FT267" s="648"/>
      <c r="FU267" s="648"/>
      <c r="FV267" s="648"/>
      <c r="FW267" s="648"/>
      <c r="FX267" s="648"/>
      <c r="FY267" s="648"/>
      <c r="FZ267" s="648"/>
      <c r="GA267" s="648"/>
      <c r="GB267" s="648"/>
      <c r="GC267" s="648"/>
      <c r="GD267" s="648"/>
      <c r="GE267" s="648"/>
      <c r="GF267" s="648"/>
      <c r="GG267" s="648"/>
      <c r="GH267" s="648"/>
      <c r="GI267" s="648"/>
      <c r="GJ267" s="648"/>
      <c r="GK267" s="648"/>
      <c r="GL267" s="648"/>
      <c r="GM267" s="648"/>
      <c r="GN267" s="648"/>
      <c r="GO267" s="648"/>
      <c r="GP267" s="648"/>
      <c r="GQ267" s="648"/>
      <c r="GR267" s="648"/>
      <c r="GS267" s="648"/>
      <c r="GT267" s="648"/>
      <c r="GU267" s="648"/>
      <c r="GV267" s="648"/>
      <c r="GW267" s="648"/>
      <c r="GX267" s="648"/>
      <c r="GY267" s="648"/>
      <c r="GZ267" s="648"/>
      <c r="HA267" s="648"/>
      <c r="HB267" s="648"/>
      <c r="HC267" s="648"/>
      <c r="HD267" s="648"/>
      <c r="HE267" s="648"/>
      <c r="HF267" s="648"/>
      <c r="HG267" s="648"/>
      <c r="HH267" s="648"/>
      <c r="HI267" s="648"/>
      <c r="HJ267" s="648"/>
      <c r="HK267" s="648"/>
      <c r="HL267" s="648"/>
      <c r="HM267" s="648"/>
      <c r="HN267" s="648"/>
      <c r="HO267" s="648"/>
      <c r="HP267" s="563"/>
      <c r="HR267" s="563"/>
      <c r="HS267" s="563"/>
      <c r="HT267" s="563"/>
      <c r="HU267" s="563"/>
      <c r="HV267" s="563"/>
      <c r="HW267" s="563"/>
      <c r="HX267" s="563"/>
    </row>
    <row r="268" spans="1:232" s="509" customFormat="1" hidden="1" outlineLevel="1">
      <c r="A268" s="509" t="s">
        <v>489</v>
      </c>
      <c r="AO268" s="538"/>
      <c r="AT268" s="538"/>
      <c r="AY268" s="538"/>
      <c r="BD268" s="538"/>
      <c r="BI268" s="538"/>
      <c r="BN268" s="538"/>
      <c r="BS268" s="538"/>
      <c r="BX268" s="538"/>
      <c r="CC268" s="538"/>
      <c r="CH268" s="538"/>
      <c r="CM268" s="538"/>
      <c r="CV268" s="701"/>
      <c r="CW268" s="701"/>
      <c r="CX268" s="701"/>
      <c r="CY268" s="701"/>
      <c r="CZ268" s="701"/>
      <c r="DA268" s="701"/>
      <c r="DB268" s="701"/>
      <c r="DC268" s="348"/>
      <c r="DD268" s="348"/>
      <c r="DE268" s="348"/>
      <c r="DF268" s="348"/>
      <c r="DG268" s="321"/>
      <c r="DH268" s="348"/>
      <c r="DI268" s="348"/>
      <c r="DJ268" s="348"/>
      <c r="DK268" s="348"/>
      <c r="DL268" s="321"/>
      <c r="DM268" s="348"/>
      <c r="DN268" s="348"/>
      <c r="DO268" s="348"/>
      <c r="DP268" s="348"/>
      <c r="DQ268" s="321"/>
      <c r="DR268" s="348"/>
      <c r="DS268" s="348"/>
      <c r="DT268" s="348"/>
      <c r="DU268" s="348"/>
      <c r="DV268" s="321"/>
      <c r="DW268" s="348"/>
      <c r="DX268" s="348"/>
      <c r="DY268" s="348"/>
      <c r="DZ268" s="348"/>
      <c r="EA268" s="321"/>
      <c r="EB268" s="769" t="s">
        <v>199</v>
      </c>
      <c r="EC268" s="701" t="s">
        <v>199</v>
      </c>
      <c r="ED268" s="701" t="s">
        <v>199</v>
      </c>
      <c r="EE268" s="701" t="s">
        <v>199</v>
      </c>
      <c r="EF268" s="701" t="s">
        <v>199</v>
      </c>
      <c r="EG268" s="701" t="s">
        <v>199</v>
      </c>
      <c r="EH268" s="701" t="s">
        <v>199</v>
      </c>
      <c r="EI268" s="701" t="s">
        <v>199</v>
      </c>
      <c r="EJ268" s="340">
        <f>(EJ266/EE266)-1</f>
        <v>-0.18181818181818177</v>
      </c>
      <c r="EK268" s="321">
        <f>(EK266/EF266)-1</f>
        <v>-0.16666307285377502</v>
      </c>
      <c r="EL268" s="701" t="s">
        <v>199</v>
      </c>
      <c r="EM268" s="701" t="s">
        <v>199</v>
      </c>
      <c r="EN268" s="701" t="s">
        <v>199</v>
      </c>
      <c r="EO268" s="340">
        <f>(EO266/EJ266)-1</f>
        <v>-5.555555555555558E-2</v>
      </c>
      <c r="EP268" s="321">
        <f>(EP266/EK266)-1</f>
        <v>-6.4356647523769017E-2</v>
      </c>
      <c r="EQ268" s="701" t="s">
        <v>199</v>
      </c>
      <c r="ER268" s="701" t="s">
        <v>199</v>
      </c>
      <c r="ES268" s="701" t="s">
        <v>199</v>
      </c>
      <c r="ET268" s="340">
        <f>(ET266/EO266)-1</f>
        <v>-4.4117647058823484E-2</v>
      </c>
      <c r="EU268" s="321">
        <f>(EU266/EP266)-1</f>
        <v>-5.2673423560113952E-2</v>
      </c>
      <c r="EV268" s="701"/>
      <c r="EW268" s="701"/>
      <c r="EX268" s="701"/>
      <c r="EY268" s="340"/>
      <c r="EZ268" s="321"/>
      <c r="FA268" s="701"/>
      <c r="FB268" s="701"/>
      <c r="FC268" s="701"/>
      <c r="FD268" s="340"/>
      <c r="FE268" s="321"/>
      <c r="FF268" s="701"/>
      <c r="FG268" s="701"/>
      <c r="FH268" s="701"/>
      <c r="FI268" s="340"/>
      <c r="FJ268" s="321"/>
      <c r="FK268" s="321"/>
      <c r="FL268" s="321"/>
      <c r="FM268" s="321"/>
      <c r="FN268" s="321"/>
      <c r="FO268" s="321"/>
      <c r="FP268" s="321"/>
      <c r="FQ268" s="321"/>
      <c r="FR268" s="321"/>
      <c r="FS268" s="712"/>
      <c r="FT268" s="321"/>
      <c r="FU268" s="321"/>
      <c r="FV268" s="321"/>
      <c r="FW268" s="321"/>
      <c r="FX268" s="321"/>
      <c r="FY268" s="321"/>
      <c r="FZ268" s="321"/>
      <c r="GA268" s="321"/>
      <c r="GB268" s="321"/>
      <c r="GC268" s="321"/>
      <c r="GD268" s="321"/>
      <c r="GE268" s="321"/>
      <c r="GF268" s="321"/>
      <c r="GG268" s="321"/>
      <c r="GH268" s="321"/>
      <c r="GI268" s="321"/>
      <c r="GJ268" s="321"/>
      <c r="GK268" s="321"/>
      <c r="GL268" s="321"/>
      <c r="GM268" s="321"/>
      <c r="GN268" s="321"/>
      <c r="GO268" s="321"/>
      <c r="GP268" s="321"/>
      <c r="GQ268" s="321"/>
      <c r="GR268" s="321"/>
      <c r="GS268" s="321"/>
      <c r="GT268" s="321"/>
      <c r="GU268" s="321"/>
      <c r="GV268" s="321"/>
      <c r="GW268" s="321"/>
      <c r="GX268" s="321"/>
      <c r="GY268" s="321"/>
      <c r="GZ268" s="321"/>
      <c r="HA268" s="321"/>
      <c r="HB268" s="321"/>
      <c r="HC268" s="321"/>
      <c r="HD268" s="321"/>
      <c r="HE268" s="321"/>
      <c r="HF268" s="321"/>
      <c r="HG268" s="321"/>
      <c r="HH268" s="321"/>
      <c r="HI268" s="321"/>
      <c r="HJ268" s="321"/>
      <c r="HK268" s="321"/>
      <c r="HL268" s="321"/>
      <c r="HM268" s="321"/>
      <c r="HN268" s="321"/>
      <c r="HO268" s="344"/>
      <c r="HP268" s="563"/>
      <c r="HR268" s="563"/>
      <c r="HS268" s="563"/>
      <c r="HT268" s="563"/>
      <c r="HU268" s="563"/>
      <c r="HV268" s="563"/>
      <c r="HW268" s="563"/>
      <c r="HX268" s="563"/>
    </row>
    <row r="269" spans="1:232" s="509" customFormat="1" hidden="1" outlineLevel="1">
      <c r="A269" s="538" t="s">
        <v>515</v>
      </c>
      <c r="AO269" s="538"/>
      <c r="AT269" s="538"/>
      <c r="AY269" s="538"/>
      <c r="BD269" s="538"/>
      <c r="BI269" s="538"/>
      <c r="BN269" s="538"/>
      <c r="BS269" s="538"/>
      <c r="BX269" s="538"/>
      <c r="CC269" s="538"/>
      <c r="CH269" s="538"/>
      <c r="CM269" s="538"/>
      <c r="CV269" s="701"/>
      <c r="CW269" s="701"/>
      <c r="CX269" s="701"/>
      <c r="CY269" s="701"/>
      <c r="CZ269" s="701"/>
      <c r="DA269" s="701"/>
      <c r="DB269" s="701"/>
      <c r="DC269" s="348"/>
      <c r="DD269" s="348"/>
      <c r="DE269" s="348"/>
      <c r="DF269" s="348"/>
      <c r="DG269" s="321"/>
      <c r="DH269" s="348"/>
      <c r="DI269" s="348"/>
      <c r="DJ269" s="348"/>
      <c r="DK269" s="348"/>
      <c r="DL269" s="321"/>
      <c r="DM269" s="348"/>
      <c r="DN269" s="348"/>
      <c r="DO269" s="348"/>
      <c r="DP269" s="348"/>
      <c r="DQ269" s="321"/>
      <c r="DR269" s="348"/>
      <c r="DS269" s="348"/>
      <c r="DT269" s="348"/>
      <c r="DU269" s="348"/>
      <c r="DV269" s="321"/>
      <c r="DW269" s="348"/>
      <c r="DX269" s="348"/>
      <c r="DY269" s="348"/>
      <c r="DZ269" s="348"/>
      <c r="EA269" s="321"/>
      <c r="EB269" s="771">
        <f>EB263*EB266/1000</f>
        <v>-1.7600000000000001E-2</v>
      </c>
      <c r="EC269" s="670">
        <f>EC263*EC266/1000</f>
        <v>-1.7600000000000001E-2</v>
      </c>
      <c r="ED269" s="670">
        <f>ED263*ED266/1000</f>
        <v>136.136</v>
      </c>
      <c r="EE269" s="670">
        <f>EE263*EE266/1000</f>
        <v>174.06399999999999</v>
      </c>
      <c r="EF269" s="542">
        <f>SUM(EB269:EE269)</f>
        <v>310.16480000000001</v>
      </c>
      <c r="EG269" s="670">
        <f>EG263*EG266/1000</f>
        <v>128.02500000000001</v>
      </c>
      <c r="EH269" s="670">
        <f>EH263*EH266/1000</f>
        <v>188.25</v>
      </c>
      <c r="EI269" s="670">
        <f>EI263*EI266/1000</f>
        <v>187.2</v>
      </c>
      <c r="EJ269" s="670">
        <f>EJ263*EJ266/1000</f>
        <v>192.16800000000001</v>
      </c>
      <c r="EK269" s="542">
        <f>SUM(EG269:EJ269)</f>
        <v>695.64300000000003</v>
      </c>
      <c r="EL269" s="670">
        <f>EL263*EL266/1000</f>
        <v>174.518</v>
      </c>
      <c r="EM269" s="670">
        <f>EM263*EM266/1000</f>
        <v>204.68</v>
      </c>
      <c r="EN269" s="670">
        <f>EN263*EN266/1000</f>
        <v>247.452</v>
      </c>
      <c r="EO269" s="670">
        <f>EO263*EO266/1000</f>
        <v>197.2</v>
      </c>
      <c r="EP269" s="542">
        <f>SUM(EL269:EO269)</f>
        <v>823.84999999999991</v>
      </c>
      <c r="EQ269" s="670">
        <f>EQ263*EQ266/1000</f>
        <v>169</v>
      </c>
      <c r="ER269" s="670">
        <f>ER263*ER266/1000</f>
        <v>178.75</v>
      </c>
      <c r="ES269" s="670">
        <f>ES263*ES266/1000</f>
        <v>191.75</v>
      </c>
      <c r="ET269" s="670">
        <f>ET263*ET266/1000</f>
        <v>172.25</v>
      </c>
      <c r="EU269" s="542">
        <f>SUM(EQ269:ET269)</f>
        <v>711.75</v>
      </c>
      <c r="EV269" s="668"/>
      <c r="EW269" s="668"/>
      <c r="EX269" s="668"/>
      <c r="EY269" s="668"/>
      <c r="EZ269" s="668"/>
      <c r="FA269" s="668"/>
      <c r="FB269" s="668"/>
      <c r="FC269" s="668"/>
      <c r="FD269" s="668"/>
      <c r="FE269" s="668"/>
      <c r="FF269" s="668"/>
      <c r="FG269" s="668"/>
      <c r="FH269" s="668"/>
      <c r="FI269" s="668"/>
      <c r="FJ269" s="668"/>
      <c r="FK269" s="668"/>
      <c r="FL269" s="668"/>
      <c r="FM269" s="668"/>
      <c r="FN269" s="668"/>
      <c r="FO269" s="668"/>
      <c r="FP269" s="668"/>
      <c r="FQ269" s="668"/>
      <c r="FR269" s="668"/>
      <c r="FS269" s="668"/>
      <c r="FT269" s="668"/>
      <c r="FU269" s="668"/>
      <c r="FV269" s="668"/>
      <c r="FW269" s="668"/>
      <c r="FX269" s="668"/>
      <c r="FY269" s="668"/>
      <c r="FZ269" s="668"/>
      <c r="GA269" s="668"/>
      <c r="GB269" s="668"/>
      <c r="GC269" s="668"/>
      <c r="GD269" s="668"/>
      <c r="GE269" s="668"/>
      <c r="GF269" s="668"/>
      <c r="GG269" s="668"/>
      <c r="GH269" s="668"/>
      <c r="GI269" s="668"/>
      <c r="GJ269" s="668"/>
      <c r="GK269" s="668"/>
      <c r="GL269" s="668"/>
      <c r="GM269" s="668"/>
      <c r="GN269" s="668"/>
      <c r="GO269" s="668"/>
      <c r="GP269" s="668"/>
      <c r="GQ269" s="668"/>
      <c r="GR269" s="668"/>
      <c r="GS269" s="668"/>
      <c r="GT269" s="668"/>
      <c r="GU269" s="668"/>
      <c r="GV269" s="668"/>
      <c r="GW269" s="668"/>
      <c r="GX269" s="668"/>
      <c r="GY269" s="668"/>
      <c r="GZ269" s="668"/>
      <c r="HA269" s="668"/>
      <c r="HB269" s="668"/>
      <c r="HC269" s="668"/>
      <c r="HD269" s="668"/>
      <c r="HE269" s="668"/>
      <c r="HF269" s="668"/>
      <c r="HG269" s="668"/>
      <c r="HH269" s="668"/>
      <c r="HI269" s="668"/>
      <c r="HJ269" s="668"/>
      <c r="HK269" s="668"/>
      <c r="HL269" s="668"/>
      <c r="HM269" s="668"/>
      <c r="HN269" s="668"/>
      <c r="HO269" s="542"/>
      <c r="HP269" s="563"/>
      <c r="HR269" s="563"/>
      <c r="HS269" s="563"/>
      <c r="HT269" s="563"/>
      <c r="HU269" s="563"/>
      <c r="HV269" s="563"/>
      <c r="HW269" s="563"/>
      <c r="HX269" s="563"/>
    </row>
    <row r="270" spans="1:232" s="509" customFormat="1" hidden="1" outlineLevel="1">
      <c r="A270" s="538"/>
      <c r="AO270" s="538"/>
      <c r="AT270" s="538"/>
      <c r="AY270" s="538"/>
      <c r="BD270" s="538"/>
      <c r="BI270" s="538"/>
      <c r="BN270" s="538"/>
      <c r="BS270" s="538"/>
      <c r="BX270" s="538"/>
      <c r="CC270" s="538"/>
      <c r="CH270" s="538"/>
      <c r="CM270" s="538"/>
      <c r="CV270" s="701"/>
      <c r="CW270" s="701"/>
      <c r="CX270" s="701"/>
      <c r="CY270" s="701"/>
      <c r="CZ270" s="701"/>
      <c r="DA270" s="701"/>
      <c r="DB270" s="701"/>
      <c r="DC270" s="348"/>
      <c r="DD270" s="348"/>
      <c r="DE270" s="348"/>
      <c r="DF270" s="348"/>
      <c r="DG270" s="321"/>
      <c r="DH270" s="348"/>
      <c r="DI270" s="348"/>
      <c r="DJ270" s="348"/>
      <c r="DK270" s="348"/>
      <c r="DL270" s="321"/>
      <c r="DM270" s="348"/>
      <c r="DN270" s="348"/>
      <c r="DO270" s="348"/>
      <c r="DP270" s="348"/>
      <c r="DQ270" s="321"/>
      <c r="DR270" s="348"/>
      <c r="DS270" s="348"/>
      <c r="DT270" s="348"/>
      <c r="DU270" s="348"/>
      <c r="DV270" s="321"/>
      <c r="DW270" s="348"/>
      <c r="DX270" s="348"/>
      <c r="DY270" s="348"/>
      <c r="DZ270" s="348"/>
      <c r="EA270" s="321"/>
      <c r="EB270" s="774"/>
      <c r="EC270" s="348"/>
      <c r="ED270" s="348"/>
      <c r="EE270" s="348"/>
      <c r="EF270" s="321"/>
      <c r="EG270" s="348"/>
      <c r="EH270" s="348"/>
      <c r="EI270" s="294"/>
      <c r="EJ270" s="348"/>
      <c r="EK270" s="321"/>
      <c r="EL270" s="348"/>
      <c r="EM270" s="348"/>
      <c r="EN270" s="348"/>
      <c r="EO270" s="348"/>
      <c r="EP270" s="321"/>
      <c r="EQ270" s="348"/>
      <c r="ER270" s="348"/>
      <c r="ES270" s="348"/>
      <c r="ET270" s="348"/>
      <c r="EU270" s="321"/>
      <c r="EV270" s="668"/>
      <c r="EW270" s="668"/>
      <c r="EX270" s="668"/>
      <c r="EY270" s="668"/>
      <c r="EZ270" s="668"/>
      <c r="FA270" s="668"/>
      <c r="FB270" s="668"/>
      <c r="FC270" s="668"/>
      <c r="FD270" s="668"/>
      <c r="FE270" s="668"/>
      <c r="FF270" s="668"/>
      <c r="FG270" s="668"/>
      <c r="FH270" s="668"/>
      <c r="FI270" s="668"/>
      <c r="FJ270" s="668"/>
      <c r="FK270" s="668"/>
      <c r="FL270" s="668"/>
      <c r="FM270" s="668"/>
      <c r="FN270" s="668"/>
      <c r="FO270" s="668"/>
      <c r="FP270" s="668"/>
      <c r="FQ270" s="668"/>
      <c r="FR270" s="668"/>
      <c r="FS270" s="668"/>
      <c r="FT270" s="668"/>
      <c r="FU270" s="668"/>
      <c r="FV270" s="668"/>
      <c r="FW270" s="668"/>
      <c r="FX270" s="668"/>
      <c r="FY270" s="668"/>
      <c r="FZ270" s="668"/>
      <c r="GA270" s="668"/>
      <c r="GB270" s="668"/>
      <c r="GC270" s="668"/>
      <c r="GD270" s="668"/>
      <c r="GE270" s="668"/>
      <c r="GF270" s="668"/>
      <c r="GG270" s="668"/>
      <c r="GH270" s="668"/>
      <c r="GI270" s="668"/>
      <c r="GJ270" s="668"/>
      <c r="GK270" s="668"/>
      <c r="GL270" s="668"/>
      <c r="GM270" s="668"/>
      <c r="GN270" s="668"/>
      <c r="GO270" s="668"/>
      <c r="GP270" s="668"/>
      <c r="GQ270" s="668"/>
      <c r="GR270" s="668"/>
      <c r="GS270" s="668"/>
      <c r="GT270" s="668"/>
      <c r="GU270" s="668"/>
      <c r="GV270" s="668"/>
      <c r="GW270" s="668"/>
      <c r="GX270" s="668"/>
      <c r="GY270" s="668"/>
      <c r="GZ270" s="668"/>
      <c r="HA270" s="668"/>
      <c r="HB270" s="668"/>
      <c r="HC270" s="668"/>
      <c r="HD270" s="668"/>
      <c r="HE270" s="668"/>
      <c r="HF270" s="668"/>
      <c r="HG270" s="668"/>
      <c r="HH270" s="668"/>
      <c r="HI270" s="668"/>
      <c r="HJ270" s="668"/>
      <c r="HK270" s="668"/>
      <c r="HL270" s="668"/>
      <c r="HM270" s="668"/>
      <c r="HN270" s="668"/>
      <c r="HO270" s="344"/>
      <c r="HP270" s="563"/>
      <c r="HR270" s="563"/>
      <c r="HS270" s="563"/>
      <c r="HT270" s="563"/>
      <c r="HU270" s="563"/>
      <c r="HV270" s="563"/>
      <c r="HW270" s="563"/>
      <c r="HX270" s="563"/>
    </row>
    <row r="271" spans="1:232" s="509" customFormat="1" ht="15" hidden="1" customHeight="1" outlineLevel="1">
      <c r="A271" s="775" t="s">
        <v>516</v>
      </c>
      <c r="B271" s="776"/>
      <c r="C271" s="776"/>
      <c r="D271" s="776"/>
      <c r="E271" s="776"/>
      <c r="F271" s="776"/>
      <c r="G271" s="776"/>
      <c r="H271" s="776"/>
      <c r="I271" s="776"/>
      <c r="J271" s="776"/>
      <c r="K271" s="776"/>
      <c r="L271" s="776"/>
      <c r="M271" s="776"/>
      <c r="N271" s="776"/>
      <c r="O271" s="776"/>
      <c r="P271" s="776"/>
      <c r="Q271" s="776"/>
      <c r="R271" s="776"/>
      <c r="S271" s="776"/>
      <c r="T271" s="776"/>
      <c r="U271" s="776"/>
      <c r="V271" s="776"/>
      <c r="W271" s="776"/>
      <c r="X271" s="776"/>
      <c r="Y271" s="776"/>
      <c r="Z271" s="776"/>
      <c r="AA271" s="776"/>
      <c r="AB271" s="776"/>
      <c r="AC271" s="776"/>
      <c r="AD271" s="776"/>
      <c r="AE271" s="776"/>
      <c r="AF271" s="776"/>
      <c r="AG271" s="776"/>
      <c r="AH271" s="776"/>
      <c r="AI271" s="776"/>
      <c r="AJ271" s="776"/>
      <c r="AK271" s="776"/>
      <c r="AL271" s="776"/>
      <c r="AM271" s="776"/>
      <c r="AN271" s="776"/>
      <c r="AO271" s="775"/>
      <c r="AP271" s="776"/>
      <c r="AQ271" s="776"/>
      <c r="AR271" s="776"/>
      <c r="AS271" s="776"/>
      <c r="AT271" s="775"/>
      <c r="AU271" s="776"/>
      <c r="AV271" s="776"/>
      <c r="AW271" s="776"/>
      <c r="AX271" s="776"/>
      <c r="AY271" s="775"/>
      <c r="AZ271" s="776"/>
      <c r="BA271" s="776"/>
      <c r="BB271" s="776"/>
      <c r="BC271" s="776"/>
      <c r="BD271" s="775"/>
      <c r="BE271" s="776"/>
      <c r="BF271" s="776"/>
      <c r="BG271" s="776"/>
      <c r="BH271" s="776"/>
      <c r="BI271" s="775"/>
      <c r="BJ271" s="776"/>
      <c r="BK271" s="776"/>
      <c r="BL271" s="776"/>
      <c r="BM271" s="776"/>
      <c r="BN271" s="775"/>
      <c r="BO271" s="776"/>
      <c r="BP271" s="776"/>
      <c r="BQ271" s="776"/>
      <c r="BR271" s="776"/>
      <c r="BS271" s="775"/>
      <c r="BT271" s="776"/>
      <c r="BU271" s="776"/>
      <c r="BV271" s="776"/>
      <c r="BW271" s="776"/>
      <c r="BX271" s="775"/>
      <c r="BY271" s="776"/>
      <c r="BZ271" s="776"/>
      <c r="CA271" s="776"/>
      <c r="CB271" s="776"/>
      <c r="CC271" s="775"/>
      <c r="CD271" s="776"/>
      <c r="CE271" s="776"/>
      <c r="CF271" s="776"/>
      <c r="CG271" s="776"/>
      <c r="CH271" s="775"/>
      <c r="CI271" s="776"/>
      <c r="CJ271" s="776"/>
      <c r="CK271" s="776"/>
      <c r="CL271" s="776"/>
      <c r="CM271" s="775"/>
      <c r="CN271" s="776"/>
      <c r="CO271" s="776"/>
      <c r="CP271" s="776"/>
      <c r="CQ271" s="776"/>
      <c r="CR271" s="776"/>
      <c r="CS271" s="776"/>
      <c r="CT271" s="776"/>
      <c r="CU271" s="776"/>
      <c r="CV271" s="777"/>
      <c r="CW271" s="777"/>
      <c r="CX271" s="777"/>
      <c r="CY271" s="777"/>
      <c r="CZ271" s="777"/>
      <c r="DA271" s="777"/>
      <c r="DB271" s="777"/>
      <c r="DC271" s="778"/>
      <c r="DD271" s="778"/>
      <c r="DE271" s="778"/>
      <c r="DF271" s="778"/>
      <c r="DG271" s="779"/>
      <c r="DH271" s="778"/>
      <c r="DI271" s="778"/>
      <c r="DJ271" s="778"/>
      <c r="DK271" s="778"/>
      <c r="DL271" s="779"/>
      <c r="DM271" s="778"/>
      <c r="DN271" s="778"/>
      <c r="DO271" s="778"/>
      <c r="DP271" s="778"/>
      <c r="DQ271" s="779"/>
      <c r="DR271" s="778"/>
      <c r="DS271" s="778"/>
      <c r="DT271" s="778"/>
      <c r="DU271" s="778"/>
      <c r="DV271" s="779"/>
      <c r="DW271" s="778"/>
      <c r="DX271" s="778"/>
      <c r="DY271" s="778"/>
      <c r="DZ271" s="778"/>
      <c r="EA271" s="779"/>
      <c r="EB271" s="780">
        <f>SUM(EB269, EB262)</f>
        <v>0</v>
      </c>
      <c r="EC271" s="781">
        <f>SUM(EC269, EC262)</f>
        <v>0</v>
      </c>
      <c r="ED271" s="781">
        <f>SUM(ED269, ED262)</f>
        <v>364.93600000000004</v>
      </c>
      <c r="EE271" s="781">
        <f>SUM(EE269, EE262)</f>
        <v>468.86400000000003</v>
      </c>
      <c r="EF271" s="782">
        <f>SUM(EB271:EE271)</f>
        <v>833.80000000000007</v>
      </c>
      <c r="EG271" s="781">
        <f>SUM(EG269, EG262)</f>
        <v>330.52499999999998</v>
      </c>
      <c r="EH271" s="781">
        <f>SUM(EH269, EH262)</f>
        <v>462</v>
      </c>
      <c r="EI271" s="781">
        <f>SUM(EI269, EI262)</f>
        <v>475.2</v>
      </c>
      <c r="EJ271" s="781">
        <f>SUM(EJ269, EJ262)</f>
        <v>440.56799999999998</v>
      </c>
      <c r="EK271" s="782">
        <f>SUM(EG271:EJ271)</f>
        <v>1708.2929999999999</v>
      </c>
      <c r="EL271" s="781">
        <f>SUM(EL269, EL262)</f>
        <v>383.96799999999996</v>
      </c>
      <c r="EM271" s="781">
        <f>SUM(EM269, EM262)</f>
        <v>449.48</v>
      </c>
      <c r="EN271" s="781">
        <f>SUM(EN269, EN262)</f>
        <v>519.452</v>
      </c>
      <c r="EO271" s="781">
        <f>SUM(EO269, EO262)</f>
        <v>428.4</v>
      </c>
      <c r="EP271" s="782">
        <f>SUM(EL271:EO271)</f>
        <v>1781.3000000000002</v>
      </c>
      <c r="EQ271" s="781">
        <f>SUM(EQ269, EQ262)</f>
        <v>367.25</v>
      </c>
      <c r="ER271" s="781">
        <f>SUM(ER269, ER262)</f>
        <v>390</v>
      </c>
      <c r="ES271" s="781">
        <f>SUM(ES269, ES262)</f>
        <v>412.75</v>
      </c>
      <c r="ET271" s="781">
        <f>SUM(ET269, ET262)</f>
        <v>367.25</v>
      </c>
      <c r="EU271" s="782">
        <f>SUM(EQ271:ET271)</f>
        <v>1537.25</v>
      </c>
      <c r="EV271" s="668"/>
      <c r="EW271" s="668"/>
      <c r="EX271" s="668"/>
      <c r="EY271" s="668"/>
      <c r="EZ271" s="668"/>
      <c r="FA271" s="668"/>
      <c r="FB271" s="668"/>
      <c r="FC271" s="668"/>
      <c r="FD271" s="668"/>
      <c r="FE271" s="668"/>
      <c r="FF271" s="668"/>
      <c r="FG271" s="668"/>
      <c r="FH271" s="668"/>
      <c r="FI271" s="668"/>
      <c r="FJ271" s="668"/>
      <c r="FK271" s="668"/>
      <c r="FL271" s="668"/>
      <c r="FM271" s="668"/>
      <c r="FN271" s="668"/>
      <c r="FO271" s="668"/>
      <c r="FP271" s="668"/>
      <c r="FQ271" s="668"/>
      <c r="FR271" s="668"/>
      <c r="FS271" s="668"/>
      <c r="FT271" s="668"/>
      <c r="FU271" s="668"/>
      <c r="FV271" s="668"/>
      <c r="FW271" s="668"/>
      <c r="FX271" s="668"/>
      <c r="FY271" s="668"/>
      <c r="FZ271" s="668"/>
      <c r="GA271" s="668"/>
      <c r="GB271" s="668"/>
      <c r="GC271" s="668"/>
      <c r="GD271" s="668"/>
      <c r="GE271" s="668"/>
      <c r="GF271" s="668"/>
      <c r="GG271" s="668"/>
      <c r="GH271" s="668"/>
      <c r="GI271" s="668"/>
      <c r="GJ271" s="668"/>
      <c r="GK271" s="668"/>
      <c r="GL271" s="668"/>
      <c r="GM271" s="668"/>
      <c r="GN271" s="668"/>
      <c r="GO271" s="668"/>
      <c r="GP271" s="668"/>
      <c r="GQ271" s="668"/>
      <c r="GR271" s="668"/>
      <c r="GS271" s="668"/>
      <c r="GT271" s="668"/>
      <c r="GU271" s="668"/>
      <c r="GV271" s="668"/>
      <c r="GW271" s="668"/>
      <c r="GX271" s="668"/>
      <c r="GY271" s="668"/>
      <c r="GZ271" s="668"/>
      <c r="HA271" s="668"/>
      <c r="HB271" s="668"/>
      <c r="HC271" s="668"/>
      <c r="HD271" s="668"/>
      <c r="HE271" s="668"/>
      <c r="HF271" s="668"/>
      <c r="HG271" s="668"/>
      <c r="HH271" s="668"/>
      <c r="HI271" s="668"/>
      <c r="HJ271" s="668"/>
      <c r="HK271" s="668"/>
      <c r="HL271" s="668"/>
      <c r="HM271" s="668"/>
      <c r="HN271" s="668"/>
      <c r="HO271" s="542"/>
      <c r="HP271" s="563"/>
      <c r="HR271" s="563"/>
      <c r="HS271" s="563"/>
      <c r="HT271" s="563"/>
      <c r="HU271" s="563"/>
      <c r="HV271" s="563"/>
      <c r="HW271" s="563"/>
      <c r="HX271" s="563"/>
    </row>
    <row r="272" spans="1:232" s="509" customFormat="1" hidden="1" outlineLevel="1">
      <c r="A272" s="509" t="s">
        <v>488</v>
      </c>
      <c r="AO272" s="538"/>
      <c r="AT272" s="538"/>
      <c r="AY272" s="538"/>
      <c r="BD272" s="538"/>
      <c r="BI272" s="538"/>
      <c r="BN272" s="538"/>
      <c r="BS272" s="538"/>
      <c r="BX272" s="538"/>
      <c r="CC272" s="538"/>
      <c r="CH272" s="538"/>
      <c r="CM272" s="538"/>
      <c r="CV272" s="701"/>
      <c r="CW272" s="701"/>
      <c r="CX272" s="701"/>
      <c r="CY272" s="701"/>
      <c r="CZ272" s="701"/>
      <c r="DA272" s="701"/>
      <c r="DB272" s="701"/>
      <c r="DC272" s="294"/>
      <c r="DD272" s="294"/>
      <c r="DE272" s="294"/>
      <c r="DF272" s="294"/>
      <c r="DG272" s="344"/>
      <c r="DH272" s="294"/>
      <c r="DI272" s="294"/>
      <c r="DJ272" s="294"/>
      <c r="DK272" s="294"/>
      <c r="DL272" s="344"/>
      <c r="DM272" s="294"/>
      <c r="DN272" s="294"/>
      <c r="DO272" s="294"/>
      <c r="DP272" s="294"/>
      <c r="DQ272" s="344"/>
      <c r="DR272" s="294"/>
      <c r="DS272" s="294"/>
      <c r="DT272" s="294"/>
      <c r="DU272" s="294"/>
      <c r="DV272" s="344"/>
      <c r="DW272" s="294"/>
      <c r="DX272" s="294"/>
      <c r="DY272" s="294"/>
      <c r="DZ272" s="294"/>
      <c r="EA272" s="344"/>
      <c r="EB272" s="769" t="s">
        <v>199</v>
      </c>
      <c r="EC272" s="701" t="s">
        <v>199</v>
      </c>
      <c r="ED272" s="701" t="s">
        <v>199</v>
      </c>
      <c r="EE272" s="701" t="s">
        <v>199</v>
      </c>
      <c r="EF272" s="701" t="s">
        <v>199</v>
      </c>
      <c r="EG272" s="294">
        <f>(EG271/EE271)-1</f>
        <v>-0.29505144348894363</v>
      </c>
      <c r="EH272" s="294">
        <f>(EH271/EG271)-1</f>
        <v>0.3977762650329022</v>
      </c>
      <c r="EI272" s="294">
        <f>(EI271/EH271)-1</f>
        <v>2.857142857142847E-2</v>
      </c>
      <c r="EJ272" s="294">
        <f>(EJ271/EI271)-1</f>
        <v>-7.2878787878787876E-2</v>
      </c>
      <c r="EK272" s="648" t="s">
        <v>199</v>
      </c>
      <c r="EL272" s="294">
        <f>(EL271/EJ271)-1</f>
        <v>-0.1284705198743441</v>
      </c>
      <c r="EM272" s="294">
        <f>(EM271/EL271)-1</f>
        <v>0.1706183848654057</v>
      </c>
      <c r="EN272" s="294">
        <f>(EN271/EM271)-1</f>
        <v>0.15567322239031767</v>
      </c>
      <c r="EO272" s="294">
        <f>(EO271/EN271)-1</f>
        <v>-0.17528472313129995</v>
      </c>
      <c r="EP272" s="648" t="s">
        <v>199</v>
      </c>
      <c r="EQ272" s="294">
        <f>(EQ271/EO271)-1</f>
        <v>-0.14274042950513532</v>
      </c>
      <c r="ER272" s="294">
        <f>(ER271/EQ271)-1</f>
        <v>6.1946902654867353E-2</v>
      </c>
      <c r="ES272" s="294">
        <f>(ES271/ER271)-1</f>
        <v>5.8333333333333348E-2</v>
      </c>
      <c r="ET272" s="294">
        <f>(ET271/ES271)-1</f>
        <v>-0.11023622047244097</v>
      </c>
      <c r="EU272" s="648" t="s">
        <v>199</v>
      </c>
      <c r="EV272" s="668"/>
      <c r="EW272" s="668"/>
      <c r="EX272" s="668"/>
      <c r="EY272" s="668"/>
      <c r="EZ272" s="668"/>
      <c r="FA272" s="668"/>
      <c r="FB272" s="668"/>
      <c r="FC272" s="668"/>
      <c r="FD272" s="668"/>
      <c r="FE272" s="668"/>
      <c r="FF272" s="668"/>
      <c r="FG272" s="668"/>
      <c r="FH272" s="668"/>
      <c r="FI272" s="668"/>
      <c r="FJ272" s="668"/>
      <c r="FK272" s="668"/>
      <c r="FL272" s="668"/>
      <c r="FM272" s="668"/>
      <c r="FN272" s="668"/>
      <c r="FO272" s="668"/>
      <c r="FP272" s="668"/>
      <c r="FQ272" s="668"/>
      <c r="FR272" s="668"/>
      <c r="FS272" s="668"/>
      <c r="FT272" s="668"/>
      <c r="FU272" s="668"/>
      <c r="FV272" s="668"/>
      <c r="FW272" s="668"/>
      <c r="FX272" s="668"/>
      <c r="FY272" s="668"/>
      <c r="FZ272" s="668"/>
      <c r="GA272" s="668"/>
      <c r="GB272" s="668"/>
      <c r="GC272" s="668"/>
      <c r="GD272" s="668"/>
      <c r="GE272" s="668"/>
      <c r="GF272" s="668"/>
      <c r="GG272" s="668"/>
      <c r="GH272" s="668"/>
      <c r="GI272" s="668"/>
      <c r="GJ272" s="668"/>
      <c r="GK272" s="668"/>
      <c r="GL272" s="668"/>
      <c r="GM272" s="668"/>
      <c r="GN272" s="668"/>
      <c r="GO272" s="668"/>
      <c r="GP272" s="668"/>
      <c r="GQ272" s="668"/>
      <c r="GR272" s="668"/>
      <c r="GS272" s="668"/>
      <c r="GT272" s="668"/>
      <c r="GU272" s="668"/>
      <c r="GV272" s="668"/>
      <c r="GW272" s="668"/>
      <c r="GX272" s="668"/>
      <c r="GY272" s="668"/>
      <c r="GZ272" s="668"/>
      <c r="HA272" s="668"/>
      <c r="HB272" s="668"/>
      <c r="HC272" s="668"/>
      <c r="HD272" s="668"/>
      <c r="HE272" s="668"/>
      <c r="HF272" s="668"/>
      <c r="HG272" s="668"/>
      <c r="HH272" s="668"/>
      <c r="HI272" s="668"/>
      <c r="HJ272" s="668"/>
      <c r="HK272" s="668"/>
      <c r="HL272" s="668"/>
      <c r="HM272" s="668"/>
      <c r="HN272" s="668"/>
      <c r="HO272" s="648"/>
      <c r="HP272" s="563"/>
      <c r="HR272" s="563"/>
      <c r="HS272" s="563"/>
      <c r="HT272" s="563"/>
      <c r="HU272" s="563"/>
      <c r="HV272" s="563"/>
      <c r="HW272" s="563"/>
      <c r="HX272" s="563"/>
    </row>
    <row r="273" spans="1:236" s="509" customFormat="1" hidden="1" outlineLevel="1">
      <c r="A273" s="509" t="s">
        <v>489</v>
      </c>
      <c r="AO273" s="538"/>
      <c r="AT273" s="538"/>
      <c r="AY273" s="538"/>
      <c r="BD273" s="538"/>
      <c r="BI273" s="538"/>
      <c r="BN273" s="538"/>
      <c r="BS273" s="538"/>
      <c r="BX273" s="538"/>
      <c r="CC273" s="538"/>
      <c r="CH273" s="538"/>
      <c r="CM273" s="538"/>
      <c r="CV273" s="701"/>
      <c r="CW273" s="701"/>
      <c r="CX273" s="701"/>
      <c r="CY273" s="701"/>
      <c r="CZ273" s="701"/>
      <c r="DA273" s="701"/>
      <c r="DB273" s="701"/>
      <c r="DC273" s="294"/>
      <c r="DD273" s="294"/>
      <c r="DE273" s="294"/>
      <c r="DF273" s="294"/>
      <c r="DG273" s="344"/>
      <c r="DH273" s="294"/>
      <c r="DI273" s="294"/>
      <c r="DJ273" s="294"/>
      <c r="DK273" s="294"/>
      <c r="DL273" s="344"/>
      <c r="DM273" s="294"/>
      <c r="DN273" s="294"/>
      <c r="DO273" s="294"/>
      <c r="DP273" s="294"/>
      <c r="DQ273" s="344"/>
      <c r="DR273" s="294"/>
      <c r="DS273" s="294"/>
      <c r="DT273" s="294"/>
      <c r="DU273" s="294"/>
      <c r="DV273" s="344"/>
      <c r="DW273" s="294"/>
      <c r="DX273" s="294"/>
      <c r="DY273" s="294"/>
      <c r="DZ273" s="294"/>
      <c r="EA273" s="344"/>
      <c r="EB273" s="783" t="s">
        <v>199</v>
      </c>
      <c r="EC273" s="784" t="s">
        <v>199</v>
      </c>
      <c r="ED273" s="784" t="s">
        <v>199</v>
      </c>
      <c r="EE273" s="784" t="s">
        <v>199</v>
      </c>
      <c r="EF273" s="784" t="s">
        <v>199</v>
      </c>
      <c r="EG273" s="784" t="s">
        <v>199</v>
      </c>
      <c r="EH273" s="784" t="s">
        <v>199</v>
      </c>
      <c r="EI273" s="294">
        <f t="shared" ref="EI273:EU273" si="266">(EI271/ED271)-1</f>
        <v>0.30214612973233645</v>
      </c>
      <c r="EJ273" s="294">
        <f t="shared" si="266"/>
        <v>-6.0350122850122978E-2</v>
      </c>
      <c r="EK273" s="344">
        <f t="shared" si="266"/>
        <v>1.0488042696090187</v>
      </c>
      <c r="EL273" s="294">
        <f t="shared" si="266"/>
        <v>0.1616912487708948</v>
      </c>
      <c r="EM273" s="294">
        <f t="shared" si="266"/>
        <v>-2.7099567099567068E-2</v>
      </c>
      <c r="EN273" s="294">
        <f t="shared" si="266"/>
        <v>9.3122895622895552E-2</v>
      </c>
      <c r="EO273" s="294">
        <f t="shared" si="266"/>
        <v>-2.761889197581302E-2</v>
      </c>
      <c r="EP273" s="344">
        <f t="shared" si="266"/>
        <v>4.2736813883801128E-2</v>
      </c>
      <c r="EQ273" s="294">
        <f t="shared" si="266"/>
        <v>-4.3540086673889422E-2</v>
      </c>
      <c r="ER273" s="294">
        <f t="shared" si="266"/>
        <v>-0.13233069324552815</v>
      </c>
      <c r="ES273" s="294">
        <f t="shared" si="266"/>
        <v>-0.20541262715323072</v>
      </c>
      <c r="ET273" s="294">
        <f t="shared" si="266"/>
        <v>-0.14274042950513532</v>
      </c>
      <c r="EU273" s="344">
        <f t="shared" si="266"/>
        <v>-0.13700668051423126</v>
      </c>
      <c r="EV273" s="668"/>
      <c r="EW273" s="668"/>
      <c r="EX273" s="668"/>
      <c r="EY273" s="668"/>
      <c r="EZ273" s="668"/>
      <c r="FA273" s="668"/>
      <c r="FB273" s="668"/>
      <c r="FC273" s="668"/>
      <c r="FD273" s="668"/>
      <c r="FE273" s="668"/>
      <c r="FF273" s="668"/>
      <c r="FG273" s="668"/>
      <c r="FH273" s="668"/>
      <c r="FI273" s="668"/>
      <c r="FJ273" s="668"/>
      <c r="FK273" s="668"/>
      <c r="FL273" s="668"/>
      <c r="FM273" s="668"/>
      <c r="FN273" s="668"/>
      <c r="FO273" s="668"/>
      <c r="FP273" s="668"/>
      <c r="FQ273" s="668"/>
      <c r="FR273" s="668"/>
      <c r="FS273" s="668"/>
      <c r="FT273" s="668"/>
      <c r="FU273" s="668"/>
      <c r="FV273" s="668"/>
      <c r="FW273" s="668"/>
      <c r="FX273" s="668"/>
      <c r="FY273" s="668"/>
      <c r="FZ273" s="668"/>
      <c r="GA273" s="668"/>
      <c r="GB273" s="668"/>
      <c r="GC273" s="668"/>
      <c r="GD273" s="668"/>
      <c r="GE273" s="668"/>
      <c r="GF273" s="668"/>
      <c r="GG273" s="668"/>
      <c r="GH273" s="668"/>
      <c r="GI273" s="668"/>
      <c r="GJ273" s="668"/>
      <c r="GK273" s="668"/>
      <c r="GL273" s="668"/>
      <c r="GM273" s="668"/>
      <c r="GN273" s="668"/>
      <c r="GO273" s="668"/>
      <c r="GP273" s="668"/>
      <c r="GQ273" s="668"/>
      <c r="GR273" s="668"/>
      <c r="GS273" s="668"/>
      <c r="GT273" s="668"/>
      <c r="GU273" s="668"/>
      <c r="GV273" s="668"/>
      <c r="GW273" s="668"/>
      <c r="GX273" s="668"/>
      <c r="GY273" s="668"/>
      <c r="GZ273" s="668"/>
      <c r="HA273" s="668"/>
      <c r="HB273" s="668"/>
      <c r="HC273" s="668"/>
      <c r="HD273" s="668"/>
      <c r="HE273" s="668"/>
      <c r="HF273" s="668"/>
      <c r="HG273" s="668"/>
      <c r="HH273" s="668"/>
      <c r="HI273" s="668"/>
      <c r="HJ273" s="668"/>
      <c r="HK273" s="668"/>
      <c r="HL273" s="668"/>
      <c r="HM273" s="668"/>
      <c r="HN273" s="668"/>
      <c r="HO273" s="344"/>
      <c r="HP273" s="563"/>
      <c r="HR273" s="563"/>
      <c r="HS273" s="563"/>
      <c r="HT273" s="563"/>
      <c r="HU273" s="563"/>
      <c r="HV273" s="563"/>
      <c r="HW273" s="563"/>
      <c r="HX273" s="563"/>
    </row>
    <row r="274" spans="1:236" s="634" customFormat="1" hidden="1" outlineLevel="1">
      <c r="A274" s="634" t="s">
        <v>517</v>
      </c>
      <c r="AO274" s="785"/>
      <c r="AT274" s="785"/>
      <c r="AY274" s="785"/>
      <c r="BD274" s="785"/>
      <c r="BI274" s="785"/>
      <c r="BN274" s="785"/>
      <c r="BS274" s="785"/>
      <c r="BX274" s="785"/>
      <c r="CC274" s="785"/>
      <c r="CH274" s="785"/>
      <c r="CM274" s="785"/>
      <c r="CV274" s="786"/>
      <c r="CW274" s="786"/>
      <c r="CX274" s="786"/>
      <c r="CY274" s="786"/>
      <c r="CZ274" s="786"/>
      <c r="DA274" s="786"/>
      <c r="DB274" s="786"/>
      <c r="DC274" s="336"/>
      <c r="DD274" s="336"/>
      <c r="DE274" s="336"/>
      <c r="DF274" s="336"/>
      <c r="DG274" s="758"/>
      <c r="DH274" s="336"/>
      <c r="DI274" s="336"/>
      <c r="DJ274" s="336"/>
      <c r="DK274" s="336"/>
      <c r="DL274" s="758"/>
      <c r="DM274" s="336"/>
      <c r="DN274" s="336"/>
      <c r="DO274" s="336"/>
      <c r="DP274" s="336"/>
      <c r="DQ274" s="758"/>
      <c r="DR274" s="336"/>
      <c r="DS274" s="336"/>
      <c r="DT274" s="336"/>
      <c r="DU274" s="336"/>
      <c r="DV274" s="758"/>
      <c r="DW274" s="336"/>
      <c r="DX274" s="336"/>
      <c r="DY274" s="336"/>
      <c r="DZ274" s="336"/>
      <c r="EA274" s="758"/>
      <c r="EB274" s="787"/>
      <c r="EC274" s="336"/>
      <c r="ED274" s="788">
        <v>4147</v>
      </c>
      <c r="EE274" s="788">
        <v>5328</v>
      </c>
      <c r="EF274" s="789">
        <f>+SUM(ED274:EE274)</f>
        <v>9475</v>
      </c>
      <c r="EG274" s="788">
        <v>4407</v>
      </c>
      <c r="EH274" s="788">
        <v>6160</v>
      </c>
      <c r="EI274" s="790">
        <v>6600</v>
      </c>
      <c r="EJ274" s="790">
        <v>6119</v>
      </c>
      <c r="EK274" s="789">
        <f>+SUM(EI274:EJ274)</f>
        <v>12719</v>
      </c>
      <c r="EL274" s="791">
        <v>5408</v>
      </c>
      <c r="EM274" s="791">
        <v>6610</v>
      </c>
      <c r="EN274" s="791">
        <v>7639</v>
      </c>
      <c r="EO274" s="336"/>
      <c r="EP274" s="758"/>
      <c r="EQ274" s="336"/>
      <c r="ER274" s="336"/>
      <c r="ES274" s="336"/>
      <c r="ET274" s="336"/>
      <c r="EU274" s="758"/>
      <c r="EV274" s="668"/>
      <c r="EW274" s="668"/>
      <c r="EX274" s="668"/>
      <c r="EY274" s="668"/>
      <c r="EZ274" s="668"/>
      <c r="FA274" s="668"/>
      <c r="FB274" s="668"/>
      <c r="FC274" s="668"/>
      <c r="FD274" s="668"/>
      <c r="FE274" s="668"/>
      <c r="FF274" s="668"/>
      <c r="FG274" s="668"/>
      <c r="FH274" s="668"/>
      <c r="FI274" s="668"/>
      <c r="FJ274" s="668"/>
      <c r="FK274" s="668"/>
      <c r="FL274" s="668"/>
      <c r="FM274" s="668"/>
      <c r="FN274" s="668"/>
      <c r="FO274" s="668"/>
      <c r="FP274" s="668"/>
      <c r="FQ274" s="668"/>
      <c r="FR274" s="668"/>
      <c r="FS274" s="668"/>
      <c r="FT274" s="668"/>
      <c r="FU274" s="668"/>
      <c r="FV274" s="668"/>
      <c r="FW274" s="668"/>
      <c r="FX274" s="668"/>
      <c r="FY274" s="668"/>
      <c r="FZ274" s="668"/>
      <c r="GA274" s="668"/>
      <c r="GB274" s="668"/>
      <c r="GC274" s="668"/>
      <c r="GD274" s="668"/>
      <c r="GE274" s="668"/>
      <c r="GF274" s="668"/>
      <c r="GG274" s="668"/>
      <c r="GH274" s="668"/>
      <c r="GI274" s="668"/>
      <c r="GJ274" s="668"/>
      <c r="GK274" s="668"/>
      <c r="GL274" s="668"/>
      <c r="GM274" s="668"/>
      <c r="GN274" s="668"/>
      <c r="GO274" s="668"/>
      <c r="GP274" s="668"/>
      <c r="GQ274" s="668"/>
      <c r="GR274" s="668"/>
      <c r="GS274" s="668"/>
      <c r="GT274" s="668"/>
      <c r="GU274" s="668"/>
      <c r="GV274" s="668"/>
      <c r="GW274" s="668"/>
      <c r="GX274" s="668"/>
      <c r="GY274" s="668"/>
      <c r="GZ274" s="668"/>
      <c r="HA274" s="668"/>
      <c r="HB274" s="668"/>
      <c r="HC274" s="668"/>
      <c r="HD274" s="668"/>
      <c r="HE274" s="668"/>
      <c r="HF274" s="668"/>
      <c r="HG274" s="668"/>
      <c r="HH274" s="668"/>
      <c r="HI274" s="668"/>
      <c r="HJ274" s="668"/>
      <c r="HK274" s="668"/>
      <c r="HL274" s="668"/>
      <c r="HM274" s="668"/>
      <c r="HN274" s="668"/>
      <c r="HO274" s="359"/>
      <c r="HP274" s="792"/>
      <c r="HR274" s="792"/>
      <c r="HS274" s="792"/>
      <c r="HT274" s="792"/>
      <c r="HU274" s="792"/>
      <c r="HV274" s="792"/>
      <c r="HW274" s="792"/>
      <c r="HX274" s="792"/>
    </row>
    <row r="275" spans="1:236" s="634" customFormat="1" hidden="1" outlineLevel="1">
      <c r="A275" s="634" t="s">
        <v>518</v>
      </c>
      <c r="AO275" s="785"/>
      <c r="AT275" s="785"/>
      <c r="AY275" s="785"/>
      <c r="BD275" s="785"/>
      <c r="BI275" s="785"/>
      <c r="BN275" s="785"/>
      <c r="BS275" s="785"/>
      <c r="BX275" s="785"/>
      <c r="CC275" s="785"/>
      <c r="CH275" s="785"/>
      <c r="CM275" s="785"/>
      <c r="CV275" s="786"/>
      <c r="CW275" s="786"/>
      <c r="CX275" s="786"/>
      <c r="CY275" s="786"/>
      <c r="CZ275" s="786"/>
      <c r="DA275" s="786"/>
      <c r="DB275" s="786"/>
      <c r="DC275" s="336"/>
      <c r="DD275" s="336"/>
      <c r="DE275" s="336"/>
      <c r="DF275" s="336"/>
      <c r="DG275" s="758"/>
      <c r="DH275" s="336"/>
      <c r="DI275" s="336"/>
      <c r="DJ275" s="336"/>
      <c r="DK275" s="336"/>
      <c r="DL275" s="758"/>
      <c r="DM275" s="336"/>
      <c r="DN275" s="336"/>
      <c r="DO275" s="336"/>
      <c r="DP275" s="336"/>
      <c r="DQ275" s="758"/>
      <c r="DR275" s="336"/>
      <c r="DS275" s="336"/>
      <c r="DT275" s="336"/>
      <c r="DU275" s="336"/>
      <c r="DV275" s="758"/>
      <c r="DW275" s="336"/>
      <c r="DX275" s="336"/>
      <c r="DY275" s="336"/>
      <c r="DZ275" s="336"/>
      <c r="EA275" s="758"/>
      <c r="EB275" s="787"/>
      <c r="EC275" s="336"/>
      <c r="ED275" s="788"/>
      <c r="EE275" s="788">
        <v>3900</v>
      </c>
      <c r="EF275" s="789">
        <f>+SUM(EB275:EE275)</f>
        <v>3900</v>
      </c>
      <c r="EG275" s="788">
        <v>1200</v>
      </c>
      <c r="EH275" s="788">
        <v>700</v>
      </c>
      <c r="EI275" s="790">
        <v>1900</v>
      </c>
      <c r="EJ275" s="793">
        <v>4950</v>
      </c>
      <c r="EK275" s="789">
        <f>+SUM(EG275:EJ275)</f>
        <v>8750</v>
      </c>
      <c r="EL275" s="791">
        <v>1200</v>
      </c>
      <c r="EM275" s="791">
        <v>1000</v>
      </c>
      <c r="EN275" s="336"/>
      <c r="EO275" s="336"/>
      <c r="EP275" s="789"/>
      <c r="EQ275" s="336"/>
      <c r="ER275" s="336"/>
      <c r="ES275" s="336"/>
      <c r="ET275" s="336"/>
      <c r="EU275" s="789"/>
      <c r="EV275" s="668"/>
      <c r="EW275" s="668"/>
      <c r="EX275" s="668"/>
      <c r="EY275" s="668"/>
      <c r="EZ275" s="668"/>
      <c r="FA275" s="668"/>
      <c r="FB275" s="668"/>
      <c r="FC275" s="668"/>
      <c r="FD275" s="668"/>
      <c r="FE275" s="668"/>
      <c r="FF275" s="668"/>
      <c r="FG275" s="668"/>
      <c r="FH275" s="668"/>
      <c r="FI275" s="668"/>
      <c r="FJ275" s="668"/>
      <c r="FK275" s="668"/>
      <c r="FL275" s="668"/>
      <c r="FM275" s="668"/>
      <c r="FN275" s="668"/>
      <c r="FO275" s="668"/>
      <c r="FP275" s="668"/>
      <c r="FQ275" s="668"/>
      <c r="FR275" s="668"/>
      <c r="FS275" s="668"/>
      <c r="FT275" s="668"/>
      <c r="FU275" s="668"/>
      <c r="FV275" s="668"/>
      <c r="FW275" s="668"/>
      <c r="FX275" s="668"/>
      <c r="FY275" s="668"/>
      <c r="FZ275" s="668"/>
      <c r="GA275" s="668"/>
      <c r="GB275" s="668"/>
      <c r="GC275" s="668"/>
      <c r="GD275" s="668"/>
      <c r="GE275" s="668"/>
      <c r="GF275" s="668"/>
      <c r="GG275" s="668"/>
      <c r="GH275" s="668"/>
      <c r="GI275" s="668"/>
      <c r="GJ275" s="668"/>
      <c r="GK275" s="668"/>
      <c r="GL275" s="668"/>
      <c r="GM275" s="668"/>
      <c r="GN275" s="668"/>
      <c r="GO275" s="668"/>
      <c r="GP275" s="668"/>
      <c r="GQ275" s="668"/>
      <c r="GR275" s="668"/>
      <c r="GS275" s="668"/>
      <c r="GT275" s="668"/>
      <c r="GU275" s="668"/>
      <c r="GV275" s="668"/>
      <c r="GW275" s="668"/>
      <c r="GX275" s="668"/>
      <c r="GY275" s="668"/>
      <c r="GZ275" s="668"/>
      <c r="HA275" s="668"/>
      <c r="HB275" s="668"/>
      <c r="HC275" s="668"/>
      <c r="HD275" s="668"/>
      <c r="HE275" s="668"/>
      <c r="HF275" s="668"/>
      <c r="HG275" s="668"/>
      <c r="HH275" s="668"/>
      <c r="HI275" s="668"/>
      <c r="HJ275" s="668"/>
      <c r="HK275" s="668"/>
      <c r="HL275" s="668"/>
      <c r="HM275" s="668"/>
      <c r="HN275" s="668"/>
      <c r="HO275" s="359"/>
      <c r="HP275" s="792"/>
      <c r="HR275" s="792"/>
      <c r="HS275" s="792"/>
      <c r="HT275" s="792"/>
      <c r="HU275" s="792"/>
      <c r="HV275" s="792"/>
      <c r="HW275" s="792"/>
      <c r="HX275" s="792"/>
    </row>
    <row r="276" spans="1:236" s="509" customFormat="1" hidden="1" outlineLevel="1">
      <c r="AO276" s="538"/>
      <c r="AT276" s="538"/>
      <c r="AY276" s="538"/>
      <c r="BD276" s="538"/>
      <c r="BI276" s="538"/>
      <c r="BN276" s="538"/>
      <c r="BS276" s="538"/>
      <c r="BX276" s="538"/>
      <c r="CC276" s="538"/>
      <c r="CH276" s="538"/>
      <c r="CM276" s="538"/>
      <c r="CV276" s="701"/>
      <c r="CW276" s="701"/>
      <c r="CX276" s="701"/>
      <c r="CY276" s="701"/>
      <c r="CZ276" s="701"/>
      <c r="DA276" s="701"/>
      <c r="DB276" s="701"/>
      <c r="DC276" s="294"/>
      <c r="DD276" s="294"/>
      <c r="DE276" s="294"/>
      <c r="DF276" s="294"/>
      <c r="DG276" s="344"/>
      <c r="DH276" s="294"/>
      <c r="DI276" s="294"/>
      <c r="DJ276" s="294"/>
      <c r="DK276" s="294"/>
      <c r="DL276" s="344"/>
      <c r="DM276" s="294"/>
      <c r="DN276" s="294"/>
      <c r="DO276" s="294"/>
      <c r="DP276" s="294"/>
      <c r="DQ276" s="344"/>
      <c r="DR276" s="294"/>
      <c r="DS276" s="294"/>
      <c r="DT276" s="294"/>
      <c r="DU276" s="294"/>
      <c r="DV276" s="344"/>
      <c r="DW276" s="294"/>
      <c r="DX276" s="294"/>
      <c r="DY276" s="294"/>
      <c r="DZ276" s="294"/>
      <c r="EA276" s="344"/>
      <c r="EB276" s="774"/>
      <c r="EC276" s="294"/>
      <c r="ED276" s="294"/>
      <c r="EE276" s="294"/>
      <c r="EF276" s="344"/>
      <c r="EG276" s="294"/>
      <c r="EH276" s="294"/>
      <c r="EI276" s="294"/>
      <c r="EJ276" s="294"/>
      <c r="EK276" s="344"/>
      <c r="EL276" s="294"/>
      <c r="EM276" s="294"/>
      <c r="EN276" s="294"/>
      <c r="EO276" s="294"/>
      <c r="EP276" s="344"/>
      <c r="EQ276" s="294"/>
      <c r="ER276" s="294"/>
      <c r="ES276" s="294"/>
      <c r="ET276" s="294"/>
      <c r="EU276" s="344"/>
      <c r="EV276" s="668"/>
      <c r="EW276" s="668"/>
      <c r="EX276" s="668"/>
      <c r="EY276" s="668"/>
      <c r="EZ276" s="668"/>
      <c r="FA276" s="668"/>
      <c r="FB276" s="668"/>
      <c r="FC276" s="668"/>
      <c r="FD276" s="668"/>
      <c r="FE276" s="668"/>
      <c r="FF276" s="668"/>
      <c r="FG276" s="668"/>
      <c r="FH276" s="668"/>
      <c r="FI276" s="668"/>
      <c r="FJ276" s="668"/>
      <c r="FK276" s="668"/>
      <c r="FL276" s="668"/>
      <c r="FM276" s="668"/>
      <c r="FN276" s="668"/>
      <c r="FO276" s="668"/>
      <c r="FP276" s="668"/>
      <c r="FQ276" s="668"/>
      <c r="FR276" s="668"/>
      <c r="FS276" s="668"/>
      <c r="FT276" s="668"/>
      <c r="FU276" s="668"/>
      <c r="FV276" s="668"/>
      <c r="FW276" s="668"/>
      <c r="FX276" s="668"/>
      <c r="FY276" s="668"/>
      <c r="FZ276" s="668"/>
      <c r="GA276" s="668"/>
      <c r="GB276" s="668"/>
      <c r="GC276" s="668"/>
      <c r="GD276" s="668"/>
      <c r="GE276" s="668"/>
      <c r="GF276" s="668"/>
      <c r="GG276" s="668"/>
      <c r="GH276" s="668"/>
      <c r="GI276" s="668"/>
      <c r="GJ276" s="668"/>
      <c r="GK276" s="668"/>
      <c r="GL276" s="668"/>
      <c r="GM276" s="668"/>
      <c r="GN276" s="668"/>
      <c r="GO276" s="668"/>
      <c r="GP276" s="668"/>
      <c r="GQ276" s="668"/>
      <c r="GR276" s="668"/>
      <c r="GS276" s="668"/>
      <c r="GT276" s="668"/>
      <c r="GU276" s="668"/>
      <c r="GV276" s="668"/>
      <c r="GW276" s="668"/>
      <c r="GX276" s="668"/>
      <c r="GY276" s="668"/>
      <c r="GZ276" s="668"/>
      <c r="HA276" s="668"/>
      <c r="HB276" s="668"/>
      <c r="HC276" s="668"/>
      <c r="HD276" s="668"/>
      <c r="HE276" s="668"/>
      <c r="HF276" s="668"/>
      <c r="HG276" s="668"/>
      <c r="HH276" s="668"/>
      <c r="HI276" s="668"/>
      <c r="HJ276" s="668"/>
      <c r="HK276" s="668"/>
      <c r="HL276" s="668"/>
      <c r="HM276" s="668"/>
      <c r="HN276" s="668"/>
      <c r="HO276" s="344"/>
      <c r="HP276" s="563"/>
      <c r="HR276" s="563"/>
      <c r="HS276" s="563"/>
      <c r="HT276" s="563"/>
      <c r="HU276" s="563"/>
      <c r="HV276" s="563"/>
      <c r="HW276" s="563"/>
      <c r="HX276" s="563"/>
    </row>
    <row r="277" spans="1:236" s="509" customFormat="1" ht="15" hidden="1" customHeight="1" outlineLevel="1">
      <c r="A277" s="538" t="s">
        <v>519</v>
      </c>
      <c r="L277" s="523"/>
      <c r="M277" s="523"/>
      <c r="N277" s="523"/>
      <c r="O277" s="523"/>
      <c r="P277" s="524"/>
      <c r="Q277" s="619"/>
      <c r="R277" s="619"/>
      <c r="S277" s="619"/>
      <c r="T277" s="619"/>
      <c r="U277" s="541"/>
      <c r="V277" s="619"/>
      <c r="W277" s="619"/>
      <c r="X277" s="619"/>
      <c r="Y277" s="619"/>
      <c r="Z277" s="541"/>
      <c r="AA277" s="619"/>
      <c r="AB277" s="619"/>
      <c r="AC277" s="619"/>
      <c r="AD277" s="619"/>
      <c r="AE277" s="541"/>
      <c r="AF277" s="523"/>
      <c r="AG277" s="523"/>
      <c r="AH277" s="523"/>
      <c r="AI277" s="523"/>
      <c r="AJ277" s="541"/>
      <c r="AK277" s="523"/>
      <c r="AL277" s="523"/>
      <c r="AM277" s="523"/>
      <c r="AN277" s="523"/>
      <c r="AO277" s="541"/>
      <c r="AP277" s="523"/>
      <c r="AQ277" s="523"/>
      <c r="AR277" s="523"/>
      <c r="AS277" s="523"/>
      <c r="AT277" s="541"/>
      <c r="AU277" s="523"/>
      <c r="AV277" s="523"/>
      <c r="AW277" s="523"/>
      <c r="AX277" s="523"/>
      <c r="AY277" s="541"/>
      <c r="AZ277" s="523"/>
      <c r="BA277" s="523"/>
      <c r="BB277" s="523"/>
      <c r="BC277" s="523"/>
      <c r="BD277" s="541"/>
      <c r="BE277" s="523"/>
      <c r="BF277" s="523"/>
      <c r="BG277" s="523"/>
      <c r="BH277" s="523"/>
      <c r="BI277" s="541"/>
      <c r="BJ277" s="523"/>
      <c r="BK277" s="523"/>
      <c r="BL277" s="523"/>
      <c r="BM277" s="523"/>
      <c r="BN277" s="541"/>
      <c r="BO277" s="523"/>
      <c r="BP277" s="523"/>
      <c r="BQ277" s="523"/>
      <c r="BR277" s="523"/>
      <c r="BS277" s="541"/>
      <c r="BT277" s="523"/>
      <c r="BU277" s="523"/>
      <c r="BV277" s="523"/>
      <c r="BW277" s="523"/>
      <c r="BX277" s="591"/>
      <c r="BY277" s="523"/>
      <c r="BZ277" s="523"/>
      <c r="CA277" s="523"/>
      <c r="CB277" s="523"/>
      <c r="CC277" s="591"/>
      <c r="CD277" s="523"/>
      <c r="CE277" s="523"/>
      <c r="CF277" s="523"/>
      <c r="CG277" s="523"/>
      <c r="CH277" s="591"/>
      <c r="CI277" s="523"/>
      <c r="CJ277" s="523"/>
      <c r="CK277" s="523"/>
      <c r="CL277" s="523"/>
      <c r="CM277" s="542"/>
      <c r="CN277" s="539"/>
      <c r="CO277" s="523"/>
      <c r="CP277" s="523"/>
      <c r="CQ277" s="523"/>
      <c r="CR277" s="542"/>
      <c r="CS277" s="539"/>
      <c r="CT277" s="523"/>
      <c r="CU277" s="523"/>
      <c r="CV277" s="523"/>
      <c r="CW277" s="542"/>
      <c r="CX277" s="539"/>
      <c r="CY277" s="523"/>
      <c r="CZ277" s="523"/>
      <c r="DA277" s="523"/>
      <c r="DB277" s="542"/>
      <c r="DC277" s="539"/>
      <c r="DD277" s="523"/>
      <c r="DE277" s="523"/>
      <c r="DF277" s="523"/>
      <c r="DG277" s="542"/>
      <c r="DH277" s="539"/>
      <c r="DI277" s="523"/>
      <c r="DJ277" s="523"/>
      <c r="DK277" s="523"/>
      <c r="DL277" s="542"/>
      <c r="DM277" s="539"/>
      <c r="DN277" s="523"/>
      <c r="DO277" s="523"/>
      <c r="DP277" s="523"/>
      <c r="DQ277" s="542"/>
      <c r="DR277" s="539"/>
      <c r="DS277" s="523"/>
      <c r="DT277" s="523"/>
      <c r="DU277" s="523"/>
      <c r="DV277" s="542"/>
      <c r="DW277" s="539"/>
      <c r="DX277" s="523"/>
      <c r="DY277" s="523"/>
      <c r="DZ277" s="523"/>
      <c r="EA277" s="542"/>
      <c r="EB277" s="794"/>
      <c r="EC277" s="523"/>
      <c r="ED277" s="523"/>
      <c r="EE277" s="523"/>
      <c r="EF277" s="645"/>
      <c r="EG277" s="539"/>
      <c r="EH277" s="523"/>
      <c r="EI277" s="523"/>
      <c r="EJ277" s="523"/>
      <c r="EK277" s="542"/>
      <c r="EL277" s="539"/>
      <c r="EM277" s="523"/>
      <c r="EN277" s="523"/>
      <c r="EO277" s="523"/>
      <c r="EP277" s="542"/>
      <c r="EQ277" s="539"/>
      <c r="ER277" s="523"/>
      <c r="ES277" s="523"/>
      <c r="ET277" s="523"/>
      <c r="EU277" s="542"/>
      <c r="EV277" s="668"/>
      <c r="EW277" s="668"/>
      <c r="EX277" s="668"/>
      <c r="EY277" s="668"/>
      <c r="EZ277" s="668"/>
      <c r="FA277" s="668"/>
      <c r="FB277" s="668"/>
      <c r="FC277" s="668"/>
      <c r="FD277" s="668"/>
      <c r="FE277" s="668"/>
      <c r="FF277" s="668"/>
      <c r="FG277" s="668"/>
      <c r="FH277" s="668"/>
      <c r="FI277" s="668"/>
      <c r="FJ277" s="668"/>
      <c r="FK277" s="668"/>
      <c r="FL277" s="668"/>
      <c r="FM277" s="668"/>
      <c r="FN277" s="668"/>
      <c r="FO277" s="668"/>
      <c r="FP277" s="668"/>
      <c r="FQ277" s="668"/>
      <c r="FR277" s="668"/>
      <c r="FS277" s="668"/>
      <c r="FT277" s="668"/>
      <c r="FU277" s="668"/>
      <c r="FV277" s="668"/>
      <c r="FW277" s="668"/>
      <c r="FX277" s="668"/>
      <c r="FY277" s="668"/>
      <c r="FZ277" s="668"/>
      <c r="GA277" s="668"/>
      <c r="GB277" s="668"/>
      <c r="GC277" s="668"/>
      <c r="GD277" s="668"/>
      <c r="GE277" s="668"/>
      <c r="GF277" s="668"/>
      <c r="GG277" s="668"/>
      <c r="GH277" s="668"/>
      <c r="GI277" s="668"/>
      <c r="GJ277" s="668"/>
      <c r="GK277" s="668"/>
      <c r="GL277" s="668"/>
      <c r="GM277" s="668"/>
      <c r="GN277" s="668"/>
      <c r="GO277" s="668"/>
      <c r="GP277" s="668"/>
      <c r="GQ277" s="668"/>
      <c r="GR277" s="668"/>
      <c r="GS277" s="668"/>
      <c r="GT277" s="668"/>
      <c r="GU277" s="668"/>
      <c r="GV277" s="668"/>
      <c r="GW277" s="668"/>
      <c r="GX277" s="668"/>
      <c r="GY277" s="668"/>
      <c r="GZ277" s="668"/>
      <c r="HA277" s="668"/>
      <c r="HB277" s="668"/>
      <c r="HC277" s="668"/>
      <c r="HD277" s="668"/>
      <c r="HE277" s="668"/>
      <c r="HF277" s="668"/>
      <c r="HG277" s="668"/>
      <c r="HH277" s="668"/>
      <c r="HI277" s="668"/>
      <c r="HJ277" s="668"/>
      <c r="HK277" s="668"/>
      <c r="HL277" s="668"/>
      <c r="HM277" s="668"/>
      <c r="HN277" s="668"/>
      <c r="HO277" s="542"/>
      <c r="HP277" s="293"/>
      <c r="HQ277" s="523"/>
      <c r="HR277" s="606"/>
      <c r="HS277" s="682"/>
      <c r="HT277" s="563"/>
      <c r="HU277" s="563"/>
      <c r="HV277" s="563"/>
      <c r="HW277" s="563"/>
      <c r="HX277" s="563"/>
    </row>
    <row r="278" spans="1:236" s="509" customFormat="1" ht="15" hidden="1" customHeight="1" outlineLevel="1">
      <c r="A278" s="509" t="s">
        <v>487</v>
      </c>
      <c r="L278" s="523"/>
      <c r="M278" s="523"/>
      <c r="N278" s="523"/>
      <c r="O278" s="523"/>
      <c r="P278" s="524"/>
      <c r="Q278" s="619"/>
      <c r="R278" s="619"/>
      <c r="S278" s="619"/>
      <c r="T278" s="619"/>
      <c r="U278" s="541"/>
      <c r="V278" s="619"/>
      <c r="W278" s="619"/>
      <c r="X278" s="619"/>
      <c r="Y278" s="619"/>
      <c r="Z278" s="541"/>
      <c r="AA278" s="619"/>
      <c r="AB278" s="619"/>
      <c r="AC278" s="619"/>
      <c r="AD278" s="619"/>
      <c r="AE278" s="541"/>
      <c r="AF278" s="523"/>
      <c r="AG278" s="523"/>
      <c r="AH278" s="523"/>
      <c r="AI278" s="523"/>
      <c r="AJ278" s="541"/>
      <c r="AK278" s="523"/>
      <c r="AL278" s="523"/>
      <c r="AM278" s="523"/>
      <c r="AN278" s="523"/>
      <c r="AO278" s="541"/>
      <c r="AP278" s="523"/>
      <c r="AQ278" s="523"/>
      <c r="AR278" s="523"/>
      <c r="AS278" s="523"/>
      <c r="AT278" s="541"/>
      <c r="AU278" s="523"/>
      <c r="AV278" s="523"/>
      <c r="AW278" s="523"/>
      <c r="AX278" s="523"/>
      <c r="AY278" s="541"/>
      <c r="AZ278" s="523"/>
      <c r="BA278" s="523"/>
      <c r="BB278" s="523"/>
      <c r="BC278" s="523"/>
      <c r="BD278" s="541"/>
      <c r="BE278" s="523"/>
      <c r="BF278" s="523"/>
      <c r="BG278" s="523"/>
      <c r="BH278" s="523"/>
      <c r="BI278" s="541"/>
      <c r="BJ278" s="523"/>
      <c r="BK278" s="523"/>
      <c r="BL278" s="523"/>
      <c r="BM278" s="523"/>
      <c r="BN278" s="541"/>
      <c r="BO278" s="523"/>
      <c r="BP278" s="523"/>
      <c r="BQ278" s="523"/>
      <c r="BR278" s="523"/>
      <c r="BS278" s="541"/>
      <c r="BT278" s="523"/>
      <c r="BU278" s="670">
        <v>3</v>
      </c>
      <c r="BV278" s="670">
        <v>41</v>
      </c>
      <c r="BW278" s="670">
        <v>54</v>
      </c>
      <c r="BX278" s="591">
        <f>SUM(BT278:BW278)</f>
        <v>98</v>
      </c>
      <c r="BY278" s="670">
        <v>87</v>
      </c>
      <c r="BZ278" s="670">
        <v>61</v>
      </c>
      <c r="CA278" s="670">
        <v>69</v>
      </c>
      <c r="CB278" s="670">
        <v>62</v>
      </c>
      <c r="CC278" s="591">
        <f>SUM(BY278:CB278)</f>
        <v>279</v>
      </c>
      <c r="CD278" s="670">
        <v>54</v>
      </c>
      <c r="CE278" s="670">
        <v>40</v>
      </c>
      <c r="CF278" s="670">
        <v>47</v>
      </c>
      <c r="CG278" s="670">
        <v>60</v>
      </c>
      <c r="CH278" s="591">
        <f>SUM(CD278:CG278)</f>
        <v>201</v>
      </c>
      <c r="CI278" s="670">
        <v>87</v>
      </c>
      <c r="CJ278" s="670">
        <v>127</v>
      </c>
      <c r="CK278" s="670">
        <v>137</v>
      </c>
      <c r="CL278" s="670">
        <v>165</v>
      </c>
      <c r="CM278" s="542">
        <f>SUM(CI278:CL278)</f>
        <v>516</v>
      </c>
      <c r="CN278" s="539">
        <v>185</v>
      </c>
      <c r="CO278" s="523">
        <v>298.5</v>
      </c>
      <c r="CP278" s="523">
        <v>359.5</v>
      </c>
      <c r="CQ278" s="523">
        <v>520</v>
      </c>
      <c r="CR278" s="542">
        <f>SUM(CN278:CQ278)</f>
        <v>1363</v>
      </c>
      <c r="CS278" s="539">
        <v>662.0481927710847</v>
      </c>
      <c r="CT278" s="523">
        <v>781.21686746987996</v>
      </c>
      <c r="CU278" s="523">
        <v>810.90310843373538</v>
      </c>
      <c r="CV278" s="523">
        <v>798.73956180722905</v>
      </c>
      <c r="CW278" s="542">
        <f>SUM(CS278:CV278)</f>
        <v>3052.9077304819293</v>
      </c>
      <c r="CX278" s="539">
        <v>443</v>
      </c>
      <c r="CY278" s="523">
        <v>423</v>
      </c>
      <c r="CZ278" s="523">
        <v>470</v>
      </c>
      <c r="DA278" s="523">
        <v>572</v>
      </c>
      <c r="DB278" s="542">
        <f>SUM(CX278:DA278)</f>
        <v>1908</v>
      </c>
      <c r="DC278" s="539">
        <v>480</v>
      </c>
      <c r="DD278" s="523">
        <v>505</v>
      </c>
      <c r="DE278" s="523">
        <v>510</v>
      </c>
      <c r="DF278" s="523">
        <v>312</v>
      </c>
      <c r="DG278" s="542">
        <f>SUM(DC278:DF278)</f>
        <v>1807</v>
      </c>
      <c r="DH278" s="539">
        <v>275</v>
      </c>
      <c r="DI278" s="523">
        <v>285</v>
      </c>
      <c r="DJ278" s="523">
        <v>308</v>
      </c>
      <c r="DK278" s="523">
        <v>370</v>
      </c>
      <c r="DL278" s="542">
        <f>SUM(DH278:DK278)</f>
        <v>1238</v>
      </c>
      <c r="DM278" s="539">
        <v>350</v>
      </c>
      <c r="DN278" s="523">
        <v>274</v>
      </c>
      <c r="DO278" s="523">
        <v>275</v>
      </c>
      <c r="DP278" s="523">
        <v>288</v>
      </c>
      <c r="DQ278" s="542">
        <f>SUM(DM278:DP278)</f>
        <v>1187</v>
      </c>
      <c r="DR278" s="539">
        <v>288</v>
      </c>
      <c r="DS278" s="523">
        <v>244</v>
      </c>
      <c r="DT278" s="523">
        <v>218</v>
      </c>
      <c r="DU278" s="523">
        <v>266</v>
      </c>
      <c r="DV278" s="542">
        <f>SUM(DR278:DU278)</f>
        <v>1016</v>
      </c>
      <c r="DW278" s="539">
        <v>286</v>
      </c>
      <c r="DX278" s="523">
        <v>240</v>
      </c>
      <c r="DY278" s="523">
        <v>200</v>
      </c>
      <c r="DZ278" s="523">
        <v>196</v>
      </c>
      <c r="EA278" s="542">
        <f>SUM(DW278:DZ278)</f>
        <v>922</v>
      </c>
      <c r="EB278" s="795">
        <v>210</v>
      </c>
      <c r="EC278" s="570">
        <v>236</v>
      </c>
      <c r="ED278" s="523">
        <v>165</v>
      </c>
      <c r="EE278" s="523">
        <v>153</v>
      </c>
      <c r="EF278" s="542">
        <f>SUM(EB278:EE278)</f>
        <v>764</v>
      </c>
      <c r="EG278" s="571">
        <v>122</v>
      </c>
      <c r="EH278" s="571">
        <v>111</v>
      </c>
      <c r="EI278" s="571">
        <v>94</v>
      </c>
      <c r="EJ278" s="571">
        <v>73</v>
      </c>
      <c r="EK278" s="542">
        <f>SUM(EG278:EJ278)</f>
        <v>400</v>
      </c>
      <c r="EL278" s="571">
        <v>62</v>
      </c>
      <c r="EM278" s="571">
        <v>44</v>
      </c>
      <c r="EN278" s="571">
        <v>30</v>
      </c>
      <c r="EO278" s="523">
        <f>EN278*(1+EO279)</f>
        <v>25.5</v>
      </c>
      <c r="EP278" s="542">
        <f>SUM(EL278:EO278)</f>
        <v>161.5</v>
      </c>
      <c r="EQ278" s="523">
        <f>EO278*(1+EQ279)</f>
        <v>25.5</v>
      </c>
      <c r="ER278" s="523">
        <f>EQ278*(1+ER279)</f>
        <v>24.224999999999998</v>
      </c>
      <c r="ES278" s="523">
        <f>ER278*(1+ES279)</f>
        <v>24.224999999999998</v>
      </c>
      <c r="ET278" s="523">
        <f>ES278*(1+ET279)</f>
        <v>25.436249999999998</v>
      </c>
      <c r="EU278" s="542">
        <f>SUM(EQ278:ET278)</f>
        <v>99.38624999999999</v>
      </c>
      <c r="EV278" s="668"/>
      <c r="EW278" s="668"/>
      <c r="EX278" s="668"/>
      <c r="EY278" s="668"/>
      <c r="EZ278" s="668"/>
      <c r="FA278" s="668"/>
      <c r="FB278" s="668"/>
      <c r="FC278" s="668"/>
      <c r="FD278" s="668"/>
      <c r="FE278" s="668"/>
      <c r="FF278" s="668"/>
      <c r="FG278" s="668"/>
      <c r="FH278" s="668"/>
      <c r="FI278" s="668"/>
      <c r="FJ278" s="668"/>
      <c r="FK278" s="668"/>
      <c r="FL278" s="668"/>
      <c r="FM278" s="668"/>
      <c r="FN278" s="668"/>
      <c r="FO278" s="668"/>
      <c r="FP278" s="668"/>
      <c r="FQ278" s="668"/>
      <c r="FR278" s="668"/>
      <c r="FS278" s="668"/>
      <c r="FT278" s="668"/>
      <c r="FU278" s="668"/>
      <c r="FV278" s="668"/>
      <c r="FW278" s="668"/>
      <c r="FX278" s="668"/>
      <c r="FY278" s="668"/>
      <c r="FZ278" s="668"/>
      <c r="GA278" s="668"/>
      <c r="GB278" s="668"/>
      <c r="GC278" s="668"/>
      <c r="GD278" s="668"/>
      <c r="GE278" s="668"/>
      <c r="GF278" s="668"/>
      <c r="GG278" s="668"/>
      <c r="GH278" s="668"/>
      <c r="GI278" s="668"/>
      <c r="GJ278" s="668"/>
      <c r="GK278" s="668"/>
      <c r="GL278" s="668"/>
      <c r="GM278" s="668"/>
      <c r="GN278" s="668"/>
      <c r="GO278" s="668"/>
      <c r="GP278" s="668"/>
      <c r="GQ278" s="668"/>
      <c r="GR278" s="668"/>
      <c r="GS278" s="668"/>
      <c r="GT278" s="668"/>
      <c r="GU278" s="668"/>
      <c r="GV278" s="668"/>
      <c r="GW278" s="668"/>
      <c r="GX278" s="668"/>
      <c r="GY278" s="668"/>
      <c r="GZ278" s="668"/>
      <c r="HA278" s="668"/>
      <c r="HB278" s="668"/>
      <c r="HC278" s="668"/>
      <c r="HD278" s="668"/>
      <c r="HE278" s="668"/>
      <c r="HF278" s="668"/>
      <c r="HG278" s="668"/>
      <c r="HH278" s="668"/>
      <c r="HI278" s="668"/>
      <c r="HJ278" s="668"/>
      <c r="HK278" s="668"/>
      <c r="HL278" s="668"/>
      <c r="HM278" s="668"/>
      <c r="HN278" s="668"/>
      <c r="HO278" s="542"/>
      <c r="HP278" s="606"/>
      <c r="HQ278" s="523"/>
      <c r="HR278" s="606"/>
      <c r="HS278" s="682"/>
      <c r="HT278" s="563"/>
      <c r="HU278" s="563"/>
      <c r="HV278" s="563"/>
      <c r="HW278" s="563"/>
      <c r="HX278" s="563"/>
    </row>
    <row r="279" spans="1:236" s="509" customFormat="1" hidden="1" outlineLevel="1">
      <c r="A279" s="509" t="s">
        <v>488</v>
      </c>
      <c r="L279" s="523"/>
      <c r="M279" s="523"/>
      <c r="N279" s="523"/>
      <c r="O279" s="523"/>
      <c r="P279" s="524"/>
      <c r="Q279" s="619"/>
      <c r="R279" s="619"/>
      <c r="S279" s="619"/>
      <c r="T279" s="619"/>
      <c r="U279" s="541"/>
      <c r="V279" s="619"/>
      <c r="W279" s="619"/>
      <c r="X279" s="619"/>
      <c r="Y279" s="619"/>
      <c r="Z279" s="541"/>
      <c r="AA279" s="619"/>
      <c r="AB279" s="619"/>
      <c r="AC279" s="619"/>
      <c r="AD279" s="619"/>
      <c r="AE279" s="541"/>
      <c r="AF279" s="523"/>
      <c r="AG279" s="523"/>
      <c r="AH279" s="523"/>
      <c r="AI279" s="523"/>
      <c r="AJ279" s="541"/>
      <c r="AK279" s="523"/>
      <c r="AL279" s="523"/>
      <c r="AM279" s="523"/>
      <c r="AN279" s="523"/>
      <c r="AO279" s="541"/>
      <c r="AP279" s="523"/>
      <c r="AQ279" s="523"/>
      <c r="AR279" s="523"/>
      <c r="AS279" s="523"/>
      <c r="AT279" s="541"/>
      <c r="AU279" s="523"/>
      <c r="AV279" s="523"/>
      <c r="AW279" s="523"/>
      <c r="AX279" s="523"/>
      <c r="AY279" s="541"/>
      <c r="AZ279" s="523"/>
      <c r="BA279" s="523"/>
      <c r="BB279" s="523"/>
      <c r="BC279" s="523"/>
      <c r="BD279" s="541"/>
      <c r="BE279" s="523"/>
      <c r="BF279" s="523"/>
      <c r="BG279" s="523"/>
      <c r="BH279" s="523"/>
      <c r="BI279" s="541"/>
      <c r="BJ279" s="523"/>
      <c r="BK279" s="523"/>
      <c r="BL279" s="523"/>
      <c r="BM279" s="523"/>
      <c r="BN279" s="541"/>
      <c r="BO279" s="523"/>
      <c r="BP279" s="523"/>
      <c r="BQ279" s="523"/>
      <c r="BR279" s="523"/>
      <c r="BS279" s="541"/>
      <c r="BT279" s="648" t="s">
        <v>199</v>
      </c>
      <c r="BU279" s="340" t="e">
        <f>(BU278/BT278)-1</f>
        <v>#DIV/0!</v>
      </c>
      <c r="BV279" s="340">
        <f>(BV278/BU278)-1</f>
        <v>12.666666666666666</v>
      </c>
      <c r="BW279" s="340">
        <f>(BW278/BV278)-1</f>
        <v>0.31707317073170738</v>
      </c>
      <c r="BX279" s="648" t="s">
        <v>199</v>
      </c>
      <c r="BY279" s="340">
        <f>(BY278/BW278)-1</f>
        <v>0.61111111111111116</v>
      </c>
      <c r="BZ279" s="340">
        <f>(BZ278/BY278)-1</f>
        <v>-0.29885057471264365</v>
      </c>
      <c r="CA279" s="340">
        <f>(CA278/BZ278)-1</f>
        <v>0.13114754098360648</v>
      </c>
      <c r="CB279" s="340">
        <f>(CB278/CA278)-1</f>
        <v>-0.10144927536231885</v>
      </c>
      <c r="CC279" s="648" t="s">
        <v>199</v>
      </c>
      <c r="CD279" s="340">
        <f>(CD278/CB278)-1</f>
        <v>-0.12903225806451613</v>
      </c>
      <c r="CE279" s="340">
        <f>(CE278/CD278)-1</f>
        <v>-0.2592592592592593</v>
      </c>
      <c r="CF279" s="340">
        <f>(CF278/CE278)-1</f>
        <v>0.17500000000000004</v>
      </c>
      <c r="CG279" s="340">
        <f>(CG278/CF278)-1</f>
        <v>0.27659574468085113</v>
      </c>
      <c r="CH279" s="648" t="s">
        <v>199</v>
      </c>
      <c r="CI279" s="340">
        <f>(CI278/CG278)-1</f>
        <v>0.44999999999999996</v>
      </c>
      <c r="CJ279" s="340">
        <f>(CJ278/CI278)-1</f>
        <v>0.45977011494252884</v>
      </c>
      <c r="CK279" s="340">
        <f>(CK278/CJ278)-1</f>
        <v>7.8740157480315043E-2</v>
      </c>
      <c r="CL279" s="340">
        <f>(CL278/CK278)-1</f>
        <v>0.20437956204379559</v>
      </c>
      <c r="CM279" s="648" t="s">
        <v>199</v>
      </c>
      <c r="CN279" s="340">
        <f>(CN278/CL278)-1</f>
        <v>0.1212121212121211</v>
      </c>
      <c r="CO279" s="340">
        <f>(CO278/CN278)-1</f>
        <v>0.61351351351351346</v>
      </c>
      <c r="CP279" s="340">
        <f>(CP278/CO278)-1</f>
        <v>0.20435510887772201</v>
      </c>
      <c r="CQ279" s="340">
        <f>(CQ278/CP278)-1</f>
        <v>0.44645340751043117</v>
      </c>
      <c r="CR279" s="648" t="s">
        <v>199</v>
      </c>
      <c r="CS279" s="672">
        <f>(CS278-CQ278)/CQ278</f>
        <v>0.27316960148285518</v>
      </c>
      <c r="CT279" s="340">
        <f>(CT278/CS278)-1</f>
        <v>0.17999999999999994</v>
      </c>
      <c r="CU279" s="340">
        <f>(CU278/CT278)-1</f>
        <v>3.8000000000000034E-2</v>
      </c>
      <c r="CV279" s="340">
        <f>(CV278/CU278)-1</f>
        <v>-1.5000000000000346E-2</v>
      </c>
      <c r="CW279" s="648" t="s">
        <v>199</v>
      </c>
      <c r="CX279" s="672">
        <f>(CX278-CV278)/CV278</f>
        <v>-0.44537616366758187</v>
      </c>
      <c r="CY279" s="340">
        <f>(CY278/CX278)-1</f>
        <v>-4.5146726862302478E-2</v>
      </c>
      <c r="CZ279" s="340">
        <f>(CZ278/CY278)-1</f>
        <v>0.11111111111111116</v>
      </c>
      <c r="DA279" s="340">
        <f>(DA278/CZ278)-1</f>
        <v>0.21702127659574466</v>
      </c>
      <c r="DB279" s="648" t="s">
        <v>199</v>
      </c>
      <c r="DC279" s="672">
        <f>(DC278-DA278)/DA278</f>
        <v>-0.16083916083916083</v>
      </c>
      <c r="DD279" s="340">
        <f>(DD278/DC278)-1</f>
        <v>5.2083333333333259E-2</v>
      </c>
      <c r="DE279" s="340">
        <f>(DE278/DD278)-1</f>
        <v>9.9009900990099098E-3</v>
      </c>
      <c r="DF279" s="340">
        <f>(DF278/DE278)-1</f>
        <v>-0.38823529411764701</v>
      </c>
      <c r="DG279" s="648" t="s">
        <v>199</v>
      </c>
      <c r="DH279" s="672">
        <f>(DH278-DF278)/DF278</f>
        <v>-0.11858974358974358</v>
      </c>
      <c r="DI279" s="340">
        <f>(DI278/DH278)-1</f>
        <v>3.6363636363636376E-2</v>
      </c>
      <c r="DJ279" s="340">
        <f>(DJ278/DI278)-1</f>
        <v>8.0701754385964941E-2</v>
      </c>
      <c r="DK279" s="340">
        <f>(DK278/DJ278)-1</f>
        <v>0.20129870129870131</v>
      </c>
      <c r="DL279" s="648" t="s">
        <v>199</v>
      </c>
      <c r="DM279" s="672">
        <f>(DM278-DK278)/DK278</f>
        <v>-5.4054054054054057E-2</v>
      </c>
      <c r="DN279" s="340">
        <f>(DN278/DM278)-1</f>
        <v>-0.21714285714285719</v>
      </c>
      <c r="DO279" s="340">
        <f>(DO278/DN278)-1</f>
        <v>3.6496350364962904E-3</v>
      </c>
      <c r="DP279" s="340">
        <f>(DP278/DO278)-1</f>
        <v>4.7272727272727355E-2</v>
      </c>
      <c r="DQ279" s="648" t="s">
        <v>199</v>
      </c>
      <c r="DR279" s="672">
        <f>(DR278-DP278)/DP278</f>
        <v>0</v>
      </c>
      <c r="DS279" s="340">
        <f>(DS278/DR278)-1</f>
        <v>-0.15277777777777779</v>
      </c>
      <c r="DT279" s="340">
        <f>(DT278/DS278)-1</f>
        <v>-0.10655737704918034</v>
      </c>
      <c r="DU279" s="340">
        <f>(DU278/DT278)-1</f>
        <v>0.22018348623853212</v>
      </c>
      <c r="DV279" s="648" t="s">
        <v>199</v>
      </c>
      <c r="DW279" s="672">
        <f>(DW278-DU278)/DU278</f>
        <v>7.5187969924812026E-2</v>
      </c>
      <c r="DX279" s="340">
        <f>(DX278/DW278)-1</f>
        <v>-0.16083916083916083</v>
      </c>
      <c r="DY279" s="340">
        <f>(DY278/DX278)-1</f>
        <v>-0.16666666666666663</v>
      </c>
      <c r="DZ279" s="340">
        <f>(DZ278/DY278)-1</f>
        <v>-2.0000000000000018E-2</v>
      </c>
      <c r="EA279" s="648" t="s">
        <v>199</v>
      </c>
      <c r="EB279" s="796">
        <f>(EB278-DZ278)/DZ278</f>
        <v>7.1428571428571425E-2</v>
      </c>
      <c r="EC279" s="672">
        <f>EC278/EB278-1</f>
        <v>0.12380952380952381</v>
      </c>
      <c r="ED279" s="672">
        <f>ED278/EC278-1</f>
        <v>-0.30084745762711862</v>
      </c>
      <c r="EE279" s="672">
        <f>EE278/ED278-1</f>
        <v>-7.2727272727272751E-2</v>
      </c>
      <c r="EF279" s="648" t="s">
        <v>199</v>
      </c>
      <c r="EG279" s="672">
        <f>(EG278-EE278)/EE278</f>
        <v>-0.20261437908496732</v>
      </c>
      <c r="EH279" s="672">
        <f>EH278/EG278-1</f>
        <v>-9.0163934426229497E-2</v>
      </c>
      <c r="EI279" s="672">
        <f>EI278/EH278-1</f>
        <v>-0.15315315315315314</v>
      </c>
      <c r="EJ279" s="672">
        <f>EJ278/EI278-1</f>
        <v>-0.22340425531914898</v>
      </c>
      <c r="EK279" s="648" t="s">
        <v>199</v>
      </c>
      <c r="EL279" s="672">
        <f>(EL278-EJ278)/EJ278</f>
        <v>-0.15068493150684931</v>
      </c>
      <c r="EM279" s="672">
        <f>EM278/EL278-1</f>
        <v>-0.29032258064516125</v>
      </c>
      <c r="EN279" s="672">
        <f>EN278/EM278-1</f>
        <v>-0.31818181818181823</v>
      </c>
      <c r="EO279" s="673">
        <v>-0.15</v>
      </c>
      <c r="EP279" s="648" t="s">
        <v>199</v>
      </c>
      <c r="EQ279" s="673">
        <v>0</v>
      </c>
      <c r="ER279" s="673">
        <v>-0.05</v>
      </c>
      <c r="ES279" s="673">
        <v>0</v>
      </c>
      <c r="ET279" s="673">
        <v>0.05</v>
      </c>
      <c r="EU279" s="648" t="s">
        <v>199</v>
      </c>
      <c r="EV279" s="668"/>
      <c r="EW279" s="668"/>
      <c r="EX279" s="668"/>
      <c r="EY279" s="668"/>
      <c r="EZ279" s="668"/>
      <c r="FA279" s="668"/>
      <c r="FB279" s="668"/>
      <c r="FC279" s="668"/>
      <c r="FD279" s="668"/>
      <c r="FE279" s="668"/>
      <c r="FF279" s="668"/>
      <c r="FG279" s="668"/>
      <c r="FH279" s="668"/>
      <c r="FI279" s="668"/>
      <c r="FJ279" s="668"/>
      <c r="FK279" s="668"/>
      <c r="FL279" s="668"/>
      <c r="FM279" s="668"/>
      <c r="FN279" s="668"/>
      <c r="FO279" s="668"/>
      <c r="FP279" s="668"/>
      <c r="FQ279" s="668"/>
      <c r="FR279" s="668"/>
      <c r="FS279" s="668"/>
      <c r="FT279" s="668"/>
      <c r="FU279" s="668"/>
      <c r="FV279" s="668"/>
      <c r="FW279" s="668"/>
      <c r="FX279" s="668"/>
      <c r="FY279" s="668"/>
      <c r="FZ279" s="668"/>
      <c r="GA279" s="668"/>
      <c r="GB279" s="668"/>
      <c r="GC279" s="668"/>
      <c r="GD279" s="668"/>
      <c r="GE279" s="668"/>
      <c r="GF279" s="668"/>
      <c r="GG279" s="668"/>
      <c r="GH279" s="668"/>
      <c r="GI279" s="668"/>
      <c r="GJ279" s="668"/>
      <c r="GK279" s="668"/>
      <c r="GL279" s="668"/>
      <c r="GM279" s="668"/>
      <c r="GN279" s="668"/>
      <c r="GO279" s="668"/>
      <c r="GP279" s="668"/>
      <c r="GQ279" s="668"/>
      <c r="GR279" s="668"/>
      <c r="GS279" s="668"/>
      <c r="GT279" s="668"/>
      <c r="GU279" s="668"/>
      <c r="GV279" s="668"/>
      <c r="GW279" s="668"/>
      <c r="GX279" s="668"/>
      <c r="GY279" s="668"/>
      <c r="GZ279" s="668"/>
      <c r="HA279" s="668"/>
      <c r="HB279" s="668"/>
      <c r="HC279" s="668"/>
      <c r="HD279" s="668"/>
      <c r="HE279" s="668"/>
      <c r="HF279" s="668"/>
      <c r="HG279" s="668"/>
      <c r="HH279" s="668"/>
      <c r="HI279" s="668"/>
      <c r="HJ279" s="668"/>
      <c r="HK279" s="668"/>
      <c r="HL279" s="668"/>
      <c r="HM279" s="668"/>
      <c r="HN279" s="668"/>
      <c r="HO279" s="648"/>
      <c r="HP279" s="676"/>
      <c r="HQ279" s="672"/>
      <c r="HR279" s="676"/>
      <c r="HS279" s="677"/>
      <c r="HT279" s="563"/>
      <c r="HU279" s="563"/>
      <c r="HV279" s="563"/>
      <c r="HW279" s="563"/>
      <c r="HX279" s="563"/>
    </row>
    <row r="280" spans="1:236" s="509" customFormat="1" hidden="1" outlineLevel="1">
      <c r="A280" s="509" t="s">
        <v>489</v>
      </c>
      <c r="L280" s="523"/>
      <c r="M280" s="523"/>
      <c r="N280" s="523"/>
      <c r="O280" s="523"/>
      <c r="P280" s="524"/>
      <c r="Q280" s="619"/>
      <c r="R280" s="619"/>
      <c r="S280" s="619"/>
      <c r="T280" s="619"/>
      <c r="U280" s="541"/>
      <c r="V280" s="619"/>
      <c r="W280" s="619"/>
      <c r="X280" s="619"/>
      <c r="Y280" s="619"/>
      <c r="Z280" s="541"/>
      <c r="AA280" s="619"/>
      <c r="AB280" s="619"/>
      <c r="AC280" s="619"/>
      <c r="AD280" s="619"/>
      <c r="AE280" s="541"/>
      <c r="AF280" s="523"/>
      <c r="AG280" s="523"/>
      <c r="AH280" s="523"/>
      <c r="AI280" s="523"/>
      <c r="AJ280" s="541"/>
      <c r="AK280" s="523"/>
      <c r="AL280" s="523"/>
      <c r="AM280" s="523"/>
      <c r="AN280" s="523"/>
      <c r="AO280" s="541"/>
      <c r="AP280" s="523"/>
      <c r="AQ280" s="523"/>
      <c r="AR280" s="523"/>
      <c r="AS280" s="523"/>
      <c r="AT280" s="541"/>
      <c r="AU280" s="523"/>
      <c r="AV280" s="523"/>
      <c r="AW280" s="523"/>
      <c r="AX280" s="523"/>
      <c r="AY280" s="541"/>
      <c r="AZ280" s="523"/>
      <c r="BA280" s="523"/>
      <c r="BB280" s="523"/>
      <c r="BC280" s="523"/>
      <c r="BD280" s="541"/>
      <c r="BE280" s="523"/>
      <c r="BF280" s="523"/>
      <c r="BG280" s="523"/>
      <c r="BH280" s="523"/>
      <c r="BI280" s="541"/>
      <c r="BJ280" s="523"/>
      <c r="BK280" s="523"/>
      <c r="BL280" s="523"/>
      <c r="BM280" s="523"/>
      <c r="BN280" s="541"/>
      <c r="BO280" s="523"/>
      <c r="BP280" s="523"/>
      <c r="BQ280" s="523"/>
      <c r="BR280" s="523"/>
      <c r="BS280" s="541"/>
      <c r="BT280" s="648" t="s">
        <v>199</v>
      </c>
      <c r="BU280" s="648" t="s">
        <v>199</v>
      </c>
      <c r="BV280" s="648" t="s">
        <v>199</v>
      </c>
      <c r="BW280" s="648" t="s">
        <v>199</v>
      </c>
      <c r="BX280" s="648" t="s">
        <v>199</v>
      </c>
      <c r="BY280" s="340" t="e">
        <f t="shared" ref="BY280:EJ280" si="267">(BY278/BT278)-1</f>
        <v>#DIV/0!</v>
      </c>
      <c r="BZ280" s="340">
        <f t="shared" si="267"/>
        <v>19.333333333333332</v>
      </c>
      <c r="CA280" s="340">
        <f t="shared" si="267"/>
        <v>0.68292682926829262</v>
      </c>
      <c r="CB280" s="340">
        <f t="shared" si="267"/>
        <v>0.14814814814814814</v>
      </c>
      <c r="CC280" s="321">
        <f t="shared" si="267"/>
        <v>1.8469387755102042</v>
      </c>
      <c r="CD280" s="340">
        <f t="shared" si="267"/>
        <v>-0.37931034482758619</v>
      </c>
      <c r="CE280" s="340">
        <f t="shared" si="267"/>
        <v>-0.34426229508196726</v>
      </c>
      <c r="CF280" s="340">
        <f t="shared" si="267"/>
        <v>-0.3188405797101449</v>
      </c>
      <c r="CG280" s="340">
        <f t="shared" si="267"/>
        <v>-3.2258064516129004E-2</v>
      </c>
      <c r="CH280" s="321">
        <f t="shared" si="267"/>
        <v>-0.27956989247311825</v>
      </c>
      <c r="CI280" s="340">
        <f t="shared" si="267"/>
        <v>0.61111111111111116</v>
      </c>
      <c r="CJ280" s="340">
        <f t="shared" si="267"/>
        <v>2.1749999999999998</v>
      </c>
      <c r="CK280" s="340">
        <f t="shared" si="267"/>
        <v>1.9148936170212765</v>
      </c>
      <c r="CL280" s="340">
        <f t="shared" si="267"/>
        <v>1.75</v>
      </c>
      <c r="CM280" s="321">
        <f t="shared" si="267"/>
        <v>1.5671641791044775</v>
      </c>
      <c r="CN280" s="340">
        <f t="shared" si="267"/>
        <v>1.1264367816091956</v>
      </c>
      <c r="CO280" s="340">
        <f t="shared" si="267"/>
        <v>1.3503937007874014</v>
      </c>
      <c r="CP280" s="340">
        <f t="shared" si="267"/>
        <v>1.6240875912408761</v>
      </c>
      <c r="CQ280" s="340">
        <f t="shared" si="267"/>
        <v>2.1515151515151514</v>
      </c>
      <c r="CR280" s="321">
        <f t="shared" si="267"/>
        <v>1.6414728682170541</v>
      </c>
      <c r="CS280" s="340">
        <f t="shared" si="267"/>
        <v>2.5786388798437012</v>
      </c>
      <c r="CT280" s="340">
        <f t="shared" si="267"/>
        <v>1.6171419345724622</v>
      </c>
      <c r="CU280" s="340">
        <f t="shared" si="267"/>
        <v>1.2556414699130332</v>
      </c>
      <c r="CV280" s="340">
        <f t="shared" si="267"/>
        <v>0.53603761886005596</v>
      </c>
      <c r="CW280" s="321">
        <f t="shared" si="267"/>
        <v>1.2398442630094859</v>
      </c>
      <c r="CX280" s="340">
        <f t="shared" si="267"/>
        <v>-0.33086442220200218</v>
      </c>
      <c r="CY280" s="340">
        <f t="shared" si="267"/>
        <v>-0.45853703675143842</v>
      </c>
      <c r="CZ280" s="340">
        <f t="shared" si="267"/>
        <v>-0.42039931144448561</v>
      </c>
      <c r="DA280" s="340">
        <f t="shared" si="267"/>
        <v>-0.28387170568364972</v>
      </c>
      <c r="DB280" s="321">
        <f t="shared" si="267"/>
        <v>-0.37502205489230267</v>
      </c>
      <c r="DC280" s="340">
        <f t="shared" si="267"/>
        <v>8.3521444695259683E-2</v>
      </c>
      <c r="DD280" s="340">
        <f t="shared" si="267"/>
        <v>0.19385342789598115</v>
      </c>
      <c r="DE280" s="340">
        <f t="shared" si="267"/>
        <v>8.5106382978723305E-2</v>
      </c>
      <c r="DF280" s="340">
        <f t="shared" si="267"/>
        <v>-0.45454545454545459</v>
      </c>
      <c r="DG280" s="321">
        <f t="shared" si="267"/>
        <v>-5.29350104821803E-2</v>
      </c>
      <c r="DH280" s="340">
        <f t="shared" si="267"/>
        <v>-0.42708333333333337</v>
      </c>
      <c r="DI280" s="340">
        <f t="shared" si="267"/>
        <v>-0.4356435643564357</v>
      </c>
      <c r="DJ280" s="340">
        <f t="shared" si="267"/>
        <v>-0.39607843137254906</v>
      </c>
      <c r="DK280" s="340">
        <f t="shared" si="267"/>
        <v>0.1858974358974359</v>
      </c>
      <c r="DL280" s="321">
        <f t="shared" si="267"/>
        <v>-0.31488655229662421</v>
      </c>
      <c r="DM280" s="340">
        <f t="shared" si="267"/>
        <v>0.27272727272727271</v>
      </c>
      <c r="DN280" s="340">
        <f t="shared" si="267"/>
        <v>-3.8596491228070184E-2</v>
      </c>
      <c r="DO280" s="340">
        <f t="shared" si="267"/>
        <v>-0.1071428571428571</v>
      </c>
      <c r="DP280" s="340">
        <f t="shared" si="267"/>
        <v>-0.22162162162162158</v>
      </c>
      <c r="DQ280" s="321">
        <f t="shared" si="267"/>
        <v>-4.1195476575121126E-2</v>
      </c>
      <c r="DR280" s="340">
        <f t="shared" si="267"/>
        <v>-0.17714285714285716</v>
      </c>
      <c r="DS280" s="340">
        <f t="shared" si="267"/>
        <v>-0.10948905109489049</v>
      </c>
      <c r="DT280" s="340">
        <f t="shared" si="267"/>
        <v>-0.20727272727272728</v>
      </c>
      <c r="DU280" s="340">
        <f t="shared" si="267"/>
        <v>-7.638888888888884E-2</v>
      </c>
      <c r="DV280" s="321">
        <f t="shared" si="267"/>
        <v>-0.14406065711878691</v>
      </c>
      <c r="DW280" s="340">
        <f t="shared" si="267"/>
        <v>-6.9444444444444198E-3</v>
      </c>
      <c r="DX280" s="340">
        <f t="shared" si="267"/>
        <v>-1.6393442622950838E-2</v>
      </c>
      <c r="DY280" s="340">
        <f t="shared" si="267"/>
        <v>-8.256880733944949E-2</v>
      </c>
      <c r="DZ280" s="340">
        <f t="shared" si="267"/>
        <v>-0.26315789473684215</v>
      </c>
      <c r="EA280" s="321">
        <f t="shared" si="267"/>
        <v>-9.2519685039370025E-2</v>
      </c>
      <c r="EB280" s="797">
        <f t="shared" si="267"/>
        <v>-0.26573426573426573</v>
      </c>
      <c r="EC280" s="340">
        <f t="shared" si="267"/>
        <v>-1.6666666666666718E-2</v>
      </c>
      <c r="ED280" s="340">
        <f t="shared" si="267"/>
        <v>-0.17500000000000004</v>
      </c>
      <c r="EE280" s="340">
        <f t="shared" si="267"/>
        <v>-0.21938775510204078</v>
      </c>
      <c r="EF280" s="321">
        <f t="shared" si="267"/>
        <v>-0.17136659436008672</v>
      </c>
      <c r="EG280" s="340">
        <f t="shared" si="267"/>
        <v>-0.419047619047619</v>
      </c>
      <c r="EH280" s="340">
        <f t="shared" si="267"/>
        <v>-0.52966101694915246</v>
      </c>
      <c r="EI280" s="342">
        <f t="shared" si="267"/>
        <v>-0.4303030303030303</v>
      </c>
      <c r="EJ280" s="340">
        <f t="shared" si="267"/>
        <v>-0.52287581699346397</v>
      </c>
      <c r="EK280" s="321">
        <f>(EK278/EF278)-1</f>
        <v>-0.47643979057591623</v>
      </c>
      <c r="EL280" s="340">
        <f>(EL278/EG278)-1</f>
        <v>-0.49180327868852458</v>
      </c>
      <c r="EM280" s="340">
        <f>(EM278/EH278)-1</f>
        <v>-0.60360360360360366</v>
      </c>
      <c r="EN280" s="340">
        <f>(EN278/EI278)-1</f>
        <v>-0.68085106382978722</v>
      </c>
      <c r="EO280" s="340">
        <v>0</v>
      </c>
      <c r="EP280" s="321">
        <f>(EP278/EK278)-1</f>
        <v>-0.59624999999999995</v>
      </c>
      <c r="EQ280" s="340">
        <f>(EQ278/EL278)-1</f>
        <v>-0.58870967741935476</v>
      </c>
      <c r="ER280" s="340">
        <f>(ER278/EM278)-1</f>
        <v>-0.44943181818181821</v>
      </c>
      <c r="ES280" s="340">
        <f>(ES278/EN278)-1</f>
        <v>-0.19250000000000012</v>
      </c>
      <c r="ET280" s="340">
        <v>0</v>
      </c>
      <c r="EU280" s="321">
        <f>(EU278/EP278)-1</f>
        <v>-0.38460526315789478</v>
      </c>
      <c r="EV280" s="668"/>
      <c r="EW280" s="668"/>
      <c r="EX280" s="668"/>
      <c r="EY280" s="668"/>
      <c r="EZ280" s="668"/>
      <c r="FA280" s="668"/>
      <c r="FB280" s="668"/>
      <c r="FC280" s="668"/>
      <c r="FD280" s="668"/>
      <c r="FE280" s="668"/>
      <c r="FF280" s="668"/>
      <c r="FG280" s="668"/>
      <c r="FH280" s="668"/>
      <c r="FI280" s="668"/>
      <c r="FJ280" s="668"/>
      <c r="FK280" s="668"/>
      <c r="FL280" s="668"/>
      <c r="FM280" s="668"/>
      <c r="FN280" s="668"/>
      <c r="FO280" s="668"/>
      <c r="FP280" s="668"/>
      <c r="FQ280" s="668"/>
      <c r="FR280" s="668"/>
      <c r="FS280" s="668"/>
      <c r="FT280" s="668"/>
      <c r="FU280" s="668"/>
      <c r="FV280" s="668"/>
      <c r="FW280" s="668"/>
      <c r="FX280" s="668"/>
      <c r="FY280" s="668"/>
      <c r="FZ280" s="668"/>
      <c r="GA280" s="668"/>
      <c r="GB280" s="668"/>
      <c r="GC280" s="668"/>
      <c r="GD280" s="668"/>
      <c r="GE280" s="668"/>
      <c r="GF280" s="668"/>
      <c r="GG280" s="668"/>
      <c r="GH280" s="668"/>
      <c r="GI280" s="668"/>
      <c r="GJ280" s="668"/>
      <c r="GK280" s="668"/>
      <c r="GL280" s="668"/>
      <c r="GM280" s="668"/>
      <c r="GN280" s="668"/>
      <c r="GO280" s="668"/>
      <c r="GP280" s="668"/>
      <c r="GQ280" s="668"/>
      <c r="GR280" s="668"/>
      <c r="GS280" s="668"/>
      <c r="GT280" s="668"/>
      <c r="GU280" s="668"/>
      <c r="GV280" s="668"/>
      <c r="GW280" s="668"/>
      <c r="GX280" s="668"/>
      <c r="GY280" s="668"/>
      <c r="GZ280" s="668"/>
      <c r="HA280" s="668"/>
      <c r="HB280" s="668"/>
      <c r="HC280" s="668"/>
      <c r="HD280" s="668"/>
      <c r="HE280" s="668"/>
      <c r="HF280" s="668"/>
      <c r="HG280" s="668"/>
      <c r="HH280" s="668"/>
      <c r="HI280" s="668"/>
      <c r="HJ280" s="668"/>
      <c r="HK280" s="668"/>
      <c r="HL280" s="668"/>
      <c r="HM280" s="668"/>
      <c r="HN280" s="668"/>
      <c r="HO280" s="344"/>
      <c r="HP280" s="293"/>
      <c r="HQ280" s="342"/>
      <c r="HR280" s="293"/>
      <c r="HS280" s="343"/>
      <c r="HT280" s="563"/>
      <c r="HU280" s="563"/>
      <c r="HV280" s="563"/>
      <c r="HW280" s="563"/>
      <c r="HX280" s="563"/>
    </row>
    <row r="281" spans="1:236" s="509" customFormat="1" ht="15" hidden="1" customHeight="1" outlineLevel="1">
      <c r="A281" s="509" t="s">
        <v>490</v>
      </c>
      <c r="B281" s="608"/>
      <c r="C281" s="608"/>
      <c r="D281" s="608"/>
      <c r="E281" s="608"/>
      <c r="F281" s="608"/>
      <c r="G281" s="608"/>
      <c r="H281" s="608"/>
      <c r="I281" s="608"/>
      <c r="J281" s="608"/>
      <c r="K281" s="608"/>
      <c r="L281" s="609"/>
      <c r="M281" s="609"/>
      <c r="N281" s="609"/>
      <c r="O281" s="609"/>
      <c r="P281" s="678"/>
      <c r="Q281" s="679"/>
      <c r="R281" s="679"/>
      <c r="S281" s="679"/>
      <c r="T281" s="679"/>
      <c r="U281" s="680"/>
      <c r="V281" s="679"/>
      <c r="W281" s="679"/>
      <c r="X281" s="679"/>
      <c r="Y281" s="679"/>
      <c r="Z281" s="680"/>
      <c r="AA281" s="679"/>
      <c r="AB281" s="679"/>
      <c r="AC281" s="679"/>
      <c r="AD281" s="679"/>
      <c r="AE281" s="680"/>
      <c r="AF281" s="609"/>
      <c r="AG281" s="609"/>
      <c r="AH281" s="609"/>
      <c r="AI281" s="609"/>
      <c r="AJ281" s="680"/>
      <c r="AK281" s="609"/>
      <c r="AL281" s="609"/>
      <c r="AM281" s="609"/>
      <c r="AN281" s="609"/>
      <c r="AO281" s="680"/>
      <c r="AP281" s="609"/>
      <c r="AQ281" s="609"/>
      <c r="AR281" s="609"/>
      <c r="AS281" s="609"/>
      <c r="AT281" s="680"/>
      <c r="AU281" s="609"/>
      <c r="AV281" s="609"/>
      <c r="AW281" s="609"/>
      <c r="AX281" s="609"/>
      <c r="AY281" s="680"/>
      <c r="AZ281" s="609"/>
      <c r="BA281" s="609"/>
      <c r="BB281" s="609"/>
      <c r="BC281" s="609"/>
      <c r="BD281" s="680"/>
      <c r="BE281" s="609"/>
      <c r="BF281" s="609"/>
      <c r="BG281" s="609"/>
      <c r="BH281" s="609"/>
      <c r="BI281" s="680"/>
      <c r="BJ281" s="609"/>
      <c r="BK281" s="609"/>
      <c r="BL281" s="609"/>
      <c r="BM281" s="609"/>
      <c r="BN281" s="680"/>
      <c r="BO281" s="609"/>
      <c r="BP281" s="609"/>
      <c r="BQ281" s="523"/>
      <c r="BR281" s="523"/>
      <c r="BS281" s="541"/>
      <c r="BT281" s="523" t="e">
        <f t="shared" ref="BT281:CM281" si="268">(BT284/BT278)*1000</f>
        <v>#DIV/0!</v>
      </c>
      <c r="BU281" s="523">
        <f t="shared" si="268"/>
        <v>210</v>
      </c>
      <c r="BV281" s="523">
        <f t="shared" si="268"/>
        <v>158</v>
      </c>
      <c r="BW281" s="523">
        <f t="shared" si="268"/>
        <v>197.79</v>
      </c>
      <c r="BX281" s="524">
        <f t="shared" si="268"/>
        <v>181.5169387755102</v>
      </c>
      <c r="BY281" s="523">
        <f t="shared" si="268"/>
        <v>199.99999999999997</v>
      </c>
      <c r="BZ281" s="523">
        <f t="shared" si="268"/>
        <v>144.63934426229508</v>
      </c>
      <c r="CA281" s="523">
        <f t="shared" si="268"/>
        <v>128.18840579710144</v>
      </c>
      <c r="CB281" s="523">
        <f t="shared" si="268"/>
        <v>146</v>
      </c>
      <c r="CC281" s="524">
        <f t="shared" si="268"/>
        <v>158.13620071684588</v>
      </c>
      <c r="CD281" s="523">
        <f t="shared" si="268"/>
        <v>171</v>
      </c>
      <c r="CE281" s="523">
        <f t="shared" si="268"/>
        <v>231.59999999999997</v>
      </c>
      <c r="CF281" s="523">
        <f t="shared" si="268"/>
        <v>326.2340425531915</v>
      </c>
      <c r="CG281" s="523">
        <f t="shared" si="268"/>
        <v>367.83333333333337</v>
      </c>
      <c r="CH281" s="524">
        <f t="shared" si="268"/>
        <v>278.11442786069654</v>
      </c>
      <c r="CI281" s="523">
        <f t="shared" si="268"/>
        <v>497.13793103448273</v>
      </c>
      <c r="CJ281" s="523">
        <f t="shared" si="268"/>
        <v>504.44094488188972</v>
      </c>
      <c r="CK281" s="523">
        <f t="shared" si="268"/>
        <v>442.83941605839414</v>
      </c>
      <c r="CL281" s="523">
        <f t="shared" si="268"/>
        <v>485.36363636363632</v>
      </c>
      <c r="CM281" s="524">
        <f t="shared" si="268"/>
        <v>480.75387596899213</v>
      </c>
      <c r="CN281" s="523">
        <v>473</v>
      </c>
      <c r="CO281" s="523">
        <v>557</v>
      </c>
      <c r="CP281" s="523">
        <v>505.5</v>
      </c>
      <c r="CQ281" s="523">
        <v>489.43269230769221</v>
      </c>
      <c r="CR281" s="524">
        <f>(CR284/CR278)*1000</f>
        <v>506.23752751283922</v>
      </c>
      <c r="CS281" s="523">
        <v>415</v>
      </c>
      <c r="CT281" s="523">
        <v>435.75</v>
      </c>
      <c r="CU281" s="523">
        <v>451.87274999999994</v>
      </c>
      <c r="CV281" s="523">
        <v>314.05156124999996</v>
      </c>
      <c r="CW281" s="524">
        <f>(CW284/CW278)*1000</f>
        <v>403.69240829124254</v>
      </c>
      <c r="CX281" s="523">
        <v>328.63095520969466</v>
      </c>
      <c r="CY281" s="523">
        <v>383.77970635809379</v>
      </c>
      <c r="CZ281" s="523">
        <v>335.5911534154535</v>
      </c>
      <c r="DA281" s="523">
        <v>297.1972902097902</v>
      </c>
      <c r="DB281" s="524">
        <f>(DB284/DB278)*1000</f>
        <v>333.148333885027</v>
      </c>
      <c r="DC281" s="523">
        <v>300.97135416666669</v>
      </c>
      <c r="DD281" s="523">
        <v>296.33188118811881</v>
      </c>
      <c r="DE281" s="523">
        <v>347.85049019607845</v>
      </c>
      <c r="DF281" s="523">
        <v>432.6065705128205</v>
      </c>
      <c r="DG281" s="524">
        <f>(DG284/DG278)*1000</f>
        <v>335.63411732152741</v>
      </c>
      <c r="DH281" s="523">
        <v>428.95272727272726</v>
      </c>
      <c r="DI281" s="523">
        <v>378.65929824561402</v>
      </c>
      <c r="DJ281" s="523">
        <v>380.94620783392202</v>
      </c>
      <c r="DK281" s="523">
        <v>393.48889258637649</v>
      </c>
      <c r="DL281" s="524">
        <f>(DL284/DL278)*1000</f>
        <v>394.83216661535317</v>
      </c>
      <c r="DM281" s="523">
        <v>373.1960154241645</v>
      </c>
      <c r="DN281" s="523">
        <v>510.92883211678833</v>
      </c>
      <c r="DO281" s="523">
        <v>506.13454545454545</v>
      </c>
      <c r="DP281" s="523">
        <v>417.83715277777782</v>
      </c>
      <c r="DQ281" s="524">
        <f>(DQ284/DQ278)*1000</f>
        <v>446.61938112759697</v>
      </c>
      <c r="DR281" s="523">
        <v>379.0324652777777</v>
      </c>
      <c r="DS281" s="523">
        <v>336.94446721311476</v>
      </c>
      <c r="DT281" s="523">
        <v>477.71376146788992</v>
      </c>
      <c r="DU281" s="523">
        <v>439.47744360902254</v>
      </c>
      <c r="DV281" s="524">
        <f>(DV284/DV278)*1000</f>
        <v>405.92362204724407</v>
      </c>
      <c r="DW281" s="597">
        <v>399.04632867132869</v>
      </c>
      <c r="DX281" s="597">
        <v>371.49062500000002</v>
      </c>
      <c r="DY281" s="597">
        <v>323.95</v>
      </c>
      <c r="DZ281" s="597">
        <v>285.12882653061223</v>
      </c>
      <c r="EA281" s="524">
        <f>(EA284/EA278)*1000</f>
        <v>351.3668655097614</v>
      </c>
      <c r="EB281" s="798">
        <v>314</v>
      </c>
      <c r="EC281" s="597">
        <v>322</v>
      </c>
      <c r="ED281" s="681">
        <v>412</v>
      </c>
      <c r="EE281" s="523">
        <v>353</v>
      </c>
      <c r="EF281" s="524">
        <f>(EF284/EF278)*1000</f>
        <v>345.4463350785341</v>
      </c>
      <c r="EG281" s="523">
        <v>326.26024590163934</v>
      </c>
      <c r="EH281" s="523">
        <v>326.58783783783781</v>
      </c>
      <c r="EI281" s="523">
        <v>312.36702127659572</v>
      </c>
      <c r="EJ281" s="523">
        <v>317.5</v>
      </c>
      <c r="EK281" s="524">
        <f>(EK284/EK278)*1000</f>
        <v>321.48749999999995</v>
      </c>
      <c r="EL281" s="571">
        <v>279.85887096774195</v>
      </c>
      <c r="EM281" s="571">
        <v>298.09659090909093</v>
      </c>
      <c r="EN281" s="523">
        <f>EM281*(1+EN282)</f>
        <v>292.13465909090911</v>
      </c>
      <c r="EO281" s="523">
        <f>EN281*(1+EO282)</f>
        <v>283.37061931818181</v>
      </c>
      <c r="EP281" s="524">
        <f>(EP284/EP278)*1000</f>
        <v>287.6624802807487</v>
      </c>
      <c r="EQ281" s="523">
        <f>EO281*(1+EQ282)</f>
        <v>283.37061931818181</v>
      </c>
      <c r="ER281" s="523">
        <f>EQ281*(1+ER282)</f>
        <v>283.37061931818181</v>
      </c>
      <c r="ES281" s="523">
        <f>ER281*(1+ES282)</f>
        <v>283.37061931818181</v>
      </c>
      <c r="ET281" s="523">
        <f>ES281*(1+ET282)</f>
        <v>283.37061931818181</v>
      </c>
      <c r="EU281" s="524">
        <f>(EU284/EU278)*1000</f>
        <v>283.37061931818181</v>
      </c>
      <c r="EV281" s="668"/>
      <c r="EW281" s="668"/>
      <c r="EX281" s="668"/>
      <c r="EY281" s="668"/>
      <c r="EZ281" s="668"/>
      <c r="FA281" s="668"/>
      <c r="FB281" s="668"/>
      <c r="FC281" s="668"/>
      <c r="FD281" s="668"/>
      <c r="FE281" s="668"/>
      <c r="FF281" s="668"/>
      <c r="FG281" s="668"/>
      <c r="FH281" s="668"/>
      <c r="FI281" s="668"/>
      <c r="FJ281" s="668"/>
      <c r="FK281" s="668"/>
      <c r="FL281" s="668"/>
      <c r="FM281" s="668"/>
      <c r="FN281" s="668"/>
      <c r="FO281" s="668"/>
      <c r="FP281" s="668"/>
      <c r="FQ281" s="668"/>
      <c r="FR281" s="668"/>
      <c r="FS281" s="668"/>
      <c r="FT281" s="668"/>
      <c r="FU281" s="668"/>
      <c r="FV281" s="668"/>
      <c r="FW281" s="668"/>
      <c r="FX281" s="668"/>
      <c r="FY281" s="668"/>
      <c r="FZ281" s="668"/>
      <c r="GA281" s="668"/>
      <c r="GB281" s="668"/>
      <c r="GC281" s="668"/>
      <c r="GD281" s="668"/>
      <c r="GE281" s="668"/>
      <c r="GF281" s="668"/>
      <c r="GG281" s="668"/>
      <c r="GH281" s="668"/>
      <c r="GI281" s="668"/>
      <c r="GJ281" s="668"/>
      <c r="GK281" s="668"/>
      <c r="GL281" s="668"/>
      <c r="GM281" s="668"/>
      <c r="GN281" s="668"/>
      <c r="GO281" s="668"/>
      <c r="GP281" s="668"/>
      <c r="GQ281" s="668"/>
      <c r="GR281" s="668"/>
      <c r="GS281" s="668"/>
      <c r="GT281" s="668"/>
      <c r="GU281" s="668"/>
      <c r="GV281" s="668"/>
      <c r="GW281" s="668"/>
      <c r="GX281" s="668"/>
      <c r="GY281" s="668"/>
      <c r="GZ281" s="668"/>
      <c r="HA281" s="668"/>
      <c r="HB281" s="668"/>
      <c r="HC281" s="668"/>
      <c r="HD281" s="668"/>
      <c r="HE281" s="668"/>
      <c r="HF281" s="668"/>
      <c r="HG281" s="668"/>
      <c r="HH281" s="668"/>
      <c r="HI281" s="668"/>
      <c r="HJ281" s="668"/>
      <c r="HK281" s="668"/>
      <c r="HL281" s="668"/>
      <c r="HM281" s="668"/>
      <c r="HN281" s="668"/>
      <c r="HO281" s="524"/>
      <c r="HP281" s="606"/>
      <c r="HQ281" s="523"/>
      <c r="HR281" s="606"/>
      <c r="HS281" s="682"/>
      <c r="HT281" s="563"/>
      <c r="HU281" s="563"/>
      <c r="HV281" s="563"/>
      <c r="HW281" s="563"/>
      <c r="HX281" s="563"/>
    </row>
    <row r="282" spans="1:236" s="509" customFormat="1" hidden="1" outlineLevel="1">
      <c r="A282" s="509" t="s">
        <v>488</v>
      </c>
      <c r="B282" s="608"/>
      <c r="C282" s="608"/>
      <c r="D282" s="608"/>
      <c r="E282" s="608"/>
      <c r="F282" s="608"/>
      <c r="G282" s="608"/>
      <c r="H282" s="608"/>
      <c r="I282" s="608"/>
      <c r="J282" s="608"/>
      <c r="K282" s="608"/>
      <c r="L282" s="609"/>
      <c r="M282" s="609"/>
      <c r="N282" s="609"/>
      <c r="O282" s="609"/>
      <c r="P282" s="678"/>
      <c r="Q282" s="679"/>
      <c r="R282" s="679"/>
      <c r="S282" s="679"/>
      <c r="T282" s="679"/>
      <c r="U282" s="680"/>
      <c r="V282" s="679"/>
      <c r="W282" s="679"/>
      <c r="X282" s="679"/>
      <c r="Y282" s="679"/>
      <c r="Z282" s="680"/>
      <c r="AA282" s="679"/>
      <c r="AB282" s="679"/>
      <c r="AC282" s="679"/>
      <c r="AD282" s="679"/>
      <c r="AE282" s="680"/>
      <c r="AF282" s="609"/>
      <c r="AG282" s="609"/>
      <c r="AH282" s="609"/>
      <c r="AI282" s="609"/>
      <c r="AJ282" s="680"/>
      <c r="AK282" s="609"/>
      <c r="AL282" s="609"/>
      <c r="AM282" s="609"/>
      <c r="AN282" s="609"/>
      <c r="AO282" s="680"/>
      <c r="AP282" s="609"/>
      <c r="AQ282" s="609"/>
      <c r="AR282" s="609"/>
      <c r="AS282" s="609"/>
      <c r="AT282" s="680"/>
      <c r="AU282" s="609"/>
      <c r="AV282" s="609"/>
      <c r="AW282" s="609"/>
      <c r="AX282" s="609"/>
      <c r="AY282" s="680"/>
      <c r="AZ282" s="609"/>
      <c r="BA282" s="609"/>
      <c r="BB282" s="609"/>
      <c r="BC282" s="609"/>
      <c r="BD282" s="680"/>
      <c r="BE282" s="609"/>
      <c r="BF282" s="609"/>
      <c r="BG282" s="609"/>
      <c r="BH282" s="609"/>
      <c r="BI282" s="680"/>
      <c r="BJ282" s="609"/>
      <c r="BK282" s="609"/>
      <c r="BL282" s="609"/>
      <c r="BM282" s="609"/>
      <c r="BN282" s="680"/>
      <c r="BO282" s="609"/>
      <c r="BP282" s="609"/>
      <c r="BQ282" s="609"/>
      <c r="BR282" s="609"/>
      <c r="BS282" s="680"/>
      <c r="BT282" s="648" t="s">
        <v>199</v>
      </c>
      <c r="BU282" s="340" t="e">
        <f>(BU281/BT281)-1</f>
        <v>#DIV/0!</v>
      </c>
      <c r="BV282" s="340">
        <f>(BV281/BU281)-1</f>
        <v>-0.24761904761904763</v>
      </c>
      <c r="BW282" s="340">
        <f>(BW281/BV281)-1</f>
        <v>0.25183544303797456</v>
      </c>
      <c r="BX282" s="648" t="s">
        <v>199</v>
      </c>
      <c r="BY282" s="340">
        <f>(BY281/BW281)-1</f>
        <v>1.1173466808230836E-2</v>
      </c>
      <c r="BZ282" s="340">
        <f>(BZ281/BY281)-1</f>
        <v>-0.2768032786885245</v>
      </c>
      <c r="CA282" s="340">
        <f>(CA281/BZ281)-1</f>
        <v>-0.11373764551476961</v>
      </c>
      <c r="CB282" s="340">
        <f>(CB281/CA281)-1</f>
        <v>0.13894855850763155</v>
      </c>
      <c r="CC282" s="648" t="s">
        <v>199</v>
      </c>
      <c r="CD282" s="340">
        <f>(CD281/CB281)-1</f>
        <v>0.17123287671232879</v>
      </c>
      <c r="CE282" s="340">
        <f>(CE281/CD281)-1</f>
        <v>0.35438596491228047</v>
      </c>
      <c r="CF282" s="340">
        <f>(CF281/CE281)-1</f>
        <v>0.40860985558372853</v>
      </c>
      <c r="CG282" s="340">
        <f>(CG281/CF281)-1</f>
        <v>0.12751364160090439</v>
      </c>
      <c r="CH282" s="648" t="s">
        <v>199</v>
      </c>
      <c r="CI282" s="340">
        <f>(CI281/CG281)-1</f>
        <v>0.35153039701263977</v>
      </c>
      <c r="CJ282" s="340">
        <f>(CJ281/CI281)-1</f>
        <v>1.4690115944704374E-2</v>
      </c>
      <c r="CK282" s="340">
        <f>(CK281/CJ281)-1</f>
        <v>-0.12211841534378032</v>
      </c>
      <c r="CL282" s="340">
        <f>(CL281/CK281)-1</f>
        <v>9.6026276711634884E-2</v>
      </c>
      <c r="CM282" s="648" t="s">
        <v>199</v>
      </c>
      <c r="CN282" s="340">
        <f>(CN281/CL281)-1</f>
        <v>-2.5472935006555453E-2</v>
      </c>
      <c r="CO282" s="340">
        <f>(CO281/CN281)-1</f>
        <v>0.17758985200845667</v>
      </c>
      <c r="CP282" s="340">
        <f>(CP281/CO281)-1</f>
        <v>-9.2459605026929959E-2</v>
      </c>
      <c r="CQ282" s="340">
        <f>(CQ281/CP281)-1</f>
        <v>-3.1784980598037138E-2</v>
      </c>
      <c r="CR282" s="648" t="s">
        <v>199</v>
      </c>
      <c r="CS282" s="672">
        <f>(CS281-CQ281)/CQ281</f>
        <v>-0.15207952692481466</v>
      </c>
      <c r="CT282" s="340">
        <f>(CT281/CS281)-1</f>
        <v>5.0000000000000044E-2</v>
      </c>
      <c r="CU282" s="340">
        <f>(CU281/CT281)-1</f>
        <v>3.6999999999999922E-2</v>
      </c>
      <c r="CV282" s="340">
        <f>(CV281/CU281)-1</f>
        <v>-0.30499999999999994</v>
      </c>
      <c r="CW282" s="648" t="s">
        <v>199</v>
      </c>
      <c r="CX282" s="672">
        <f>(CX281-CV281)/CV281</f>
        <v>4.6423567842379894E-2</v>
      </c>
      <c r="CY282" s="340">
        <f>(CY281/CX281)-1</f>
        <v>0.16781362277089662</v>
      </c>
      <c r="CZ282" s="340">
        <f>(CZ281/CY281)-1</f>
        <v>-0.1255630564730198</v>
      </c>
      <c r="DA282" s="340">
        <f>(DA281/CZ281)-1</f>
        <v>-0.11440666064916394</v>
      </c>
      <c r="DB282" s="648" t="s">
        <v>199</v>
      </c>
      <c r="DC282" s="672">
        <f>(DC281-DA281)/DA281</f>
        <v>1.2698850498308363E-2</v>
      </c>
      <c r="DD282" s="340">
        <f>(DD281/DC281)-1</f>
        <v>-1.5414998518359702E-2</v>
      </c>
      <c r="DE282" s="340">
        <f>(DE281/DD281)-1</f>
        <v>0.17385442565747544</v>
      </c>
      <c r="DF282" s="340">
        <f>(DF281/DE281)-1</f>
        <v>0.24365663612825794</v>
      </c>
      <c r="DG282" s="648" t="s">
        <v>199</v>
      </c>
      <c r="DH282" s="672">
        <f>(DH281-DF281)/DF281</f>
        <v>-8.4461112917492195E-3</v>
      </c>
      <c r="DI282" s="340">
        <f>(DI281/DH281)-1</f>
        <v>-0.11724702007812804</v>
      </c>
      <c r="DJ282" s="340">
        <f>(DJ281/DI281)-1</f>
        <v>6.0394914343939732E-3</v>
      </c>
      <c r="DK282" s="340">
        <f>(DK281/DJ281)-1</f>
        <v>3.292508100755942E-2</v>
      </c>
      <c r="DL282" s="648" t="s">
        <v>199</v>
      </c>
      <c r="DM282" s="672">
        <f>(DM281-DK281)/DK281</f>
        <v>-5.1571664523560636E-2</v>
      </c>
      <c r="DN282" s="340">
        <f>(DN281/DM281)-1</f>
        <v>0.3690629347585086</v>
      </c>
      <c r="DO282" s="340">
        <f>(DO281/DN281)-1</f>
        <v>-9.3834725325248058E-3</v>
      </c>
      <c r="DP282" s="340">
        <f>(DP281/DO281)-1</f>
        <v>-0.17445438860030815</v>
      </c>
      <c r="DQ282" s="648" t="s">
        <v>199</v>
      </c>
      <c r="DR282" s="672">
        <f>(DR281-DP281)/DP281</f>
        <v>-9.2870361675659721E-2</v>
      </c>
      <c r="DS282" s="340">
        <f>(DS281/DR281)-1</f>
        <v>-0.11104061504024021</v>
      </c>
      <c r="DT282" s="340">
        <f>(DT281/DS281)-1</f>
        <v>0.41778188381926951</v>
      </c>
      <c r="DU282" s="340">
        <f>(DU281/DT281)-1</f>
        <v>-8.0040226895237709E-2</v>
      </c>
      <c r="DV282" s="648" t="s">
        <v>199</v>
      </c>
      <c r="DW282" s="672">
        <f>(DW281-DU281)/DU281</f>
        <v>-9.1998157187933069E-2</v>
      </c>
      <c r="DX282" s="340">
        <f>(DX281/DW281)-1</f>
        <v>-6.9053895980144997E-2</v>
      </c>
      <c r="DY282" s="340">
        <f>(DY281/DX281)-1</f>
        <v>-0.12797261034514673</v>
      </c>
      <c r="DZ282" s="340">
        <f>(DZ281/DY281)-1</f>
        <v>-0.119836929987306</v>
      </c>
      <c r="EA282" s="648" t="s">
        <v>199</v>
      </c>
      <c r="EB282" s="796">
        <f>(EB281-DZ281)/DZ281</f>
        <v>0.10125659275032327</v>
      </c>
      <c r="EC282" s="672">
        <f>EC281/EB281-1</f>
        <v>2.5477707006369421E-2</v>
      </c>
      <c r="ED282" s="672">
        <f>ED281/EC281-1</f>
        <v>0.27950310559006208</v>
      </c>
      <c r="EE282" s="672">
        <f>EE281/ED281-1</f>
        <v>-0.14320388349514568</v>
      </c>
      <c r="EF282" s="648" t="s">
        <v>199</v>
      </c>
      <c r="EG282" s="672">
        <f>(EG281-EE281)/EE281</f>
        <v>-7.5750011610086862E-2</v>
      </c>
      <c r="EH282" s="672">
        <f>EH281/EG281-1</f>
        <v>1.0040816811534015E-3</v>
      </c>
      <c r="EI282" s="672">
        <f>EI281/EH281-1</f>
        <v>-4.3543619552370516E-2</v>
      </c>
      <c r="EJ282" s="672">
        <f>EJ281/EI281-1</f>
        <v>1.643252447850152E-2</v>
      </c>
      <c r="EK282" s="648" t="s">
        <v>199</v>
      </c>
      <c r="EL282" s="672">
        <f>(EL281-EJ281)/EJ281</f>
        <v>-0.11855473710947417</v>
      </c>
      <c r="EM282" s="672">
        <f>EM281/EL281-1</f>
        <v>6.5167560628982768E-2</v>
      </c>
      <c r="EN282" s="673">
        <v>-0.02</v>
      </c>
      <c r="EO282" s="673">
        <v>-0.03</v>
      </c>
      <c r="EP282" s="648" t="s">
        <v>199</v>
      </c>
      <c r="EQ282" s="673">
        <v>0</v>
      </c>
      <c r="ER282" s="673">
        <v>0</v>
      </c>
      <c r="ES282" s="673">
        <v>0</v>
      </c>
      <c r="ET282" s="673">
        <v>0</v>
      </c>
      <c r="EU282" s="648" t="s">
        <v>199</v>
      </c>
      <c r="EV282" s="668"/>
      <c r="EW282" s="668"/>
      <c r="EX282" s="668"/>
      <c r="EY282" s="668"/>
      <c r="EZ282" s="668"/>
      <c r="FA282" s="668"/>
      <c r="FB282" s="668"/>
      <c r="FC282" s="668"/>
      <c r="FD282" s="668"/>
      <c r="FE282" s="668"/>
      <c r="FF282" s="668"/>
      <c r="FG282" s="668"/>
      <c r="FH282" s="668"/>
      <c r="FI282" s="668"/>
      <c r="FJ282" s="668"/>
      <c r="FK282" s="668"/>
      <c r="FL282" s="668"/>
      <c r="FM282" s="668"/>
      <c r="FN282" s="668"/>
      <c r="FO282" s="668"/>
      <c r="FP282" s="668"/>
      <c r="FQ282" s="668"/>
      <c r="FR282" s="668"/>
      <c r="FS282" s="668"/>
      <c r="FT282" s="668"/>
      <c r="FU282" s="668"/>
      <c r="FV282" s="668"/>
      <c r="FW282" s="668"/>
      <c r="FX282" s="668"/>
      <c r="FY282" s="668"/>
      <c r="FZ282" s="668"/>
      <c r="GA282" s="668"/>
      <c r="GB282" s="668"/>
      <c r="GC282" s="668"/>
      <c r="GD282" s="668"/>
      <c r="GE282" s="668"/>
      <c r="GF282" s="668"/>
      <c r="GG282" s="668"/>
      <c r="GH282" s="668"/>
      <c r="GI282" s="668"/>
      <c r="GJ282" s="668"/>
      <c r="GK282" s="668"/>
      <c r="GL282" s="668"/>
      <c r="GM282" s="668"/>
      <c r="GN282" s="668"/>
      <c r="GO282" s="668"/>
      <c r="GP282" s="668"/>
      <c r="GQ282" s="668"/>
      <c r="GR282" s="668"/>
      <c r="GS282" s="668"/>
      <c r="GT282" s="668"/>
      <c r="GU282" s="668"/>
      <c r="GV282" s="668"/>
      <c r="GW282" s="668"/>
      <c r="GX282" s="668"/>
      <c r="GY282" s="668"/>
      <c r="GZ282" s="668"/>
      <c r="HA282" s="668"/>
      <c r="HB282" s="668"/>
      <c r="HC282" s="668"/>
      <c r="HD282" s="668"/>
      <c r="HE282" s="668"/>
      <c r="HF282" s="668"/>
      <c r="HG282" s="668"/>
      <c r="HH282" s="668"/>
      <c r="HI282" s="668"/>
      <c r="HJ282" s="668"/>
      <c r="HK282" s="668"/>
      <c r="HL282" s="668"/>
      <c r="HM282" s="668"/>
      <c r="HN282" s="668"/>
      <c r="HO282" s="648"/>
      <c r="HP282" s="676"/>
      <c r="HQ282" s="672"/>
      <c r="HR282" s="676"/>
      <c r="HS282" s="677"/>
      <c r="HT282" s="563"/>
      <c r="HU282" s="563"/>
      <c r="HV282" s="563"/>
      <c r="HW282" s="563"/>
      <c r="HX282" s="563"/>
    </row>
    <row r="283" spans="1:236" s="509" customFormat="1" hidden="1" outlineLevel="1">
      <c r="A283" s="509" t="s">
        <v>489</v>
      </c>
      <c r="B283" s="608"/>
      <c r="C283" s="608"/>
      <c r="D283" s="608"/>
      <c r="E283" s="608"/>
      <c r="F283" s="608"/>
      <c r="G283" s="608"/>
      <c r="H283" s="608"/>
      <c r="I283" s="608"/>
      <c r="J283" s="608"/>
      <c r="K283" s="608"/>
      <c r="L283" s="609"/>
      <c r="M283" s="609"/>
      <c r="N283" s="609"/>
      <c r="O283" s="609"/>
      <c r="P283" s="678"/>
      <c r="Q283" s="679"/>
      <c r="R283" s="679"/>
      <c r="S283" s="679"/>
      <c r="T283" s="679"/>
      <c r="U283" s="680"/>
      <c r="V283" s="679"/>
      <c r="W283" s="679"/>
      <c r="X283" s="679"/>
      <c r="Y283" s="679"/>
      <c r="Z283" s="680"/>
      <c r="AA283" s="679"/>
      <c r="AB283" s="679"/>
      <c r="AC283" s="679"/>
      <c r="AD283" s="679"/>
      <c r="AE283" s="680"/>
      <c r="AF283" s="609"/>
      <c r="AG283" s="609"/>
      <c r="AH283" s="609"/>
      <c r="AI283" s="609"/>
      <c r="AJ283" s="680"/>
      <c r="AK283" s="609"/>
      <c r="AL283" s="609"/>
      <c r="AM283" s="609"/>
      <c r="AN283" s="609"/>
      <c r="AO283" s="680"/>
      <c r="AP283" s="609"/>
      <c r="AQ283" s="609"/>
      <c r="AR283" s="609"/>
      <c r="AS283" s="609"/>
      <c r="AT283" s="680"/>
      <c r="AU283" s="609"/>
      <c r="AV283" s="609"/>
      <c r="AW283" s="609"/>
      <c r="AX283" s="609"/>
      <c r="AY283" s="680"/>
      <c r="AZ283" s="609"/>
      <c r="BA283" s="609"/>
      <c r="BB283" s="609"/>
      <c r="BC283" s="609"/>
      <c r="BD283" s="680"/>
      <c r="BE283" s="609"/>
      <c r="BF283" s="609"/>
      <c r="BG283" s="609"/>
      <c r="BH283" s="609"/>
      <c r="BI283" s="680"/>
      <c r="BJ283" s="609"/>
      <c r="BK283" s="609"/>
      <c r="BL283" s="609"/>
      <c r="BM283" s="609"/>
      <c r="BN283" s="680"/>
      <c r="BO283" s="609"/>
      <c r="BP283" s="609"/>
      <c r="BQ283" s="609"/>
      <c r="BR283" s="609"/>
      <c r="BS283" s="680"/>
      <c r="BT283" s="648" t="s">
        <v>199</v>
      </c>
      <c r="BU283" s="648" t="s">
        <v>199</v>
      </c>
      <c r="BV283" s="648" t="s">
        <v>199</v>
      </c>
      <c r="BW283" s="648" t="s">
        <v>199</v>
      </c>
      <c r="BX283" s="648" t="s">
        <v>199</v>
      </c>
      <c r="BY283" s="340" t="e">
        <f t="shared" ref="BY283:EJ283" si="269">(BY281/BT281)-1</f>
        <v>#DIV/0!</v>
      </c>
      <c r="BZ283" s="340">
        <f t="shared" si="269"/>
        <v>-0.31124121779859482</v>
      </c>
      <c r="CA283" s="340">
        <f t="shared" si="269"/>
        <v>-0.18868097596771238</v>
      </c>
      <c r="CB283" s="340">
        <f t="shared" si="269"/>
        <v>-0.26184336922999141</v>
      </c>
      <c r="CC283" s="321">
        <f t="shared" si="269"/>
        <v>-0.12880747227442113</v>
      </c>
      <c r="CD283" s="340">
        <f t="shared" si="269"/>
        <v>-0.14499999999999991</v>
      </c>
      <c r="CE283" s="340">
        <f t="shared" si="269"/>
        <v>0.60122407344440632</v>
      </c>
      <c r="CF283" s="340">
        <f t="shared" si="269"/>
        <v>1.5449574828909234</v>
      </c>
      <c r="CG283" s="340">
        <f t="shared" si="269"/>
        <v>1.519406392694064</v>
      </c>
      <c r="CH283" s="321">
        <f t="shared" si="269"/>
        <v>0.75870184435934584</v>
      </c>
      <c r="CI283" s="340">
        <f t="shared" si="269"/>
        <v>1.907239362774753</v>
      </c>
      <c r="CJ283" s="340">
        <f t="shared" si="269"/>
        <v>1.1780697101981423</v>
      </c>
      <c r="CK283" s="340">
        <f t="shared" si="269"/>
        <v>0.35742858897440311</v>
      </c>
      <c r="CL283" s="340">
        <f t="shared" si="269"/>
        <v>0.31952053383861245</v>
      </c>
      <c r="CM283" s="321">
        <f t="shared" si="269"/>
        <v>0.72861897049726143</v>
      </c>
      <c r="CN283" s="340">
        <f t="shared" si="269"/>
        <v>-4.8553790663799612E-2</v>
      </c>
      <c r="CO283" s="340">
        <f t="shared" si="269"/>
        <v>0.10419268231768242</v>
      </c>
      <c r="CP283" s="340">
        <f t="shared" si="269"/>
        <v>0.14149730504870695</v>
      </c>
      <c r="CQ283" s="340">
        <f t="shared" si="269"/>
        <v>8.3835203941964309E-3</v>
      </c>
      <c r="CR283" s="321">
        <f t="shared" si="269"/>
        <v>5.3007688169924849E-2</v>
      </c>
      <c r="CS283" s="340">
        <f t="shared" si="269"/>
        <v>-0.12262156448202954</v>
      </c>
      <c r="CT283" s="340">
        <f t="shared" si="269"/>
        <v>-0.21768402154398558</v>
      </c>
      <c r="CU283" s="340">
        <f t="shared" si="269"/>
        <v>-0.10608753709198826</v>
      </c>
      <c r="CV283" s="340">
        <f t="shared" si="269"/>
        <v>-0.35833554605999873</v>
      </c>
      <c r="CW283" s="321">
        <f t="shared" si="269"/>
        <v>-0.20256325074398185</v>
      </c>
      <c r="CX283" s="340">
        <f t="shared" si="269"/>
        <v>-0.2081181802176032</v>
      </c>
      <c r="CY283" s="340">
        <f t="shared" si="269"/>
        <v>-0.1192663078414371</v>
      </c>
      <c r="CZ283" s="340">
        <f t="shared" si="269"/>
        <v>-0.25733261539791119</v>
      </c>
      <c r="DA283" s="340">
        <f t="shared" si="269"/>
        <v>-5.3667209846452457E-2</v>
      </c>
      <c r="DB283" s="321">
        <f t="shared" si="269"/>
        <v>-0.17474709198722849</v>
      </c>
      <c r="DC283" s="340">
        <f t="shared" si="269"/>
        <v>-8.4166146263911057E-2</v>
      </c>
      <c r="DD283" s="340">
        <f t="shared" si="269"/>
        <v>-0.22785943008768661</v>
      </c>
      <c r="DE283" s="340">
        <f t="shared" si="269"/>
        <v>3.6530571964893843E-2</v>
      </c>
      <c r="DF283" s="340">
        <f t="shared" si="269"/>
        <v>0.45562084434701777</v>
      </c>
      <c r="DG283" s="321">
        <f t="shared" si="269"/>
        <v>7.4614914248927189E-3</v>
      </c>
      <c r="DH283" s="340">
        <f t="shared" si="269"/>
        <v>0.42522775451642914</v>
      </c>
      <c r="DI283" s="340">
        <f t="shared" si="269"/>
        <v>0.27782166646197526</v>
      </c>
      <c r="DJ283" s="340">
        <f t="shared" si="269"/>
        <v>9.514351300522228E-2</v>
      </c>
      <c r="DK283" s="340">
        <f t="shared" si="269"/>
        <v>-9.0423217289726132E-2</v>
      </c>
      <c r="DL283" s="321">
        <f t="shared" si="269"/>
        <v>0.1763767335878903</v>
      </c>
      <c r="DM283" s="340">
        <f t="shared" si="269"/>
        <v>-0.12998334852202198</v>
      </c>
      <c r="DN283" s="340">
        <f t="shared" si="269"/>
        <v>0.34931014366740532</v>
      </c>
      <c r="DO283" s="340">
        <f t="shared" si="269"/>
        <v>0.32862471143222605</v>
      </c>
      <c r="DP283" s="340">
        <f t="shared" si="269"/>
        <v>6.1877884357451229E-2</v>
      </c>
      <c r="DQ283" s="321">
        <f t="shared" si="269"/>
        <v>0.13116260247026701</v>
      </c>
      <c r="DR283" s="340">
        <f t="shared" si="269"/>
        <v>1.5639100130744099E-2</v>
      </c>
      <c r="DS283" s="340">
        <f t="shared" si="269"/>
        <v>-0.34052563481855758</v>
      </c>
      <c r="DT283" s="340">
        <f t="shared" si="269"/>
        <v>-5.615262629649509E-2</v>
      </c>
      <c r="DU283" s="340">
        <f t="shared" si="269"/>
        <v>5.1791207860240052E-2</v>
      </c>
      <c r="DV283" s="321">
        <f t="shared" si="269"/>
        <v>-9.1119554591667651E-2</v>
      </c>
      <c r="DW283" s="340">
        <f t="shared" si="269"/>
        <v>5.2802504341900258E-2</v>
      </c>
      <c r="DX283" s="340">
        <f t="shared" si="269"/>
        <v>0.10252774907574036</v>
      </c>
      <c r="DY283" s="340">
        <f t="shared" si="269"/>
        <v>-0.32187425582092077</v>
      </c>
      <c r="DZ283" s="340">
        <f t="shared" si="269"/>
        <v>-0.35120941773686409</v>
      </c>
      <c r="EA283" s="321">
        <f t="shared" si="269"/>
        <v>-0.13440153165349167</v>
      </c>
      <c r="EB283" s="797">
        <f t="shared" si="269"/>
        <v>-0.21312394717300209</v>
      </c>
      <c r="EC283" s="340">
        <f t="shared" si="269"/>
        <v>-0.13322173338829213</v>
      </c>
      <c r="ED283" s="340">
        <f t="shared" si="269"/>
        <v>0.27180120388948925</v>
      </c>
      <c r="EE283" s="340">
        <f t="shared" si="269"/>
        <v>0.23803687019383468</v>
      </c>
      <c r="EF283" s="321">
        <f t="shared" si="269"/>
        <v>-1.6849996435030379E-2</v>
      </c>
      <c r="EG283" s="340">
        <f t="shared" si="269"/>
        <v>3.9045369113501094E-2</v>
      </c>
      <c r="EH283" s="340">
        <f t="shared" si="269"/>
        <v>1.4247943595769641E-2</v>
      </c>
      <c r="EI283" s="342">
        <f t="shared" si="269"/>
        <v>-0.24182761826068999</v>
      </c>
      <c r="EJ283" s="340">
        <f t="shared" si="269"/>
        <v>-0.10056657223796039</v>
      </c>
      <c r="EK283" s="321">
        <f t="shared" ref="EK283:EU283" si="270">(EK281/EF281)-1</f>
        <v>-6.9356170975405806E-2</v>
      </c>
      <c r="EL283" s="340">
        <f t="shared" si="270"/>
        <v>-0.14222197008913684</v>
      </c>
      <c r="EM283" s="340">
        <f t="shared" si="270"/>
        <v>-8.7239154762688287E-2</v>
      </c>
      <c r="EN283" s="340">
        <f t="shared" si="270"/>
        <v>-6.4771121173419877E-2</v>
      </c>
      <c r="EO283" s="340">
        <f t="shared" si="270"/>
        <v>-0.10749411238367934</v>
      </c>
      <c r="EP283" s="321">
        <f t="shared" si="270"/>
        <v>-0.10521410542945298</v>
      </c>
      <c r="EQ283" s="340">
        <f t="shared" si="270"/>
        <v>1.2548283133910987E-2</v>
      </c>
      <c r="ER283" s="340">
        <f t="shared" si="270"/>
        <v>-4.940000000000011E-2</v>
      </c>
      <c r="ES283" s="340">
        <f t="shared" si="270"/>
        <v>-3.0000000000000138E-2</v>
      </c>
      <c r="ET283" s="340">
        <f t="shared" si="270"/>
        <v>0</v>
      </c>
      <c r="EU283" s="321">
        <f t="shared" si="270"/>
        <v>-1.4919780147825246E-2</v>
      </c>
      <c r="EV283" s="668"/>
      <c r="EW283" s="668"/>
      <c r="EX283" s="668"/>
      <c r="EY283" s="668"/>
      <c r="EZ283" s="668"/>
      <c r="FA283" s="668"/>
      <c r="FB283" s="668"/>
      <c r="FC283" s="668"/>
      <c r="FD283" s="668"/>
      <c r="FE283" s="668"/>
      <c r="FF283" s="668"/>
      <c r="FG283" s="668"/>
      <c r="FH283" s="668"/>
      <c r="FI283" s="668"/>
      <c r="FJ283" s="668"/>
      <c r="FK283" s="668"/>
      <c r="FL283" s="668"/>
      <c r="FM283" s="668"/>
      <c r="FN283" s="668"/>
      <c r="FO283" s="668"/>
      <c r="FP283" s="668"/>
      <c r="FQ283" s="668"/>
      <c r="FR283" s="668"/>
      <c r="FS283" s="668"/>
      <c r="FT283" s="668"/>
      <c r="FU283" s="668"/>
      <c r="FV283" s="668"/>
      <c r="FW283" s="668"/>
      <c r="FX283" s="668"/>
      <c r="FY283" s="668"/>
      <c r="FZ283" s="668"/>
      <c r="GA283" s="668"/>
      <c r="GB283" s="668"/>
      <c r="GC283" s="668"/>
      <c r="GD283" s="668"/>
      <c r="GE283" s="668"/>
      <c r="GF283" s="668"/>
      <c r="GG283" s="668"/>
      <c r="GH283" s="668"/>
      <c r="GI283" s="668"/>
      <c r="GJ283" s="668"/>
      <c r="GK283" s="668"/>
      <c r="GL283" s="668"/>
      <c r="GM283" s="668"/>
      <c r="GN283" s="668"/>
      <c r="GO283" s="668"/>
      <c r="GP283" s="668"/>
      <c r="GQ283" s="668"/>
      <c r="GR283" s="668"/>
      <c r="GS283" s="668"/>
      <c r="GT283" s="668"/>
      <c r="GU283" s="668"/>
      <c r="GV283" s="668"/>
      <c r="GW283" s="668"/>
      <c r="GX283" s="668"/>
      <c r="GY283" s="668"/>
      <c r="GZ283" s="668"/>
      <c r="HA283" s="668"/>
      <c r="HB283" s="668"/>
      <c r="HC283" s="668"/>
      <c r="HD283" s="668"/>
      <c r="HE283" s="668"/>
      <c r="HF283" s="668"/>
      <c r="HG283" s="668"/>
      <c r="HH283" s="668"/>
      <c r="HI283" s="668"/>
      <c r="HJ283" s="668"/>
      <c r="HK283" s="668"/>
      <c r="HL283" s="668"/>
      <c r="HM283" s="668"/>
      <c r="HN283" s="668"/>
      <c r="HO283" s="344"/>
      <c r="HP283" s="293"/>
      <c r="HQ283" s="342"/>
      <c r="HR283" s="293"/>
      <c r="HS283" s="343"/>
      <c r="HT283" s="563"/>
      <c r="HU283" s="563"/>
      <c r="HV283" s="563"/>
      <c r="HW283" s="563"/>
      <c r="HX283" s="563"/>
    </row>
    <row r="284" spans="1:236" s="509" customFormat="1" ht="15" hidden="1" customHeight="1" outlineLevel="1">
      <c r="A284" s="683" t="s">
        <v>520</v>
      </c>
      <c r="B284" s="684"/>
      <c r="C284" s="684"/>
      <c r="D284" s="684"/>
      <c r="E284" s="684"/>
      <c r="F284" s="684"/>
      <c r="G284" s="684"/>
      <c r="H284" s="684"/>
      <c r="I284" s="684"/>
      <c r="J284" s="684"/>
      <c r="K284" s="684"/>
      <c r="L284" s="685"/>
      <c r="M284" s="685"/>
      <c r="N284" s="685"/>
      <c r="O284" s="685"/>
      <c r="P284" s="686"/>
      <c r="Q284" s="687"/>
      <c r="R284" s="687"/>
      <c r="S284" s="687"/>
      <c r="T284" s="687"/>
      <c r="U284" s="688"/>
      <c r="V284" s="687"/>
      <c r="W284" s="687"/>
      <c r="X284" s="687"/>
      <c r="Y284" s="687"/>
      <c r="Z284" s="688"/>
      <c r="AA284" s="687"/>
      <c r="AB284" s="687"/>
      <c r="AC284" s="687"/>
      <c r="AD284" s="687"/>
      <c r="AE284" s="688"/>
      <c r="AF284" s="685"/>
      <c r="AG284" s="685"/>
      <c r="AH284" s="685"/>
      <c r="AI284" s="685"/>
      <c r="AJ284" s="688"/>
      <c r="AK284" s="685"/>
      <c r="AL284" s="685"/>
      <c r="AM284" s="685"/>
      <c r="AN284" s="685"/>
      <c r="AO284" s="688"/>
      <c r="AP284" s="685"/>
      <c r="AQ284" s="685"/>
      <c r="AR284" s="685"/>
      <c r="AS284" s="685"/>
      <c r="AT284" s="688"/>
      <c r="AU284" s="685"/>
      <c r="AV284" s="685"/>
      <c r="AW284" s="685"/>
      <c r="AX284" s="685"/>
      <c r="AY284" s="688"/>
      <c r="AZ284" s="685"/>
      <c r="BA284" s="685"/>
      <c r="BB284" s="685"/>
      <c r="BC284" s="685"/>
      <c r="BD284" s="688"/>
      <c r="BE284" s="685"/>
      <c r="BF284" s="685"/>
      <c r="BG284" s="685"/>
      <c r="BH284" s="685"/>
      <c r="BI284" s="688"/>
      <c r="BJ284" s="685"/>
      <c r="BK284" s="685"/>
      <c r="BL284" s="685"/>
      <c r="BM284" s="685"/>
      <c r="BN284" s="688"/>
      <c r="BO284" s="685"/>
      <c r="BP284" s="685"/>
      <c r="BQ284" s="685"/>
      <c r="BR284" s="685"/>
      <c r="BS284" s="688"/>
      <c r="BT284" s="695"/>
      <c r="BU284" s="695">
        <v>0.63</v>
      </c>
      <c r="BV284" s="799">
        <v>6.4779999999999998</v>
      </c>
      <c r="BW284" s="799">
        <v>10.68066</v>
      </c>
      <c r="BX284" s="690">
        <f>SUM(BT284:BW284)</f>
        <v>17.78866</v>
      </c>
      <c r="BY284" s="695">
        <v>17.399999999999999</v>
      </c>
      <c r="BZ284" s="695">
        <v>8.8230000000000004</v>
      </c>
      <c r="CA284" s="799">
        <v>8.8450000000000006</v>
      </c>
      <c r="CB284" s="799">
        <v>9.0519999999999996</v>
      </c>
      <c r="CC284" s="690">
        <f>SUM(BY284:CB284)</f>
        <v>44.12</v>
      </c>
      <c r="CD284" s="695">
        <v>9.234</v>
      </c>
      <c r="CE284" s="695">
        <v>9.2639999999999993</v>
      </c>
      <c r="CF284" s="799">
        <v>15.333</v>
      </c>
      <c r="CG284" s="799">
        <v>22.07</v>
      </c>
      <c r="CH284" s="690">
        <f>SUM(CD284:CG284)</f>
        <v>55.900999999999996</v>
      </c>
      <c r="CI284" s="695">
        <v>43.250999999999998</v>
      </c>
      <c r="CJ284" s="695">
        <v>64.063999999999993</v>
      </c>
      <c r="CK284" s="799">
        <v>60.668999999999997</v>
      </c>
      <c r="CL284" s="799">
        <v>80.084999999999994</v>
      </c>
      <c r="CM284" s="691">
        <f>SUM(CI284:CL284)</f>
        <v>248.06899999999996</v>
      </c>
      <c r="CN284" s="800">
        <f>(CN278*CN281)/1000</f>
        <v>87.504999999999995</v>
      </c>
      <c r="CO284" s="800">
        <f>(CO278*CO281)/1000</f>
        <v>166.2645</v>
      </c>
      <c r="CP284" s="800">
        <f>(CP278*CP281)/1000</f>
        <v>181.72725</v>
      </c>
      <c r="CQ284" s="800">
        <f>(CQ278*CQ281)/1000</f>
        <v>254.50499999999994</v>
      </c>
      <c r="CR284" s="691">
        <f>SUM(CN284:CQ284)</f>
        <v>690.0017499999999</v>
      </c>
      <c r="CS284" s="800">
        <f>(CS278*CS281)/1000</f>
        <v>274.75000000000017</v>
      </c>
      <c r="CT284" s="800">
        <f>(CT278*CT281)/1000</f>
        <v>340.41525000000019</v>
      </c>
      <c r="CU284" s="800">
        <f>(CU278*CU281)/1000</f>
        <v>366.42501759150014</v>
      </c>
      <c r="CV284" s="800">
        <f>(CV278*CV281)/1000</f>
        <v>250.84540641770113</v>
      </c>
      <c r="CW284" s="691">
        <f>SUM(CS284:CV284)</f>
        <v>1232.4356740092016</v>
      </c>
      <c r="CX284" s="800">
        <f>(CX278*CX281)/1000</f>
        <v>145.58351315789474</v>
      </c>
      <c r="CY284" s="800">
        <f>(CY278*CY281)/1000</f>
        <v>162.33881578947367</v>
      </c>
      <c r="CZ284" s="800">
        <f>(CZ278*CZ281)/1000</f>
        <v>157.72784210526314</v>
      </c>
      <c r="DA284" s="800">
        <f>(DA278*DA281)/1000</f>
        <v>169.99684999999999</v>
      </c>
      <c r="DB284" s="691">
        <f>SUM(CX284:DA284)</f>
        <v>635.64702105263154</v>
      </c>
      <c r="DC284" s="800">
        <f>(DC278*DC281)/1000</f>
        <v>144.46625</v>
      </c>
      <c r="DD284" s="800">
        <f>(DD278*DD281)/1000</f>
        <v>149.64760000000001</v>
      </c>
      <c r="DE284" s="800">
        <f>(DE278*DE281)/1000</f>
        <v>177.40375</v>
      </c>
      <c r="DF284" s="800">
        <f>(DF278*DF281)/1000</f>
        <v>134.97325000000001</v>
      </c>
      <c r="DG284" s="691">
        <f>SUM(DC284:DF284)</f>
        <v>606.49085000000002</v>
      </c>
      <c r="DH284" s="800">
        <f>(DH278*DH281)/1000</f>
        <v>117.962</v>
      </c>
      <c r="DI284" s="800">
        <f>(DI278*DI281)/1000</f>
        <v>107.91789999999999</v>
      </c>
      <c r="DJ284" s="800">
        <f>(DJ278*DJ281)/1000</f>
        <v>117.33143201284797</v>
      </c>
      <c r="DK284" s="800">
        <f>(DK278*DK281)/1000</f>
        <v>145.59089025695931</v>
      </c>
      <c r="DL284" s="691">
        <f>SUM(DH284:DK284)</f>
        <v>488.80222226980726</v>
      </c>
      <c r="DM284" s="800">
        <f>(DM278*DM281)/1000</f>
        <v>130.61860539845756</v>
      </c>
      <c r="DN284" s="800">
        <f>(DN278*DN281)/1000</f>
        <v>139.99449999999999</v>
      </c>
      <c r="DO284" s="800">
        <f>(DO278*DO281)/1000</f>
        <v>139.18700000000001</v>
      </c>
      <c r="DP284" s="800">
        <f>(DP278*DP281)/1000</f>
        <v>120.33710000000001</v>
      </c>
      <c r="DQ284" s="691">
        <f>SUM(DM284:DP284)</f>
        <v>530.13720539845758</v>
      </c>
      <c r="DR284" s="800">
        <f>(DR278*DR281)/1000</f>
        <v>109.16134999999997</v>
      </c>
      <c r="DS284" s="800">
        <f>(DS278*DS281)/1000</f>
        <v>82.214449999999999</v>
      </c>
      <c r="DT284" s="800">
        <f>(DT278*DT281)/1000</f>
        <v>104.14160000000001</v>
      </c>
      <c r="DU284" s="800">
        <f>(DU278*DU281)/1000</f>
        <v>116.901</v>
      </c>
      <c r="DV284" s="691">
        <f>SUM(DR284:DU284)</f>
        <v>412.41839999999996</v>
      </c>
      <c r="DW284" s="800">
        <f>(DW278*DW281)/1000</f>
        <v>114.12725</v>
      </c>
      <c r="DX284" s="800">
        <f>(DX278*DX281)/1000</f>
        <v>89.157749999999993</v>
      </c>
      <c r="DY284" s="800">
        <f>(DY278*DY281)/1000</f>
        <v>64.790000000000006</v>
      </c>
      <c r="DZ284" s="800">
        <f>(DZ278*DZ281)/1000</f>
        <v>55.885249999999999</v>
      </c>
      <c r="EA284" s="691">
        <f>SUM(DW284:DZ284)</f>
        <v>323.96024999999997</v>
      </c>
      <c r="EB284" s="801">
        <f>(EB278*EB281)/1000</f>
        <v>65.94</v>
      </c>
      <c r="EC284" s="800">
        <f>(EC278*EC281)/1000</f>
        <v>75.992000000000004</v>
      </c>
      <c r="ED284" s="800">
        <f>(ED278*ED281)/1000</f>
        <v>67.98</v>
      </c>
      <c r="EE284" s="800">
        <f>(EE278*EE281)/1000</f>
        <v>54.009</v>
      </c>
      <c r="EF284" s="691">
        <f>SUM(EB284:EE284)</f>
        <v>263.92100000000005</v>
      </c>
      <c r="EG284" s="800">
        <f>(EG278*EG281)/1000</f>
        <v>39.803750000000001</v>
      </c>
      <c r="EH284" s="800">
        <f>(EH278*EH281)/1000</f>
        <v>36.251249999999999</v>
      </c>
      <c r="EI284" s="800">
        <f>(EI278*EI281)/1000</f>
        <v>29.362499999999997</v>
      </c>
      <c r="EJ284" s="800">
        <f>(EJ278*EJ281)/1000</f>
        <v>23.177499999999998</v>
      </c>
      <c r="EK284" s="691">
        <f>SUM(EG284:EJ284)</f>
        <v>128.595</v>
      </c>
      <c r="EL284" s="800">
        <f>(EL278*EL281)/1000</f>
        <v>17.35125</v>
      </c>
      <c r="EM284" s="800">
        <f>(EM278*EM281)/1000</f>
        <v>13.116250000000003</v>
      </c>
      <c r="EN284" s="800">
        <f>(EN278*EN281)/1000</f>
        <v>8.7640397727272745</v>
      </c>
      <c r="EO284" s="800">
        <f>(EO278*EO281)/1000</f>
        <v>7.2259507926136362</v>
      </c>
      <c r="EP284" s="691">
        <f>SUM(EL284:EO284)</f>
        <v>46.457490565340912</v>
      </c>
      <c r="EQ284" s="800">
        <f>(EQ278*EQ281)/1000</f>
        <v>7.2259507926136362</v>
      </c>
      <c r="ER284" s="800">
        <f>(ER278*ER281)/1000</f>
        <v>6.8646532529829534</v>
      </c>
      <c r="ES284" s="800">
        <f>(ES278*ES281)/1000</f>
        <v>6.8646532529829534</v>
      </c>
      <c r="ET284" s="800">
        <f>(ET278*ET281)/1000</f>
        <v>7.2078859156321018</v>
      </c>
      <c r="EU284" s="691">
        <f>SUM(EQ284:ET284)</f>
        <v>28.163143214211644</v>
      </c>
      <c r="EV284" s="668"/>
      <c r="EW284" s="668"/>
      <c r="EX284" s="668"/>
      <c r="EY284" s="668"/>
      <c r="EZ284" s="668"/>
      <c r="FA284" s="668"/>
      <c r="FB284" s="668"/>
      <c r="FC284" s="668"/>
      <c r="FD284" s="668"/>
      <c r="FE284" s="668"/>
      <c r="FF284" s="668"/>
      <c r="FG284" s="668"/>
      <c r="FH284" s="668"/>
      <c r="FI284" s="668"/>
      <c r="FJ284" s="668"/>
      <c r="FK284" s="668"/>
      <c r="FL284" s="668"/>
      <c r="FM284" s="668"/>
      <c r="FN284" s="668"/>
      <c r="FO284" s="668"/>
      <c r="FP284" s="668"/>
      <c r="FQ284" s="668"/>
      <c r="FR284" s="668"/>
      <c r="FS284" s="668"/>
      <c r="FT284" s="668"/>
      <c r="FU284" s="668"/>
      <c r="FV284" s="668"/>
      <c r="FW284" s="668"/>
      <c r="FX284" s="668"/>
      <c r="FY284" s="668"/>
      <c r="FZ284" s="668"/>
      <c r="GA284" s="668"/>
      <c r="GB284" s="668"/>
      <c r="GC284" s="668"/>
      <c r="GD284" s="668"/>
      <c r="GE284" s="668"/>
      <c r="GF284" s="668"/>
      <c r="GG284" s="668"/>
      <c r="GH284" s="668"/>
      <c r="GI284" s="668"/>
      <c r="GJ284" s="668"/>
      <c r="GK284" s="668"/>
      <c r="GL284" s="668"/>
      <c r="GM284" s="668"/>
      <c r="GN284" s="668"/>
      <c r="GO284" s="668"/>
      <c r="GP284" s="668"/>
      <c r="GQ284" s="668"/>
      <c r="GR284" s="668"/>
      <c r="GS284" s="668"/>
      <c r="GT284" s="668"/>
      <c r="GU284" s="668"/>
      <c r="GV284" s="668"/>
      <c r="GW284" s="668"/>
      <c r="GX284" s="668"/>
      <c r="GY284" s="668"/>
      <c r="GZ284" s="668"/>
      <c r="HA284" s="668"/>
      <c r="HB284" s="668"/>
      <c r="HC284" s="668"/>
      <c r="HD284" s="668"/>
      <c r="HE284" s="668"/>
      <c r="HF284" s="668"/>
      <c r="HG284" s="668"/>
      <c r="HH284" s="668"/>
      <c r="HI284" s="668"/>
      <c r="HJ284" s="668"/>
      <c r="HK284" s="668"/>
      <c r="HL284" s="668"/>
      <c r="HM284" s="668"/>
      <c r="HN284" s="668"/>
      <c r="HO284" s="648"/>
      <c r="HP284" s="693"/>
      <c r="HQ284" s="670"/>
      <c r="HR284" s="693"/>
      <c r="HS284" s="682"/>
      <c r="HT284" s="563"/>
      <c r="HU284" s="563"/>
      <c r="HV284" s="563"/>
      <c r="HW284" s="563"/>
      <c r="HX284" s="563"/>
    </row>
    <row r="285" spans="1:236" s="509" customFormat="1" hidden="1" outlineLevel="1">
      <c r="A285" s="509" t="s">
        <v>488</v>
      </c>
      <c r="L285" s="523"/>
      <c r="M285" s="523"/>
      <c r="N285" s="523"/>
      <c r="O285" s="523"/>
      <c r="P285" s="524"/>
      <c r="Q285" s="619"/>
      <c r="R285" s="619"/>
      <c r="S285" s="619"/>
      <c r="T285" s="619"/>
      <c r="U285" s="541"/>
      <c r="V285" s="619"/>
      <c r="W285" s="619"/>
      <c r="X285" s="619"/>
      <c r="Y285" s="619"/>
      <c r="Z285" s="541"/>
      <c r="AA285" s="619"/>
      <c r="AB285" s="619"/>
      <c r="AC285" s="619"/>
      <c r="AD285" s="619"/>
      <c r="AE285" s="541"/>
      <c r="AF285" s="523"/>
      <c r="AG285" s="523"/>
      <c r="AH285" s="523"/>
      <c r="AI285" s="523"/>
      <c r="AJ285" s="541"/>
      <c r="AK285" s="523"/>
      <c r="AL285" s="523"/>
      <c r="AM285" s="523"/>
      <c r="AN285" s="523"/>
      <c r="AO285" s="541"/>
      <c r="AP285" s="523"/>
      <c r="AQ285" s="523"/>
      <c r="AR285" s="523"/>
      <c r="AS285" s="523"/>
      <c r="AT285" s="541"/>
      <c r="AU285" s="523"/>
      <c r="AV285" s="523"/>
      <c r="AW285" s="523"/>
      <c r="AX285" s="523"/>
      <c r="AY285" s="541"/>
      <c r="AZ285" s="523"/>
      <c r="BA285" s="523"/>
      <c r="BB285" s="523"/>
      <c r="BC285" s="523"/>
      <c r="BD285" s="541"/>
      <c r="BE285" s="523"/>
      <c r="BF285" s="523"/>
      <c r="BG285" s="523"/>
      <c r="BH285" s="523"/>
      <c r="BI285" s="541"/>
      <c r="BJ285" s="523"/>
      <c r="BK285" s="523"/>
      <c r="BL285" s="523"/>
      <c r="BM285" s="523"/>
      <c r="BN285" s="541"/>
      <c r="BO285" s="523"/>
      <c r="BP285" s="523"/>
      <c r="BQ285" s="523"/>
      <c r="BR285" s="523"/>
      <c r="BS285" s="541"/>
      <c r="BT285" s="648" t="s">
        <v>199</v>
      </c>
      <c r="BU285" s="340" t="e">
        <f>(BU284/BT284)-1</f>
        <v>#DIV/0!</v>
      </c>
      <c r="BV285" s="340">
        <f>(BV284/BU284)-1</f>
        <v>9.2825396825396815</v>
      </c>
      <c r="BW285" s="340">
        <f>(BW284/BV284)-1</f>
        <v>0.64875887619635697</v>
      </c>
      <c r="BX285" s="648" t="s">
        <v>199</v>
      </c>
      <c r="BY285" s="340">
        <f>(BY284/BW284)-1</f>
        <v>0.62911280763548305</v>
      </c>
      <c r="BZ285" s="340">
        <f>(BZ284/BY284)-1</f>
        <v>-0.49293103448275855</v>
      </c>
      <c r="CA285" s="340">
        <f>(CA284/BZ284)-1</f>
        <v>2.4934829423099991E-3</v>
      </c>
      <c r="CB285" s="340">
        <f>(CB284/CA284)-1</f>
        <v>2.3403052572074534E-2</v>
      </c>
      <c r="CC285" s="648" t="s">
        <v>199</v>
      </c>
      <c r="CD285" s="340">
        <f>(CD284/CB284)-1</f>
        <v>2.0106053910738053E-2</v>
      </c>
      <c r="CE285" s="340">
        <f>(CE284/CD284)-1</f>
        <v>3.2488628979856493E-3</v>
      </c>
      <c r="CF285" s="340">
        <f>(CF284/CE284)-1</f>
        <v>0.65511658031088094</v>
      </c>
      <c r="CG285" s="340">
        <f>(CG284/CF284)-1</f>
        <v>0.43937911693732468</v>
      </c>
      <c r="CH285" s="648" t="s">
        <v>199</v>
      </c>
      <c r="CI285" s="340">
        <f>(CI284/CG284)-1</f>
        <v>0.95971907566832781</v>
      </c>
      <c r="CJ285" s="340">
        <f>(CJ284/CI284)-1</f>
        <v>0.48121430718364877</v>
      </c>
      <c r="CK285" s="340">
        <f>(CK284/CJ284)-1</f>
        <v>-5.2993881118881037E-2</v>
      </c>
      <c r="CL285" s="340">
        <f>(CL284/CK284)-1</f>
        <v>0.32003164713445087</v>
      </c>
      <c r="CM285" s="648" t="s">
        <v>199</v>
      </c>
      <c r="CN285" s="340">
        <f>(CN284/CL284)-1</f>
        <v>9.2651557719922506E-2</v>
      </c>
      <c r="CO285" s="340">
        <f>(CO284/CN284)-1</f>
        <v>0.90005713959202338</v>
      </c>
      <c r="CP285" s="340">
        <f>(CP284/CO284)-1</f>
        <v>9.3000911198722447E-2</v>
      </c>
      <c r="CQ285" s="340">
        <f>(CQ284/CP284)-1</f>
        <v>0.40047791401674737</v>
      </c>
      <c r="CR285" s="648" t="s">
        <v>199</v>
      </c>
      <c r="CS285" s="340">
        <f>(CS284/CQ284)-1</f>
        <v>7.9546570794287952E-2</v>
      </c>
      <c r="CT285" s="340">
        <f>(CT284/CS284)-1</f>
        <v>0.23899999999999988</v>
      </c>
      <c r="CU285" s="340">
        <f>(CU284/CT284)-1</f>
        <v>7.6405999999999752E-2</v>
      </c>
      <c r="CV285" s="340">
        <f>(CV284/CU284)-1</f>
        <v>-0.31542500000000018</v>
      </c>
      <c r="CW285" s="648" t="s">
        <v>199</v>
      </c>
      <c r="CX285" s="340">
        <f>(CX284/CV284)-1</f>
        <v>-0.41962854637460278</v>
      </c>
      <c r="CY285" s="340">
        <f>(CY284/CX284)-1</f>
        <v>0.11509066011758295</v>
      </c>
      <c r="CZ285" s="340">
        <f>(CZ284/CY284)-1</f>
        <v>-2.8403396081133181E-2</v>
      </c>
      <c r="DA285" s="340">
        <f>(DA284/CZ284)-1</f>
        <v>7.7785936401443045E-2</v>
      </c>
      <c r="DB285" s="648" t="s">
        <v>199</v>
      </c>
      <c r="DC285" s="340">
        <f>(DC284/DA284)-1</f>
        <v>-0.15018278279862241</v>
      </c>
      <c r="DD285" s="340">
        <f>(DD284/DC284)-1</f>
        <v>3.5865470308809266E-2</v>
      </c>
      <c r="DE285" s="340">
        <f>(DE284/DD284)-1</f>
        <v>0.18547674670358894</v>
      </c>
      <c r="DF285" s="340">
        <f>(DF284/DE284)-1</f>
        <v>-0.23917476378035973</v>
      </c>
      <c r="DG285" s="648" t="s">
        <v>199</v>
      </c>
      <c r="DH285" s="340">
        <f>(DH284/DF284)-1</f>
        <v>-0.12603423270907388</v>
      </c>
      <c r="DI285" s="340">
        <f>(DI284/DH284)-1</f>
        <v>-8.5146911717332796E-2</v>
      </c>
      <c r="DJ285" s="340">
        <f>(DJ284/DI284)-1</f>
        <v>8.7228643374713366E-2</v>
      </c>
      <c r="DK285" s="340">
        <f>(DK284/DJ284)-1</f>
        <v>0.24085155835323735</v>
      </c>
      <c r="DL285" s="648" t="s">
        <v>199</v>
      </c>
      <c r="DM285" s="340">
        <f>(DM284/DK284)-1</f>
        <v>-0.10283806103580073</v>
      </c>
      <c r="DN285" s="340">
        <f>(DN284/DM284)-1</f>
        <v>7.178069749666105E-2</v>
      </c>
      <c r="DO285" s="340">
        <f>(DO284/DN284)-1</f>
        <v>-5.7680837461470125E-3</v>
      </c>
      <c r="DP285" s="340">
        <f>(DP284/DO284)-1</f>
        <v>-0.13542859606141378</v>
      </c>
      <c r="DQ285" s="648" t="s">
        <v>199</v>
      </c>
      <c r="DR285" s="340">
        <f>(DR284/DP284)-1</f>
        <v>-9.2870361675659763E-2</v>
      </c>
      <c r="DS285" s="340">
        <f>(DS284/DR284)-1</f>
        <v>-0.24685385440909235</v>
      </c>
      <c r="DT285" s="340">
        <f>(DT284/DS284)-1</f>
        <v>0.26670676505164259</v>
      </c>
      <c r="DU285" s="340">
        <f>(DU284/DT284)-1</f>
        <v>0.12251972314617765</v>
      </c>
      <c r="DV285" s="648" t="s">
        <v>199</v>
      </c>
      <c r="DW285" s="340">
        <f>(DW284/DU284)-1</f>
        <v>-2.3727341938905466E-2</v>
      </c>
      <c r="DX285" s="340">
        <f>(DX284/DW284)-1</f>
        <v>-0.21878648613718465</v>
      </c>
      <c r="DY285" s="340">
        <f>(DY284/DX284)-1</f>
        <v>-0.27331050862095541</v>
      </c>
      <c r="DZ285" s="340">
        <f>(DZ284/DY284)-1</f>
        <v>-0.13744019138755992</v>
      </c>
      <c r="EA285" s="648" t="s">
        <v>199</v>
      </c>
      <c r="EB285" s="797">
        <f>(EB284/DZ284)-1</f>
        <v>0.17991777794677488</v>
      </c>
      <c r="EC285" s="340">
        <f>(EC284/EB284)-1</f>
        <v>0.15244161358811059</v>
      </c>
      <c r="ED285" s="340">
        <f>(ED284/EC284)-1</f>
        <v>-0.10543215075271084</v>
      </c>
      <c r="EE285" s="340">
        <f>(EE284/ED284)-1</f>
        <v>-0.2055163283318624</v>
      </c>
      <c r="EF285" s="648" t="s">
        <v>199</v>
      </c>
      <c r="EG285" s="340">
        <f>(EG284/EE284)-1</f>
        <v>-0.26301634912699734</v>
      </c>
      <c r="EH285" s="340">
        <f>(EH284/EG284)-1</f>
        <v>-8.9250384699934071E-2</v>
      </c>
      <c r="EI285" s="342">
        <f>(EI284/EH284)-1</f>
        <v>-0.19002793007137686</v>
      </c>
      <c r="EJ285" s="340">
        <f>(EJ284/EI284)-1</f>
        <v>-0.21064282673478074</v>
      </c>
      <c r="EK285" s="648" t="s">
        <v>199</v>
      </c>
      <c r="EL285" s="340">
        <f>(EL284/EJ284)-1</f>
        <v>-0.25137525617516987</v>
      </c>
      <c r="EM285" s="340">
        <f>(EM284/EL284)-1</f>
        <v>-0.24407463439233468</v>
      </c>
      <c r="EN285" s="340">
        <f>(EN284/EM284)-1</f>
        <v>-0.33181818181818179</v>
      </c>
      <c r="EO285" s="340">
        <f>(EO284/EN284)-1</f>
        <v>-0.17550000000000021</v>
      </c>
      <c r="EP285" s="648" t="s">
        <v>199</v>
      </c>
      <c r="EQ285" s="340">
        <f>(EQ284/EO284)-1</f>
        <v>0</v>
      </c>
      <c r="ER285" s="340">
        <f>(ER284/EQ284)-1</f>
        <v>-5.0000000000000155E-2</v>
      </c>
      <c r="ES285" s="340">
        <f>(ES284/ER284)-1</f>
        <v>0</v>
      </c>
      <c r="ET285" s="340">
        <f>(ET284/ES284)-1</f>
        <v>5.0000000000000044E-2</v>
      </c>
      <c r="EU285" s="648" t="s">
        <v>199</v>
      </c>
      <c r="EV285" s="668"/>
      <c r="EW285" s="668"/>
      <c r="EX285" s="668"/>
      <c r="EY285" s="668"/>
      <c r="EZ285" s="668"/>
      <c r="FA285" s="668"/>
      <c r="FB285" s="668"/>
      <c r="FC285" s="668"/>
      <c r="FD285" s="668"/>
      <c r="FE285" s="668"/>
      <c r="FF285" s="668"/>
      <c r="FG285" s="668"/>
      <c r="FH285" s="668"/>
      <c r="FI285" s="668"/>
      <c r="FJ285" s="668"/>
      <c r="FK285" s="668"/>
      <c r="FL285" s="668"/>
      <c r="FM285" s="668"/>
      <c r="FN285" s="668"/>
      <c r="FO285" s="668"/>
      <c r="FP285" s="668"/>
      <c r="FQ285" s="668"/>
      <c r="FR285" s="668"/>
      <c r="FS285" s="668"/>
      <c r="FT285" s="668"/>
      <c r="FU285" s="668"/>
      <c r="FV285" s="668"/>
      <c r="FW285" s="668"/>
      <c r="FX285" s="668"/>
      <c r="FY285" s="668"/>
      <c r="FZ285" s="668"/>
      <c r="GA285" s="668"/>
      <c r="GB285" s="668"/>
      <c r="GC285" s="668"/>
      <c r="GD285" s="668"/>
      <c r="GE285" s="668"/>
      <c r="GF285" s="668"/>
      <c r="GG285" s="668"/>
      <c r="GH285" s="668"/>
      <c r="GI285" s="668"/>
      <c r="GJ285" s="668"/>
      <c r="GK285" s="668"/>
      <c r="GL285" s="668"/>
      <c r="GM285" s="668"/>
      <c r="GN285" s="668"/>
      <c r="GO285" s="668"/>
      <c r="GP285" s="668"/>
      <c r="GQ285" s="668"/>
      <c r="GR285" s="668"/>
      <c r="GS285" s="668"/>
      <c r="GT285" s="668"/>
      <c r="GU285" s="668"/>
      <c r="GV285" s="668"/>
      <c r="GW285" s="668"/>
      <c r="GX285" s="668"/>
      <c r="GY285" s="668"/>
      <c r="GZ285" s="668"/>
      <c r="HA285" s="668"/>
      <c r="HB285" s="668"/>
      <c r="HC285" s="668"/>
      <c r="HD285" s="668"/>
      <c r="HE285" s="668"/>
      <c r="HF285" s="668"/>
      <c r="HG285" s="668"/>
      <c r="HH285" s="668"/>
      <c r="HI285" s="668"/>
      <c r="HJ285" s="668"/>
      <c r="HK285" s="668"/>
      <c r="HL285" s="668"/>
      <c r="HM285" s="668"/>
      <c r="HN285" s="668"/>
      <c r="HO285" s="648"/>
      <c r="HP285" s="293"/>
      <c r="HQ285" s="342"/>
      <c r="HR285" s="293"/>
      <c r="HS285" s="745"/>
      <c r="HT285" s="563"/>
      <c r="HU285" s="563"/>
      <c r="HV285" s="563"/>
      <c r="HW285" s="563"/>
      <c r="HX285" s="563"/>
    </row>
    <row r="286" spans="1:236" s="509" customFormat="1" hidden="1" outlineLevel="1">
      <c r="A286" s="509" t="s">
        <v>489</v>
      </c>
      <c r="L286" s="523"/>
      <c r="M286" s="523"/>
      <c r="N286" s="523"/>
      <c r="O286" s="523"/>
      <c r="P286" s="524"/>
      <c r="Q286" s="619"/>
      <c r="R286" s="619"/>
      <c r="S286" s="619"/>
      <c r="T286" s="619"/>
      <c r="U286" s="541"/>
      <c r="V286" s="619"/>
      <c r="W286" s="619"/>
      <c r="X286" s="619"/>
      <c r="Y286" s="619"/>
      <c r="Z286" s="541"/>
      <c r="AA286" s="619"/>
      <c r="AB286" s="619"/>
      <c r="AC286" s="619"/>
      <c r="AD286" s="619"/>
      <c r="AE286" s="541"/>
      <c r="AF286" s="523"/>
      <c r="AG286" s="523"/>
      <c r="AH286" s="523"/>
      <c r="AI286" s="523"/>
      <c r="AJ286" s="541"/>
      <c r="AK286" s="523"/>
      <c r="AL286" s="523"/>
      <c r="AM286" s="523"/>
      <c r="AN286" s="523"/>
      <c r="AO286" s="541"/>
      <c r="AP286" s="523"/>
      <c r="AQ286" s="523"/>
      <c r="AR286" s="523"/>
      <c r="AS286" s="523"/>
      <c r="AT286" s="541"/>
      <c r="AU286" s="523"/>
      <c r="AV286" s="523"/>
      <c r="AW286" s="523"/>
      <c r="AX286" s="523"/>
      <c r="AY286" s="541"/>
      <c r="AZ286" s="523"/>
      <c r="BA286" s="523"/>
      <c r="BB286" s="523"/>
      <c r="BC286" s="523"/>
      <c r="BD286" s="541"/>
      <c r="BE286" s="523"/>
      <c r="BF286" s="523"/>
      <c r="BG286" s="523"/>
      <c r="BH286" s="523"/>
      <c r="BI286" s="541"/>
      <c r="BJ286" s="523"/>
      <c r="BK286" s="523"/>
      <c r="BL286" s="523"/>
      <c r="BM286" s="523"/>
      <c r="BN286" s="541"/>
      <c r="BO286" s="523"/>
      <c r="BP286" s="523"/>
      <c r="BQ286" s="523"/>
      <c r="BR286" s="523"/>
      <c r="BS286" s="541"/>
      <c r="BT286" s="648" t="s">
        <v>199</v>
      </c>
      <c r="BU286" s="648" t="s">
        <v>199</v>
      </c>
      <c r="BV286" s="648" t="s">
        <v>199</v>
      </c>
      <c r="BW286" s="648" t="s">
        <v>199</v>
      </c>
      <c r="BX286" s="648" t="s">
        <v>199</v>
      </c>
      <c r="BY286" s="340" t="e">
        <f t="shared" ref="BY286:EJ286" si="271">(BY284/BT284)-1</f>
        <v>#DIV/0!</v>
      </c>
      <c r="BZ286" s="340">
        <f t="shared" si="271"/>
        <v>13.004761904761905</v>
      </c>
      <c r="CA286" s="340">
        <f t="shared" si="271"/>
        <v>0.36539055263970366</v>
      </c>
      <c r="CB286" s="340">
        <f t="shared" si="271"/>
        <v>-0.15248683133813834</v>
      </c>
      <c r="CC286" s="321">
        <f t="shared" si="271"/>
        <v>1.4802317881166989</v>
      </c>
      <c r="CD286" s="340">
        <f t="shared" si="271"/>
        <v>-0.46931034482758616</v>
      </c>
      <c r="CE286" s="340">
        <f t="shared" si="271"/>
        <v>4.9982998979938742E-2</v>
      </c>
      <c r="CF286" s="340">
        <f t="shared" si="271"/>
        <v>0.73352176370830957</v>
      </c>
      <c r="CG286" s="340">
        <f t="shared" si="271"/>
        <v>1.4381352187361909</v>
      </c>
      <c r="CH286" s="321">
        <f t="shared" si="271"/>
        <v>0.2670217588395285</v>
      </c>
      <c r="CI286" s="340">
        <f t="shared" si="271"/>
        <v>3.6838856400259905</v>
      </c>
      <c r="CJ286" s="340">
        <f t="shared" si="271"/>
        <v>5.9153713298791013</v>
      </c>
      <c r="CK286" s="340">
        <f t="shared" si="271"/>
        <v>2.9567599295636859</v>
      </c>
      <c r="CL286" s="340">
        <f t="shared" si="271"/>
        <v>2.6286814680561847</v>
      </c>
      <c r="CM286" s="321">
        <f t="shared" si="271"/>
        <v>3.4376487003810308</v>
      </c>
      <c r="CN286" s="340">
        <f t="shared" si="271"/>
        <v>1.0231902152551386</v>
      </c>
      <c r="CO286" s="340">
        <f t="shared" si="271"/>
        <v>1.5952875249750251</v>
      </c>
      <c r="CP286" s="340">
        <f t="shared" si="271"/>
        <v>1.9953889136132128</v>
      </c>
      <c r="CQ286" s="340">
        <f t="shared" si="271"/>
        <v>2.1779359430604979</v>
      </c>
      <c r="CR286" s="321">
        <f t="shared" si="271"/>
        <v>1.7814912383248211</v>
      </c>
      <c r="CS286" s="340">
        <f t="shared" si="271"/>
        <v>2.1398205816810489</v>
      </c>
      <c r="CT286" s="340">
        <f t="shared" si="271"/>
        <v>1.0474319533033221</v>
      </c>
      <c r="CU286" s="340">
        <f t="shared" si="271"/>
        <v>1.0163460218074074</v>
      </c>
      <c r="CV286" s="340">
        <f t="shared" si="271"/>
        <v>-1.4379260062862498E-2</v>
      </c>
      <c r="CW286" s="321">
        <f t="shared" si="271"/>
        <v>0.78613412793402593</v>
      </c>
      <c r="CX286" s="340">
        <f t="shared" si="271"/>
        <v>-0.47012370097217593</v>
      </c>
      <c r="CY286" s="340">
        <f t="shared" si="271"/>
        <v>-0.52311532521097814</v>
      </c>
      <c r="CZ286" s="340">
        <f t="shared" si="271"/>
        <v>-0.56954947251690624</v>
      </c>
      <c r="DA286" s="340">
        <f t="shared" si="271"/>
        <v>-0.32230431313170738</v>
      </c>
      <c r="DB286" s="321">
        <f t="shared" si="271"/>
        <v>-0.48423513335602641</v>
      </c>
      <c r="DC286" s="340">
        <f t="shared" si="271"/>
        <v>-7.6743796990459412E-3</v>
      </c>
      <c r="DD286" s="340">
        <f t="shared" si="271"/>
        <v>-7.8177333792628145E-2</v>
      </c>
      <c r="DE286" s="340">
        <f t="shared" si="271"/>
        <v>0.12474593979169324</v>
      </c>
      <c r="DF286" s="340">
        <f t="shared" si="271"/>
        <v>-0.20602499399253571</v>
      </c>
      <c r="DG286" s="321">
        <f t="shared" si="271"/>
        <v>-4.5868493184077042E-2</v>
      </c>
      <c r="DH286" s="340">
        <f t="shared" si="271"/>
        <v>-0.18346326564162907</v>
      </c>
      <c r="DI286" s="340">
        <f t="shared" si="271"/>
        <v>-0.27885311892740028</v>
      </c>
      <c r="DJ286" s="340">
        <f t="shared" si="271"/>
        <v>-0.3386192117537089</v>
      </c>
      <c r="DK286" s="340">
        <f t="shared" si="271"/>
        <v>7.8664774367952939E-2</v>
      </c>
      <c r="DL286" s="321">
        <f t="shared" si="271"/>
        <v>-0.1940484802535648</v>
      </c>
      <c r="DM286" s="340">
        <f t="shared" si="271"/>
        <v>0.10729392006288085</v>
      </c>
      <c r="DN286" s="340">
        <f t="shared" si="271"/>
        <v>0.29723150654340014</v>
      </c>
      <c r="DO286" s="340">
        <f t="shared" si="271"/>
        <v>0.18627206377877359</v>
      </c>
      <c r="DP286" s="340">
        <f t="shared" si="271"/>
        <v>-0.173457214337984</v>
      </c>
      <c r="DQ286" s="321">
        <f t="shared" si="271"/>
        <v>8.4563819977550025E-2</v>
      </c>
      <c r="DR286" s="340">
        <f t="shared" si="271"/>
        <v>-0.16427411189241636</v>
      </c>
      <c r="DS286" s="340">
        <f t="shared" si="271"/>
        <v>-0.41273085728367898</v>
      </c>
      <c r="DT286" s="340">
        <f t="shared" si="271"/>
        <v>-0.25178644557322161</v>
      </c>
      <c r="DU286" s="340">
        <f t="shared" si="271"/>
        <v>-2.8553953851306102E-2</v>
      </c>
      <c r="DV286" s="321">
        <f t="shared" si="271"/>
        <v>-0.22205346879960774</v>
      </c>
      <c r="DW286" s="340">
        <f t="shared" si="271"/>
        <v>4.5491375839525894E-2</v>
      </c>
      <c r="DX286" s="340">
        <f t="shared" si="271"/>
        <v>8.4453523681055964E-2</v>
      </c>
      <c r="DY286" s="340">
        <f t="shared" si="271"/>
        <v>-0.37786628974396397</v>
      </c>
      <c r="DZ286" s="340">
        <f t="shared" si="271"/>
        <v>-0.52194378149032084</v>
      </c>
      <c r="EA286" s="321">
        <f t="shared" si="271"/>
        <v>-0.2144864293154719</v>
      </c>
      <c r="EB286" s="797">
        <f t="shared" si="271"/>
        <v>-0.42222387729486166</v>
      </c>
      <c r="EC286" s="340">
        <f t="shared" si="271"/>
        <v>-0.14766803783182048</v>
      </c>
      <c r="ED286" s="340">
        <f t="shared" si="271"/>
        <v>4.9235993208828432E-2</v>
      </c>
      <c r="EE286" s="340">
        <f t="shared" si="271"/>
        <v>-3.3573259491547436E-2</v>
      </c>
      <c r="EF286" s="321">
        <f t="shared" si="271"/>
        <v>-0.18532906429106633</v>
      </c>
      <c r="EG286" s="340">
        <f t="shared" si="271"/>
        <v>-0.39636411889596601</v>
      </c>
      <c r="EH286" s="340">
        <f t="shared" si="271"/>
        <v>-0.52295965364775243</v>
      </c>
      <c r="EI286" s="342">
        <f t="shared" si="271"/>
        <v>-0.568071491615181</v>
      </c>
      <c r="EJ286" s="340">
        <f t="shared" si="271"/>
        <v>-0.57085856061026874</v>
      </c>
      <c r="EK286" s="321">
        <f t="shared" ref="EK286:EU286" si="272">(EK284/EF284)-1</f>
        <v>-0.5127519219766522</v>
      </c>
      <c r="EL286" s="340">
        <f t="shared" si="272"/>
        <v>-0.56408001758628268</v>
      </c>
      <c r="EM286" s="340">
        <f t="shared" si="272"/>
        <v>-0.63818489017620073</v>
      </c>
      <c r="EN286" s="340">
        <f t="shared" si="272"/>
        <v>-0.70152269824683611</v>
      </c>
      <c r="EO286" s="340">
        <f t="shared" si="272"/>
        <v>-0.68823424473676464</v>
      </c>
      <c r="EP286" s="321">
        <f t="shared" si="272"/>
        <v>-0.63873019506714168</v>
      </c>
      <c r="EQ286" s="340">
        <f t="shared" si="272"/>
        <v>-0.58354869000137533</v>
      </c>
      <c r="ER286" s="340">
        <f t="shared" si="272"/>
        <v>-0.47662988636363657</v>
      </c>
      <c r="ES286" s="340">
        <f t="shared" si="272"/>
        <v>-0.21672500000000028</v>
      </c>
      <c r="ET286" s="340">
        <f t="shared" si="272"/>
        <v>-2.5000000000000577E-3</v>
      </c>
      <c r="EU286" s="321">
        <f t="shared" si="272"/>
        <v>-0.39378681733570775</v>
      </c>
      <c r="EV286" s="668"/>
      <c r="EW286" s="668"/>
      <c r="EX286" s="668"/>
      <c r="EY286" s="668"/>
      <c r="EZ286" s="668"/>
      <c r="FA286" s="668"/>
      <c r="FB286" s="668"/>
      <c r="FC286" s="668"/>
      <c r="FD286" s="668"/>
      <c r="FE286" s="668"/>
      <c r="FF286" s="668"/>
      <c r="FG286" s="668"/>
      <c r="FH286" s="668"/>
      <c r="FI286" s="668"/>
      <c r="FJ286" s="668"/>
      <c r="FK286" s="668"/>
      <c r="FL286" s="668"/>
      <c r="FM286" s="668"/>
      <c r="FN286" s="668"/>
      <c r="FO286" s="668"/>
      <c r="FP286" s="668"/>
      <c r="FQ286" s="668"/>
      <c r="FR286" s="668"/>
      <c r="FS286" s="668"/>
      <c r="FT286" s="668"/>
      <c r="FU286" s="668"/>
      <c r="FV286" s="668"/>
      <c r="FW286" s="668"/>
      <c r="FX286" s="668"/>
      <c r="FY286" s="668"/>
      <c r="FZ286" s="668"/>
      <c r="GA286" s="668"/>
      <c r="GB286" s="668"/>
      <c r="GC286" s="668"/>
      <c r="GD286" s="668"/>
      <c r="GE286" s="668"/>
      <c r="GF286" s="668"/>
      <c r="GG286" s="668"/>
      <c r="GH286" s="668"/>
      <c r="GI286" s="668"/>
      <c r="GJ286" s="668"/>
      <c r="GK286" s="668"/>
      <c r="GL286" s="668"/>
      <c r="GM286" s="668"/>
      <c r="GN286" s="668"/>
      <c r="GO286" s="668"/>
      <c r="GP286" s="668"/>
      <c r="GQ286" s="668"/>
      <c r="GR286" s="668"/>
      <c r="GS286" s="668"/>
      <c r="GT286" s="668"/>
      <c r="GU286" s="668"/>
      <c r="GV286" s="668"/>
      <c r="GW286" s="668"/>
      <c r="GX286" s="668"/>
      <c r="GY286" s="668"/>
      <c r="GZ286" s="668"/>
      <c r="HA286" s="668"/>
      <c r="HB286" s="668"/>
      <c r="HC286" s="668"/>
      <c r="HD286" s="668"/>
      <c r="HE286" s="668"/>
      <c r="HF286" s="668"/>
      <c r="HG286" s="668"/>
      <c r="HH286" s="668"/>
      <c r="HI286" s="668"/>
      <c r="HJ286" s="668"/>
      <c r="HK286" s="668"/>
      <c r="HL286" s="668"/>
      <c r="HM286" s="668"/>
      <c r="HN286" s="668"/>
      <c r="HO286" s="344"/>
      <c r="HP286" s="293"/>
      <c r="HQ286" s="342"/>
      <c r="HR286" s="293"/>
      <c r="HS286" s="353"/>
      <c r="HT286" s="563"/>
      <c r="HU286" s="563"/>
      <c r="HV286" s="563"/>
      <c r="HW286" s="563"/>
      <c r="HX286" s="563"/>
    </row>
    <row r="287" spans="1:236" s="563" customFormat="1" hidden="1" outlineLevel="1">
      <c r="A287" s="509"/>
      <c r="B287" s="509"/>
      <c r="C287" s="509"/>
      <c r="D287" s="509"/>
      <c r="E287" s="509"/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09"/>
      <c r="AC287" s="509"/>
      <c r="AD287" s="509"/>
      <c r="AE287" s="509"/>
      <c r="AF287" s="509"/>
      <c r="AG287" s="509"/>
      <c r="AH287" s="509"/>
      <c r="AI287" s="509"/>
      <c r="AJ287" s="509"/>
      <c r="AK287" s="509"/>
      <c r="AL287" s="509"/>
      <c r="AM287" s="509"/>
      <c r="AN287" s="509"/>
      <c r="AO287" s="538"/>
      <c r="AP287" s="509"/>
      <c r="AQ287" s="509"/>
      <c r="AR287" s="509"/>
      <c r="AS287" s="509"/>
      <c r="AT287" s="538"/>
      <c r="AU287" s="509"/>
      <c r="AV287" s="509"/>
      <c r="AW287" s="509"/>
      <c r="AX287" s="509"/>
      <c r="AY287" s="538"/>
      <c r="AZ287" s="509"/>
      <c r="BA287" s="509"/>
      <c r="BB287" s="509"/>
      <c r="BC287" s="509"/>
      <c r="BD287" s="538"/>
      <c r="BE287" s="509"/>
      <c r="BF287" s="509"/>
      <c r="BG287" s="509"/>
      <c r="BH287" s="509"/>
      <c r="BI287" s="538"/>
      <c r="BJ287" s="509"/>
      <c r="BK287" s="509"/>
      <c r="BL287" s="509"/>
      <c r="BM287" s="509"/>
      <c r="BN287" s="538"/>
      <c r="BO287" s="509"/>
      <c r="BP287" s="509"/>
      <c r="BQ287" s="509"/>
      <c r="BR287" s="509"/>
      <c r="BS287" s="538"/>
      <c r="BT287" s="509"/>
      <c r="BU287" s="509"/>
      <c r="BV287" s="509"/>
      <c r="BW287" s="509"/>
      <c r="BX287" s="538"/>
      <c r="BY287" s="509"/>
      <c r="BZ287" s="509"/>
      <c r="CA287" s="509"/>
      <c r="CB287" s="509"/>
      <c r="CC287" s="538"/>
      <c r="CD287" s="509"/>
      <c r="CE287" s="509"/>
      <c r="CF287" s="509"/>
      <c r="CG287" s="509"/>
      <c r="CH287" s="538"/>
      <c r="CI287" s="509"/>
      <c r="CJ287" s="509"/>
      <c r="CK287" s="509"/>
      <c r="CL287" s="509"/>
      <c r="CM287" s="538"/>
      <c r="CN287" s="509"/>
      <c r="CO287" s="509"/>
      <c r="CP287" s="509"/>
      <c r="CQ287" s="509"/>
      <c r="CR287" s="509"/>
      <c r="CS287" s="509"/>
      <c r="CT287" s="509"/>
      <c r="CU287" s="509"/>
      <c r="CV287" s="701"/>
      <c r="CW287" s="701"/>
      <c r="CX287" s="701"/>
      <c r="CY287" s="701"/>
      <c r="CZ287" s="701"/>
      <c r="DA287" s="701"/>
      <c r="DB287" s="701"/>
      <c r="DC287" s="294"/>
      <c r="DD287" s="294"/>
      <c r="DE287" s="294"/>
      <c r="DF287" s="294"/>
      <c r="DG287" s="344"/>
      <c r="DH287" s="294"/>
      <c r="DI287" s="294"/>
      <c r="DJ287" s="294"/>
      <c r="DK287" s="294"/>
      <c r="DL287" s="344"/>
      <c r="DM287" s="294"/>
      <c r="DN287" s="294"/>
      <c r="DO287" s="294"/>
      <c r="DP287" s="294"/>
      <c r="DQ287" s="344"/>
      <c r="DR287" s="294"/>
      <c r="DS287" s="294"/>
      <c r="DT287" s="294"/>
      <c r="DU287" s="294"/>
      <c r="DV287" s="344"/>
      <c r="DW287" s="294"/>
      <c r="DX287" s="294"/>
      <c r="DY287" s="294"/>
      <c r="DZ287" s="294"/>
      <c r="EA287" s="344"/>
      <c r="EB287" s="774"/>
      <c r="EC287" s="294"/>
      <c r="ED287" s="294"/>
      <c r="EE287" s="294"/>
      <c r="EF287" s="344"/>
      <c r="EG287" s="294"/>
      <c r="EH287" s="294"/>
      <c r="EI287" s="294"/>
      <c r="EJ287" s="294"/>
      <c r="EK287" s="344"/>
      <c r="EL287" s="294"/>
      <c r="EM287" s="294"/>
      <c r="EN287" s="294"/>
      <c r="EO287" s="294"/>
      <c r="EP287" s="344"/>
      <c r="EQ287" s="294"/>
      <c r="ER287" s="294"/>
      <c r="ES287" s="294"/>
      <c r="ET287" s="294"/>
      <c r="EU287" s="344"/>
      <c r="EV287" s="668"/>
      <c r="EW287" s="668"/>
      <c r="EX287" s="668"/>
      <c r="EY287" s="668"/>
      <c r="EZ287" s="668"/>
      <c r="FA287" s="668"/>
      <c r="FB287" s="668"/>
      <c r="FC287" s="668"/>
      <c r="FD287" s="668"/>
      <c r="FE287" s="668"/>
      <c r="FF287" s="668"/>
      <c r="FG287" s="668"/>
      <c r="FH287" s="668"/>
      <c r="FI287" s="668"/>
      <c r="FJ287" s="668"/>
      <c r="FK287" s="668"/>
      <c r="FL287" s="668"/>
      <c r="FM287" s="668"/>
      <c r="FN287" s="668"/>
      <c r="FO287" s="668"/>
      <c r="FP287" s="668"/>
      <c r="FQ287" s="668"/>
      <c r="FR287" s="668"/>
      <c r="FS287" s="668"/>
      <c r="FT287" s="668"/>
      <c r="FU287" s="668"/>
      <c r="FV287" s="668"/>
      <c r="FW287" s="668"/>
      <c r="FX287" s="668"/>
      <c r="FY287" s="668"/>
      <c r="FZ287" s="668"/>
      <c r="GA287" s="668"/>
      <c r="GB287" s="668"/>
      <c r="GC287" s="668"/>
      <c r="GD287" s="668"/>
      <c r="GE287" s="668"/>
      <c r="GF287" s="668"/>
      <c r="GG287" s="668"/>
      <c r="GH287" s="668"/>
      <c r="GI287" s="668"/>
      <c r="GJ287" s="668"/>
      <c r="GK287" s="668"/>
      <c r="GL287" s="668"/>
      <c r="GM287" s="668"/>
      <c r="GN287" s="668"/>
      <c r="GO287" s="668"/>
      <c r="GP287" s="668"/>
      <c r="GQ287" s="668"/>
      <c r="GR287" s="668"/>
      <c r="GS287" s="668"/>
      <c r="GT287" s="668"/>
      <c r="GU287" s="668"/>
      <c r="GV287" s="668"/>
      <c r="GW287" s="668"/>
      <c r="GX287" s="668"/>
      <c r="GY287" s="668"/>
      <c r="GZ287" s="668"/>
      <c r="HA287" s="668"/>
      <c r="HB287" s="668"/>
      <c r="HC287" s="668"/>
      <c r="HD287" s="668"/>
      <c r="HE287" s="668"/>
      <c r="HF287" s="668"/>
      <c r="HG287" s="668"/>
      <c r="HH287" s="668"/>
      <c r="HI287" s="668"/>
      <c r="HJ287" s="668"/>
      <c r="HK287" s="668"/>
      <c r="HL287" s="668"/>
      <c r="HM287" s="668"/>
      <c r="HN287" s="668"/>
      <c r="HO287" s="344"/>
      <c r="HQ287" s="509"/>
      <c r="HY287" s="509"/>
      <c r="HZ287" s="509"/>
      <c r="IA287" s="509"/>
      <c r="IB287" s="509"/>
    </row>
    <row r="288" spans="1:236" s="563" customFormat="1" ht="15" hidden="1" customHeight="1" outlineLevel="1">
      <c r="A288" s="717" t="s">
        <v>521</v>
      </c>
      <c r="B288" s="684"/>
      <c r="C288" s="684"/>
      <c r="D288" s="684"/>
      <c r="E288" s="684"/>
      <c r="F288" s="684"/>
      <c r="G288" s="684"/>
      <c r="H288" s="684"/>
      <c r="I288" s="684"/>
      <c r="J288" s="684"/>
      <c r="K288" s="684"/>
      <c r="L288" s="684"/>
      <c r="M288" s="684"/>
      <c r="N288" s="684"/>
      <c r="O288" s="684"/>
      <c r="P288" s="684"/>
      <c r="Q288" s="684"/>
      <c r="R288" s="684"/>
      <c r="S288" s="684"/>
      <c r="T288" s="684"/>
      <c r="U288" s="684"/>
      <c r="V288" s="684"/>
      <c r="W288" s="684"/>
      <c r="X288" s="684"/>
      <c r="Y288" s="684"/>
      <c r="Z288" s="684"/>
      <c r="AA288" s="684"/>
      <c r="AB288" s="684"/>
      <c r="AC288" s="684"/>
      <c r="AD288" s="684"/>
      <c r="AE288" s="684"/>
      <c r="AF288" s="684"/>
      <c r="AG288" s="684"/>
      <c r="AH288" s="684"/>
      <c r="AI288" s="684"/>
      <c r="AJ288" s="684"/>
      <c r="AK288" s="684"/>
      <c r="AL288" s="684"/>
      <c r="AM288" s="684"/>
      <c r="AN288" s="684"/>
      <c r="AO288" s="717"/>
      <c r="AP288" s="684"/>
      <c r="AQ288" s="684"/>
      <c r="AR288" s="684"/>
      <c r="AS288" s="684"/>
      <c r="AT288" s="717"/>
      <c r="AU288" s="684"/>
      <c r="AV288" s="684"/>
      <c r="AW288" s="684"/>
      <c r="AX288" s="684"/>
      <c r="AY288" s="717"/>
      <c r="AZ288" s="684"/>
      <c r="BA288" s="684"/>
      <c r="BB288" s="684"/>
      <c r="BC288" s="684"/>
      <c r="BD288" s="717"/>
      <c r="BE288" s="684"/>
      <c r="BF288" s="684"/>
      <c r="BG288" s="684"/>
      <c r="BH288" s="684"/>
      <c r="BI288" s="717"/>
      <c r="BJ288" s="684"/>
      <c r="BK288" s="684"/>
      <c r="BL288" s="684"/>
      <c r="BM288" s="684"/>
      <c r="BN288" s="717"/>
      <c r="BO288" s="684"/>
      <c r="BP288" s="684"/>
      <c r="BQ288" s="684"/>
      <c r="BR288" s="684"/>
      <c r="BS288" s="717"/>
      <c r="BT288" s="684"/>
      <c r="BU288" s="684"/>
      <c r="BV288" s="684"/>
      <c r="BW288" s="684"/>
      <c r="BX288" s="717"/>
      <c r="BY288" s="684"/>
      <c r="BZ288" s="684"/>
      <c r="CA288" s="684"/>
      <c r="CB288" s="684"/>
      <c r="CC288" s="717"/>
      <c r="CD288" s="684"/>
      <c r="CE288" s="684"/>
      <c r="CF288" s="684"/>
      <c r="CG288" s="684"/>
      <c r="CH288" s="717"/>
      <c r="CI288" s="684"/>
      <c r="CJ288" s="684"/>
      <c r="CK288" s="684"/>
      <c r="CL288" s="684"/>
      <c r="CM288" s="717"/>
      <c r="CN288" s="684"/>
      <c r="CO288" s="684"/>
      <c r="CP288" s="684"/>
      <c r="CQ288" s="684"/>
      <c r="CR288" s="684"/>
      <c r="CS288" s="684"/>
      <c r="CT288" s="684"/>
      <c r="CU288" s="684"/>
      <c r="CV288" s="802"/>
      <c r="CW288" s="802"/>
      <c r="CX288" s="802"/>
      <c r="CY288" s="802"/>
      <c r="CZ288" s="802"/>
      <c r="DA288" s="802"/>
      <c r="DB288" s="802"/>
      <c r="DC288" s="803"/>
      <c r="DD288" s="803"/>
      <c r="DE288" s="803"/>
      <c r="DF288" s="803"/>
      <c r="DG288" s="804"/>
      <c r="DH288" s="803"/>
      <c r="DI288" s="803"/>
      <c r="DJ288" s="803"/>
      <c r="DK288" s="803"/>
      <c r="DL288" s="804"/>
      <c r="DM288" s="803"/>
      <c r="DN288" s="803"/>
      <c r="DO288" s="803"/>
      <c r="DP288" s="803"/>
      <c r="DQ288" s="804"/>
      <c r="DR288" s="803"/>
      <c r="DS288" s="803"/>
      <c r="DT288" s="803"/>
      <c r="DU288" s="803"/>
      <c r="DV288" s="804"/>
      <c r="DW288" s="803"/>
      <c r="DX288" s="803"/>
      <c r="DY288" s="803"/>
      <c r="DZ288" s="803"/>
      <c r="EA288" s="804"/>
      <c r="EB288" s="805">
        <f>+EB292-EB284-EB271</f>
        <v>109.06</v>
      </c>
      <c r="EC288" s="806">
        <f>+EC292-EC284-EC271</f>
        <v>91.007999999999996</v>
      </c>
      <c r="ED288" s="806">
        <f>+ED292-ED284-ED271</f>
        <v>103.08399999999995</v>
      </c>
      <c r="EE288" s="806">
        <f>+EE292-EE284-EE271</f>
        <v>178.12699999999995</v>
      </c>
      <c r="EF288" s="691">
        <f>SUM(EB288:EE288)</f>
        <v>481.27899999999988</v>
      </c>
      <c r="EG288" s="806">
        <f>+EG292-EG284-EG271</f>
        <v>165.67125000000004</v>
      </c>
      <c r="EH288" s="806">
        <f>+EH292-EH284-EH271</f>
        <v>114.74874999999997</v>
      </c>
      <c r="EI288" s="806">
        <f>+EI292-EI284-EI271</f>
        <v>143.43750000000006</v>
      </c>
      <c r="EJ288" s="806">
        <f>+EJ292-EJ284-EJ271</f>
        <v>113.25450000000001</v>
      </c>
      <c r="EK288" s="807">
        <f>+SUM(EG288:EJ288)</f>
        <v>537.11200000000008</v>
      </c>
      <c r="EL288" s="806">
        <f>+EL292-EL284-EL271</f>
        <v>96.680750000000046</v>
      </c>
      <c r="EM288" s="806">
        <f>+EM292-EM284-EM271</f>
        <v>100.40374999999995</v>
      </c>
      <c r="EN288" s="806">
        <f>+EN292-EN284-EN271</f>
        <v>108.7839602272727</v>
      </c>
      <c r="EO288" s="808">
        <f>+EN288*(1+EO289)</f>
        <v>103.34476221590906</v>
      </c>
      <c r="EP288" s="807">
        <f>+SUM(EL288:EO288)</f>
        <v>409.21322244318173</v>
      </c>
      <c r="EQ288" s="808">
        <f>+EO288*(1+EQ289)</f>
        <v>118.84647654829541</v>
      </c>
      <c r="ER288" s="808">
        <f>+EQ288*(1+ER289)</f>
        <v>124.7888003757102</v>
      </c>
      <c r="ES288" s="808">
        <f>+ER288*(1+ES289)</f>
        <v>155.98600046963776</v>
      </c>
      <c r="ET288" s="808">
        <f>+ES288*(1+ET289)</f>
        <v>210.58110063401099</v>
      </c>
      <c r="EU288" s="807">
        <f>+SUM(EQ288:ET288)</f>
        <v>610.20237802765439</v>
      </c>
      <c r="EV288" s="668"/>
      <c r="EW288" s="668"/>
      <c r="EX288" s="668"/>
      <c r="EY288" s="668"/>
      <c r="EZ288" s="668"/>
      <c r="FA288" s="668"/>
      <c r="FB288" s="668"/>
      <c r="FC288" s="668"/>
      <c r="FD288" s="668"/>
      <c r="FE288" s="668"/>
      <c r="FF288" s="668"/>
      <c r="FG288" s="668"/>
      <c r="FH288" s="668"/>
      <c r="FI288" s="668"/>
      <c r="FJ288" s="668"/>
      <c r="FK288" s="668"/>
      <c r="FL288" s="668"/>
      <c r="FM288" s="668"/>
      <c r="FN288" s="668"/>
      <c r="FO288" s="668"/>
      <c r="FP288" s="668"/>
      <c r="FQ288" s="668"/>
      <c r="FR288" s="668"/>
      <c r="FS288" s="668"/>
      <c r="FT288" s="668"/>
      <c r="FU288" s="668"/>
      <c r="FV288" s="668"/>
      <c r="FW288" s="668"/>
      <c r="FX288" s="668"/>
      <c r="FY288" s="668"/>
      <c r="FZ288" s="668"/>
      <c r="GA288" s="668"/>
      <c r="GB288" s="668"/>
      <c r="GC288" s="668"/>
      <c r="GD288" s="668"/>
      <c r="GE288" s="668"/>
      <c r="GF288" s="668"/>
      <c r="GG288" s="668"/>
      <c r="GH288" s="668"/>
      <c r="GI288" s="668"/>
      <c r="GJ288" s="668"/>
      <c r="GK288" s="668"/>
      <c r="GL288" s="668"/>
      <c r="GM288" s="668"/>
      <c r="GN288" s="668"/>
      <c r="GO288" s="668"/>
      <c r="GP288" s="668"/>
      <c r="GQ288" s="668"/>
      <c r="GR288" s="668"/>
      <c r="GS288" s="668"/>
      <c r="GT288" s="668"/>
      <c r="GU288" s="668"/>
      <c r="GV288" s="668"/>
      <c r="GW288" s="668"/>
      <c r="GX288" s="668"/>
      <c r="GY288" s="668"/>
      <c r="GZ288" s="668"/>
      <c r="HA288" s="668"/>
      <c r="HB288" s="668"/>
      <c r="HC288" s="668"/>
      <c r="HD288" s="668"/>
      <c r="HE288" s="668"/>
      <c r="HF288" s="668"/>
      <c r="HG288" s="668"/>
      <c r="HH288" s="668"/>
      <c r="HI288" s="668"/>
      <c r="HJ288" s="668"/>
      <c r="HK288" s="668"/>
      <c r="HL288" s="668"/>
      <c r="HM288" s="668"/>
      <c r="HN288" s="668"/>
      <c r="HO288" s="538"/>
      <c r="HP288" s="353"/>
      <c r="HQ288" s="509"/>
      <c r="HY288" s="509"/>
      <c r="HZ288" s="509"/>
      <c r="IA288" s="509"/>
      <c r="IB288" s="509"/>
    </row>
    <row r="289" spans="1:236" s="563" customFormat="1" hidden="1" outlineLevel="1">
      <c r="A289" s="509" t="s">
        <v>522</v>
      </c>
      <c r="B289" s="509"/>
      <c r="C289" s="509"/>
      <c r="D289" s="509"/>
      <c r="E289" s="509"/>
      <c r="F289" s="509"/>
      <c r="G289" s="509"/>
      <c r="H289" s="509"/>
      <c r="I289" s="509"/>
      <c r="J289" s="509"/>
      <c r="K289" s="509"/>
      <c r="L289" s="509"/>
      <c r="M289" s="509"/>
      <c r="N289" s="509"/>
      <c r="O289" s="509"/>
      <c r="P289" s="509"/>
      <c r="Q289" s="509"/>
      <c r="R289" s="509"/>
      <c r="S289" s="509"/>
      <c r="T289" s="509"/>
      <c r="U289" s="509"/>
      <c r="V289" s="509"/>
      <c r="W289" s="509"/>
      <c r="X289" s="509"/>
      <c r="Y289" s="509"/>
      <c r="Z289" s="509"/>
      <c r="AA289" s="509"/>
      <c r="AB289" s="509"/>
      <c r="AC289" s="509"/>
      <c r="AD289" s="509"/>
      <c r="AE289" s="509"/>
      <c r="AF289" s="509"/>
      <c r="AG289" s="509"/>
      <c r="AH289" s="509"/>
      <c r="AI289" s="509"/>
      <c r="AJ289" s="509"/>
      <c r="AK289" s="509"/>
      <c r="AL289" s="509"/>
      <c r="AM289" s="509"/>
      <c r="AN289" s="509"/>
      <c r="AO289" s="538"/>
      <c r="AP289" s="509"/>
      <c r="AQ289" s="509"/>
      <c r="AR289" s="509"/>
      <c r="AS289" s="509"/>
      <c r="AT289" s="538"/>
      <c r="AU289" s="509"/>
      <c r="AV289" s="509"/>
      <c r="AW289" s="509"/>
      <c r="AX289" s="509"/>
      <c r="AY289" s="538"/>
      <c r="AZ289" s="509"/>
      <c r="BA289" s="509"/>
      <c r="BB289" s="509"/>
      <c r="BC289" s="509"/>
      <c r="BD289" s="538"/>
      <c r="BE289" s="509"/>
      <c r="BF289" s="509"/>
      <c r="BG289" s="509"/>
      <c r="BH289" s="509"/>
      <c r="BI289" s="538"/>
      <c r="BJ289" s="509"/>
      <c r="BK289" s="509"/>
      <c r="BL289" s="509"/>
      <c r="BM289" s="509"/>
      <c r="BN289" s="538"/>
      <c r="BO289" s="509"/>
      <c r="BP289" s="509"/>
      <c r="BQ289" s="509"/>
      <c r="BR289" s="509"/>
      <c r="BS289" s="538"/>
      <c r="BT289" s="509"/>
      <c r="BU289" s="509"/>
      <c r="BV289" s="509"/>
      <c r="BW289" s="509"/>
      <c r="BX289" s="538"/>
      <c r="BY289" s="509"/>
      <c r="BZ289" s="509"/>
      <c r="CA289" s="509"/>
      <c r="CB289" s="509"/>
      <c r="CC289" s="538"/>
      <c r="CD289" s="509"/>
      <c r="CE289" s="509"/>
      <c r="CF289" s="509"/>
      <c r="CG289" s="509"/>
      <c r="CH289" s="538"/>
      <c r="CI289" s="509"/>
      <c r="CJ289" s="509"/>
      <c r="CK289" s="509"/>
      <c r="CL289" s="509"/>
      <c r="CM289" s="538"/>
      <c r="CN289" s="509"/>
      <c r="CO289" s="509"/>
      <c r="CP289" s="509"/>
      <c r="CQ289" s="509"/>
      <c r="CR289" s="509"/>
      <c r="CS289" s="509"/>
      <c r="CT289" s="509"/>
      <c r="CU289" s="509"/>
      <c r="CV289" s="701"/>
      <c r="CW289" s="701"/>
      <c r="CX289" s="701"/>
      <c r="CY289" s="701"/>
      <c r="CZ289" s="701"/>
      <c r="DA289" s="701"/>
      <c r="DB289" s="701"/>
      <c r="DC289" s="294"/>
      <c r="DD289" s="294"/>
      <c r="DE289" s="294"/>
      <c r="DF289" s="294"/>
      <c r="DG289" s="344"/>
      <c r="DH289" s="294"/>
      <c r="DI289" s="294"/>
      <c r="DJ289" s="294"/>
      <c r="DK289" s="294"/>
      <c r="DL289" s="344"/>
      <c r="DM289" s="294"/>
      <c r="DN289" s="294"/>
      <c r="DO289" s="294"/>
      <c r="DP289" s="294"/>
      <c r="DQ289" s="344"/>
      <c r="DR289" s="294"/>
      <c r="DS289" s="294"/>
      <c r="DT289" s="294"/>
      <c r="DU289" s="294"/>
      <c r="DV289" s="344"/>
      <c r="DW289" s="294"/>
      <c r="DX289" s="294"/>
      <c r="DY289" s="294"/>
      <c r="DZ289" s="294"/>
      <c r="EA289" s="344"/>
      <c r="EB289" s="809" t="s">
        <v>199</v>
      </c>
      <c r="EC289" s="294">
        <f>+EC288/EB288-1</f>
        <v>-0.16552356501008625</v>
      </c>
      <c r="ED289" s="294">
        <f>+ED288/EC288-1</f>
        <v>0.13269163150492203</v>
      </c>
      <c r="EE289" s="294">
        <f>+EE288/ED288-1</f>
        <v>0.72797912382134999</v>
      </c>
      <c r="EF289" s="648" t="s">
        <v>199</v>
      </c>
      <c r="EG289" s="294">
        <f>+EG288/EE288-1</f>
        <v>-6.9926232407214628E-2</v>
      </c>
      <c r="EH289" s="294">
        <f>+EH288/EG288-1</f>
        <v>-0.30737077193538442</v>
      </c>
      <c r="EI289" s="294">
        <f>+EI288/EH288-1</f>
        <v>0.25001361670606514</v>
      </c>
      <c r="EJ289" s="294">
        <f>+EJ288/EI288-1</f>
        <v>-0.2104261437908499</v>
      </c>
      <c r="EK289" s="364"/>
      <c r="EL289" s="294">
        <f>+EL288/EJ288-1</f>
        <v>-0.14634076350167069</v>
      </c>
      <c r="EM289" s="294">
        <f>+EM288/EL288-1</f>
        <v>3.8508182859565032E-2</v>
      </c>
      <c r="EN289" s="294">
        <f>+EN288/EM288-1</f>
        <v>8.3465111883497922E-2</v>
      </c>
      <c r="EO289" s="810">
        <v>-0.05</v>
      </c>
      <c r="EP289" s="364"/>
      <c r="EQ289" s="810">
        <v>0.15</v>
      </c>
      <c r="ER289" s="810">
        <v>0.05</v>
      </c>
      <c r="ES289" s="810">
        <v>0.25</v>
      </c>
      <c r="ET289" s="810">
        <v>0.35</v>
      </c>
      <c r="EU289" s="364"/>
      <c r="EV289" s="668"/>
      <c r="EW289" s="668"/>
      <c r="EX289" s="668"/>
      <c r="EY289" s="668"/>
      <c r="EZ289" s="668"/>
      <c r="FA289" s="668"/>
      <c r="FB289" s="668"/>
      <c r="FC289" s="668"/>
      <c r="FD289" s="668"/>
      <c r="FE289" s="668"/>
      <c r="FF289" s="668"/>
      <c r="FG289" s="668"/>
      <c r="FH289" s="668"/>
      <c r="FI289" s="668"/>
      <c r="FJ289" s="668"/>
      <c r="FK289" s="668"/>
      <c r="FL289" s="668"/>
      <c r="FM289" s="668"/>
      <c r="FN289" s="668"/>
      <c r="FO289" s="668"/>
      <c r="FP289" s="668"/>
      <c r="FQ289" s="668"/>
      <c r="FR289" s="668"/>
      <c r="FS289" s="668"/>
      <c r="FT289" s="668"/>
      <c r="FU289" s="668"/>
      <c r="FV289" s="668"/>
      <c r="FW289" s="668"/>
      <c r="FX289" s="668"/>
      <c r="FY289" s="668"/>
      <c r="FZ289" s="668"/>
      <c r="GA289" s="668"/>
      <c r="GB289" s="668"/>
      <c r="GC289" s="668"/>
      <c r="GD289" s="668"/>
      <c r="GE289" s="668"/>
      <c r="GF289" s="668"/>
      <c r="GG289" s="668"/>
      <c r="GH289" s="668"/>
      <c r="GI289" s="668"/>
      <c r="GJ289" s="668"/>
      <c r="GK289" s="668"/>
      <c r="GL289" s="668"/>
      <c r="GM289" s="668"/>
      <c r="GN289" s="668"/>
      <c r="GO289" s="668"/>
      <c r="GP289" s="668"/>
      <c r="GQ289" s="668"/>
      <c r="GR289" s="668"/>
      <c r="GS289" s="668"/>
      <c r="GT289" s="668"/>
      <c r="GU289" s="668"/>
      <c r="GV289" s="668"/>
      <c r="GW289" s="668"/>
      <c r="GX289" s="668"/>
      <c r="GY289" s="668"/>
      <c r="GZ289" s="668"/>
      <c r="HA289" s="668"/>
      <c r="HB289" s="668"/>
      <c r="HC289" s="668"/>
      <c r="HD289" s="668"/>
      <c r="HE289" s="668"/>
      <c r="HF289" s="668"/>
      <c r="HG289" s="668"/>
      <c r="HH289" s="668"/>
      <c r="HI289" s="668"/>
      <c r="HJ289" s="668"/>
      <c r="HK289" s="668"/>
      <c r="HL289" s="668"/>
      <c r="HM289" s="668"/>
      <c r="HN289" s="668"/>
      <c r="HO289" s="344"/>
      <c r="HQ289" s="509"/>
      <c r="HY289" s="509"/>
      <c r="HZ289" s="509"/>
      <c r="IA289" s="509"/>
      <c r="IB289" s="509"/>
    </row>
    <row r="290" spans="1:236" s="563" customFormat="1" hidden="1" outlineLevel="1">
      <c r="A290" s="509" t="s">
        <v>489</v>
      </c>
      <c r="B290" s="509"/>
      <c r="C290" s="509"/>
      <c r="D290" s="509"/>
      <c r="E290" s="509"/>
      <c r="F290" s="509"/>
      <c r="G290" s="509"/>
      <c r="H290" s="509"/>
      <c r="I290" s="509"/>
      <c r="J290" s="509"/>
      <c r="K290" s="509"/>
      <c r="L290" s="523"/>
      <c r="M290" s="523"/>
      <c r="N290" s="523"/>
      <c r="O290" s="523"/>
      <c r="P290" s="524"/>
      <c r="Q290" s="619"/>
      <c r="R290" s="619"/>
      <c r="S290" s="619"/>
      <c r="T290" s="619"/>
      <c r="U290" s="541"/>
      <c r="V290" s="619"/>
      <c r="W290" s="619"/>
      <c r="X290" s="619"/>
      <c r="Y290" s="619"/>
      <c r="Z290" s="541"/>
      <c r="AA290" s="619"/>
      <c r="AB290" s="619"/>
      <c r="AC290" s="619"/>
      <c r="AD290" s="619"/>
      <c r="AE290" s="541"/>
      <c r="AF290" s="523"/>
      <c r="AG290" s="523"/>
      <c r="AH290" s="523"/>
      <c r="AI290" s="523"/>
      <c r="AJ290" s="541"/>
      <c r="AK290" s="523"/>
      <c r="AL290" s="523"/>
      <c r="AM290" s="523"/>
      <c r="AN290" s="523"/>
      <c r="AO290" s="541"/>
      <c r="AP290" s="523"/>
      <c r="AQ290" s="523"/>
      <c r="AR290" s="523"/>
      <c r="AS290" s="523"/>
      <c r="AT290" s="541"/>
      <c r="AU290" s="523"/>
      <c r="AV290" s="523"/>
      <c r="AW290" s="523"/>
      <c r="AX290" s="523"/>
      <c r="AY290" s="541"/>
      <c r="AZ290" s="523"/>
      <c r="BA290" s="523"/>
      <c r="BB290" s="523"/>
      <c r="BC290" s="523"/>
      <c r="BD290" s="541"/>
      <c r="BE290" s="523"/>
      <c r="BF290" s="523"/>
      <c r="BG290" s="523"/>
      <c r="BH290" s="523"/>
      <c r="BI290" s="541"/>
      <c r="BJ290" s="523"/>
      <c r="BK290" s="523"/>
      <c r="BL290" s="523"/>
      <c r="BM290" s="523"/>
      <c r="BN290" s="541"/>
      <c r="BO290" s="523"/>
      <c r="BP290" s="523"/>
      <c r="BQ290" s="523"/>
      <c r="BR290" s="523"/>
      <c r="BS290" s="541"/>
      <c r="BT290" s="648"/>
      <c r="BU290" s="648"/>
      <c r="BV290" s="648"/>
      <c r="BW290" s="648"/>
      <c r="BX290" s="648"/>
      <c r="BY290" s="340"/>
      <c r="BZ290" s="340"/>
      <c r="CA290" s="340"/>
      <c r="CB290" s="340"/>
      <c r="CC290" s="321"/>
      <c r="CD290" s="340"/>
      <c r="CE290" s="340"/>
      <c r="CF290" s="340"/>
      <c r="CG290" s="340"/>
      <c r="CH290" s="321"/>
      <c r="CI290" s="340"/>
      <c r="CJ290" s="340"/>
      <c r="CK290" s="340"/>
      <c r="CL290" s="340"/>
      <c r="CM290" s="321"/>
      <c r="CN290" s="340"/>
      <c r="CO290" s="340"/>
      <c r="CP290" s="340"/>
      <c r="CQ290" s="340"/>
      <c r="CR290" s="321"/>
      <c r="CS290" s="340"/>
      <c r="CT290" s="340"/>
      <c r="CU290" s="340"/>
      <c r="CV290" s="340"/>
      <c r="CW290" s="321"/>
      <c r="CX290" s="340"/>
      <c r="CY290" s="340"/>
      <c r="CZ290" s="340"/>
      <c r="DA290" s="340"/>
      <c r="DB290" s="321"/>
      <c r="DC290" s="340"/>
      <c r="DD290" s="340"/>
      <c r="DE290" s="340"/>
      <c r="DF290" s="340"/>
      <c r="DG290" s="321"/>
      <c r="DH290" s="340"/>
      <c r="DI290" s="340"/>
      <c r="DJ290" s="340"/>
      <c r="DK290" s="340"/>
      <c r="DL290" s="321"/>
      <c r="DM290" s="340"/>
      <c r="DN290" s="340"/>
      <c r="DO290" s="340"/>
      <c r="DP290" s="340"/>
      <c r="DQ290" s="321"/>
      <c r="DR290" s="340"/>
      <c r="DS290" s="340"/>
      <c r="DT290" s="340"/>
      <c r="DU290" s="340"/>
      <c r="DV290" s="321"/>
      <c r="DW290" s="340"/>
      <c r="DX290" s="340"/>
      <c r="DY290" s="340"/>
      <c r="DZ290" s="340"/>
      <c r="EA290" s="321"/>
      <c r="EB290" s="809"/>
      <c r="EC290" s="648" t="s">
        <v>199</v>
      </c>
      <c r="ED290" s="648" t="s">
        <v>199</v>
      </c>
      <c r="EE290" s="648" t="s">
        <v>199</v>
      </c>
      <c r="EF290" s="648" t="s">
        <v>199</v>
      </c>
      <c r="EG290" s="340">
        <f t="shared" ref="EG290:EU290" si="273">(EG288/EB288)-1</f>
        <v>0.51908353200073387</v>
      </c>
      <c r="EH290" s="340">
        <f t="shared" si="273"/>
        <v>0.26086442950070299</v>
      </c>
      <c r="EI290" s="342">
        <f t="shared" si="273"/>
        <v>0.39146230258818182</v>
      </c>
      <c r="EJ290" s="342">
        <f t="shared" si="273"/>
        <v>-0.36419240205022241</v>
      </c>
      <c r="EK290" s="321">
        <f t="shared" si="273"/>
        <v>0.11600963266629161</v>
      </c>
      <c r="EL290" s="340">
        <f t="shared" si="273"/>
        <v>-0.41643012894512466</v>
      </c>
      <c r="EM290" s="340">
        <f t="shared" si="273"/>
        <v>-0.12501225503545821</v>
      </c>
      <c r="EN290" s="340">
        <f t="shared" si="273"/>
        <v>-0.24159330560507075</v>
      </c>
      <c r="EO290" s="340">
        <f t="shared" si="273"/>
        <v>-8.7499726581203863E-2</v>
      </c>
      <c r="EP290" s="321">
        <f t="shared" si="273"/>
        <v>-0.23812310571504325</v>
      </c>
      <c r="EQ290" s="340">
        <f t="shared" si="273"/>
        <v>0.22926721760324953</v>
      </c>
      <c r="ER290" s="340">
        <f t="shared" si="273"/>
        <v>0.24286991646935752</v>
      </c>
      <c r="ES290" s="340">
        <f t="shared" si="273"/>
        <v>0.43390625000000016</v>
      </c>
      <c r="ET290" s="340">
        <f t="shared" si="273"/>
        <v>1.0376562500000004</v>
      </c>
      <c r="EU290" s="321">
        <f t="shared" si="273"/>
        <v>0.49115997372831588</v>
      </c>
      <c r="EV290" s="668"/>
      <c r="EW290" s="668"/>
      <c r="EX290" s="668"/>
      <c r="EY290" s="668"/>
      <c r="EZ290" s="668"/>
      <c r="FA290" s="668"/>
      <c r="FB290" s="668"/>
      <c r="FC290" s="668"/>
      <c r="FD290" s="668"/>
      <c r="FE290" s="668"/>
      <c r="FF290" s="668"/>
      <c r="FG290" s="668"/>
      <c r="FH290" s="668"/>
      <c r="FI290" s="668"/>
      <c r="FJ290" s="668"/>
      <c r="FK290" s="668"/>
      <c r="FL290" s="668"/>
      <c r="FM290" s="668"/>
      <c r="FN290" s="668"/>
      <c r="FO290" s="668"/>
      <c r="FP290" s="668"/>
      <c r="FQ290" s="668"/>
      <c r="FR290" s="668"/>
      <c r="FS290" s="668"/>
      <c r="FT290" s="668"/>
      <c r="FU290" s="668"/>
      <c r="FV290" s="668"/>
      <c r="FW290" s="668"/>
      <c r="FX290" s="668"/>
      <c r="FY290" s="668"/>
      <c r="FZ290" s="668"/>
      <c r="GA290" s="668"/>
      <c r="GB290" s="668"/>
      <c r="GC290" s="668"/>
      <c r="GD290" s="668"/>
      <c r="GE290" s="668"/>
      <c r="GF290" s="668"/>
      <c r="GG290" s="668"/>
      <c r="GH290" s="668"/>
      <c r="GI290" s="668"/>
      <c r="GJ290" s="668"/>
      <c r="GK290" s="668"/>
      <c r="GL290" s="668"/>
      <c r="GM290" s="668"/>
      <c r="GN290" s="668"/>
      <c r="GO290" s="668"/>
      <c r="GP290" s="668"/>
      <c r="GQ290" s="668"/>
      <c r="GR290" s="668"/>
      <c r="GS290" s="668"/>
      <c r="GT290" s="668"/>
      <c r="GU290" s="668"/>
      <c r="GV290" s="668"/>
      <c r="GW290" s="668"/>
      <c r="GX290" s="668"/>
      <c r="GY290" s="668"/>
      <c r="GZ290" s="668"/>
      <c r="HA290" s="668"/>
      <c r="HB290" s="668"/>
      <c r="HC290" s="668"/>
      <c r="HD290" s="668"/>
      <c r="HE290" s="668"/>
      <c r="HF290" s="668"/>
      <c r="HG290" s="668"/>
      <c r="HH290" s="668"/>
      <c r="HI290" s="668"/>
      <c r="HJ290" s="668"/>
      <c r="HK290" s="668"/>
      <c r="HL290" s="668"/>
      <c r="HM290" s="668"/>
      <c r="HN290" s="668"/>
      <c r="HO290" s="344"/>
      <c r="HP290" s="293"/>
      <c r="HQ290" s="342"/>
      <c r="HR290" s="293"/>
      <c r="HS290" s="353"/>
      <c r="HY290" s="509"/>
      <c r="HZ290" s="509"/>
      <c r="IA290" s="509"/>
      <c r="IB290" s="509"/>
    </row>
    <row r="291" spans="1:236" s="563" customFormat="1" hidden="1" outlineLevel="1">
      <c r="A291" s="509"/>
      <c r="B291" s="509"/>
      <c r="C291" s="509"/>
      <c r="D291" s="509"/>
      <c r="E291" s="509"/>
      <c r="F291" s="509"/>
      <c r="G291" s="509"/>
      <c r="H291" s="509"/>
      <c r="I291" s="509"/>
      <c r="J291" s="509"/>
      <c r="K291" s="509"/>
      <c r="L291" s="509"/>
      <c r="M291" s="509"/>
      <c r="N291" s="509"/>
      <c r="O291" s="509"/>
      <c r="P291" s="509"/>
      <c r="Q291" s="509"/>
      <c r="R291" s="509"/>
      <c r="S291" s="509"/>
      <c r="T291" s="509"/>
      <c r="U291" s="509"/>
      <c r="V291" s="509"/>
      <c r="W291" s="509"/>
      <c r="X291" s="509"/>
      <c r="Y291" s="509"/>
      <c r="Z291" s="509"/>
      <c r="AA291" s="509"/>
      <c r="AB291" s="509"/>
      <c r="AC291" s="509"/>
      <c r="AD291" s="509"/>
      <c r="AE291" s="509"/>
      <c r="AF291" s="509"/>
      <c r="AG291" s="509"/>
      <c r="AH291" s="509"/>
      <c r="AI291" s="509"/>
      <c r="AJ291" s="509"/>
      <c r="AK291" s="509"/>
      <c r="AL291" s="509"/>
      <c r="AM291" s="509"/>
      <c r="AN291" s="509"/>
      <c r="AO291" s="538"/>
      <c r="AP291" s="509"/>
      <c r="AQ291" s="509"/>
      <c r="AR291" s="509"/>
      <c r="AS291" s="509"/>
      <c r="AT291" s="538"/>
      <c r="AU291" s="509"/>
      <c r="AV291" s="509"/>
      <c r="AW291" s="509"/>
      <c r="AX291" s="509"/>
      <c r="AY291" s="538"/>
      <c r="AZ291" s="509"/>
      <c r="BA291" s="509"/>
      <c r="BB291" s="509"/>
      <c r="BC291" s="509"/>
      <c r="BD291" s="538"/>
      <c r="BE291" s="509"/>
      <c r="BF291" s="509"/>
      <c r="BG291" s="509"/>
      <c r="BH291" s="509"/>
      <c r="BI291" s="538"/>
      <c r="BJ291" s="509"/>
      <c r="BK291" s="509"/>
      <c r="BL291" s="509"/>
      <c r="BM291" s="509"/>
      <c r="BN291" s="538"/>
      <c r="BO291" s="509"/>
      <c r="BP291" s="509"/>
      <c r="BQ291" s="509"/>
      <c r="BR291" s="509"/>
      <c r="BS291" s="538"/>
      <c r="BT291" s="509"/>
      <c r="BU291" s="509"/>
      <c r="BV291" s="509"/>
      <c r="BW291" s="509"/>
      <c r="BX291" s="538"/>
      <c r="BY291" s="509"/>
      <c r="BZ291" s="509"/>
      <c r="CA291" s="509"/>
      <c r="CB291" s="509"/>
      <c r="CC291" s="538"/>
      <c r="CD291" s="509"/>
      <c r="CE291" s="509"/>
      <c r="CF291" s="509"/>
      <c r="CG291" s="509"/>
      <c r="CH291" s="538"/>
      <c r="CI291" s="509"/>
      <c r="CJ291" s="509"/>
      <c r="CK291" s="509"/>
      <c r="CL291" s="509"/>
      <c r="CM291" s="538"/>
      <c r="CN291" s="509"/>
      <c r="CO291" s="509"/>
      <c r="CP291" s="509"/>
      <c r="CQ291" s="509"/>
      <c r="CR291" s="509"/>
      <c r="CS291" s="509"/>
      <c r="CT291" s="509"/>
      <c r="CU291" s="509"/>
      <c r="CV291" s="701"/>
      <c r="CW291" s="701"/>
      <c r="CX291" s="701"/>
      <c r="CY291" s="701"/>
      <c r="CZ291" s="701"/>
      <c r="DA291" s="701"/>
      <c r="DB291" s="701"/>
      <c r="DC291" s="294"/>
      <c r="DD291" s="294"/>
      <c r="DE291" s="294"/>
      <c r="DF291" s="294"/>
      <c r="DG291" s="344"/>
      <c r="DH291" s="294"/>
      <c r="DI291" s="294"/>
      <c r="DJ291" s="294"/>
      <c r="DK291" s="294"/>
      <c r="DL291" s="344"/>
      <c r="DM291" s="294"/>
      <c r="DN291" s="294"/>
      <c r="DO291" s="294"/>
      <c r="DP291" s="294"/>
      <c r="DQ291" s="344"/>
      <c r="DR291" s="294"/>
      <c r="DS291" s="294"/>
      <c r="DT291" s="294"/>
      <c r="DU291" s="294"/>
      <c r="DV291" s="344"/>
      <c r="DW291" s="294"/>
      <c r="DX291" s="294"/>
      <c r="DY291" s="294"/>
      <c r="DZ291" s="294"/>
      <c r="EA291" s="344"/>
      <c r="EB291" s="811"/>
      <c r="EC291" s="294"/>
      <c r="ED291" s="294"/>
      <c r="EE291" s="294"/>
      <c r="EF291" s="364"/>
      <c r="EG291" s="294"/>
      <c r="EH291" s="294"/>
      <c r="EI291" s="294"/>
      <c r="EJ291" s="810"/>
      <c r="EK291" s="364"/>
      <c r="EL291" s="810"/>
      <c r="EM291" s="810"/>
      <c r="EN291" s="810"/>
      <c r="EO291" s="810"/>
      <c r="EP291" s="364"/>
      <c r="EQ291" s="810"/>
      <c r="ER291" s="810"/>
      <c r="ES291" s="810"/>
      <c r="ET291" s="810"/>
      <c r="EU291" s="364"/>
      <c r="EV291" s="668"/>
      <c r="EW291" s="668"/>
      <c r="EX291" s="668"/>
      <c r="EY291" s="668"/>
      <c r="EZ291" s="668"/>
      <c r="FA291" s="668"/>
      <c r="FB291" s="668"/>
      <c r="FC291" s="668"/>
      <c r="FD291" s="668"/>
      <c r="FE291" s="668"/>
      <c r="FF291" s="668"/>
      <c r="FG291" s="668"/>
      <c r="FH291" s="668"/>
      <c r="FI291" s="668"/>
      <c r="FJ291" s="668"/>
      <c r="FK291" s="668"/>
      <c r="FL291" s="668"/>
      <c r="FM291" s="668"/>
      <c r="FN291" s="668"/>
      <c r="FO291" s="668"/>
      <c r="FP291" s="668"/>
      <c r="FQ291" s="668"/>
      <c r="FR291" s="668"/>
      <c r="FS291" s="668"/>
      <c r="FT291" s="668"/>
      <c r="FU291" s="668"/>
      <c r="FV291" s="668"/>
      <c r="FW291" s="668"/>
      <c r="FX291" s="668"/>
      <c r="FY291" s="668"/>
      <c r="FZ291" s="668"/>
      <c r="GA291" s="668"/>
      <c r="GB291" s="668"/>
      <c r="GC291" s="668"/>
      <c r="GD291" s="668"/>
      <c r="GE291" s="668"/>
      <c r="GF291" s="668"/>
      <c r="GG291" s="668"/>
      <c r="GH291" s="668"/>
      <c r="GI291" s="668"/>
      <c r="GJ291" s="668"/>
      <c r="GK291" s="668"/>
      <c r="GL291" s="668"/>
      <c r="GM291" s="668"/>
      <c r="GN291" s="668"/>
      <c r="GO291" s="668"/>
      <c r="GP291" s="668"/>
      <c r="GQ291" s="668"/>
      <c r="GR291" s="668"/>
      <c r="GS291" s="668"/>
      <c r="GT291" s="668"/>
      <c r="GU291" s="668"/>
      <c r="GV291" s="668"/>
      <c r="GW291" s="668"/>
      <c r="GX291" s="668"/>
      <c r="GY291" s="668"/>
      <c r="GZ291" s="668"/>
      <c r="HA291" s="668"/>
      <c r="HB291" s="668"/>
      <c r="HC291" s="668"/>
      <c r="HD291" s="668"/>
      <c r="HE291" s="668"/>
      <c r="HF291" s="668"/>
      <c r="HG291" s="668"/>
      <c r="HH291" s="668"/>
      <c r="HI291" s="668"/>
      <c r="HJ291" s="668"/>
      <c r="HK291" s="668"/>
      <c r="HL291" s="668"/>
      <c r="HM291" s="668"/>
      <c r="HN291" s="668"/>
      <c r="HO291" s="344"/>
      <c r="HQ291" s="509"/>
      <c r="HY291" s="509"/>
      <c r="HZ291" s="509"/>
      <c r="IA291" s="509"/>
      <c r="IB291" s="509"/>
    </row>
    <row r="292" spans="1:236" s="563" customFormat="1" hidden="1" outlineLevel="1">
      <c r="A292" s="733" t="s">
        <v>523</v>
      </c>
      <c r="B292" s="812"/>
      <c r="C292" s="812"/>
      <c r="D292" s="812"/>
      <c r="E292" s="812"/>
      <c r="F292" s="812"/>
      <c r="G292" s="812"/>
      <c r="H292" s="812"/>
      <c r="I292" s="812"/>
      <c r="J292" s="812"/>
      <c r="K292" s="812"/>
      <c r="L292" s="812"/>
      <c r="M292" s="812"/>
      <c r="N292" s="812"/>
      <c r="O292" s="812"/>
      <c r="P292" s="812"/>
      <c r="Q292" s="812"/>
      <c r="R292" s="812"/>
      <c r="S292" s="812"/>
      <c r="T292" s="812"/>
      <c r="U292" s="812"/>
      <c r="V292" s="812"/>
      <c r="W292" s="812"/>
      <c r="X292" s="812"/>
      <c r="Y292" s="812"/>
      <c r="Z292" s="812"/>
      <c r="AA292" s="812"/>
      <c r="AB292" s="812"/>
      <c r="AC292" s="812"/>
      <c r="AD292" s="812"/>
      <c r="AE292" s="812"/>
      <c r="AF292" s="812"/>
      <c r="AG292" s="812"/>
      <c r="AH292" s="812"/>
      <c r="AI292" s="812"/>
      <c r="AJ292" s="812"/>
      <c r="AK292" s="812"/>
      <c r="AL292" s="812"/>
      <c r="AM292" s="812"/>
      <c r="AN292" s="812"/>
      <c r="AO292" s="813"/>
      <c r="AP292" s="812"/>
      <c r="AQ292" s="812"/>
      <c r="AR292" s="812"/>
      <c r="AS292" s="812"/>
      <c r="AT292" s="813"/>
      <c r="AU292" s="812"/>
      <c r="AV292" s="812"/>
      <c r="AW292" s="812"/>
      <c r="AX292" s="812"/>
      <c r="AY292" s="813"/>
      <c r="AZ292" s="812"/>
      <c r="BA292" s="812"/>
      <c r="BB292" s="812"/>
      <c r="BC292" s="812"/>
      <c r="BD292" s="813"/>
      <c r="BE292" s="812"/>
      <c r="BF292" s="812"/>
      <c r="BG292" s="812"/>
      <c r="BH292" s="812"/>
      <c r="BI292" s="813"/>
      <c r="BJ292" s="812"/>
      <c r="BK292" s="812"/>
      <c r="BL292" s="812"/>
      <c r="BM292" s="812"/>
      <c r="BN292" s="813"/>
      <c r="BO292" s="814"/>
      <c r="BP292" s="814"/>
      <c r="BQ292" s="814"/>
      <c r="BR292" s="814"/>
      <c r="BS292" s="815"/>
      <c r="BT292" s="814"/>
      <c r="BU292" s="814"/>
      <c r="BV292" s="814"/>
      <c r="BW292" s="814"/>
      <c r="BX292" s="738"/>
      <c r="BY292" s="814"/>
      <c r="BZ292" s="814"/>
      <c r="CA292" s="814"/>
      <c r="CB292" s="814"/>
      <c r="CC292" s="738"/>
      <c r="CD292" s="814"/>
      <c r="CE292" s="814"/>
      <c r="CF292" s="814"/>
      <c r="CG292" s="814"/>
      <c r="CH292" s="738"/>
      <c r="CI292" s="814"/>
      <c r="CJ292" s="814"/>
      <c r="CK292" s="814"/>
      <c r="CL292" s="814"/>
      <c r="CM292" s="738"/>
      <c r="CN292" s="814"/>
      <c r="CO292" s="814"/>
      <c r="CP292" s="814"/>
      <c r="CQ292" s="814"/>
      <c r="CR292" s="738"/>
      <c r="CS292" s="739"/>
      <c r="CT292" s="739"/>
      <c r="CU292" s="739"/>
      <c r="CV292" s="739"/>
      <c r="CW292" s="738"/>
      <c r="CX292" s="739"/>
      <c r="CY292" s="739"/>
      <c r="CZ292" s="739"/>
      <c r="DA292" s="739"/>
      <c r="DB292" s="738"/>
      <c r="DC292" s="739"/>
      <c r="DD292" s="739"/>
      <c r="DE292" s="739"/>
      <c r="DF292" s="739"/>
      <c r="DG292" s="738"/>
      <c r="DH292" s="740"/>
      <c r="DI292" s="740"/>
      <c r="DJ292" s="740"/>
      <c r="DK292" s="740"/>
      <c r="DL292" s="815"/>
      <c r="DM292" s="740"/>
      <c r="DN292" s="740"/>
      <c r="DO292" s="740"/>
      <c r="DP292" s="740"/>
      <c r="DQ292" s="816"/>
      <c r="DR292" s="817"/>
      <c r="DS292" s="817"/>
      <c r="DT292" s="817"/>
      <c r="DU292" s="817"/>
      <c r="DV292" s="816"/>
      <c r="DW292" s="817"/>
      <c r="DX292" s="817"/>
      <c r="DY292" s="817"/>
      <c r="DZ292" s="817"/>
      <c r="EA292" s="816"/>
      <c r="EB292" s="818">
        <v>175</v>
      </c>
      <c r="EC292" s="817">
        <v>167</v>
      </c>
      <c r="ED292" s="817">
        <v>536</v>
      </c>
      <c r="EE292" s="817">
        <v>701</v>
      </c>
      <c r="EF292" s="816">
        <f>SUM(EB292:EE292)</f>
        <v>1579</v>
      </c>
      <c r="EG292" s="817">
        <v>536</v>
      </c>
      <c r="EH292" s="817">
        <v>613</v>
      </c>
      <c r="EI292" s="817">
        <v>648</v>
      </c>
      <c r="EJ292" s="817">
        <v>577</v>
      </c>
      <c r="EK292" s="819">
        <f>SUM(EG292:EJ292)</f>
        <v>2374</v>
      </c>
      <c r="EL292" s="817">
        <v>498</v>
      </c>
      <c r="EM292" s="817">
        <v>563</v>
      </c>
      <c r="EN292" s="817">
        <v>637</v>
      </c>
      <c r="EO292" s="817">
        <v>488</v>
      </c>
      <c r="EP292" s="819">
        <f>SUM(EL292:EO292)</f>
        <v>2186</v>
      </c>
      <c r="EQ292" s="817">
        <v>372</v>
      </c>
      <c r="ER292" s="817">
        <v>592</v>
      </c>
      <c r="ES292" s="817">
        <v>835</v>
      </c>
      <c r="ET292" s="817">
        <v>506</v>
      </c>
      <c r="EU292" s="819">
        <f>SUM(EQ292:ET292)</f>
        <v>2305</v>
      </c>
      <c r="EV292" s="668"/>
      <c r="EW292" s="668"/>
      <c r="EX292" s="668"/>
      <c r="EY292" s="668"/>
      <c r="EZ292" s="668"/>
      <c r="FA292" s="668"/>
      <c r="FB292" s="668"/>
      <c r="FC292" s="668"/>
      <c r="FD292" s="668"/>
      <c r="FE292" s="668"/>
      <c r="FF292" s="668"/>
      <c r="FG292" s="668"/>
      <c r="FH292" s="668"/>
      <c r="FI292" s="668"/>
      <c r="FJ292" s="668"/>
      <c r="FK292" s="668"/>
      <c r="FL292" s="668"/>
      <c r="FM292" s="668"/>
      <c r="FN292" s="668"/>
      <c r="FO292" s="668"/>
      <c r="FP292" s="668"/>
      <c r="FQ292" s="668"/>
      <c r="FR292" s="668"/>
      <c r="FS292" s="668"/>
      <c r="FT292" s="668"/>
      <c r="FU292" s="668"/>
      <c r="FV292" s="668"/>
      <c r="FW292" s="668"/>
      <c r="FX292" s="668"/>
      <c r="FY292" s="668"/>
      <c r="FZ292" s="668"/>
      <c r="GA292" s="668"/>
      <c r="GB292" s="668"/>
      <c r="GC292" s="668"/>
      <c r="GD292" s="668"/>
      <c r="GE292" s="668"/>
      <c r="GF292" s="668"/>
      <c r="GG292" s="668"/>
      <c r="GH292" s="668"/>
      <c r="GI292" s="668"/>
      <c r="GJ292" s="668"/>
      <c r="GK292" s="668"/>
      <c r="GL292" s="668"/>
      <c r="GM292" s="668"/>
      <c r="GN292" s="668"/>
      <c r="GO292" s="668"/>
      <c r="GP292" s="668"/>
      <c r="GQ292" s="668"/>
      <c r="GR292" s="668"/>
      <c r="GS292" s="668"/>
      <c r="GT292" s="668"/>
      <c r="GU292" s="668"/>
      <c r="GV292" s="668"/>
      <c r="GW292" s="668"/>
      <c r="GX292" s="668"/>
      <c r="GY292" s="668"/>
      <c r="GZ292" s="668"/>
      <c r="HA292" s="668"/>
      <c r="HB292" s="668"/>
      <c r="HC292" s="668"/>
      <c r="HD292" s="668"/>
      <c r="HE292" s="668"/>
      <c r="HF292" s="668"/>
      <c r="HG292" s="668"/>
      <c r="HH292" s="668"/>
      <c r="HI292" s="668"/>
      <c r="HJ292" s="668"/>
      <c r="HK292" s="668"/>
      <c r="HL292" s="668"/>
      <c r="HM292" s="668"/>
      <c r="HN292" s="668"/>
      <c r="HO292" s="757"/>
      <c r="HQ292" s="509"/>
      <c r="HY292" s="509"/>
      <c r="HZ292" s="509"/>
      <c r="IA292" s="509"/>
      <c r="IB292" s="509"/>
    </row>
    <row r="293" spans="1:236" s="563" customFormat="1" hidden="1" outlineLevel="1">
      <c r="A293" s="509" t="s">
        <v>488</v>
      </c>
      <c r="B293" s="509"/>
      <c r="C293" s="509"/>
      <c r="D293" s="509"/>
      <c r="E293" s="509"/>
      <c r="F293" s="509"/>
      <c r="G293" s="509"/>
      <c r="H293" s="509"/>
      <c r="I293" s="509"/>
      <c r="J293" s="509"/>
      <c r="K293" s="509"/>
      <c r="L293" s="509"/>
      <c r="M293" s="509"/>
      <c r="N293" s="509"/>
      <c r="O293" s="509"/>
      <c r="P293" s="509"/>
      <c r="Q293" s="509"/>
      <c r="R293" s="509"/>
      <c r="S293" s="509"/>
      <c r="T293" s="509"/>
      <c r="U293" s="509"/>
      <c r="V293" s="509"/>
      <c r="W293" s="509"/>
      <c r="X293" s="509"/>
      <c r="Y293" s="509"/>
      <c r="Z293" s="509"/>
      <c r="AA293" s="509"/>
      <c r="AB293" s="509"/>
      <c r="AC293" s="509"/>
      <c r="AD293" s="509"/>
      <c r="AE293" s="509"/>
      <c r="AF293" s="509"/>
      <c r="AG293" s="509"/>
      <c r="AH293" s="509"/>
      <c r="AI293" s="509"/>
      <c r="AJ293" s="509"/>
      <c r="AK293" s="509"/>
      <c r="AL293" s="509"/>
      <c r="AM293" s="509"/>
      <c r="AN293" s="509"/>
      <c r="AO293" s="538"/>
      <c r="AP293" s="509"/>
      <c r="AQ293" s="509"/>
      <c r="AR293" s="509"/>
      <c r="AS293" s="509"/>
      <c r="AT293" s="538"/>
      <c r="AU293" s="509"/>
      <c r="AV293" s="509"/>
      <c r="AW293" s="509"/>
      <c r="AX293" s="509"/>
      <c r="AY293" s="538"/>
      <c r="AZ293" s="509"/>
      <c r="BA293" s="509"/>
      <c r="BB293" s="509"/>
      <c r="BC293" s="509"/>
      <c r="BD293" s="538"/>
      <c r="BE293" s="509"/>
      <c r="BF293" s="509"/>
      <c r="BG293" s="509"/>
      <c r="BH293" s="509"/>
      <c r="BI293" s="538"/>
      <c r="BJ293" s="509"/>
      <c r="BK293" s="509"/>
      <c r="BL293" s="509"/>
      <c r="BM293" s="509"/>
      <c r="BN293" s="538"/>
      <c r="BO293" s="509"/>
      <c r="BP293" s="509"/>
      <c r="BQ293" s="509"/>
      <c r="BR293" s="509"/>
      <c r="BS293" s="538"/>
      <c r="BT293" s="509"/>
      <c r="BU293" s="509"/>
      <c r="BV293" s="509"/>
      <c r="BW293" s="509"/>
      <c r="BX293" s="538"/>
      <c r="BY293" s="509"/>
      <c r="BZ293" s="509"/>
      <c r="CA293" s="509"/>
      <c r="CB293" s="509"/>
      <c r="CC293" s="538"/>
      <c r="CD293" s="509"/>
      <c r="CE293" s="509"/>
      <c r="CF293" s="509"/>
      <c r="CG293" s="509"/>
      <c r="CH293" s="538"/>
      <c r="CI293" s="509"/>
      <c r="CJ293" s="509"/>
      <c r="CK293" s="509"/>
      <c r="CL293" s="509"/>
      <c r="CM293" s="538"/>
      <c r="CN293" s="509"/>
      <c r="CO293" s="509"/>
      <c r="CP293" s="509"/>
      <c r="CQ293" s="509"/>
      <c r="CR293" s="509"/>
      <c r="CS293" s="509"/>
      <c r="CT293" s="509"/>
      <c r="CU293" s="509"/>
      <c r="CV293" s="701"/>
      <c r="CW293" s="701"/>
      <c r="CX293" s="701"/>
      <c r="CY293" s="701"/>
      <c r="CZ293" s="701"/>
      <c r="DA293" s="701"/>
      <c r="DB293" s="701"/>
      <c r="DC293" s="294"/>
      <c r="DD293" s="294"/>
      <c r="DE293" s="294"/>
      <c r="DF293" s="294"/>
      <c r="DG293" s="344"/>
      <c r="DH293" s="294"/>
      <c r="DI293" s="294"/>
      <c r="DJ293" s="294"/>
      <c r="DK293" s="294"/>
      <c r="DL293" s="344"/>
      <c r="DM293" s="294"/>
      <c r="DN293" s="294"/>
      <c r="DO293" s="294"/>
      <c r="DP293" s="294"/>
      <c r="DQ293" s="344"/>
      <c r="DR293" s="294"/>
      <c r="DS293" s="294"/>
      <c r="DT293" s="294"/>
      <c r="DU293" s="294"/>
      <c r="DV293" s="344"/>
      <c r="DW293" s="294"/>
      <c r="DX293" s="294"/>
      <c r="DY293" s="294"/>
      <c r="DZ293" s="294"/>
      <c r="EA293" s="344"/>
      <c r="EB293" s="774"/>
      <c r="EC293" s="294"/>
      <c r="ED293" s="294"/>
      <c r="EE293" s="294">
        <f>(EE292/ED292)-1</f>
        <v>0.30783582089552231</v>
      </c>
      <c r="EF293" s="648" t="s">
        <v>199</v>
      </c>
      <c r="EG293" s="294">
        <f>(EG292/EE292)-1</f>
        <v>-0.23537803138373747</v>
      </c>
      <c r="EH293" s="294">
        <f>(EH292/EG292)-1</f>
        <v>0.14365671641791056</v>
      </c>
      <c r="EI293" s="294">
        <f>(EI292/EH292)-1</f>
        <v>5.7096247960848334E-2</v>
      </c>
      <c r="EJ293" s="294">
        <f>(EJ292/EI292)-1</f>
        <v>-0.10956790123456794</v>
      </c>
      <c r="EK293" s="648" t="s">
        <v>199</v>
      </c>
      <c r="EL293" s="294">
        <f>(EL292/EJ292)-1</f>
        <v>-0.13691507798960134</v>
      </c>
      <c r="EM293" s="294">
        <f>(EM292/EL292)-1</f>
        <v>0.13052208835341372</v>
      </c>
      <c r="EN293" s="294">
        <f>(EN292/EM292)-1</f>
        <v>0.13143872113676736</v>
      </c>
      <c r="EO293" s="294">
        <f>(EO292/EN292)-1</f>
        <v>-0.23390894819466246</v>
      </c>
      <c r="EP293" s="648" t="s">
        <v>199</v>
      </c>
      <c r="EQ293" s="294">
        <f>(EQ292/EO292)-1</f>
        <v>-0.23770491803278693</v>
      </c>
      <c r="ER293" s="294">
        <f>(ER292/EQ292)-1</f>
        <v>0.59139784946236551</v>
      </c>
      <c r="ES293" s="294">
        <f>(ES292/ER292)-1</f>
        <v>0.41047297297297303</v>
      </c>
      <c r="ET293" s="294">
        <f>(ET292/ES292)-1</f>
        <v>-0.39401197604790417</v>
      </c>
      <c r="EU293" s="648" t="s">
        <v>199</v>
      </c>
      <c r="EV293" s="668"/>
      <c r="EW293" s="668"/>
      <c r="EX293" s="668"/>
      <c r="EY293" s="668"/>
      <c r="EZ293" s="668"/>
      <c r="FA293" s="668"/>
      <c r="FB293" s="668"/>
      <c r="FC293" s="668"/>
      <c r="FD293" s="668"/>
      <c r="FE293" s="668"/>
      <c r="FF293" s="668"/>
      <c r="FG293" s="668"/>
      <c r="FH293" s="668"/>
      <c r="FI293" s="668"/>
      <c r="FJ293" s="668"/>
      <c r="FK293" s="668"/>
      <c r="FL293" s="668"/>
      <c r="FM293" s="668"/>
      <c r="FN293" s="668"/>
      <c r="FO293" s="668"/>
      <c r="FP293" s="668"/>
      <c r="FQ293" s="668"/>
      <c r="FR293" s="668"/>
      <c r="FS293" s="668"/>
      <c r="FT293" s="668"/>
      <c r="FU293" s="668"/>
      <c r="FV293" s="668"/>
      <c r="FW293" s="668"/>
      <c r="FX293" s="668"/>
      <c r="FY293" s="668"/>
      <c r="FZ293" s="668"/>
      <c r="GA293" s="668"/>
      <c r="GB293" s="668"/>
      <c r="GC293" s="668"/>
      <c r="GD293" s="668"/>
      <c r="GE293" s="668"/>
      <c r="GF293" s="668"/>
      <c r="GG293" s="668"/>
      <c r="GH293" s="668"/>
      <c r="GI293" s="668"/>
      <c r="GJ293" s="668"/>
      <c r="GK293" s="668"/>
      <c r="GL293" s="668"/>
      <c r="GM293" s="668"/>
      <c r="GN293" s="668"/>
      <c r="GO293" s="668"/>
      <c r="GP293" s="668"/>
      <c r="GQ293" s="668"/>
      <c r="GR293" s="668"/>
      <c r="GS293" s="668"/>
      <c r="GT293" s="668"/>
      <c r="GU293" s="668"/>
      <c r="GV293" s="668"/>
      <c r="GW293" s="668"/>
      <c r="GX293" s="668"/>
      <c r="GY293" s="668"/>
      <c r="GZ293" s="668"/>
      <c r="HA293" s="668"/>
      <c r="HB293" s="668"/>
      <c r="HC293" s="668"/>
      <c r="HD293" s="668"/>
      <c r="HE293" s="668"/>
      <c r="HF293" s="668"/>
      <c r="HG293" s="668"/>
      <c r="HH293" s="668"/>
      <c r="HI293" s="668"/>
      <c r="HJ293" s="668"/>
      <c r="HK293" s="668"/>
      <c r="HL293" s="668"/>
      <c r="HM293" s="668"/>
      <c r="HN293" s="668"/>
      <c r="HO293" s="648"/>
      <c r="HQ293" s="509"/>
      <c r="HY293" s="509"/>
      <c r="HZ293" s="509"/>
      <c r="IA293" s="509"/>
      <c r="IB293" s="509"/>
    </row>
    <row r="294" spans="1:236" s="563" customFormat="1" hidden="1" outlineLevel="1">
      <c r="A294" s="746" t="s">
        <v>489</v>
      </c>
      <c r="B294" s="746"/>
      <c r="C294" s="746"/>
      <c r="D294" s="746"/>
      <c r="E294" s="746"/>
      <c r="F294" s="746"/>
      <c r="G294" s="746"/>
      <c r="H294" s="746"/>
      <c r="I294" s="746"/>
      <c r="J294" s="746"/>
      <c r="K294" s="746"/>
      <c r="L294" s="746"/>
      <c r="M294" s="746"/>
      <c r="N294" s="746"/>
      <c r="O294" s="746"/>
      <c r="P294" s="746"/>
      <c r="Q294" s="746"/>
      <c r="R294" s="746"/>
      <c r="S294" s="746"/>
      <c r="T294" s="746"/>
      <c r="U294" s="746"/>
      <c r="V294" s="746"/>
      <c r="W294" s="746"/>
      <c r="X294" s="746"/>
      <c r="Y294" s="746"/>
      <c r="Z294" s="746"/>
      <c r="AA294" s="746"/>
      <c r="AB294" s="746"/>
      <c r="AC294" s="746"/>
      <c r="AD294" s="746"/>
      <c r="AE294" s="746"/>
      <c r="AF294" s="746"/>
      <c r="AG294" s="746"/>
      <c r="AH294" s="746"/>
      <c r="AI294" s="746"/>
      <c r="AJ294" s="746"/>
      <c r="AK294" s="746"/>
      <c r="AL294" s="746"/>
      <c r="AM294" s="746"/>
      <c r="AN294" s="746"/>
      <c r="AO294" s="747"/>
      <c r="AP294" s="746"/>
      <c r="AQ294" s="746"/>
      <c r="AR294" s="746"/>
      <c r="AS294" s="746"/>
      <c r="AT294" s="747"/>
      <c r="AU294" s="746"/>
      <c r="AV294" s="746"/>
      <c r="AW294" s="746"/>
      <c r="AX294" s="746"/>
      <c r="AY294" s="747"/>
      <c r="AZ294" s="746"/>
      <c r="BA294" s="746"/>
      <c r="BB294" s="746"/>
      <c r="BC294" s="746"/>
      <c r="BD294" s="747"/>
      <c r="BE294" s="746"/>
      <c r="BF294" s="746"/>
      <c r="BG294" s="746"/>
      <c r="BH294" s="746"/>
      <c r="BI294" s="747"/>
      <c r="BJ294" s="746"/>
      <c r="BK294" s="746"/>
      <c r="BL294" s="746"/>
      <c r="BM294" s="746"/>
      <c r="BN294" s="747"/>
      <c r="BO294" s="746"/>
      <c r="BP294" s="746"/>
      <c r="BQ294" s="746"/>
      <c r="BR294" s="746"/>
      <c r="BS294" s="747"/>
      <c r="BT294" s="746"/>
      <c r="BU294" s="746"/>
      <c r="BV294" s="746"/>
      <c r="BW294" s="746"/>
      <c r="BX294" s="747"/>
      <c r="BY294" s="746"/>
      <c r="BZ294" s="746"/>
      <c r="CA294" s="746"/>
      <c r="CB294" s="746"/>
      <c r="CC294" s="747"/>
      <c r="CD294" s="746"/>
      <c r="CE294" s="746"/>
      <c r="CF294" s="746"/>
      <c r="CG294" s="746"/>
      <c r="CH294" s="747"/>
      <c r="CI294" s="746"/>
      <c r="CJ294" s="746"/>
      <c r="CK294" s="746"/>
      <c r="CL294" s="746"/>
      <c r="CM294" s="747"/>
      <c r="CN294" s="746"/>
      <c r="CO294" s="746"/>
      <c r="CP294" s="746"/>
      <c r="CQ294" s="746"/>
      <c r="CR294" s="746"/>
      <c r="CS294" s="746"/>
      <c r="CT294" s="746"/>
      <c r="CU294" s="746"/>
      <c r="CV294" s="820"/>
      <c r="CW294" s="820"/>
      <c r="CX294" s="820"/>
      <c r="CY294" s="820"/>
      <c r="CZ294" s="820"/>
      <c r="DA294" s="820"/>
      <c r="DB294" s="820"/>
      <c r="DC294" s="821"/>
      <c r="DD294" s="821"/>
      <c r="DE294" s="821"/>
      <c r="DF294" s="821"/>
      <c r="DG294" s="749"/>
      <c r="DH294" s="821"/>
      <c r="DI294" s="821"/>
      <c r="DJ294" s="821"/>
      <c r="DK294" s="821"/>
      <c r="DL294" s="749"/>
      <c r="DM294" s="821"/>
      <c r="DN294" s="821"/>
      <c r="DO294" s="821"/>
      <c r="DP294" s="821"/>
      <c r="DQ294" s="749"/>
      <c r="DR294" s="821"/>
      <c r="DS294" s="821"/>
      <c r="DT294" s="821"/>
      <c r="DU294" s="821"/>
      <c r="DV294" s="749"/>
      <c r="DW294" s="821"/>
      <c r="DX294" s="821"/>
      <c r="DY294" s="821"/>
      <c r="DZ294" s="821"/>
      <c r="EA294" s="749"/>
      <c r="EB294" s="822"/>
      <c r="EC294" s="821"/>
      <c r="ED294" s="821"/>
      <c r="EE294" s="820" t="s">
        <v>199</v>
      </c>
      <c r="EF294" s="820" t="s">
        <v>199</v>
      </c>
      <c r="EG294" s="820" t="s">
        <v>199</v>
      </c>
      <c r="EH294" s="820" t="s">
        <v>199</v>
      </c>
      <c r="EI294" s="820" t="s">
        <v>199</v>
      </c>
      <c r="EJ294" s="748">
        <f>(EJ292/EE292)-1</f>
        <v>-0.17689015691868759</v>
      </c>
      <c r="EK294" s="749">
        <f>(EK292/EF292)-1</f>
        <v>0.50348321722609257</v>
      </c>
      <c r="EL294" s="748">
        <f>(EL292/EG292)-1</f>
        <v>-7.089552238805974E-2</v>
      </c>
      <c r="EM294" s="820" t="s">
        <v>199</v>
      </c>
      <c r="EN294" s="820" t="s">
        <v>199</v>
      </c>
      <c r="EO294" s="748">
        <f t="shared" ref="EO294:EU294" si="274">(EO292/EJ292)-1</f>
        <v>-0.15424610051993071</v>
      </c>
      <c r="EP294" s="749">
        <f t="shared" si="274"/>
        <v>-7.9191238416175258E-2</v>
      </c>
      <c r="EQ294" s="748">
        <f t="shared" si="274"/>
        <v>-0.25301204819277112</v>
      </c>
      <c r="ER294" s="748">
        <f t="shared" si="274"/>
        <v>5.1509769094138624E-2</v>
      </c>
      <c r="ES294" s="748">
        <f t="shared" si="274"/>
        <v>0.31083202511773944</v>
      </c>
      <c r="ET294" s="748">
        <f t="shared" si="274"/>
        <v>3.688524590163933E-2</v>
      </c>
      <c r="EU294" s="749">
        <f t="shared" si="274"/>
        <v>5.4437328453796896E-2</v>
      </c>
      <c r="EV294" s="668"/>
      <c r="EW294" s="668"/>
      <c r="EX294" s="668"/>
      <c r="EY294" s="668"/>
      <c r="EZ294" s="668"/>
      <c r="FA294" s="668"/>
      <c r="FB294" s="668"/>
      <c r="FC294" s="668"/>
      <c r="FD294" s="668"/>
      <c r="FE294" s="668"/>
      <c r="FF294" s="668"/>
      <c r="FG294" s="668"/>
      <c r="FH294" s="668"/>
      <c r="FI294" s="668"/>
      <c r="FJ294" s="668"/>
      <c r="FK294" s="668"/>
      <c r="FL294" s="668"/>
      <c r="FM294" s="668"/>
      <c r="FN294" s="668"/>
      <c r="FO294" s="668"/>
      <c r="FP294" s="668"/>
      <c r="FQ294" s="668"/>
      <c r="FR294" s="668"/>
      <c r="FS294" s="668"/>
      <c r="FT294" s="668"/>
      <c r="FU294" s="668"/>
      <c r="FV294" s="668"/>
      <c r="FW294" s="668"/>
      <c r="FX294" s="668"/>
      <c r="FY294" s="668"/>
      <c r="FZ294" s="668"/>
      <c r="GA294" s="668"/>
      <c r="GB294" s="668"/>
      <c r="GC294" s="668"/>
      <c r="GD294" s="668"/>
      <c r="GE294" s="668"/>
      <c r="GF294" s="668"/>
      <c r="GG294" s="668"/>
      <c r="GH294" s="668"/>
      <c r="GI294" s="668"/>
      <c r="GJ294" s="668"/>
      <c r="GK294" s="668"/>
      <c r="GL294" s="668"/>
      <c r="GM294" s="668"/>
      <c r="GN294" s="668"/>
      <c r="GO294" s="668"/>
      <c r="GP294" s="668"/>
      <c r="GQ294" s="668"/>
      <c r="GR294" s="668"/>
      <c r="GS294" s="668"/>
      <c r="GT294" s="668"/>
      <c r="GU294" s="668"/>
      <c r="GV294" s="668"/>
      <c r="GW294" s="668"/>
      <c r="GX294" s="668"/>
      <c r="GY294" s="668"/>
      <c r="GZ294" s="668"/>
      <c r="HA294" s="668"/>
      <c r="HB294" s="668"/>
      <c r="HC294" s="668"/>
      <c r="HD294" s="668"/>
      <c r="HE294" s="668"/>
      <c r="HF294" s="668"/>
      <c r="HG294" s="668"/>
      <c r="HH294" s="668"/>
      <c r="HI294" s="668"/>
      <c r="HJ294" s="668"/>
      <c r="HK294" s="668"/>
      <c r="HL294" s="668"/>
      <c r="HM294" s="668"/>
      <c r="HN294" s="668"/>
      <c r="HO294" s="344"/>
      <c r="HQ294" s="509"/>
      <c r="HY294" s="509"/>
      <c r="HZ294" s="509"/>
      <c r="IA294" s="509"/>
      <c r="IB294" s="509"/>
    </row>
    <row r="295" spans="1:236" s="563" customFormat="1" hidden="1" outlineLevel="1">
      <c r="A295" s="509" t="s">
        <v>524</v>
      </c>
      <c r="B295" s="752"/>
      <c r="C295" s="752"/>
      <c r="D295" s="752"/>
      <c r="E295" s="752"/>
      <c r="F295" s="752"/>
      <c r="G295" s="752"/>
      <c r="H295" s="752"/>
      <c r="I295" s="752"/>
      <c r="J295" s="752"/>
      <c r="K295" s="752"/>
      <c r="L295" s="752"/>
      <c r="M295" s="752"/>
      <c r="N295" s="752"/>
      <c r="O295" s="752"/>
      <c r="P295" s="752"/>
      <c r="Q295" s="752"/>
      <c r="R295" s="752"/>
      <c r="S295" s="752"/>
      <c r="T295" s="752"/>
      <c r="U295" s="752"/>
      <c r="V295" s="752"/>
      <c r="W295" s="752"/>
      <c r="X295" s="752"/>
      <c r="Y295" s="752"/>
      <c r="Z295" s="752"/>
      <c r="AA295" s="752"/>
      <c r="AB295" s="752"/>
      <c r="AC295" s="752"/>
      <c r="AD295" s="752"/>
      <c r="AE295" s="752"/>
      <c r="AF295" s="752"/>
      <c r="AG295" s="752"/>
      <c r="AH295" s="752"/>
      <c r="AI295" s="752"/>
      <c r="AJ295" s="752"/>
      <c r="AK295" s="752"/>
      <c r="AL295" s="752"/>
      <c r="AM295" s="752"/>
      <c r="AN295" s="752"/>
      <c r="AO295" s="753"/>
      <c r="AP295" s="752"/>
      <c r="AQ295" s="752"/>
      <c r="AR295" s="752"/>
      <c r="AS295" s="752"/>
      <c r="AT295" s="753"/>
      <c r="AU295" s="752"/>
      <c r="AV295" s="752"/>
      <c r="AW295" s="752"/>
      <c r="AX295" s="752"/>
      <c r="AY295" s="753"/>
      <c r="AZ295" s="752"/>
      <c r="BA295" s="752"/>
      <c r="BB295" s="752"/>
      <c r="BC295" s="752"/>
      <c r="BD295" s="753"/>
      <c r="BE295" s="752"/>
      <c r="BF295" s="752"/>
      <c r="BG295" s="752"/>
      <c r="BH295" s="752"/>
      <c r="BI295" s="753"/>
      <c r="BJ295" s="752"/>
      <c r="BK295" s="752"/>
      <c r="BL295" s="752"/>
      <c r="BM295" s="752"/>
      <c r="BN295" s="753"/>
      <c r="BO295" s="754"/>
      <c r="BP295" s="754"/>
      <c r="BQ295" s="754"/>
      <c r="BR295" s="754"/>
      <c r="BS295" s="755"/>
      <c r="BT295" s="754"/>
      <c r="BU295" s="754"/>
      <c r="BV295" s="754"/>
      <c r="BW295" s="754"/>
      <c r="BX295" s="524"/>
      <c r="BY295" s="754"/>
      <c r="BZ295" s="754"/>
      <c r="CA295" s="754"/>
      <c r="CB295" s="754"/>
      <c r="CC295" s="524"/>
      <c r="CD295" s="754"/>
      <c r="CE295" s="754"/>
      <c r="CF295" s="754"/>
      <c r="CG295" s="754"/>
      <c r="CH295" s="524"/>
      <c r="CI295" s="754"/>
      <c r="CJ295" s="754"/>
      <c r="CK295" s="754"/>
      <c r="CL295" s="754"/>
      <c r="CM295" s="524"/>
      <c r="CN295" s="754"/>
      <c r="CO295" s="754"/>
      <c r="CP295" s="754"/>
      <c r="CQ295" s="754"/>
      <c r="CR295" s="524"/>
      <c r="CS295" s="523"/>
      <c r="CT295" s="523"/>
      <c r="CU295" s="523"/>
      <c r="CV295" s="523"/>
      <c r="CW295" s="524"/>
      <c r="CX295" s="523"/>
      <c r="CY295" s="523"/>
      <c r="CZ295" s="523"/>
      <c r="DA295" s="523"/>
      <c r="DB295" s="524"/>
      <c r="DC295" s="523"/>
      <c r="DD295" s="523"/>
      <c r="DE295" s="523"/>
      <c r="DF295" s="523"/>
      <c r="DG295" s="524"/>
      <c r="DH295" s="650"/>
      <c r="DI295" s="650"/>
      <c r="DJ295" s="650"/>
      <c r="DK295" s="650"/>
      <c r="DL295" s="755"/>
      <c r="DM295" s="756"/>
      <c r="DN295" s="756"/>
      <c r="DO295" s="756"/>
      <c r="DP295" s="756"/>
      <c r="DQ295" s="757"/>
      <c r="DR295" s="756"/>
      <c r="DS295" s="756"/>
      <c r="DT295" s="756"/>
      <c r="DU295" s="756"/>
      <c r="DV295" s="757"/>
      <c r="DW295" s="756"/>
      <c r="DX295" s="756"/>
      <c r="DY295" s="756"/>
      <c r="DZ295" s="756"/>
      <c r="EA295" s="757"/>
      <c r="EB295" s="336">
        <f t="shared" ref="EB295:EU295" si="275">+EB292/EB$9</f>
        <v>0.16084558823529413</v>
      </c>
      <c r="EC295" s="336">
        <f t="shared" si="275"/>
        <v>0.1438415159345392</v>
      </c>
      <c r="ED295" s="336">
        <f t="shared" si="275"/>
        <v>0.36687200547570159</v>
      </c>
      <c r="EE295" s="336">
        <f t="shared" si="275"/>
        <v>0.44115796098174953</v>
      </c>
      <c r="EF295" s="758">
        <f t="shared" si="275"/>
        <v>0.29798075108511041</v>
      </c>
      <c r="EG295" s="336">
        <f t="shared" si="275"/>
        <v>0.38367931281317108</v>
      </c>
      <c r="EH295" s="336">
        <f t="shared" si="275"/>
        <v>0.42539902845246358</v>
      </c>
      <c r="EI295" s="337">
        <f t="shared" si="275"/>
        <v>0.45346396081175649</v>
      </c>
      <c r="EJ295" s="337">
        <f t="shared" si="275"/>
        <v>0.46569814366424533</v>
      </c>
      <c r="EK295" s="758">
        <f>+EK292/EK$9</f>
        <v>0.4311660007264802</v>
      </c>
      <c r="EL295" s="337">
        <f t="shared" si="275"/>
        <v>0.48349514563106794</v>
      </c>
      <c r="EM295" s="336">
        <f>+EM292/EM$9</f>
        <v>0.59766454352441611</v>
      </c>
      <c r="EN295" s="336">
        <f>+EN292/EN$9</f>
        <v>0.60037700282752116</v>
      </c>
      <c r="EO295" s="337">
        <f t="shared" si="275"/>
        <v>0.50939457202505223</v>
      </c>
      <c r="EP295" s="359">
        <f t="shared" si="275"/>
        <v>0.5477323978952644</v>
      </c>
      <c r="EQ295" s="337">
        <f t="shared" si="275"/>
        <v>0.44711538461538464</v>
      </c>
      <c r="ER295" s="337">
        <f t="shared" si="275"/>
        <v>0.57643622200584221</v>
      </c>
      <c r="ES295" s="337">
        <f t="shared" si="275"/>
        <v>0.63886763580719208</v>
      </c>
      <c r="ET295" s="337">
        <f t="shared" si="275"/>
        <v>0.45750452079566006</v>
      </c>
      <c r="EU295" s="359">
        <f t="shared" si="275"/>
        <v>0.53955992509363293</v>
      </c>
      <c r="EV295" s="668"/>
      <c r="EW295" s="668"/>
      <c r="EX295" s="668"/>
      <c r="EY295" s="668"/>
      <c r="EZ295" s="668"/>
      <c r="FA295" s="668"/>
      <c r="FB295" s="668"/>
      <c r="FC295" s="668"/>
      <c r="FD295" s="668"/>
      <c r="FE295" s="668"/>
      <c r="FF295" s="668"/>
      <c r="FG295" s="668"/>
      <c r="FH295" s="668"/>
      <c r="FI295" s="668"/>
      <c r="FJ295" s="668"/>
      <c r="FK295" s="668"/>
      <c r="FL295" s="668"/>
      <c r="FM295" s="668"/>
      <c r="FN295" s="668"/>
      <c r="FO295" s="668"/>
      <c r="FP295" s="668"/>
      <c r="FQ295" s="668"/>
      <c r="FR295" s="668"/>
      <c r="FS295" s="668"/>
      <c r="FT295" s="668"/>
      <c r="FU295" s="668"/>
      <c r="FV295" s="668"/>
      <c r="FW295" s="668"/>
      <c r="FX295" s="668"/>
      <c r="FY295" s="668"/>
      <c r="FZ295" s="668"/>
      <c r="GA295" s="668"/>
      <c r="GB295" s="668"/>
      <c r="GC295" s="668"/>
      <c r="GD295" s="668"/>
      <c r="GE295" s="668"/>
      <c r="GF295" s="668"/>
      <c r="GG295" s="668"/>
      <c r="GH295" s="668"/>
      <c r="GI295" s="668"/>
      <c r="GJ295" s="668"/>
      <c r="GK295" s="668"/>
      <c r="GL295" s="668"/>
      <c r="GM295" s="668"/>
      <c r="GN295" s="668"/>
      <c r="GO295" s="668"/>
      <c r="GP295" s="668"/>
      <c r="GQ295" s="668"/>
      <c r="GR295" s="668"/>
      <c r="GS295" s="668"/>
      <c r="GT295" s="668"/>
      <c r="GU295" s="668"/>
      <c r="GV295" s="668"/>
      <c r="GW295" s="668"/>
      <c r="GX295" s="668"/>
      <c r="GY295" s="668"/>
      <c r="GZ295" s="668"/>
      <c r="HA295" s="668"/>
      <c r="HB295" s="668"/>
      <c r="HC295" s="668"/>
      <c r="HD295" s="668"/>
      <c r="HE295" s="668"/>
      <c r="HF295" s="668"/>
      <c r="HG295" s="668"/>
      <c r="HH295" s="668"/>
      <c r="HI295" s="668"/>
      <c r="HJ295" s="668"/>
      <c r="HK295" s="668"/>
      <c r="HL295" s="668"/>
      <c r="HM295" s="668"/>
      <c r="HN295" s="668"/>
      <c r="HO295" s="757"/>
      <c r="HQ295" s="509"/>
      <c r="HY295" s="509"/>
      <c r="HZ295" s="509"/>
      <c r="IA295" s="509"/>
      <c r="IB295" s="509"/>
    </row>
    <row r="296" spans="1:236" s="563" customFormat="1" hidden="1" outlineLevel="1">
      <c r="A296" s="509" t="s">
        <v>525</v>
      </c>
      <c r="B296" s="752"/>
      <c r="C296" s="752"/>
      <c r="D296" s="752"/>
      <c r="E296" s="752"/>
      <c r="F296" s="752"/>
      <c r="G296" s="752"/>
      <c r="H296" s="752"/>
      <c r="I296" s="752"/>
      <c r="J296" s="752"/>
      <c r="K296" s="752"/>
      <c r="L296" s="752"/>
      <c r="M296" s="752"/>
      <c r="N296" s="752"/>
      <c r="O296" s="752"/>
      <c r="P296" s="752"/>
      <c r="Q296" s="752"/>
      <c r="R296" s="752"/>
      <c r="S296" s="752"/>
      <c r="T296" s="752"/>
      <c r="U296" s="752"/>
      <c r="V296" s="752"/>
      <c r="W296" s="752"/>
      <c r="X296" s="752"/>
      <c r="Y296" s="752"/>
      <c r="Z296" s="752"/>
      <c r="AA296" s="752"/>
      <c r="AB296" s="752"/>
      <c r="AC296" s="752"/>
      <c r="AD296" s="752"/>
      <c r="AE296" s="752"/>
      <c r="AF296" s="752"/>
      <c r="AG296" s="752"/>
      <c r="AH296" s="752"/>
      <c r="AI296" s="752"/>
      <c r="AJ296" s="752"/>
      <c r="AK296" s="752"/>
      <c r="AL296" s="752"/>
      <c r="AM296" s="752"/>
      <c r="AN296" s="752"/>
      <c r="AO296" s="753"/>
      <c r="AP296" s="752"/>
      <c r="AQ296" s="752"/>
      <c r="AR296" s="752"/>
      <c r="AS296" s="752"/>
      <c r="AT296" s="753"/>
      <c r="AU296" s="752"/>
      <c r="AV296" s="752"/>
      <c r="AW296" s="752"/>
      <c r="AX296" s="752"/>
      <c r="AY296" s="753"/>
      <c r="AZ296" s="752"/>
      <c r="BA296" s="752"/>
      <c r="BB296" s="752"/>
      <c r="BC296" s="752"/>
      <c r="BD296" s="753"/>
      <c r="BE296" s="752"/>
      <c r="BF296" s="752"/>
      <c r="BG296" s="752"/>
      <c r="BH296" s="752"/>
      <c r="BI296" s="753"/>
      <c r="BJ296" s="752"/>
      <c r="BK296" s="752"/>
      <c r="BL296" s="752"/>
      <c r="BM296" s="752"/>
      <c r="BN296" s="753"/>
      <c r="BO296" s="754"/>
      <c r="BP296" s="754"/>
      <c r="BQ296" s="754"/>
      <c r="BR296" s="754"/>
      <c r="BS296" s="755"/>
      <c r="BT296" s="754"/>
      <c r="BU296" s="754"/>
      <c r="BV296" s="754"/>
      <c r="BW296" s="754"/>
      <c r="BX296" s="524"/>
      <c r="BY296" s="754"/>
      <c r="BZ296" s="754"/>
      <c r="CA296" s="754"/>
      <c r="CB296" s="754"/>
      <c r="CC296" s="524"/>
      <c r="CD296" s="754"/>
      <c r="CE296" s="754"/>
      <c r="CF296" s="754"/>
      <c r="CG296" s="754"/>
      <c r="CH296" s="524"/>
      <c r="CI296" s="754"/>
      <c r="CJ296" s="754"/>
      <c r="CK296" s="754"/>
      <c r="CL296" s="754"/>
      <c r="CM296" s="524"/>
      <c r="CN296" s="754"/>
      <c r="CO296" s="754"/>
      <c r="CP296" s="754"/>
      <c r="CQ296" s="754"/>
      <c r="CR296" s="524"/>
      <c r="CS296" s="523"/>
      <c r="CT296" s="523"/>
      <c r="CU296" s="523"/>
      <c r="CV296" s="523"/>
      <c r="CW296" s="524"/>
      <c r="CX296" s="523"/>
      <c r="CY296" s="523"/>
      <c r="CZ296" s="523"/>
      <c r="DA296" s="523"/>
      <c r="DB296" s="524"/>
      <c r="DC296" s="523"/>
      <c r="DD296" s="523"/>
      <c r="DE296" s="523"/>
      <c r="DF296" s="523"/>
      <c r="DG296" s="524"/>
      <c r="DH296" s="650"/>
      <c r="DI296" s="650"/>
      <c r="DJ296" s="650"/>
      <c r="DK296" s="650"/>
      <c r="DL296" s="755"/>
      <c r="DM296" s="756"/>
      <c r="DN296" s="756"/>
      <c r="DO296" s="756"/>
      <c r="DP296" s="756"/>
      <c r="DQ296" s="757"/>
      <c r="DR296" s="756"/>
      <c r="DS296" s="756"/>
      <c r="DT296" s="756"/>
      <c r="DU296" s="756"/>
      <c r="DV296" s="757"/>
      <c r="DW296" s="756"/>
      <c r="DX296" s="756"/>
      <c r="DY296" s="756"/>
      <c r="DZ296" s="756"/>
      <c r="EA296" s="757"/>
      <c r="EB296" s="756">
        <v>52</v>
      </c>
      <c r="EC296" s="756">
        <v>22</v>
      </c>
      <c r="ED296" s="756">
        <v>92</v>
      </c>
      <c r="EE296" s="756">
        <v>129</v>
      </c>
      <c r="EF296" s="757">
        <f>SUM(EB296:EE296)</f>
        <v>295</v>
      </c>
      <c r="EG296" s="756">
        <v>85</v>
      </c>
      <c r="EH296" s="756">
        <v>97</v>
      </c>
      <c r="EI296" s="756">
        <v>108</v>
      </c>
      <c r="EJ296" s="756">
        <v>109</v>
      </c>
      <c r="EK296" s="757">
        <f>SUM(EG296:EJ296)</f>
        <v>399</v>
      </c>
      <c r="EL296" s="756">
        <v>45</v>
      </c>
      <c r="EM296" s="756">
        <v>27</v>
      </c>
      <c r="EN296" s="756">
        <v>84</v>
      </c>
      <c r="EO296" s="756"/>
      <c r="EP296" s="757"/>
      <c r="EQ296" s="756"/>
      <c r="ER296" s="756"/>
      <c r="ES296" s="756"/>
      <c r="ET296" s="756"/>
      <c r="EU296" s="757"/>
      <c r="EV296" s="668"/>
      <c r="EW296" s="668"/>
      <c r="EX296" s="668"/>
      <c r="EY296" s="668"/>
      <c r="EZ296" s="668"/>
      <c r="FA296" s="668"/>
      <c r="FB296" s="668"/>
      <c r="FC296" s="668"/>
      <c r="FD296" s="668"/>
      <c r="FE296" s="668"/>
      <c r="FF296" s="668"/>
      <c r="FG296" s="668"/>
      <c r="FH296" s="668"/>
      <c r="FI296" s="668"/>
      <c r="FJ296" s="668"/>
      <c r="FK296" s="668"/>
      <c r="FL296" s="668"/>
      <c r="FM296" s="668"/>
      <c r="FN296" s="668"/>
      <c r="FO296" s="668"/>
      <c r="FP296" s="668"/>
      <c r="FQ296" s="668"/>
      <c r="FR296" s="668"/>
      <c r="FS296" s="668"/>
      <c r="FT296" s="668"/>
      <c r="FU296" s="668"/>
      <c r="FV296" s="668"/>
      <c r="FW296" s="668"/>
      <c r="FX296" s="668"/>
      <c r="FY296" s="668"/>
      <c r="FZ296" s="668"/>
      <c r="GA296" s="668"/>
      <c r="GB296" s="668"/>
      <c r="GC296" s="668"/>
      <c r="GD296" s="668"/>
      <c r="GE296" s="668"/>
      <c r="GF296" s="668"/>
      <c r="GG296" s="668"/>
      <c r="GH296" s="668"/>
      <c r="GI296" s="668"/>
      <c r="GJ296" s="668"/>
      <c r="GK296" s="668"/>
      <c r="GL296" s="668"/>
      <c r="GM296" s="668"/>
      <c r="GN296" s="668"/>
      <c r="GO296" s="668"/>
      <c r="GP296" s="668"/>
      <c r="GQ296" s="668"/>
      <c r="GR296" s="668"/>
      <c r="GS296" s="668"/>
      <c r="GT296" s="668"/>
      <c r="GU296" s="668"/>
      <c r="GV296" s="668"/>
      <c r="GW296" s="668"/>
      <c r="GX296" s="668"/>
      <c r="GY296" s="668"/>
      <c r="GZ296" s="668"/>
      <c r="HA296" s="668"/>
      <c r="HB296" s="668"/>
      <c r="HC296" s="668"/>
      <c r="HD296" s="668"/>
      <c r="HE296" s="668"/>
      <c r="HF296" s="668"/>
      <c r="HG296" s="668"/>
      <c r="HH296" s="668"/>
      <c r="HI296" s="668"/>
      <c r="HJ296" s="668"/>
      <c r="HK296" s="668"/>
      <c r="HL296" s="668"/>
      <c r="HM296" s="668"/>
      <c r="HN296" s="668"/>
      <c r="HO296" s="757"/>
      <c r="HQ296" s="509"/>
      <c r="HY296" s="509"/>
      <c r="HZ296" s="509"/>
      <c r="IA296" s="509"/>
      <c r="IB296" s="509"/>
    </row>
    <row r="297" spans="1:236" s="563" customFormat="1" hidden="1" outlineLevel="1">
      <c r="A297" s="509" t="s">
        <v>526</v>
      </c>
      <c r="B297" s="752"/>
      <c r="C297" s="752"/>
      <c r="D297" s="752"/>
      <c r="E297" s="752"/>
      <c r="F297" s="752"/>
      <c r="G297" s="752"/>
      <c r="H297" s="752"/>
      <c r="I297" s="752"/>
      <c r="J297" s="752"/>
      <c r="K297" s="752"/>
      <c r="L297" s="752"/>
      <c r="M297" s="752"/>
      <c r="N297" s="752"/>
      <c r="O297" s="752"/>
      <c r="P297" s="752"/>
      <c r="Q297" s="752"/>
      <c r="R297" s="752"/>
      <c r="S297" s="752"/>
      <c r="T297" s="752"/>
      <c r="U297" s="752"/>
      <c r="V297" s="752"/>
      <c r="W297" s="752"/>
      <c r="X297" s="752"/>
      <c r="Y297" s="752"/>
      <c r="Z297" s="752"/>
      <c r="AA297" s="752"/>
      <c r="AB297" s="752"/>
      <c r="AC297" s="752"/>
      <c r="AD297" s="752"/>
      <c r="AE297" s="752"/>
      <c r="AF297" s="752"/>
      <c r="AG297" s="752"/>
      <c r="AH297" s="752"/>
      <c r="AI297" s="752"/>
      <c r="AJ297" s="752"/>
      <c r="AK297" s="752"/>
      <c r="AL297" s="752"/>
      <c r="AM297" s="752"/>
      <c r="AN297" s="752"/>
      <c r="AO297" s="753"/>
      <c r="AP297" s="752"/>
      <c r="AQ297" s="752"/>
      <c r="AR297" s="752"/>
      <c r="AS297" s="752"/>
      <c r="AT297" s="753"/>
      <c r="AU297" s="752"/>
      <c r="AV297" s="752"/>
      <c r="AW297" s="752"/>
      <c r="AX297" s="752"/>
      <c r="AY297" s="753"/>
      <c r="AZ297" s="752"/>
      <c r="BA297" s="752"/>
      <c r="BB297" s="752"/>
      <c r="BC297" s="752"/>
      <c r="BD297" s="753"/>
      <c r="BE297" s="752"/>
      <c r="BF297" s="752"/>
      <c r="BG297" s="752"/>
      <c r="BH297" s="752"/>
      <c r="BI297" s="753"/>
      <c r="BJ297" s="752"/>
      <c r="BK297" s="752"/>
      <c r="BL297" s="752"/>
      <c r="BM297" s="752"/>
      <c r="BN297" s="753"/>
      <c r="BO297" s="754"/>
      <c r="BP297" s="754"/>
      <c r="BQ297" s="754"/>
      <c r="BR297" s="754"/>
      <c r="BS297" s="755"/>
      <c r="BT297" s="754"/>
      <c r="BU297" s="754"/>
      <c r="BV297" s="754"/>
      <c r="BW297" s="754"/>
      <c r="BX297" s="524"/>
      <c r="BY297" s="754"/>
      <c r="BZ297" s="754"/>
      <c r="CA297" s="754"/>
      <c r="CB297" s="754"/>
      <c r="CC297" s="524"/>
      <c r="CD297" s="754"/>
      <c r="CE297" s="754"/>
      <c r="CF297" s="754"/>
      <c r="CG297" s="754"/>
      <c r="CH297" s="524"/>
      <c r="CI297" s="754"/>
      <c r="CJ297" s="754"/>
      <c r="CK297" s="754"/>
      <c r="CL297" s="754"/>
      <c r="CM297" s="524"/>
      <c r="CN297" s="754"/>
      <c r="CO297" s="754"/>
      <c r="CP297" s="754"/>
      <c r="CQ297" s="754"/>
      <c r="CR297" s="524"/>
      <c r="CS297" s="523"/>
      <c r="CT297" s="523"/>
      <c r="CU297" s="523"/>
      <c r="CV297" s="523"/>
      <c r="CW297" s="524"/>
      <c r="CX297" s="523"/>
      <c r="CY297" s="523"/>
      <c r="CZ297" s="523"/>
      <c r="DA297" s="523"/>
      <c r="DB297" s="524"/>
      <c r="DC297" s="523"/>
      <c r="DD297" s="523"/>
      <c r="DE297" s="523"/>
      <c r="DF297" s="523"/>
      <c r="DG297" s="524"/>
      <c r="DH297" s="650"/>
      <c r="DI297" s="650"/>
      <c r="DJ297" s="650"/>
      <c r="DK297" s="650"/>
      <c r="DL297" s="755"/>
      <c r="DM297" s="756"/>
      <c r="DN297" s="756"/>
      <c r="DO297" s="756"/>
      <c r="DP297" s="756"/>
      <c r="DQ297" s="757"/>
      <c r="DR297" s="756"/>
      <c r="DS297" s="756"/>
      <c r="DT297" s="756"/>
      <c r="DU297" s="756"/>
      <c r="DV297" s="757"/>
      <c r="DW297" s="756"/>
      <c r="DX297" s="756"/>
      <c r="DY297" s="756"/>
      <c r="DZ297" s="756"/>
      <c r="EA297" s="757"/>
      <c r="EB297" s="337">
        <f t="shared" ref="EB297:EJ297" si="276">+EB296/EB292</f>
        <v>0.29714285714285715</v>
      </c>
      <c r="EC297" s="337">
        <f t="shared" si="276"/>
        <v>0.1317365269461078</v>
      </c>
      <c r="ED297" s="337">
        <f t="shared" si="276"/>
        <v>0.17164179104477612</v>
      </c>
      <c r="EE297" s="337">
        <f t="shared" si="276"/>
        <v>0.18402282453637661</v>
      </c>
      <c r="EF297" s="359">
        <f t="shared" si="276"/>
        <v>0.18682710576314124</v>
      </c>
      <c r="EG297" s="337">
        <f t="shared" si="276"/>
        <v>0.15858208955223882</v>
      </c>
      <c r="EH297" s="337">
        <f t="shared" si="276"/>
        <v>0.15823817292006526</v>
      </c>
      <c r="EI297" s="337">
        <f t="shared" si="276"/>
        <v>0.16666666666666666</v>
      </c>
      <c r="EJ297" s="337">
        <f t="shared" si="276"/>
        <v>0.18890814558058924</v>
      </c>
      <c r="EK297" s="359">
        <f>+EK296/EK292</f>
        <v>0.16807076663858467</v>
      </c>
      <c r="EL297" s="337">
        <f>+EL296/EL292</f>
        <v>9.036144578313253E-2</v>
      </c>
      <c r="EM297" s="337">
        <f>+EM296/EM292</f>
        <v>4.7957371225577264E-2</v>
      </c>
      <c r="EN297" s="337">
        <f>+EN296/EN292</f>
        <v>0.13186813186813187</v>
      </c>
      <c r="EO297" s="756"/>
      <c r="EP297" s="757"/>
      <c r="EQ297" s="756"/>
      <c r="ER297" s="756"/>
      <c r="ES297" s="756"/>
      <c r="ET297" s="756"/>
      <c r="EU297" s="757"/>
      <c r="EV297" s="668"/>
      <c r="EW297" s="668"/>
      <c r="EX297" s="668"/>
      <c r="EY297" s="668"/>
      <c r="EZ297" s="668"/>
      <c r="FA297" s="668"/>
      <c r="FB297" s="668"/>
      <c r="FC297" s="668"/>
      <c r="FD297" s="668"/>
      <c r="FE297" s="668"/>
      <c r="FF297" s="668"/>
      <c r="FG297" s="668"/>
      <c r="FH297" s="668"/>
      <c r="FI297" s="668"/>
      <c r="FJ297" s="668"/>
      <c r="FK297" s="668"/>
      <c r="FL297" s="668"/>
      <c r="FM297" s="668"/>
      <c r="FN297" s="668"/>
      <c r="FO297" s="668"/>
      <c r="FP297" s="668"/>
      <c r="FQ297" s="668"/>
      <c r="FR297" s="668"/>
      <c r="FS297" s="668"/>
      <c r="FT297" s="668"/>
      <c r="FU297" s="668"/>
      <c r="FV297" s="668"/>
      <c r="FW297" s="668"/>
      <c r="FX297" s="668"/>
      <c r="FY297" s="668"/>
      <c r="FZ297" s="668"/>
      <c r="GA297" s="668"/>
      <c r="GB297" s="668"/>
      <c r="GC297" s="668"/>
      <c r="GD297" s="668"/>
      <c r="GE297" s="668"/>
      <c r="GF297" s="668"/>
      <c r="GG297" s="668"/>
      <c r="GH297" s="668"/>
      <c r="GI297" s="668"/>
      <c r="GJ297" s="668"/>
      <c r="GK297" s="668"/>
      <c r="GL297" s="668"/>
      <c r="GM297" s="668"/>
      <c r="GN297" s="668"/>
      <c r="GO297" s="668"/>
      <c r="GP297" s="668"/>
      <c r="GQ297" s="668"/>
      <c r="GR297" s="668"/>
      <c r="GS297" s="668"/>
      <c r="GT297" s="668"/>
      <c r="GU297" s="668"/>
      <c r="GV297" s="668"/>
      <c r="GW297" s="668"/>
      <c r="GX297" s="668"/>
      <c r="GY297" s="668"/>
      <c r="GZ297" s="668"/>
      <c r="HA297" s="668"/>
      <c r="HB297" s="668"/>
      <c r="HC297" s="668"/>
      <c r="HD297" s="668"/>
      <c r="HE297" s="668"/>
      <c r="HF297" s="668"/>
      <c r="HG297" s="668"/>
      <c r="HH297" s="668"/>
      <c r="HI297" s="668"/>
      <c r="HJ297" s="668"/>
      <c r="HK297" s="668"/>
      <c r="HL297" s="668"/>
      <c r="HM297" s="668"/>
      <c r="HN297" s="668"/>
      <c r="HO297" s="757"/>
      <c r="HQ297" s="509"/>
      <c r="HY297" s="509"/>
      <c r="HZ297" s="509"/>
      <c r="IA297" s="509"/>
      <c r="IB297" s="509"/>
    </row>
    <row r="298" spans="1:236" s="563" customFormat="1" hidden="1" outlineLevel="1">
      <c r="A298" s="509" t="s">
        <v>527</v>
      </c>
      <c r="B298" s="752"/>
      <c r="C298" s="752"/>
      <c r="D298" s="752"/>
      <c r="E298" s="752"/>
      <c r="F298" s="752"/>
      <c r="G298" s="752"/>
      <c r="H298" s="752"/>
      <c r="I298" s="752"/>
      <c r="J298" s="752"/>
      <c r="K298" s="752"/>
      <c r="L298" s="752"/>
      <c r="M298" s="752"/>
      <c r="N298" s="752"/>
      <c r="O298" s="752"/>
      <c r="P298" s="752"/>
      <c r="Q298" s="752"/>
      <c r="R298" s="752"/>
      <c r="S298" s="752"/>
      <c r="T298" s="752"/>
      <c r="U298" s="752"/>
      <c r="V298" s="752"/>
      <c r="W298" s="752"/>
      <c r="X298" s="752"/>
      <c r="Y298" s="752"/>
      <c r="Z298" s="752"/>
      <c r="AA298" s="752"/>
      <c r="AB298" s="752"/>
      <c r="AC298" s="752"/>
      <c r="AD298" s="752"/>
      <c r="AE298" s="752"/>
      <c r="AF298" s="752"/>
      <c r="AG298" s="752"/>
      <c r="AH298" s="752"/>
      <c r="AI298" s="752"/>
      <c r="AJ298" s="752"/>
      <c r="AK298" s="752"/>
      <c r="AL298" s="752"/>
      <c r="AM298" s="752"/>
      <c r="AN298" s="752"/>
      <c r="AO298" s="753"/>
      <c r="AP298" s="752"/>
      <c r="AQ298" s="752"/>
      <c r="AR298" s="752"/>
      <c r="AS298" s="752"/>
      <c r="AT298" s="753"/>
      <c r="AU298" s="752"/>
      <c r="AV298" s="752"/>
      <c r="AW298" s="752"/>
      <c r="AX298" s="752"/>
      <c r="AY298" s="753"/>
      <c r="AZ298" s="752"/>
      <c r="BA298" s="752"/>
      <c r="BB298" s="752"/>
      <c r="BC298" s="752"/>
      <c r="BD298" s="753"/>
      <c r="BE298" s="752"/>
      <c r="BF298" s="752"/>
      <c r="BG298" s="752"/>
      <c r="BH298" s="752"/>
      <c r="BI298" s="753"/>
      <c r="BJ298" s="752"/>
      <c r="BK298" s="752"/>
      <c r="BL298" s="752"/>
      <c r="BM298" s="752"/>
      <c r="BN298" s="753"/>
      <c r="BO298" s="754"/>
      <c r="BP298" s="754"/>
      <c r="BQ298" s="754"/>
      <c r="BR298" s="754"/>
      <c r="BS298" s="755"/>
      <c r="BT298" s="754"/>
      <c r="BU298" s="754"/>
      <c r="BV298" s="754"/>
      <c r="BW298" s="754"/>
      <c r="BX298" s="524"/>
      <c r="BY298" s="754"/>
      <c r="BZ298" s="754"/>
      <c r="CA298" s="754"/>
      <c r="CB298" s="754"/>
      <c r="CC298" s="524"/>
      <c r="CD298" s="754"/>
      <c r="CE298" s="754"/>
      <c r="CF298" s="754"/>
      <c r="CG298" s="754"/>
      <c r="CH298" s="524"/>
      <c r="CI298" s="754"/>
      <c r="CJ298" s="754"/>
      <c r="CK298" s="754"/>
      <c r="CL298" s="754"/>
      <c r="CM298" s="524"/>
      <c r="CN298" s="754"/>
      <c r="CO298" s="754"/>
      <c r="CP298" s="754"/>
      <c r="CQ298" s="754"/>
      <c r="CR298" s="524"/>
      <c r="CS298" s="523"/>
      <c r="CT298" s="523"/>
      <c r="CU298" s="523"/>
      <c r="CV298" s="523"/>
      <c r="CW298" s="524"/>
      <c r="CX298" s="523"/>
      <c r="CY298" s="523"/>
      <c r="CZ298" s="523"/>
      <c r="DA298" s="523"/>
      <c r="DB298" s="524"/>
      <c r="DC298" s="523"/>
      <c r="DD298" s="523"/>
      <c r="DE298" s="523"/>
      <c r="DF298" s="523"/>
      <c r="DG298" s="524"/>
      <c r="DH298" s="650"/>
      <c r="DI298" s="650"/>
      <c r="DJ298" s="650"/>
      <c r="DK298" s="650"/>
      <c r="DL298" s="755"/>
      <c r="DM298" s="756"/>
      <c r="DN298" s="756"/>
      <c r="DO298" s="756"/>
      <c r="DP298" s="756"/>
      <c r="DQ298" s="757"/>
      <c r="DR298" s="756"/>
      <c r="DS298" s="756"/>
      <c r="DT298" s="756"/>
      <c r="DU298" s="756"/>
      <c r="DV298" s="757"/>
      <c r="DW298" s="756"/>
      <c r="DX298" s="756"/>
      <c r="DY298" s="756"/>
      <c r="DZ298" s="756"/>
      <c r="EA298" s="757"/>
      <c r="EB298" s="756">
        <v>-75</v>
      </c>
      <c r="EC298" s="756">
        <v>-31</v>
      </c>
      <c r="ED298" s="756">
        <v>-6</v>
      </c>
      <c r="EE298" s="756">
        <v>21</v>
      </c>
      <c r="EF298" s="757">
        <f>SUM(EB298:EE298)</f>
        <v>-91</v>
      </c>
      <c r="EG298" s="756">
        <v>-39</v>
      </c>
      <c r="EH298" s="756">
        <v>-28</v>
      </c>
      <c r="EI298" s="756">
        <v>-28</v>
      </c>
      <c r="EJ298" s="756">
        <v>-383</v>
      </c>
      <c r="EK298" s="757">
        <f>SUM(EG298:EJ298)</f>
        <v>-478</v>
      </c>
      <c r="EL298" s="756">
        <v>-107</v>
      </c>
      <c r="EM298" s="756">
        <v>-17</v>
      </c>
      <c r="EN298" s="756">
        <v>-61</v>
      </c>
      <c r="EO298" s="756"/>
      <c r="EP298" s="757"/>
      <c r="EQ298" s="756"/>
      <c r="ER298" s="756"/>
      <c r="ES298" s="756"/>
      <c r="ET298" s="756"/>
      <c r="EU298" s="757"/>
      <c r="EV298" s="668"/>
      <c r="EW298" s="668"/>
      <c r="EX298" s="668"/>
      <c r="EY298" s="668"/>
      <c r="EZ298" s="668"/>
      <c r="FA298" s="668"/>
      <c r="FB298" s="668"/>
      <c r="FC298" s="668"/>
      <c r="FD298" s="668"/>
      <c r="FE298" s="668"/>
      <c r="FF298" s="668"/>
      <c r="FG298" s="668"/>
      <c r="FH298" s="668"/>
      <c r="FI298" s="668"/>
      <c r="FJ298" s="668"/>
      <c r="FK298" s="668"/>
      <c r="FL298" s="668"/>
      <c r="FM298" s="668"/>
      <c r="FN298" s="668"/>
      <c r="FO298" s="668"/>
      <c r="FP298" s="668"/>
      <c r="FQ298" s="668"/>
      <c r="FR298" s="668"/>
      <c r="FS298" s="668"/>
      <c r="FT298" s="668"/>
      <c r="FU298" s="668"/>
      <c r="FV298" s="668"/>
      <c r="FW298" s="668"/>
      <c r="FX298" s="668"/>
      <c r="FY298" s="668"/>
      <c r="FZ298" s="668"/>
      <c r="GA298" s="668"/>
      <c r="GB298" s="668"/>
      <c r="GC298" s="668"/>
      <c r="GD298" s="668"/>
      <c r="GE298" s="668"/>
      <c r="GF298" s="668"/>
      <c r="GG298" s="668"/>
      <c r="GH298" s="668"/>
      <c r="GI298" s="668"/>
      <c r="GJ298" s="668"/>
      <c r="GK298" s="668"/>
      <c r="GL298" s="668"/>
      <c r="GM298" s="668"/>
      <c r="GN298" s="668"/>
      <c r="GO298" s="668"/>
      <c r="GP298" s="668"/>
      <c r="GQ298" s="668"/>
      <c r="GR298" s="668"/>
      <c r="GS298" s="668"/>
      <c r="GT298" s="668"/>
      <c r="GU298" s="668"/>
      <c r="GV298" s="668"/>
      <c r="GW298" s="668"/>
      <c r="GX298" s="668"/>
      <c r="GY298" s="668"/>
      <c r="GZ298" s="668"/>
      <c r="HA298" s="668"/>
      <c r="HB298" s="668"/>
      <c r="HC298" s="668"/>
      <c r="HD298" s="668"/>
      <c r="HE298" s="668"/>
      <c r="HF298" s="668"/>
      <c r="HG298" s="668"/>
      <c r="HH298" s="668"/>
      <c r="HI298" s="668"/>
      <c r="HJ298" s="668"/>
      <c r="HK298" s="668"/>
      <c r="HL298" s="668"/>
      <c r="HM298" s="668"/>
      <c r="HN298" s="668"/>
      <c r="HO298" s="757"/>
      <c r="HQ298" s="509"/>
      <c r="HY298" s="509"/>
      <c r="HZ298" s="509"/>
      <c r="IA298" s="509"/>
      <c r="IB298" s="509"/>
    </row>
    <row r="299" spans="1:236" s="563" customFormat="1" hidden="1" outlineLevel="1">
      <c r="A299" s="823"/>
      <c r="B299" s="509"/>
      <c r="C299" s="509"/>
      <c r="D299" s="509"/>
      <c r="E299" s="509"/>
      <c r="F299" s="509"/>
      <c r="G299" s="509"/>
      <c r="H299" s="509"/>
      <c r="I299" s="509"/>
      <c r="J299" s="509"/>
      <c r="K299" s="509"/>
      <c r="L299" s="509"/>
      <c r="M299" s="509"/>
      <c r="N299" s="509"/>
      <c r="O299" s="509"/>
      <c r="P299" s="509"/>
      <c r="Q299" s="509"/>
      <c r="R299" s="509"/>
      <c r="S299" s="509"/>
      <c r="T299" s="509"/>
      <c r="U299" s="509"/>
      <c r="V299" s="509"/>
      <c r="W299" s="509"/>
      <c r="X299" s="509"/>
      <c r="Y299" s="509"/>
      <c r="Z299" s="509"/>
      <c r="AA299" s="509"/>
      <c r="AB299" s="509"/>
      <c r="AC299" s="509"/>
      <c r="AD299" s="509"/>
      <c r="AE299" s="509"/>
      <c r="AF299" s="509"/>
      <c r="AG299" s="509"/>
      <c r="AH299" s="509"/>
      <c r="AI299" s="509"/>
      <c r="AJ299" s="509"/>
      <c r="AK299" s="509"/>
      <c r="AL299" s="509"/>
      <c r="AM299" s="509"/>
      <c r="AN299" s="509"/>
      <c r="AO299" s="538"/>
      <c r="AP299" s="509"/>
      <c r="AQ299" s="509"/>
      <c r="AR299" s="509"/>
      <c r="AS299" s="509"/>
      <c r="AT299" s="538"/>
      <c r="AU299" s="509"/>
      <c r="AV299" s="509"/>
      <c r="AW299" s="509"/>
      <c r="AX299" s="509"/>
      <c r="AY299" s="538"/>
      <c r="AZ299" s="509"/>
      <c r="BA299" s="509"/>
      <c r="BB299" s="509"/>
      <c r="BC299" s="509"/>
      <c r="BD299" s="538"/>
      <c r="BE299" s="509"/>
      <c r="BF299" s="509"/>
      <c r="BG299" s="509"/>
      <c r="BH299" s="509"/>
      <c r="BI299" s="538"/>
      <c r="BJ299" s="509"/>
      <c r="BK299" s="509"/>
      <c r="BL299" s="509"/>
      <c r="BM299" s="509"/>
      <c r="BN299" s="538"/>
      <c r="BO299" s="509"/>
      <c r="BP299" s="509"/>
      <c r="BQ299" s="509"/>
      <c r="BR299" s="509"/>
      <c r="BS299" s="538"/>
      <c r="BT299" s="509"/>
      <c r="BU299" s="509"/>
      <c r="BV299" s="509"/>
      <c r="BW299" s="509"/>
      <c r="BX299" s="538"/>
      <c r="BY299" s="509"/>
      <c r="BZ299" s="509"/>
      <c r="CA299" s="509"/>
      <c r="CB299" s="509"/>
      <c r="CC299" s="538"/>
      <c r="CD299" s="509"/>
      <c r="CE299" s="509"/>
      <c r="CF299" s="509"/>
      <c r="CG299" s="509"/>
      <c r="CH299" s="538"/>
      <c r="CI299" s="509"/>
      <c r="CJ299" s="509"/>
      <c r="CK299" s="509"/>
      <c r="CL299" s="509"/>
      <c r="CM299" s="538"/>
      <c r="CN299" s="509"/>
      <c r="CO299" s="509"/>
      <c r="CP299" s="509"/>
      <c r="CQ299" s="509"/>
      <c r="CR299" s="509"/>
      <c r="CS299" s="509"/>
      <c r="CT299" s="509"/>
      <c r="CU299" s="509"/>
      <c r="CV299" s="701"/>
      <c r="CW299" s="701"/>
      <c r="CX299" s="701"/>
      <c r="CY299" s="701"/>
      <c r="CZ299" s="701"/>
      <c r="DA299" s="701"/>
      <c r="DB299" s="701"/>
      <c r="DC299" s="294"/>
      <c r="DD299" s="294"/>
      <c r="DE299" s="294"/>
      <c r="DF299" s="294"/>
      <c r="DG299" s="344"/>
      <c r="DH299" s="294"/>
      <c r="DI299" s="294"/>
      <c r="DJ299" s="294"/>
      <c r="DK299" s="294"/>
      <c r="DL299" s="344"/>
      <c r="DM299" s="294"/>
      <c r="DN299" s="294"/>
      <c r="DO299" s="294"/>
      <c r="DP299" s="294"/>
      <c r="DQ299" s="344"/>
      <c r="DR299" s="294"/>
      <c r="DS299" s="294"/>
      <c r="DT299" s="294"/>
      <c r="DU299" s="294"/>
      <c r="DV299" s="344"/>
      <c r="DW299" s="294"/>
      <c r="DX299" s="294"/>
      <c r="DY299" s="294"/>
      <c r="DZ299" s="294"/>
      <c r="EA299" s="344"/>
      <c r="EB299" s="824"/>
      <c r="EC299" s="825"/>
      <c r="ED299" s="825"/>
      <c r="EE299" s="825"/>
      <c r="EF299" s="825"/>
      <c r="EG299" s="825"/>
      <c r="EH299" s="825"/>
      <c r="EI299" s="825"/>
      <c r="EJ299" s="364"/>
      <c r="EK299" s="364"/>
      <c r="EL299" s="364"/>
      <c r="EM299" s="364"/>
      <c r="EN299" s="364"/>
      <c r="EO299" s="364"/>
      <c r="EP299" s="364"/>
      <c r="EQ299" s="364"/>
      <c r="ER299" s="364"/>
      <c r="ES299" s="364"/>
      <c r="ET299" s="364"/>
      <c r="EU299" s="364"/>
      <c r="EV299" s="668"/>
      <c r="EW299" s="668"/>
      <c r="EX299" s="668"/>
      <c r="EY299" s="668"/>
      <c r="EZ299" s="668"/>
      <c r="FA299" s="668"/>
      <c r="FB299" s="668"/>
      <c r="FC299" s="668"/>
      <c r="FD299" s="668"/>
      <c r="FE299" s="668"/>
      <c r="FF299" s="668"/>
      <c r="FG299" s="668"/>
      <c r="FH299" s="668"/>
      <c r="FI299" s="668"/>
      <c r="FJ299" s="668"/>
      <c r="FK299" s="668"/>
      <c r="FL299" s="668"/>
      <c r="FM299" s="668"/>
      <c r="FN299" s="668"/>
      <c r="FO299" s="668"/>
      <c r="FP299" s="668"/>
      <c r="FQ299" s="668"/>
      <c r="FR299" s="668"/>
      <c r="FS299" s="668"/>
      <c r="FT299" s="668"/>
      <c r="FU299" s="668"/>
      <c r="FV299" s="668"/>
      <c r="FW299" s="668"/>
      <c r="FX299" s="668"/>
      <c r="FY299" s="668"/>
      <c r="FZ299" s="668"/>
      <c r="GA299" s="668"/>
      <c r="GB299" s="668"/>
      <c r="GC299" s="668"/>
      <c r="GD299" s="668"/>
      <c r="GE299" s="668"/>
      <c r="GF299" s="668"/>
      <c r="GG299" s="668"/>
      <c r="GH299" s="668"/>
      <c r="GI299" s="668"/>
      <c r="GJ299" s="668"/>
      <c r="GK299" s="668"/>
      <c r="GL299" s="668"/>
      <c r="GM299" s="668"/>
      <c r="GN299" s="668"/>
      <c r="GO299" s="668"/>
      <c r="GP299" s="668"/>
      <c r="GQ299" s="668"/>
      <c r="GR299" s="668"/>
      <c r="GS299" s="668"/>
      <c r="GT299" s="668"/>
      <c r="GU299" s="668"/>
      <c r="GV299" s="668"/>
      <c r="GW299" s="668"/>
      <c r="GX299" s="668"/>
      <c r="GY299" s="668"/>
      <c r="GZ299" s="668"/>
      <c r="HA299" s="668"/>
      <c r="HB299" s="668"/>
      <c r="HC299" s="668"/>
      <c r="HD299" s="668"/>
      <c r="HE299" s="668"/>
      <c r="HF299" s="668"/>
      <c r="HG299" s="668"/>
      <c r="HH299" s="668"/>
      <c r="HI299" s="668"/>
      <c r="HJ299" s="668"/>
      <c r="HK299" s="668"/>
      <c r="HL299" s="668"/>
      <c r="HM299" s="668"/>
      <c r="HN299" s="668"/>
      <c r="HO299" s="344"/>
      <c r="HQ299" s="509"/>
      <c r="HY299" s="509"/>
      <c r="HZ299" s="509"/>
      <c r="IA299" s="509"/>
      <c r="IB299" s="509"/>
    </row>
    <row r="300" spans="1:236" s="563" customFormat="1" hidden="1" outlineLevel="1">
      <c r="A300" s="509"/>
      <c r="B300" s="752"/>
      <c r="C300" s="752"/>
      <c r="D300" s="752"/>
      <c r="E300" s="752"/>
      <c r="F300" s="752"/>
      <c r="G300" s="752"/>
      <c r="H300" s="752"/>
      <c r="I300" s="752"/>
      <c r="J300" s="752"/>
      <c r="K300" s="752"/>
      <c r="L300" s="752"/>
      <c r="M300" s="752"/>
      <c r="N300" s="752"/>
      <c r="O300" s="752"/>
      <c r="P300" s="752"/>
      <c r="Q300" s="752"/>
      <c r="R300" s="752"/>
      <c r="S300" s="752"/>
      <c r="T300" s="752"/>
      <c r="U300" s="752"/>
      <c r="V300" s="752"/>
      <c r="W300" s="752"/>
      <c r="X300" s="752"/>
      <c r="Y300" s="752"/>
      <c r="Z300" s="752"/>
      <c r="AA300" s="752"/>
      <c r="AB300" s="752"/>
      <c r="AC300" s="752"/>
      <c r="AD300" s="752"/>
      <c r="AE300" s="752"/>
      <c r="AF300" s="752"/>
      <c r="AG300" s="752"/>
      <c r="AH300" s="752"/>
      <c r="AI300" s="752"/>
      <c r="AJ300" s="752"/>
      <c r="AK300" s="752"/>
      <c r="AL300" s="752"/>
      <c r="AM300" s="752"/>
      <c r="AN300" s="752"/>
      <c r="AO300" s="753"/>
      <c r="AP300" s="752"/>
      <c r="AQ300" s="752"/>
      <c r="AR300" s="752"/>
      <c r="AS300" s="752"/>
      <c r="AT300" s="753"/>
      <c r="AU300" s="752"/>
      <c r="AV300" s="752"/>
      <c r="AW300" s="752"/>
      <c r="AX300" s="752"/>
      <c r="AY300" s="753"/>
      <c r="AZ300" s="752"/>
      <c r="BA300" s="752"/>
      <c r="BB300" s="752"/>
      <c r="BC300" s="752"/>
      <c r="BD300" s="753"/>
      <c r="BE300" s="752"/>
      <c r="BF300" s="752"/>
      <c r="BG300" s="752"/>
      <c r="BH300" s="752"/>
      <c r="BI300" s="753"/>
      <c r="BJ300" s="752"/>
      <c r="BK300" s="752"/>
      <c r="BL300" s="752"/>
      <c r="BM300" s="752"/>
      <c r="BN300" s="753"/>
      <c r="BO300" s="754"/>
      <c r="BP300" s="754"/>
      <c r="BQ300" s="754"/>
      <c r="BR300" s="754"/>
      <c r="BS300" s="755"/>
      <c r="BT300" s="754"/>
      <c r="BU300" s="754"/>
      <c r="BV300" s="754"/>
      <c r="BW300" s="754"/>
      <c r="BX300" s="524"/>
      <c r="BY300" s="754"/>
      <c r="BZ300" s="754"/>
      <c r="CA300" s="754"/>
      <c r="CB300" s="754"/>
      <c r="CC300" s="524"/>
      <c r="CD300" s="754"/>
      <c r="CE300" s="754"/>
      <c r="CF300" s="754"/>
      <c r="CG300" s="754"/>
      <c r="CH300" s="524"/>
      <c r="CI300" s="754"/>
      <c r="CJ300" s="754"/>
      <c r="CK300" s="754"/>
      <c r="CL300" s="754"/>
      <c r="CM300" s="524"/>
      <c r="CN300" s="754"/>
      <c r="CO300" s="754"/>
      <c r="CP300" s="754"/>
      <c r="CQ300" s="754"/>
      <c r="CR300" s="524"/>
      <c r="CS300" s="523"/>
      <c r="CT300" s="523"/>
      <c r="CU300" s="523"/>
      <c r="CV300" s="523"/>
      <c r="CW300" s="524"/>
      <c r="CX300" s="523"/>
      <c r="CY300" s="523"/>
      <c r="CZ300" s="523"/>
      <c r="DA300" s="523"/>
      <c r="DB300" s="524"/>
      <c r="DC300" s="523"/>
      <c r="DD300" s="523"/>
      <c r="DE300" s="523"/>
      <c r="DF300" s="523"/>
      <c r="DG300" s="524"/>
      <c r="DH300" s="651"/>
      <c r="DI300" s="651"/>
      <c r="DJ300" s="651"/>
      <c r="DK300" s="651"/>
      <c r="DL300" s="755"/>
      <c r="DM300" s="651"/>
      <c r="DN300" s="651"/>
      <c r="DO300" s="651"/>
      <c r="DP300" s="651"/>
      <c r="DQ300" s="757"/>
      <c r="DR300" s="756"/>
      <c r="DS300" s="756"/>
      <c r="DT300" s="756"/>
      <c r="DU300" s="756"/>
      <c r="DV300" s="757"/>
      <c r="DW300" s="756"/>
      <c r="DX300" s="756"/>
      <c r="DY300" s="756"/>
      <c r="DZ300" s="756"/>
      <c r="EA300" s="757"/>
      <c r="EB300" s="826"/>
      <c r="EC300" s="756"/>
      <c r="ED300" s="756"/>
      <c r="EE300" s="756"/>
      <c r="EF300" s="757"/>
      <c r="EG300" s="756"/>
      <c r="EH300" s="756"/>
      <c r="EI300" s="756"/>
      <c r="EJ300" s="827"/>
      <c r="EK300" s="360"/>
      <c r="EL300" s="827"/>
      <c r="EM300" s="828"/>
      <c r="EN300" s="827"/>
      <c r="EO300" s="827"/>
      <c r="EP300" s="360"/>
      <c r="EQ300" s="827"/>
      <c r="ER300" s="827"/>
      <c r="ES300" s="827"/>
      <c r="ET300" s="827"/>
      <c r="EU300" s="360"/>
      <c r="EV300" s="827"/>
      <c r="EW300" s="827"/>
      <c r="EX300" s="827"/>
      <c r="EY300" s="827"/>
      <c r="EZ300" s="360"/>
      <c r="FA300" s="827"/>
      <c r="FB300" s="827"/>
      <c r="FC300" s="827"/>
      <c r="FD300" s="827"/>
      <c r="FE300" s="360"/>
      <c r="FF300" s="827"/>
      <c r="FG300" s="827"/>
      <c r="FH300" s="827"/>
      <c r="FI300" s="827"/>
      <c r="FJ300" s="360"/>
      <c r="FK300" s="360"/>
      <c r="FL300" s="360"/>
      <c r="FM300" s="360"/>
      <c r="FN300" s="360"/>
      <c r="FO300" s="360"/>
      <c r="FP300" s="360"/>
      <c r="FQ300" s="360"/>
      <c r="FR300" s="360"/>
      <c r="FS300" s="829"/>
      <c r="FT300" s="360"/>
      <c r="FU300" s="360"/>
      <c r="FV300" s="360"/>
      <c r="FW300" s="360"/>
      <c r="FX300" s="360"/>
      <c r="FY300" s="360"/>
      <c r="FZ300" s="360"/>
      <c r="GA300" s="360"/>
      <c r="GB300" s="360"/>
      <c r="GC300" s="360"/>
      <c r="GD300" s="360"/>
      <c r="GE300" s="360"/>
      <c r="GF300" s="360"/>
      <c r="GG300" s="360"/>
      <c r="GH300" s="360"/>
      <c r="GI300" s="360"/>
      <c r="GJ300" s="360"/>
      <c r="GK300" s="360"/>
      <c r="GL300" s="360"/>
      <c r="GM300" s="360"/>
      <c r="GN300" s="360"/>
      <c r="GO300" s="360"/>
      <c r="GP300" s="360"/>
      <c r="GQ300" s="360"/>
      <c r="GR300" s="360"/>
      <c r="GS300" s="360"/>
      <c r="GT300" s="360"/>
      <c r="GU300" s="360"/>
      <c r="GV300" s="360"/>
      <c r="GW300" s="360"/>
      <c r="GX300" s="360"/>
      <c r="GY300" s="360"/>
      <c r="GZ300" s="360"/>
      <c r="HA300" s="360"/>
      <c r="HB300" s="360"/>
      <c r="HC300" s="360"/>
      <c r="HD300" s="360"/>
      <c r="HE300" s="360"/>
      <c r="HF300" s="360"/>
      <c r="HG300" s="360"/>
      <c r="HH300" s="360"/>
      <c r="HI300" s="360"/>
      <c r="HJ300" s="360"/>
      <c r="HK300" s="360"/>
      <c r="HL300" s="360"/>
      <c r="HM300" s="360"/>
      <c r="HN300" s="360"/>
      <c r="HO300" s="757"/>
      <c r="HQ300" s="509"/>
      <c r="HY300" s="509"/>
      <c r="HZ300" s="509"/>
      <c r="IA300" s="509"/>
      <c r="IB300" s="509"/>
    </row>
    <row r="301" spans="1:236" s="563" customFormat="1" hidden="1" outlineLevel="1">
      <c r="A301" s="656" t="s">
        <v>528</v>
      </c>
      <c r="B301" s="509"/>
      <c r="C301" s="509"/>
      <c r="D301" s="509"/>
      <c r="E301" s="509"/>
      <c r="F301" s="509"/>
      <c r="G301" s="509"/>
      <c r="H301" s="509"/>
      <c r="I301" s="509"/>
      <c r="J301" s="509"/>
      <c r="K301" s="509"/>
      <c r="L301" s="509"/>
      <c r="M301" s="509"/>
      <c r="N301" s="509"/>
      <c r="O301" s="509"/>
      <c r="P301" s="509"/>
      <c r="Q301" s="509"/>
      <c r="R301" s="509"/>
      <c r="S301" s="509"/>
      <c r="T301" s="509"/>
      <c r="U301" s="509"/>
      <c r="V301" s="509"/>
      <c r="W301" s="509"/>
      <c r="X301" s="509"/>
      <c r="Y301" s="509"/>
      <c r="Z301" s="509"/>
      <c r="AA301" s="509"/>
      <c r="AB301" s="509"/>
      <c r="AC301" s="509"/>
      <c r="AD301" s="509"/>
      <c r="AE301" s="509"/>
      <c r="AF301" s="509"/>
      <c r="AG301" s="509"/>
      <c r="AH301" s="509"/>
      <c r="AI301" s="509"/>
      <c r="AJ301" s="509"/>
      <c r="AK301" s="509"/>
      <c r="AL301" s="509"/>
      <c r="AM301" s="509"/>
      <c r="AN301" s="509"/>
      <c r="AO301" s="538"/>
      <c r="AP301" s="509"/>
      <c r="AQ301" s="509"/>
      <c r="AR301" s="509"/>
      <c r="AS301" s="509"/>
      <c r="AT301" s="538"/>
      <c r="AU301" s="509"/>
      <c r="AV301" s="509"/>
      <c r="AW301" s="509"/>
      <c r="AX301" s="509"/>
      <c r="AY301" s="538"/>
      <c r="AZ301" s="509"/>
      <c r="BA301" s="509"/>
      <c r="BB301" s="509"/>
      <c r="BC301" s="509"/>
      <c r="BD301" s="538"/>
      <c r="BE301" s="509"/>
      <c r="BF301" s="509"/>
      <c r="BG301" s="509"/>
      <c r="BH301" s="509"/>
      <c r="BI301" s="538"/>
      <c r="BJ301" s="509"/>
      <c r="BK301" s="509"/>
      <c r="BL301" s="509"/>
      <c r="BM301" s="509"/>
      <c r="BN301" s="538"/>
      <c r="BO301" s="509"/>
      <c r="BP301" s="509"/>
      <c r="BQ301" s="509"/>
      <c r="BR301" s="509"/>
      <c r="BS301" s="538"/>
      <c r="BT301" s="509"/>
      <c r="BU301" s="509"/>
      <c r="BV301" s="509"/>
      <c r="BW301" s="509"/>
      <c r="BX301" s="538"/>
      <c r="BY301" s="509"/>
      <c r="BZ301" s="509"/>
      <c r="CA301" s="509"/>
      <c r="CB301" s="509"/>
      <c r="CC301" s="538"/>
      <c r="CD301" s="509"/>
      <c r="CE301" s="509"/>
      <c r="CF301" s="509"/>
      <c r="CG301" s="509"/>
      <c r="CH301" s="538"/>
      <c r="CI301" s="509"/>
      <c r="CJ301" s="509"/>
      <c r="CK301" s="509"/>
      <c r="CL301" s="509"/>
      <c r="CM301" s="538"/>
      <c r="CN301" s="509"/>
      <c r="CO301" s="509"/>
      <c r="CP301" s="509"/>
      <c r="CQ301" s="509"/>
      <c r="CR301" s="509"/>
      <c r="CS301" s="509"/>
      <c r="CT301" s="509"/>
      <c r="CU301" s="509"/>
      <c r="CV301" s="701"/>
      <c r="CW301" s="701"/>
      <c r="CX301" s="701"/>
      <c r="CY301" s="701"/>
      <c r="CZ301" s="701"/>
      <c r="DA301" s="701"/>
      <c r="DB301" s="701"/>
      <c r="DC301" s="294"/>
      <c r="DD301" s="294"/>
      <c r="DE301" s="294"/>
      <c r="DF301" s="294"/>
      <c r="DG301" s="344"/>
      <c r="DH301" s="294"/>
      <c r="DI301" s="294"/>
      <c r="DJ301" s="294"/>
      <c r="DK301" s="294"/>
      <c r="DL301" s="344"/>
      <c r="DM301" s="294"/>
      <c r="DN301" s="294"/>
      <c r="DO301" s="294"/>
      <c r="DP301" s="294"/>
      <c r="DQ301" s="344"/>
      <c r="DR301" s="294"/>
      <c r="DS301" s="294"/>
      <c r="DT301" s="294"/>
      <c r="DU301" s="294"/>
      <c r="DV301" s="344"/>
      <c r="DW301" s="294"/>
      <c r="DX301" s="294"/>
      <c r="DY301" s="294"/>
      <c r="DZ301" s="294"/>
      <c r="EA301" s="344"/>
      <c r="EB301" s="774"/>
      <c r="EC301" s="294"/>
      <c r="ED301" s="294"/>
      <c r="EE301" s="294"/>
      <c r="EF301" s="344"/>
      <c r="EG301" s="294"/>
      <c r="EH301" s="294"/>
      <c r="EI301" s="294"/>
      <c r="EJ301" s="294"/>
      <c r="EK301" s="344"/>
      <c r="EL301" s="294"/>
      <c r="EM301" s="294"/>
      <c r="EN301" s="294"/>
      <c r="EO301" s="294"/>
      <c r="EP301" s="344"/>
      <c r="EQ301" s="294"/>
      <c r="ER301" s="294"/>
      <c r="ES301" s="294"/>
      <c r="ET301" s="294"/>
      <c r="EU301" s="344"/>
      <c r="EV301" s="294"/>
      <c r="EW301" s="294"/>
      <c r="EX301" s="294"/>
      <c r="EY301" s="294"/>
      <c r="EZ301" s="344"/>
      <c r="FA301" s="294"/>
      <c r="FB301" s="294"/>
      <c r="FC301" s="294"/>
      <c r="FD301" s="294"/>
      <c r="FE301" s="344"/>
      <c r="FF301" s="294"/>
      <c r="FG301" s="294"/>
      <c r="FH301" s="294"/>
      <c r="FI301" s="294"/>
      <c r="FJ301" s="344"/>
      <c r="FK301" s="344"/>
      <c r="FL301" s="344"/>
      <c r="FM301" s="344"/>
      <c r="FN301" s="344"/>
      <c r="FO301" s="344"/>
      <c r="FP301" s="344"/>
      <c r="FQ301" s="344"/>
      <c r="FR301" s="344"/>
      <c r="FS301" s="830"/>
      <c r="FT301" s="344"/>
      <c r="FU301" s="344"/>
      <c r="FV301" s="344"/>
      <c r="FW301" s="344"/>
      <c r="FX301" s="344"/>
      <c r="FY301" s="344"/>
      <c r="FZ301" s="344"/>
      <c r="GA301" s="344"/>
      <c r="GB301" s="344"/>
      <c r="GC301" s="344"/>
      <c r="GD301" s="344"/>
      <c r="GE301" s="344"/>
      <c r="GF301" s="344"/>
      <c r="GG301" s="344"/>
      <c r="GH301" s="344"/>
      <c r="GI301" s="344"/>
      <c r="GJ301" s="344"/>
      <c r="GK301" s="344"/>
      <c r="GL301" s="344"/>
      <c r="GM301" s="344"/>
      <c r="GN301" s="344"/>
      <c r="GO301" s="344"/>
      <c r="GP301" s="344"/>
      <c r="GQ301" s="344"/>
      <c r="GR301" s="344"/>
      <c r="GS301" s="344"/>
      <c r="GT301" s="344"/>
      <c r="GU301" s="344"/>
      <c r="GV301" s="344"/>
      <c r="GW301" s="344"/>
      <c r="GX301" s="344"/>
      <c r="GY301" s="344"/>
      <c r="GZ301" s="344"/>
      <c r="HA301" s="344"/>
      <c r="HB301" s="344"/>
      <c r="HC301" s="344"/>
      <c r="HD301" s="344"/>
      <c r="HE301" s="344"/>
      <c r="HF301" s="344"/>
      <c r="HG301" s="344"/>
      <c r="HH301" s="344"/>
      <c r="HI301" s="344"/>
      <c r="HJ301" s="344"/>
      <c r="HK301" s="344"/>
      <c r="HL301" s="344"/>
      <c r="HM301" s="344"/>
      <c r="HN301" s="344"/>
      <c r="HO301" s="344"/>
      <c r="HQ301" s="509"/>
      <c r="HY301" s="509"/>
      <c r="HZ301" s="509"/>
      <c r="IA301" s="509"/>
      <c r="IB301" s="509"/>
    </row>
    <row r="302" spans="1:236" s="563" customFormat="1" hidden="1" outlineLevel="1">
      <c r="A302" s="733" t="s">
        <v>529</v>
      </c>
      <c r="B302" s="812"/>
      <c r="C302" s="812"/>
      <c r="D302" s="812"/>
      <c r="E302" s="812"/>
      <c r="F302" s="812"/>
      <c r="G302" s="812"/>
      <c r="H302" s="812"/>
      <c r="I302" s="812"/>
      <c r="J302" s="812"/>
      <c r="K302" s="812"/>
      <c r="L302" s="812"/>
      <c r="M302" s="812"/>
      <c r="N302" s="812"/>
      <c r="O302" s="812"/>
      <c r="P302" s="812"/>
      <c r="Q302" s="812"/>
      <c r="R302" s="812"/>
      <c r="S302" s="812"/>
      <c r="T302" s="812"/>
      <c r="U302" s="812"/>
      <c r="V302" s="812"/>
      <c r="W302" s="812"/>
      <c r="X302" s="812"/>
      <c r="Y302" s="812"/>
      <c r="Z302" s="812"/>
      <c r="AA302" s="812"/>
      <c r="AB302" s="812"/>
      <c r="AC302" s="812"/>
      <c r="AD302" s="812"/>
      <c r="AE302" s="812"/>
      <c r="AF302" s="812"/>
      <c r="AG302" s="812"/>
      <c r="AH302" s="812"/>
      <c r="AI302" s="812"/>
      <c r="AJ302" s="812"/>
      <c r="AK302" s="812"/>
      <c r="AL302" s="812"/>
      <c r="AM302" s="812"/>
      <c r="AN302" s="812"/>
      <c r="AO302" s="813"/>
      <c r="AP302" s="812"/>
      <c r="AQ302" s="812"/>
      <c r="AR302" s="812"/>
      <c r="AS302" s="812"/>
      <c r="AT302" s="813"/>
      <c r="AU302" s="812"/>
      <c r="AV302" s="812"/>
      <c r="AW302" s="812"/>
      <c r="AX302" s="812"/>
      <c r="AY302" s="813"/>
      <c r="AZ302" s="812"/>
      <c r="BA302" s="812"/>
      <c r="BB302" s="812"/>
      <c r="BC302" s="812"/>
      <c r="BD302" s="813"/>
      <c r="BE302" s="812"/>
      <c r="BF302" s="812"/>
      <c r="BG302" s="812"/>
      <c r="BH302" s="812"/>
      <c r="BI302" s="813"/>
      <c r="BJ302" s="812"/>
      <c r="BK302" s="812"/>
      <c r="BL302" s="812"/>
      <c r="BM302" s="812"/>
      <c r="BN302" s="813"/>
      <c r="BO302" s="814"/>
      <c r="BP302" s="814"/>
      <c r="BQ302" s="814"/>
      <c r="BR302" s="814"/>
      <c r="BS302" s="815"/>
      <c r="BT302" s="814"/>
      <c r="BU302" s="814"/>
      <c r="BV302" s="814"/>
      <c r="BW302" s="814"/>
      <c r="BX302" s="738"/>
      <c r="BY302" s="814"/>
      <c r="BZ302" s="814"/>
      <c r="CA302" s="814"/>
      <c r="CB302" s="814"/>
      <c r="CC302" s="738"/>
      <c r="CD302" s="814"/>
      <c r="CE302" s="814"/>
      <c r="CF302" s="814"/>
      <c r="CG302" s="814"/>
      <c r="CH302" s="738"/>
      <c r="CI302" s="814"/>
      <c r="CJ302" s="814"/>
      <c r="CK302" s="814"/>
      <c r="CL302" s="814"/>
      <c r="CM302" s="738"/>
      <c r="CN302" s="814"/>
      <c r="CO302" s="814"/>
      <c r="CP302" s="814"/>
      <c r="CQ302" s="814"/>
      <c r="CR302" s="738"/>
      <c r="CS302" s="739"/>
      <c r="CT302" s="739"/>
      <c r="CU302" s="739"/>
      <c r="CV302" s="739"/>
      <c r="CW302" s="738"/>
      <c r="CX302" s="739"/>
      <c r="CY302" s="739"/>
      <c r="CZ302" s="739"/>
      <c r="DA302" s="739"/>
      <c r="DB302" s="738"/>
      <c r="DC302" s="739"/>
      <c r="DD302" s="739"/>
      <c r="DE302" s="739"/>
      <c r="DF302" s="739"/>
      <c r="DG302" s="738"/>
      <c r="DH302" s="740"/>
      <c r="DI302" s="740"/>
      <c r="DJ302" s="740"/>
      <c r="DK302" s="740"/>
      <c r="DL302" s="815"/>
      <c r="DM302" s="740"/>
      <c r="DN302" s="740"/>
      <c r="DO302" s="740"/>
      <c r="DP302" s="740"/>
      <c r="DQ302" s="816"/>
      <c r="DR302" s="817"/>
      <c r="DS302" s="817"/>
      <c r="DT302" s="817"/>
      <c r="DU302" s="817"/>
      <c r="DV302" s="816"/>
      <c r="DW302" s="817"/>
      <c r="DX302" s="817"/>
      <c r="DY302" s="817"/>
      <c r="DZ302" s="817"/>
      <c r="EA302" s="816"/>
      <c r="EB302" s="818">
        <f>+EB292+EB246</f>
        <v>1088</v>
      </c>
      <c r="EC302" s="817">
        <f>+EC292+EC246</f>
        <v>1161</v>
      </c>
      <c r="ED302" s="817">
        <f>+ED292+ED246</f>
        <v>1461</v>
      </c>
      <c r="EE302" s="817">
        <f>+EE292+EE246</f>
        <v>1589</v>
      </c>
      <c r="EF302" s="816">
        <f>SUM(EB302:EE302)</f>
        <v>5299</v>
      </c>
      <c r="EG302" s="817">
        <f>+EG292+EG246</f>
        <v>1397</v>
      </c>
      <c r="EH302" s="817">
        <f>+EH292+EH246</f>
        <v>1441</v>
      </c>
      <c r="EI302" s="817">
        <f>+EI292+EI246</f>
        <v>1429</v>
      </c>
      <c r="EJ302" s="817">
        <f>+EJ292+EJ246</f>
        <v>1239</v>
      </c>
      <c r="EK302" s="816">
        <f>SUM(EG302:EJ302)</f>
        <v>5506</v>
      </c>
      <c r="EL302" s="817">
        <f>+EL292+EL246</f>
        <v>1030</v>
      </c>
      <c r="EM302" s="817">
        <f>+EM292+EM246</f>
        <v>942</v>
      </c>
      <c r="EN302" s="817">
        <f>+EN292+EN246</f>
        <v>1061</v>
      </c>
      <c r="EO302" s="817">
        <f>+EO292+EO246</f>
        <v>958</v>
      </c>
      <c r="EP302" s="816">
        <f>SUM(EL302:EO302)</f>
        <v>3991</v>
      </c>
      <c r="EQ302" s="817">
        <f>+EQ292+EQ246</f>
        <v>832</v>
      </c>
      <c r="ER302" s="817">
        <f>+ER292+ER246</f>
        <v>1027</v>
      </c>
      <c r="ES302" s="817">
        <f>+ES292+ES246</f>
        <v>1307</v>
      </c>
      <c r="ET302" s="817">
        <f>+ET292+ET246</f>
        <v>1106</v>
      </c>
      <c r="EU302" s="816">
        <f>SUM(EQ302:ET302)</f>
        <v>4272</v>
      </c>
      <c r="EV302" s="668"/>
      <c r="EW302" s="668"/>
      <c r="EX302" s="668"/>
      <c r="EY302" s="668"/>
      <c r="EZ302" s="668"/>
      <c r="FA302" s="668"/>
      <c r="FB302" s="668"/>
      <c r="FC302" s="668"/>
      <c r="FD302" s="668"/>
      <c r="FE302" s="668"/>
      <c r="FF302" s="668"/>
      <c r="FG302" s="668"/>
      <c r="FH302" s="668"/>
      <c r="FI302" s="668"/>
      <c r="FJ302" s="668"/>
      <c r="FK302" s="668"/>
      <c r="FL302" s="668"/>
      <c r="FM302" s="668"/>
      <c r="FN302" s="668"/>
      <c r="FO302" s="668"/>
      <c r="FP302" s="668"/>
      <c r="FQ302" s="668"/>
      <c r="FR302" s="668"/>
      <c r="FS302" s="668"/>
      <c r="FT302" s="668"/>
      <c r="FU302" s="668"/>
      <c r="FV302" s="668"/>
      <c r="FW302" s="668"/>
      <c r="FX302" s="668"/>
      <c r="FY302" s="668"/>
      <c r="FZ302" s="668"/>
      <c r="GA302" s="668"/>
      <c r="GB302" s="668"/>
      <c r="GC302" s="668"/>
      <c r="GD302" s="668"/>
      <c r="GE302" s="668"/>
      <c r="GF302" s="668"/>
      <c r="GG302" s="668"/>
      <c r="GH302" s="668"/>
      <c r="GI302" s="668"/>
      <c r="GJ302" s="668"/>
      <c r="GK302" s="668"/>
      <c r="GL302" s="668"/>
      <c r="GM302" s="668"/>
      <c r="GN302" s="668"/>
      <c r="GO302" s="668"/>
      <c r="GP302" s="668"/>
      <c r="GQ302" s="668"/>
      <c r="GR302" s="668"/>
      <c r="GS302" s="668"/>
      <c r="GT302" s="668"/>
      <c r="GU302" s="668"/>
      <c r="GV302" s="668"/>
      <c r="GW302" s="668"/>
      <c r="GX302" s="668"/>
      <c r="GY302" s="668"/>
      <c r="GZ302" s="668"/>
      <c r="HA302" s="668"/>
      <c r="HB302" s="668"/>
      <c r="HC302" s="668"/>
      <c r="HD302" s="668"/>
      <c r="HE302" s="668"/>
      <c r="HF302" s="668"/>
      <c r="HG302" s="668"/>
      <c r="HH302" s="668"/>
      <c r="HI302" s="668"/>
      <c r="HJ302" s="668"/>
      <c r="HK302" s="668"/>
      <c r="HL302" s="668"/>
      <c r="HM302" s="668"/>
      <c r="HN302" s="668"/>
      <c r="HO302" s="757"/>
      <c r="HQ302" s="509"/>
      <c r="HY302" s="509"/>
      <c r="HZ302" s="509"/>
      <c r="IA302" s="509"/>
      <c r="IB302" s="509"/>
    </row>
    <row r="303" spans="1:236" s="563" customFormat="1" hidden="1" outlineLevel="1">
      <c r="A303" s="509" t="s">
        <v>488</v>
      </c>
      <c r="B303" s="509"/>
      <c r="C303" s="509"/>
      <c r="D303" s="509"/>
      <c r="E303" s="509"/>
      <c r="F303" s="509"/>
      <c r="G303" s="509"/>
      <c r="H303" s="509"/>
      <c r="I303" s="509"/>
      <c r="J303" s="509"/>
      <c r="K303" s="509"/>
      <c r="L303" s="509"/>
      <c r="M303" s="509"/>
      <c r="N303" s="509"/>
      <c r="O303" s="509"/>
      <c r="P303" s="509"/>
      <c r="Q303" s="509"/>
      <c r="R303" s="509"/>
      <c r="S303" s="509"/>
      <c r="T303" s="509"/>
      <c r="U303" s="509"/>
      <c r="V303" s="509"/>
      <c r="W303" s="509"/>
      <c r="X303" s="509"/>
      <c r="Y303" s="509"/>
      <c r="Z303" s="509"/>
      <c r="AA303" s="509"/>
      <c r="AB303" s="509"/>
      <c r="AC303" s="509"/>
      <c r="AD303" s="509"/>
      <c r="AE303" s="509"/>
      <c r="AF303" s="509"/>
      <c r="AG303" s="509"/>
      <c r="AH303" s="509"/>
      <c r="AI303" s="509"/>
      <c r="AJ303" s="509"/>
      <c r="AK303" s="509"/>
      <c r="AL303" s="509"/>
      <c r="AM303" s="509"/>
      <c r="AN303" s="509"/>
      <c r="AO303" s="538"/>
      <c r="AP303" s="509"/>
      <c r="AQ303" s="509"/>
      <c r="AR303" s="509"/>
      <c r="AS303" s="509"/>
      <c r="AT303" s="538"/>
      <c r="AU303" s="509"/>
      <c r="AV303" s="509"/>
      <c r="AW303" s="509"/>
      <c r="AX303" s="509"/>
      <c r="AY303" s="538"/>
      <c r="AZ303" s="509"/>
      <c r="BA303" s="509"/>
      <c r="BB303" s="509"/>
      <c r="BC303" s="509"/>
      <c r="BD303" s="538"/>
      <c r="BE303" s="509"/>
      <c r="BF303" s="509"/>
      <c r="BG303" s="509"/>
      <c r="BH303" s="509"/>
      <c r="BI303" s="538"/>
      <c r="BJ303" s="509"/>
      <c r="BK303" s="509"/>
      <c r="BL303" s="509"/>
      <c r="BM303" s="509"/>
      <c r="BN303" s="538"/>
      <c r="BO303" s="509"/>
      <c r="BP303" s="509"/>
      <c r="BQ303" s="509"/>
      <c r="BR303" s="509"/>
      <c r="BS303" s="538"/>
      <c r="BT303" s="509"/>
      <c r="BU303" s="509"/>
      <c r="BV303" s="509"/>
      <c r="BW303" s="509"/>
      <c r="BX303" s="538"/>
      <c r="BY303" s="509"/>
      <c r="BZ303" s="509"/>
      <c r="CA303" s="509"/>
      <c r="CB303" s="509"/>
      <c r="CC303" s="538"/>
      <c r="CD303" s="509"/>
      <c r="CE303" s="509"/>
      <c r="CF303" s="509"/>
      <c r="CG303" s="509"/>
      <c r="CH303" s="538"/>
      <c r="CI303" s="509"/>
      <c r="CJ303" s="509"/>
      <c r="CK303" s="509"/>
      <c r="CL303" s="509"/>
      <c r="CM303" s="538"/>
      <c r="CN303" s="509"/>
      <c r="CO303" s="509"/>
      <c r="CP303" s="509"/>
      <c r="CQ303" s="509"/>
      <c r="CR303" s="509"/>
      <c r="CS303" s="509"/>
      <c r="CT303" s="509"/>
      <c r="CU303" s="509"/>
      <c r="CV303" s="701"/>
      <c r="CW303" s="701"/>
      <c r="CX303" s="701"/>
      <c r="CY303" s="701"/>
      <c r="CZ303" s="701"/>
      <c r="DA303" s="701"/>
      <c r="DB303" s="701"/>
      <c r="DC303" s="294"/>
      <c r="DD303" s="294"/>
      <c r="DE303" s="294"/>
      <c r="DF303" s="294"/>
      <c r="DG303" s="344"/>
      <c r="DH303" s="294"/>
      <c r="DI303" s="294"/>
      <c r="DJ303" s="294"/>
      <c r="DK303" s="294"/>
      <c r="DL303" s="344"/>
      <c r="DM303" s="294"/>
      <c r="DN303" s="294"/>
      <c r="DO303" s="294"/>
      <c r="DP303" s="294"/>
      <c r="DQ303" s="344"/>
      <c r="DR303" s="294"/>
      <c r="DS303" s="294"/>
      <c r="DT303" s="294"/>
      <c r="DU303" s="294"/>
      <c r="DV303" s="344"/>
      <c r="DW303" s="294"/>
      <c r="DX303" s="294"/>
      <c r="DY303" s="294"/>
      <c r="DZ303" s="294"/>
      <c r="EA303" s="344"/>
      <c r="EB303" s="774"/>
      <c r="EC303" s="294"/>
      <c r="ED303" s="294"/>
      <c r="EE303" s="294">
        <f>(EE302/ED302)-1</f>
        <v>8.7611225188227282E-2</v>
      </c>
      <c r="EF303" s="648" t="s">
        <v>199</v>
      </c>
      <c r="EG303" s="294">
        <f>(EG302/EE302)-1</f>
        <v>-0.12083071113908117</v>
      </c>
      <c r="EH303" s="294">
        <f>(EH302/EG302)-1</f>
        <v>3.1496062992125928E-2</v>
      </c>
      <c r="EI303" s="294">
        <f>(EI302/EH302)-1</f>
        <v>-8.3275503122831607E-3</v>
      </c>
      <c r="EJ303" s="294">
        <f>(EJ302/EI302)-1</f>
        <v>-0.13296011196641011</v>
      </c>
      <c r="EK303" s="648" t="s">
        <v>199</v>
      </c>
      <c r="EL303" s="294">
        <f>(EL302/EJ302)-1</f>
        <v>-0.16868442292171104</v>
      </c>
      <c r="EM303" s="294">
        <f>(EM302/EL302)-1</f>
        <v>-8.5436893203883479E-2</v>
      </c>
      <c r="EN303" s="294">
        <f>(EN302/EM302)-1</f>
        <v>0.12632696390658182</v>
      </c>
      <c r="EO303" s="294">
        <f>(EO302/EN302)-1</f>
        <v>-9.7078228086710627E-2</v>
      </c>
      <c r="EP303" s="648" t="s">
        <v>199</v>
      </c>
      <c r="EQ303" s="294">
        <f>(EQ302/EO302)-1</f>
        <v>-0.13152400835073064</v>
      </c>
      <c r="ER303" s="294">
        <f>(ER302/EQ302)-1</f>
        <v>0.234375</v>
      </c>
      <c r="ES303" s="294">
        <f>(ES302/ER302)-1</f>
        <v>0.27263875365141188</v>
      </c>
      <c r="ET303" s="294">
        <f>(ET302/ES302)-1</f>
        <v>-0.15378729915837797</v>
      </c>
      <c r="EU303" s="648" t="s">
        <v>199</v>
      </c>
      <c r="EV303" s="668"/>
      <c r="EW303" s="668"/>
      <c r="EX303" s="668"/>
      <c r="EY303" s="668"/>
      <c r="EZ303" s="668"/>
      <c r="FA303" s="668"/>
      <c r="FB303" s="668"/>
      <c r="FC303" s="668"/>
      <c r="FD303" s="668"/>
      <c r="FE303" s="668"/>
      <c r="FF303" s="668"/>
      <c r="FG303" s="668"/>
      <c r="FH303" s="668"/>
      <c r="FI303" s="668"/>
      <c r="FJ303" s="668"/>
      <c r="FK303" s="668"/>
      <c r="FL303" s="668"/>
      <c r="FM303" s="668"/>
      <c r="FN303" s="668"/>
      <c r="FO303" s="668"/>
      <c r="FP303" s="668"/>
      <c r="FQ303" s="668"/>
      <c r="FR303" s="668"/>
      <c r="FS303" s="668"/>
      <c r="FT303" s="668"/>
      <c r="FU303" s="668"/>
      <c r="FV303" s="668"/>
      <c r="FW303" s="668"/>
      <c r="FX303" s="668"/>
      <c r="FY303" s="668"/>
      <c r="FZ303" s="668"/>
      <c r="GA303" s="668"/>
      <c r="GB303" s="668"/>
      <c r="GC303" s="668"/>
      <c r="GD303" s="668"/>
      <c r="GE303" s="668"/>
      <c r="GF303" s="668"/>
      <c r="GG303" s="668"/>
      <c r="GH303" s="668"/>
      <c r="GI303" s="668"/>
      <c r="GJ303" s="668"/>
      <c r="GK303" s="668"/>
      <c r="GL303" s="668"/>
      <c r="GM303" s="668"/>
      <c r="GN303" s="668"/>
      <c r="GO303" s="668"/>
      <c r="GP303" s="668"/>
      <c r="GQ303" s="668"/>
      <c r="GR303" s="668"/>
      <c r="GS303" s="668"/>
      <c r="GT303" s="668"/>
      <c r="GU303" s="668"/>
      <c r="GV303" s="668"/>
      <c r="GW303" s="668"/>
      <c r="GX303" s="668"/>
      <c r="GY303" s="668"/>
      <c r="GZ303" s="668"/>
      <c r="HA303" s="668"/>
      <c r="HB303" s="668"/>
      <c r="HC303" s="668"/>
      <c r="HD303" s="668"/>
      <c r="HE303" s="668"/>
      <c r="HF303" s="668"/>
      <c r="HG303" s="668"/>
      <c r="HH303" s="668"/>
      <c r="HI303" s="668"/>
      <c r="HJ303" s="668"/>
      <c r="HK303" s="668"/>
      <c r="HL303" s="668"/>
      <c r="HM303" s="668"/>
      <c r="HN303" s="668"/>
      <c r="HO303" s="648"/>
      <c r="HQ303" s="509"/>
      <c r="HY303" s="509"/>
      <c r="HZ303" s="509"/>
      <c r="IA303" s="509"/>
      <c r="IB303" s="509"/>
    </row>
    <row r="304" spans="1:236" s="563" customFormat="1" hidden="1" outlineLevel="1">
      <c r="A304" s="746" t="s">
        <v>489</v>
      </c>
      <c r="B304" s="746"/>
      <c r="C304" s="746"/>
      <c r="D304" s="746"/>
      <c r="E304" s="746"/>
      <c r="F304" s="746"/>
      <c r="G304" s="746"/>
      <c r="H304" s="746"/>
      <c r="I304" s="746"/>
      <c r="J304" s="746"/>
      <c r="K304" s="746"/>
      <c r="L304" s="746"/>
      <c r="M304" s="746"/>
      <c r="N304" s="746"/>
      <c r="O304" s="746"/>
      <c r="P304" s="746"/>
      <c r="Q304" s="746"/>
      <c r="R304" s="746"/>
      <c r="S304" s="746"/>
      <c r="T304" s="746"/>
      <c r="U304" s="746"/>
      <c r="V304" s="746"/>
      <c r="W304" s="746"/>
      <c r="X304" s="746"/>
      <c r="Y304" s="746"/>
      <c r="Z304" s="746"/>
      <c r="AA304" s="746"/>
      <c r="AB304" s="746"/>
      <c r="AC304" s="746"/>
      <c r="AD304" s="746"/>
      <c r="AE304" s="746"/>
      <c r="AF304" s="746"/>
      <c r="AG304" s="746"/>
      <c r="AH304" s="746"/>
      <c r="AI304" s="746"/>
      <c r="AJ304" s="746"/>
      <c r="AK304" s="746"/>
      <c r="AL304" s="746"/>
      <c r="AM304" s="746"/>
      <c r="AN304" s="746"/>
      <c r="AO304" s="747"/>
      <c r="AP304" s="746"/>
      <c r="AQ304" s="746"/>
      <c r="AR304" s="746"/>
      <c r="AS304" s="746"/>
      <c r="AT304" s="747"/>
      <c r="AU304" s="746"/>
      <c r="AV304" s="746"/>
      <c r="AW304" s="746"/>
      <c r="AX304" s="746"/>
      <c r="AY304" s="747"/>
      <c r="AZ304" s="746"/>
      <c r="BA304" s="746"/>
      <c r="BB304" s="746"/>
      <c r="BC304" s="746"/>
      <c r="BD304" s="747"/>
      <c r="BE304" s="746"/>
      <c r="BF304" s="746"/>
      <c r="BG304" s="746"/>
      <c r="BH304" s="746"/>
      <c r="BI304" s="747"/>
      <c r="BJ304" s="746"/>
      <c r="BK304" s="746"/>
      <c r="BL304" s="746"/>
      <c r="BM304" s="746"/>
      <c r="BN304" s="747"/>
      <c r="BO304" s="746"/>
      <c r="BP304" s="746"/>
      <c r="BQ304" s="746"/>
      <c r="BR304" s="746"/>
      <c r="BS304" s="747"/>
      <c r="BT304" s="746"/>
      <c r="BU304" s="746"/>
      <c r="BV304" s="746"/>
      <c r="BW304" s="746"/>
      <c r="BX304" s="747"/>
      <c r="BY304" s="746"/>
      <c r="BZ304" s="746"/>
      <c r="CA304" s="746"/>
      <c r="CB304" s="746"/>
      <c r="CC304" s="747"/>
      <c r="CD304" s="746"/>
      <c r="CE304" s="746"/>
      <c r="CF304" s="746"/>
      <c r="CG304" s="746"/>
      <c r="CH304" s="747"/>
      <c r="CI304" s="746"/>
      <c r="CJ304" s="746"/>
      <c r="CK304" s="746"/>
      <c r="CL304" s="746"/>
      <c r="CM304" s="747"/>
      <c r="CN304" s="746"/>
      <c r="CO304" s="746"/>
      <c r="CP304" s="746"/>
      <c r="CQ304" s="746"/>
      <c r="CR304" s="746"/>
      <c r="CS304" s="746"/>
      <c r="CT304" s="746"/>
      <c r="CU304" s="746"/>
      <c r="CV304" s="820"/>
      <c r="CW304" s="820"/>
      <c r="CX304" s="820"/>
      <c r="CY304" s="820"/>
      <c r="CZ304" s="820"/>
      <c r="DA304" s="820"/>
      <c r="DB304" s="820"/>
      <c r="DC304" s="821"/>
      <c r="DD304" s="821"/>
      <c r="DE304" s="821"/>
      <c r="DF304" s="821"/>
      <c r="DG304" s="749"/>
      <c r="DH304" s="821"/>
      <c r="DI304" s="821"/>
      <c r="DJ304" s="821"/>
      <c r="DK304" s="821"/>
      <c r="DL304" s="749"/>
      <c r="DM304" s="821"/>
      <c r="DN304" s="821"/>
      <c r="DO304" s="821"/>
      <c r="DP304" s="821"/>
      <c r="DQ304" s="749"/>
      <c r="DR304" s="821"/>
      <c r="DS304" s="821"/>
      <c r="DT304" s="821"/>
      <c r="DU304" s="821"/>
      <c r="DV304" s="749"/>
      <c r="DW304" s="821"/>
      <c r="DX304" s="821"/>
      <c r="DY304" s="821"/>
      <c r="DZ304" s="821"/>
      <c r="EA304" s="749"/>
      <c r="EB304" s="822"/>
      <c r="EC304" s="821"/>
      <c r="ED304" s="821"/>
      <c r="EE304" s="820" t="s">
        <v>199</v>
      </c>
      <c r="EF304" s="820" t="s">
        <v>199</v>
      </c>
      <c r="EG304" s="820" t="s">
        <v>199</v>
      </c>
      <c r="EH304" s="820" t="s">
        <v>199</v>
      </c>
      <c r="EI304" s="820" t="s">
        <v>199</v>
      </c>
      <c r="EJ304" s="748">
        <f t="shared" ref="EJ304:EU304" si="277">(EJ302/EE302)-1</f>
        <v>-0.22026431718061679</v>
      </c>
      <c r="EK304" s="749">
        <f t="shared" si="277"/>
        <v>3.9063974334780038E-2</v>
      </c>
      <c r="EL304" s="748">
        <f t="shared" si="277"/>
        <v>-0.26270579813886896</v>
      </c>
      <c r="EM304" s="748">
        <f t="shared" si="277"/>
        <v>-0.34628730048577372</v>
      </c>
      <c r="EN304" s="748">
        <f t="shared" si="277"/>
        <v>-0.25752274317704693</v>
      </c>
      <c r="EO304" s="748">
        <f t="shared" si="277"/>
        <v>-0.22679580306698954</v>
      </c>
      <c r="EP304" s="749">
        <f t="shared" si="277"/>
        <v>-0.27515437704322554</v>
      </c>
      <c r="EQ304" s="748">
        <f t="shared" si="277"/>
        <v>-0.19223300970873791</v>
      </c>
      <c r="ER304" s="748">
        <f t="shared" si="277"/>
        <v>9.0233545647558477E-2</v>
      </c>
      <c r="ES304" s="748">
        <f t="shared" si="277"/>
        <v>0.23185673892554193</v>
      </c>
      <c r="ET304" s="748">
        <f t="shared" si="277"/>
        <v>0.15448851774530281</v>
      </c>
      <c r="EU304" s="749">
        <f t="shared" si="277"/>
        <v>7.0408418942620843E-2</v>
      </c>
      <c r="EV304" s="668"/>
      <c r="EW304" s="668"/>
      <c r="EX304" s="668"/>
      <c r="EY304" s="668"/>
      <c r="EZ304" s="668"/>
      <c r="FA304" s="668"/>
      <c r="FB304" s="668"/>
      <c r="FC304" s="668"/>
      <c r="FD304" s="668"/>
      <c r="FE304" s="668"/>
      <c r="FF304" s="668"/>
      <c r="FG304" s="668"/>
      <c r="FH304" s="668"/>
      <c r="FI304" s="668"/>
      <c r="FJ304" s="668"/>
      <c r="FK304" s="668"/>
      <c r="FL304" s="668"/>
      <c r="FM304" s="668"/>
      <c r="FN304" s="668"/>
      <c r="FO304" s="668"/>
      <c r="FP304" s="668"/>
      <c r="FQ304" s="668"/>
      <c r="FR304" s="668"/>
      <c r="FS304" s="668"/>
      <c r="FT304" s="668"/>
      <c r="FU304" s="668"/>
      <c r="FV304" s="668"/>
      <c r="FW304" s="668"/>
      <c r="FX304" s="668"/>
      <c r="FY304" s="668"/>
      <c r="FZ304" s="668"/>
      <c r="GA304" s="668"/>
      <c r="GB304" s="668"/>
      <c r="GC304" s="668"/>
      <c r="GD304" s="668"/>
      <c r="GE304" s="668"/>
      <c r="GF304" s="668"/>
      <c r="GG304" s="668"/>
      <c r="GH304" s="668"/>
      <c r="GI304" s="668"/>
      <c r="GJ304" s="668"/>
      <c r="GK304" s="668"/>
      <c r="GL304" s="668"/>
      <c r="GM304" s="668"/>
      <c r="GN304" s="668"/>
      <c r="GO304" s="668"/>
      <c r="GP304" s="668"/>
      <c r="GQ304" s="668"/>
      <c r="GR304" s="668"/>
      <c r="GS304" s="668"/>
      <c r="GT304" s="668"/>
      <c r="GU304" s="668"/>
      <c r="GV304" s="668"/>
      <c r="GW304" s="668"/>
      <c r="GX304" s="668"/>
      <c r="GY304" s="668"/>
      <c r="GZ304" s="668"/>
      <c r="HA304" s="668"/>
      <c r="HB304" s="668"/>
      <c r="HC304" s="668"/>
      <c r="HD304" s="668"/>
      <c r="HE304" s="668"/>
      <c r="HF304" s="668"/>
      <c r="HG304" s="668"/>
      <c r="HH304" s="668"/>
      <c r="HI304" s="668"/>
      <c r="HJ304" s="668"/>
      <c r="HK304" s="668"/>
      <c r="HL304" s="668"/>
      <c r="HM304" s="668"/>
      <c r="HN304" s="668"/>
      <c r="HO304" s="344"/>
      <c r="HQ304" s="509"/>
      <c r="HY304" s="509"/>
      <c r="HZ304" s="509"/>
      <c r="IA304" s="509"/>
      <c r="IB304" s="509"/>
    </row>
    <row r="305" spans="1:236" s="563" customFormat="1" hidden="1" outlineLevel="1">
      <c r="A305" s="823" t="s">
        <v>530</v>
      </c>
      <c r="B305" s="509"/>
      <c r="C305" s="509"/>
      <c r="D305" s="509"/>
      <c r="E305" s="509"/>
      <c r="F305" s="509"/>
      <c r="G305" s="509"/>
      <c r="H305" s="509"/>
      <c r="I305" s="509"/>
      <c r="J305" s="509"/>
      <c r="K305" s="509"/>
      <c r="L305" s="509"/>
      <c r="M305" s="509"/>
      <c r="N305" s="509"/>
      <c r="O305" s="509"/>
      <c r="P305" s="509"/>
      <c r="Q305" s="509"/>
      <c r="R305" s="509"/>
      <c r="S305" s="509"/>
      <c r="T305" s="509"/>
      <c r="U305" s="509"/>
      <c r="V305" s="509"/>
      <c r="W305" s="509"/>
      <c r="X305" s="509"/>
      <c r="Y305" s="509"/>
      <c r="Z305" s="509"/>
      <c r="AA305" s="509"/>
      <c r="AB305" s="509"/>
      <c r="AC305" s="509"/>
      <c r="AD305" s="509"/>
      <c r="AE305" s="509"/>
      <c r="AF305" s="509"/>
      <c r="AG305" s="509"/>
      <c r="AH305" s="509"/>
      <c r="AI305" s="509"/>
      <c r="AJ305" s="509"/>
      <c r="AK305" s="509"/>
      <c r="AL305" s="509"/>
      <c r="AM305" s="509"/>
      <c r="AN305" s="509"/>
      <c r="AO305" s="538"/>
      <c r="AP305" s="509"/>
      <c r="AQ305" s="509"/>
      <c r="AR305" s="509"/>
      <c r="AS305" s="509"/>
      <c r="AT305" s="538"/>
      <c r="AU305" s="509"/>
      <c r="AV305" s="509"/>
      <c r="AW305" s="509"/>
      <c r="AX305" s="509"/>
      <c r="AY305" s="538"/>
      <c r="AZ305" s="509"/>
      <c r="BA305" s="509"/>
      <c r="BB305" s="509"/>
      <c r="BC305" s="509"/>
      <c r="BD305" s="538"/>
      <c r="BE305" s="509"/>
      <c r="BF305" s="509"/>
      <c r="BG305" s="509"/>
      <c r="BH305" s="509"/>
      <c r="BI305" s="538"/>
      <c r="BJ305" s="509"/>
      <c r="BK305" s="509"/>
      <c r="BL305" s="509"/>
      <c r="BM305" s="509"/>
      <c r="BN305" s="538"/>
      <c r="BO305" s="509"/>
      <c r="BP305" s="509"/>
      <c r="BQ305" s="509"/>
      <c r="BR305" s="509"/>
      <c r="BS305" s="538"/>
      <c r="BT305" s="509"/>
      <c r="BU305" s="509"/>
      <c r="BV305" s="509"/>
      <c r="BW305" s="509"/>
      <c r="BX305" s="538"/>
      <c r="BY305" s="509"/>
      <c r="BZ305" s="509"/>
      <c r="CA305" s="509"/>
      <c r="CB305" s="509"/>
      <c r="CC305" s="538"/>
      <c r="CD305" s="509"/>
      <c r="CE305" s="509"/>
      <c r="CF305" s="509"/>
      <c r="CG305" s="509"/>
      <c r="CH305" s="538"/>
      <c r="CI305" s="509"/>
      <c r="CJ305" s="509"/>
      <c r="CK305" s="509"/>
      <c r="CL305" s="509"/>
      <c r="CM305" s="538"/>
      <c r="CN305" s="509"/>
      <c r="CO305" s="509"/>
      <c r="CP305" s="509"/>
      <c r="CQ305" s="509"/>
      <c r="CR305" s="509"/>
      <c r="CS305" s="509"/>
      <c r="CT305" s="509"/>
      <c r="CU305" s="509"/>
      <c r="CV305" s="701"/>
      <c r="CW305" s="701"/>
      <c r="CX305" s="701"/>
      <c r="CY305" s="701"/>
      <c r="CZ305" s="701"/>
      <c r="DA305" s="701"/>
      <c r="DB305" s="701"/>
      <c r="DC305" s="294"/>
      <c r="DD305" s="294"/>
      <c r="DE305" s="294"/>
      <c r="DF305" s="294"/>
      <c r="DG305" s="344"/>
      <c r="DH305" s="294"/>
      <c r="DI305" s="294"/>
      <c r="DJ305" s="294"/>
      <c r="DK305" s="294"/>
      <c r="DL305" s="344"/>
      <c r="DM305" s="294"/>
      <c r="DN305" s="294"/>
      <c r="DO305" s="294"/>
      <c r="DP305" s="294"/>
      <c r="DQ305" s="344"/>
      <c r="DR305" s="294"/>
      <c r="DS305" s="294"/>
      <c r="DT305" s="294"/>
      <c r="DU305" s="294"/>
      <c r="DV305" s="344"/>
      <c r="DW305" s="294"/>
      <c r="DX305" s="294"/>
      <c r="DY305" s="294"/>
      <c r="DZ305" s="294"/>
      <c r="EA305" s="344"/>
      <c r="EB305" s="825">
        <f>+EB302-EB9</f>
        <v>0</v>
      </c>
      <c r="EC305" s="825">
        <f>+EC302-EC9</f>
        <v>0</v>
      </c>
      <c r="ED305" s="825">
        <f>+ED302-ED9</f>
        <v>0</v>
      </c>
      <c r="EE305" s="825">
        <f>+EE302-EE9</f>
        <v>0</v>
      </c>
      <c r="EF305" s="825">
        <f>+EF302-EF9</f>
        <v>0</v>
      </c>
      <c r="EG305" s="825">
        <f>+EG302-EG9</f>
        <v>0</v>
      </c>
      <c r="EH305" s="825">
        <f>+EH302-EH9</f>
        <v>0</v>
      </c>
      <c r="EI305" s="825">
        <f>+EI302-EI9</f>
        <v>0</v>
      </c>
      <c r="EJ305" s="825">
        <f>+EJ302-EJ9</f>
        <v>0</v>
      </c>
      <c r="EK305" s="825">
        <f>+EK302-EK9</f>
        <v>0</v>
      </c>
      <c r="EL305" s="825">
        <f>+EL302-EL9</f>
        <v>0</v>
      </c>
      <c r="EM305" s="825">
        <f>+EM302-EM9</f>
        <v>0</v>
      </c>
      <c r="EN305" s="825">
        <f>+EN302-EN9</f>
        <v>0</v>
      </c>
      <c r="EO305" s="825">
        <f>+EO302-EO9</f>
        <v>0</v>
      </c>
      <c r="EP305" s="831">
        <f>+EP302-EP9</f>
        <v>0</v>
      </c>
      <c r="EQ305" s="825">
        <f>+EQ302-EQ9</f>
        <v>0</v>
      </c>
      <c r="ER305" s="825">
        <f>+ER302-ER9</f>
        <v>0</v>
      </c>
      <c r="ES305" s="825">
        <f>+ES302-ES9</f>
        <v>0</v>
      </c>
      <c r="ET305" s="825">
        <f>+ET302-ET9</f>
        <v>0</v>
      </c>
      <c r="EU305" s="831">
        <f>+EU302-EU9</f>
        <v>0</v>
      </c>
      <c r="EV305" s="668"/>
      <c r="EW305" s="668"/>
      <c r="EX305" s="668"/>
      <c r="EY305" s="668"/>
      <c r="EZ305" s="668"/>
      <c r="FA305" s="668"/>
      <c r="FB305" s="668"/>
      <c r="FC305" s="668"/>
      <c r="FD305" s="668"/>
      <c r="FE305" s="668"/>
      <c r="FF305" s="668"/>
      <c r="FG305" s="668"/>
      <c r="FH305" s="668"/>
      <c r="FI305" s="668"/>
      <c r="FJ305" s="668"/>
      <c r="FK305" s="668"/>
      <c r="FL305" s="668"/>
      <c r="FM305" s="668"/>
      <c r="FN305" s="668"/>
      <c r="FO305" s="668"/>
      <c r="FP305" s="668"/>
      <c r="FQ305" s="668"/>
      <c r="FR305" s="668"/>
      <c r="FS305" s="668"/>
      <c r="FT305" s="668"/>
      <c r="FU305" s="668"/>
      <c r="FV305" s="668"/>
      <c r="FW305" s="668"/>
      <c r="FX305" s="668"/>
      <c r="FY305" s="668"/>
      <c r="FZ305" s="668"/>
      <c r="GA305" s="668"/>
      <c r="GB305" s="668"/>
      <c r="GC305" s="668"/>
      <c r="GD305" s="668"/>
      <c r="GE305" s="668"/>
      <c r="GF305" s="668"/>
      <c r="GG305" s="668"/>
      <c r="GH305" s="668"/>
      <c r="GI305" s="668"/>
      <c r="GJ305" s="668"/>
      <c r="GK305" s="668"/>
      <c r="GL305" s="668"/>
      <c r="GM305" s="668"/>
      <c r="GN305" s="668"/>
      <c r="GO305" s="668"/>
      <c r="GP305" s="668"/>
      <c r="GQ305" s="668"/>
      <c r="GR305" s="668"/>
      <c r="GS305" s="668"/>
      <c r="GT305" s="668"/>
      <c r="GU305" s="668"/>
      <c r="GV305" s="668"/>
      <c r="GW305" s="668"/>
      <c r="GX305" s="668"/>
      <c r="GY305" s="668"/>
      <c r="GZ305" s="668"/>
      <c r="HA305" s="668"/>
      <c r="HB305" s="668"/>
      <c r="HC305" s="668"/>
      <c r="HD305" s="668"/>
      <c r="HE305" s="668"/>
      <c r="HF305" s="668"/>
      <c r="HG305" s="668"/>
      <c r="HH305" s="668"/>
      <c r="HI305" s="668"/>
      <c r="HJ305" s="668"/>
      <c r="HK305" s="668"/>
      <c r="HL305" s="668"/>
      <c r="HM305" s="668"/>
      <c r="HN305" s="668"/>
      <c r="HO305" s="344"/>
      <c r="HQ305" s="509"/>
      <c r="HY305" s="509"/>
      <c r="HZ305" s="509"/>
      <c r="IA305" s="509"/>
      <c r="IB305" s="509"/>
    </row>
    <row r="306" spans="1:236" s="563" customFormat="1" hidden="1" outlineLevel="1">
      <c r="A306" s="538" t="s">
        <v>531</v>
      </c>
      <c r="B306" s="634"/>
      <c r="C306" s="634"/>
      <c r="D306" s="634"/>
      <c r="E306" s="634"/>
      <c r="F306" s="634"/>
      <c r="G306" s="634"/>
      <c r="H306" s="634"/>
      <c r="I306" s="634"/>
      <c r="J306" s="634"/>
      <c r="K306" s="634"/>
      <c r="L306" s="634"/>
      <c r="M306" s="634"/>
      <c r="N306" s="634"/>
      <c r="O306" s="634"/>
      <c r="P306" s="634"/>
      <c r="Q306" s="634"/>
      <c r="R306" s="634"/>
      <c r="S306" s="634"/>
      <c r="T306" s="634"/>
      <c r="U306" s="634"/>
      <c r="V306" s="634"/>
      <c r="W306" s="634"/>
      <c r="X306" s="634"/>
      <c r="Y306" s="634"/>
      <c r="Z306" s="634"/>
      <c r="AA306" s="634"/>
      <c r="AB306" s="634"/>
      <c r="AC306" s="634"/>
      <c r="AD306" s="634"/>
      <c r="AE306" s="634"/>
      <c r="AF306" s="634"/>
      <c r="AG306" s="634"/>
      <c r="AH306" s="634"/>
      <c r="AI306" s="634"/>
      <c r="AJ306" s="634"/>
      <c r="AK306" s="634"/>
      <c r="AL306" s="634"/>
      <c r="AM306" s="634"/>
      <c r="AN306" s="634"/>
      <c r="AO306" s="785"/>
      <c r="AP306" s="634"/>
      <c r="AQ306" s="634"/>
      <c r="AR306" s="634"/>
      <c r="AS306" s="634"/>
      <c r="AT306" s="785"/>
      <c r="AU306" s="634"/>
      <c r="AV306" s="634"/>
      <c r="AW306" s="634"/>
      <c r="AX306" s="634"/>
      <c r="AY306" s="785"/>
      <c r="AZ306" s="634"/>
      <c r="BA306" s="634"/>
      <c r="BB306" s="634"/>
      <c r="BC306" s="634"/>
      <c r="BD306" s="785"/>
      <c r="BE306" s="634"/>
      <c r="BF306" s="634"/>
      <c r="BG306" s="634"/>
      <c r="BH306" s="634"/>
      <c r="BI306" s="785"/>
      <c r="BJ306" s="634"/>
      <c r="BK306" s="634"/>
      <c r="BL306" s="634"/>
      <c r="BM306" s="634"/>
      <c r="BN306" s="785"/>
      <c r="BO306" s="756"/>
      <c r="BP306" s="756"/>
      <c r="BQ306" s="756"/>
      <c r="BR306" s="756"/>
      <c r="BS306" s="757"/>
      <c r="BT306" s="756"/>
      <c r="BU306" s="756"/>
      <c r="BV306" s="756"/>
      <c r="BW306" s="756"/>
      <c r="BX306" s="757"/>
      <c r="BY306" s="756"/>
      <c r="BZ306" s="756"/>
      <c r="CA306" s="756"/>
      <c r="CB306" s="756"/>
      <c r="CC306" s="757"/>
      <c r="CD306" s="756"/>
      <c r="CE306" s="756"/>
      <c r="CF306" s="756"/>
      <c r="CG306" s="756"/>
      <c r="CH306" s="757"/>
      <c r="CI306" s="756"/>
      <c r="CJ306" s="756"/>
      <c r="CK306" s="756"/>
      <c r="CL306" s="756"/>
      <c r="CM306" s="757"/>
      <c r="CN306" s="756"/>
      <c r="CO306" s="756"/>
      <c r="CP306" s="756"/>
      <c r="CQ306" s="756"/>
      <c r="CR306" s="757"/>
      <c r="CS306" s="756"/>
      <c r="CT306" s="756"/>
      <c r="CU306" s="756"/>
      <c r="CV306" s="756"/>
      <c r="CW306" s="757"/>
      <c r="CX306" s="756"/>
      <c r="CY306" s="756"/>
      <c r="CZ306" s="756"/>
      <c r="DA306" s="756"/>
      <c r="DB306" s="757"/>
      <c r="DC306" s="756"/>
      <c r="DD306" s="756"/>
      <c r="DE306" s="756"/>
      <c r="DF306" s="756"/>
      <c r="DG306" s="757"/>
      <c r="DH306" s="756"/>
      <c r="DI306" s="756"/>
      <c r="DJ306" s="756"/>
      <c r="DK306" s="756"/>
      <c r="DL306" s="757"/>
      <c r="DM306" s="756"/>
      <c r="DN306" s="756"/>
      <c r="DO306" s="756"/>
      <c r="DP306" s="756"/>
      <c r="DQ306" s="757"/>
      <c r="DR306" s="756"/>
      <c r="DS306" s="756"/>
      <c r="DT306" s="756"/>
      <c r="DU306" s="756"/>
      <c r="DV306" s="757"/>
      <c r="DW306" s="756"/>
      <c r="DX306" s="756"/>
      <c r="DY306" s="756"/>
      <c r="DZ306" s="756"/>
      <c r="EA306" s="757"/>
      <c r="EB306" s="756"/>
      <c r="EC306" s="756"/>
      <c r="ED306" s="756"/>
      <c r="EE306" s="756"/>
      <c r="EF306" s="757"/>
      <c r="EG306" s="756"/>
      <c r="EH306" s="756"/>
      <c r="EI306" s="756"/>
      <c r="EJ306" s="756"/>
      <c r="EK306" s="757"/>
      <c r="EL306" s="756"/>
      <c r="EM306" s="756"/>
      <c r="EN306" s="756"/>
      <c r="EO306" s="756"/>
      <c r="EP306" s="757"/>
      <c r="EQ306" s="756"/>
      <c r="ER306" s="756"/>
      <c r="ES306" s="756"/>
      <c r="ET306" s="756"/>
      <c r="EU306" s="757"/>
      <c r="EV306" s="668"/>
      <c r="EW306" s="668"/>
      <c r="EX306" s="668"/>
      <c r="EY306" s="668"/>
      <c r="EZ306" s="668"/>
      <c r="FA306" s="668"/>
      <c r="FB306" s="668"/>
      <c r="FC306" s="668"/>
      <c r="FD306" s="668"/>
      <c r="FE306" s="668"/>
      <c r="FF306" s="668"/>
      <c r="FG306" s="668"/>
      <c r="FH306" s="668"/>
      <c r="FI306" s="668"/>
      <c r="FJ306" s="668"/>
      <c r="FK306" s="668"/>
      <c r="FL306" s="668"/>
      <c r="FM306" s="668"/>
      <c r="FN306" s="668"/>
      <c r="FO306" s="668"/>
      <c r="FP306" s="668"/>
      <c r="FQ306" s="668"/>
      <c r="FR306" s="668"/>
      <c r="FS306" s="668"/>
      <c r="FT306" s="668"/>
      <c r="FU306" s="668"/>
      <c r="FV306" s="668"/>
      <c r="FW306" s="668"/>
      <c r="FX306" s="668"/>
      <c r="FY306" s="668"/>
      <c r="FZ306" s="668"/>
      <c r="GA306" s="668"/>
      <c r="GB306" s="668"/>
      <c r="GC306" s="668"/>
      <c r="GD306" s="668"/>
      <c r="GE306" s="668"/>
      <c r="GF306" s="668"/>
      <c r="GG306" s="668"/>
      <c r="GH306" s="668"/>
      <c r="GI306" s="668"/>
      <c r="GJ306" s="668"/>
      <c r="GK306" s="668"/>
      <c r="GL306" s="668"/>
      <c r="GM306" s="668"/>
      <c r="GN306" s="668"/>
      <c r="GO306" s="668"/>
      <c r="GP306" s="668"/>
      <c r="GQ306" s="668"/>
      <c r="GR306" s="668"/>
      <c r="GS306" s="668"/>
      <c r="GT306" s="668"/>
      <c r="GU306" s="668"/>
      <c r="GV306" s="668"/>
      <c r="GW306" s="668"/>
      <c r="GX306" s="668"/>
      <c r="GY306" s="668"/>
      <c r="GZ306" s="668"/>
      <c r="HA306" s="668"/>
      <c r="HB306" s="668"/>
      <c r="HC306" s="668"/>
      <c r="HD306" s="668"/>
      <c r="HE306" s="668"/>
      <c r="HF306" s="668"/>
      <c r="HG306" s="668"/>
      <c r="HH306" s="668"/>
      <c r="HI306" s="668"/>
      <c r="HJ306" s="668"/>
      <c r="HK306" s="668"/>
      <c r="HL306" s="668"/>
      <c r="HM306" s="668"/>
      <c r="HN306" s="668"/>
      <c r="HO306" s="757"/>
      <c r="HP306" s="832"/>
      <c r="HQ306" s="756"/>
      <c r="HR306" s="832"/>
      <c r="HS306" s="833"/>
      <c r="HY306" s="509"/>
      <c r="HZ306" s="509"/>
      <c r="IA306" s="509"/>
      <c r="IB306" s="509"/>
    </row>
    <row r="307" spans="1:236" s="563" customFormat="1" hidden="1" outlineLevel="1">
      <c r="A307" s="634" t="s">
        <v>262</v>
      </c>
      <c r="B307" s="634"/>
      <c r="C307" s="634"/>
      <c r="D307" s="634"/>
      <c r="E307" s="634"/>
      <c r="F307" s="634"/>
      <c r="G307" s="634"/>
      <c r="H307" s="634"/>
      <c r="I307" s="634"/>
      <c r="J307" s="634"/>
      <c r="K307" s="634"/>
      <c r="L307" s="634"/>
      <c r="M307" s="634"/>
      <c r="N307" s="634"/>
      <c r="O307" s="634"/>
      <c r="P307" s="634"/>
      <c r="Q307" s="634"/>
      <c r="R307" s="634"/>
      <c r="S307" s="634"/>
      <c r="T307" s="634"/>
      <c r="U307" s="634"/>
      <c r="V307" s="634"/>
      <c r="W307" s="634"/>
      <c r="X307" s="634"/>
      <c r="Y307" s="634"/>
      <c r="Z307" s="634"/>
      <c r="AA307" s="634"/>
      <c r="AB307" s="634"/>
      <c r="AC307" s="634"/>
      <c r="AD307" s="634"/>
      <c r="AE307" s="634"/>
      <c r="AF307" s="634"/>
      <c r="AG307" s="634"/>
      <c r="AH307" s="634"/>
      <c r="AI307" s="634"/>
      <c r="AJ307" s="634"/>
      <c r="AK307" s="634"/>
      <c r="AL307" s="634"/>
      <c r="AM307" s="634"/>
      <c r="AN307" s="634"/>
      <c r="AO307" s="785"/>
      <c r="AP307" s="634"/>
      <c r="AQ307" s="634"/>
      <c r="AR307" s="634"/>
      <c r="AS307" s="634"/>
      <c r="AT307" s="785"/>
      <c r="AU307" s="634"/>
      <c r="AV307" s="634"/>
      <c r="AW307" s="634"/>
      <c r="AX307" s="634"/>
      <c r="AY307" s="785"/>
      <c r="AZ307" s="634"/>
      <c r="BA307" s="634"/>
      <c r="BB307" s="634"/>
      <c r="BC307" s="634"/>
      <c r="BD307" s="785"/>
      <c r="BE307" s="634"/>
      <c r="BF307" s="634"/>
      <c r="BG307" s="634"/>
      <c r="BH307" s="634"/>
      <c r="BI307" s="785"/>
      <c r="BJ307" s="634"/>
      <c r="BK307" s="634"/>
      <c r="BL307" s="634"/>
      <c r="BM307" s="634"/>
      <c r="BN307" s="785"/>
      <c r="BO307" s="756"/>
      <c r="BP307" s="756"/>
      <c r="BQ307" s="756"/>
      <c r="BR307" s="756"/>
      <c r="BS307" s="757"/>
      <c r="BT307" s="756"/>
      <c r="BU307" s="756"/>
      <c r="BV307" s="756"/>
      <c r="BW307" s="756"/>
      <c r="BX307" s="757"/>
      <c r="BY307" s="756"/>
      <c r="BZ307" s="756"/>
      <c r="CA307" s="756"/>
      <c r="CB307" s="756"/>
      <c r="CC307" s="757"/>
      <c r="CD307" s="756"/>
      <c r="CE307" s="756"/>
      <c r="CF307" s="756"/>
      <c r="CG307" s="756"/>
      <c r="CH307" s="757"/>
      <c r="CI307" s="756"/>
      <c r="CJ307" s="756"/>
      <c r="CK307" s="756"/>
      <c r="CL307" s="756"/>
      <c r="CM307" s="757"/>
      <c r="CN307" s="756"/>
      <c r="CO307" s="756"/>
      <c r="CP307" s="756"/>
      <c r="CQ307" s="756"/>
      <c r="CR307" s="757"/>
      <c r="CS307" s="756"/>
      <c r="CT307" s="756"/>
      <c r="CU307" s="756"/>
      <c r="CV307" s="756"/>
      <c r="CW307" s="757"/>
      <c r="CX307" s="756"/>
      <c r="CY307" s="756"/>
      <c r="CZ307" s="756"/>
      <c r="DA307" s="756"/>
      <c r="DB307" s="757"/>
      <c r="DC307" s="756"/>
      <c r="DD307" s="756"/>
      <c r="DE307" s="756"/>
      <c r="DF307" s="756"/>
      <c r="DG307" s="757"/>
      <c r="DH307" s="756"/>
      <c r="DI307" s="756"/>
      <c r="DJ307" s="756"/>
      <c r="DK307" s="756"/>
      <c r="DL307" s="757"/>
      <c r="DM307" s="756"/>
      <c r="DN307" s="756"/>
      <c r="DO307" s="756"/>
      <c r="DP307" s="756"/>
      <c r="DQ307" s="757"/>
      <c r="DR307" s="756"/>
      <c r="DS307" s="756"/>
      <c r="DT307" s="756"/>
      <c r="DU307" s="756"/>
      <c r="DV307" s="361"/>
      <c r="DW307" s="361"/>
      <c r="DX307" s="361"/>
      <c r="DY307" s="361"/>
      <c r="DZ307" s="361"/>
      <c r="EA307" s="361"/>
      <c r="EB307" s="361">
        <f t="shared" ref="EB307:EU307" si="278">+EB187/EB$302</f>
        <v>0.25523299632352936</v>
      </c>
      <c r="EC307" s="361">
        <f t="shared" si="278"/>
        <v>0.26780469422911285</v>
      </c>
      <c r="ED307" s="361">
        <f t="shared" si="278"/>
        <v>0.22726043805612592</v>
      </c>
      <c r="EE307" s="361">
        <f t="shared" si="278"/>
        <v>0.22844905601006921</v>
      </c>
      <c r="EF307" s="361">
        <f t="shared" si="278"/>
        <v>0.24224340441592748</v>
      </c>
      <c r="EG307" s="361">
        <f t="shared" si="278"/>
        <v>0.23026542591266999</v>
      </c>
      <c r="EH307" s="361">
        <f t="shared" si="278"/>
        <v>0.20120582928521857</v>
      </c>
      <c r="EI307" s="361">
        <f t="shared" si="278"/>
        <v>0.22957204338698389</v>
      </c>
      <c r="EJ307" s="361">
        <f t="shared" si="278"/>
        <v>0.16956040488892787</v>
      </c>
      <c r="EK307" s="361">
        <f t="shared" si="278"/>
        <v>0.20881986771837663</v>
      </c>
      <c r="EL307" s="361">
        <f t="shared" si="278"/>
        <v>0.14104305825242719</v>
      </c>
      <c r="EM307" s="361">
        <f t="shared" si="278"/>
        <v>0.16161157112526539</v>
      </c>
      <c r="EN307" s="361">
        <f t="shared" si="278"/>
        <v>0.15830512170718844</v>
      </c>
      <c r="EO307" s="361">
        <f t="shared" si="278"/>
        <v>0.18233841701104389</v>
      </c>
      <c r="EP307" s="361">
        <f t="shared" si="278"/>
        <v>0.16039949577246479</v>
      </c>
      <c r="EQ307" s="361">
        <f t="shared" si="278"/>
        <v>0.20976321071326093</v>
      </c>
      <c r="ER307" s="361">
        <f t="shared" si="278"/>
        <v>0.18378443535100089</v>
      </c>
      <c r="ES307" s="361">
        <f t="shared" si="278"/>
        <v>0.15460759459213824</v>
      </c>
      <c r="ET307" s="361">
        <f t="shared" si="278"/>
        <v>0.18818651891128607</v>
      </c>
      <c r="EU307" s="361">
        <f t="shared" si="278"/>
        <v>0.18105712136393215</v>
      </c>
      <c r="EV307" s="668"/>
      <c r="EW307" s="668"/>
      <c r="EX307" s="668"/>
      <c r="EY307" s="668"/>
      <c r="EZ307" s="668"/>
      <c r="FA307" s="668"/>
      <c r="FB307" s="668"/>
      <c r="FC307" s="668"/>
      <c r="FD307" s="668"/>
      <c r="FE307" s="668"/>
      <c r="FF307" s="668"/>
      <c r="FG307" s="668"/>
      <c r="FH307" s="668"/>
      <c r="FI307" s="668"/>
      <c r="FJ307" s="668"/>
      <c r="FK307" s="668"/>
      <c r="FL307" s="668"/>
      <c r="FM307" s="668"/>
      <c r="FN307" s="668"/>
      <c r="FO307" s="668"/>
      <c r="FP307" s="668"/>
      <c r="FQ307" s="668"/>
      <c r="FR307" s="668"/>
      <c r="FS307" s="668"/>
      <c r="FT307" s="668"/>
      <c r="FU307" s="668"/>
      <c r="FV307" s="668"/>
      <c r="FW307" s="668"/>
      <c r="FX307" s="668"/>
      <c r="FY307" s="668"/>
      <c r="FZ307" s="668"/>
      <c r="GA307" s="668"/>
      <c r="GB307" s="668"/>
      <c r="GC307" s="668"/>
      <c r="GD307" s="668"/>
      <c r="GE307" s="668"/>
      <c r="GF307" s="668"/>
      <c r="GG307" s="668"/>
      <c r="GH307" s="668"/>
      <c r="GI307" s="668"/>
      <c r="GJ307" s="668"/>
      <c r="GK307" s="668"/>
      <c r="GL307" s="668"/>
      <c r="GM307" s="668"/>
      <c r="GN307" s="668"/>
      <c r="GO307" s="668"/>
      <c r="GP307" s="668"/>
      <c r="GQ307" s="668"/>
      <c r="GR307" s="668"/>
      <c r="GS307" s="668"/>
      <c r="GT307" s="668"/>
      <c r="GU307" s="668"/>
      <c r="GV307" s="668"/>
      <c r="GW307" s="668"/>
      <c r="GX307" s="668"/>
      <c r="GY307" s="668"/>
      <c r="GZ307" s="668"/>
      <c r="HA307" s="668"/>
      <c r="HB307" s="668"/>
      <c r="HC307" s="668"/>
      <c r="HD307" s="668"/>
      <c r="HE307" s="668"/>
      <c r="HF307" s="668"/>
      <c r="HG307" s="668"/>
      <c r="HH307" s="668"/>
      <c r="HI307" s="668"/>
      <c r="HJ307" s="668"/>
      <c r="HK307" s="668"/>
      <c r="HL307" s="668"/>
      <c r="HM307" s="668"/>
      <c r="HN307" s="668"/>
      <c r="HO307" s="757"/>
      <c r="HP307" s="832"/>
      <c r="HQ307" s="756"/>
      <c r="HR307" s="832"/>
      <c r="HS307" s="833"/>
      <c r="HY307" s="509"/>
      <c r="HZ307" s="509"/>
      <c r="IA307" s="509"/>
      <c r="IB307" s="509"/>
    </row>
    <row r="308" spans="1:236" s="563" customFormat="1" hidden="1" outlineLevel="1">
      <c r="A308" s="634" t="s">
        <v>532</v>
      </c>
      <c r="B308" s="634"/>
      <c r="C308" s="634"/>
      <c r="D308" s="634"/>
      <c r="E308" s="634"/>
      <c r="F308" s="634"/>
      <c r="G308" s="634"/>
      <c r="H308" s="634"/>
      <c r="I308" s="634"/>
      <c r="J308" s="634"/>
      <c r="K308" s="634"/>
      <c r="L308" s="634"/>
      <c r="M308" s="634"/>
      <c r="N308" s="634"/>
      <c r="O308" s="634"/>
      <c r="P308" s="634"/>
      <c r="Q308" s="634"/>
      <c r="R308" s="634"/>
      <c r="S308" s="634"/>
      <c r="T308" s="634"/>
      <c r="U308" s="634"/>
      <c r="V308" s="634"/>
      <c r="W308" s="634"/>
      <c r="X308" s="634"/>
      <c r="Y308" s="634"/>
      <c r="Z308" s="634"/>
      <c r="AA308" s="634"/>
      <c r="AB308" s="634"/>
      <c r="AC308" s="634"/>
      <c r="AD308" s="634"/>
      <c r="AE308" s="634"/>
      <c r="AF308" s="634"/>
      <c r="AG308" s="634"/>
      <c r="AH308" s="634"/>
      <c r="AI308" s="634"/>
      <c r="AJ308" s="634"/>
      <c r="AK308" s="634"/>
      <c r="AL308" s="634"/>
      <c r="AM308" s="634"/>
      <c r="AN308" s="634"/>
      <c r="AO308" s="785"/>
      <c r="AP308" s="634"/>
      <c r="AQ308" s="634"/>
      <c r="AR308" s="634"/>
      <c r="AS308" s="634"/>
      <c r="AT308" s="785"/>
      <c r="AU308" s="634"/>
      <c r="AV308" s="634"/>
      <c r="AW308" s="634"/>
      <c r="AX308" s="634"/>
      <c r="AY308" s="785"/>
      <c r="AZ308" s="634"/>
      <c r="BA308" s="634"/>
      <c r="BB308" s="634"/>
      <c r="BC308" s="634"/>
      <c r="BD308" s="785"/>
      <c r="BE308" s="634"/>
      <c r="BF308" s="634"/>
      <c r="BG308" s="634"/>
      <c r="BH308" s="634"/>
      <c r="BI308" s="785"/>
      <c r="BJ308" s="634"/>
      <c r="BK308" s="634"/>
      <c r="BL308" s="634"/>
      <c r="BM308" s="634"/>
      <c r="BN308" s="785"/>
      <c r="BO308" s="756"/>
      <c r="BP308" s="756"/>
      <c r="BQ308" s="756"/>
      <c r="BR308" s="756"/>
      <c r="BS308" s="757"/>
      <c r="BT308" s="756"/>
      <c r="BU308" s="756"/>
      <c r="BV308" s="756"/>
      <c r="BW308" s="756"/>
      <c r="BX308" s="757"/>
      <c r="BY308" s="756"/>
      <c r="BZ308" s="756"/>
      <c r="CA308" s="756"/>
      <c r="CB308" s="756"/>
      <c r="CC308" s="757"/>
      <c r="CD308" s="756"/>
      <c r="CE308" s="756"/>
      <c r="CF308" s="756"/>
      <c r="CG308" s="756"/>
      <c r="CH308" s="757"/>
      <c r="CI308" s="756"/>
      <c r="CJ308" s="756"/>
      <c r="CK308" s="756"/>
      <c r="CL308" s="756"/>
      <c r="CM308" s="757"/>
      <c r="CN308" s="756"/>
      <c r="CO308" s="756"/>
      <c r="CP308" s="756"/>
      <c r="CQ308" s="756"/>
      <c r="CR308" s="757"/>
      <c r="CS308" s="756"/>
      <c r="CT308" s="756"/>
      <c r="CU308" s="756"/>
      <c r="CV308" s="756"/>
      <c r="CW308" s="757"/>
      <c r="CX308" s="756"/>
      <c r="CY308" s="756"/>
      <c r="CZ308" s="756"/>
      <c r="DA308" s="756"/>
      <c r="DB308" s="757"/>
      <c r="DC308" s="756"/>
      <c r="DD308" s="756"/>
      <c r="DE308" s="756"/>
      <c r="DF308" s="756"/>
      <c r="DG308" s="757"/>
      <c r="DH308" s="756"/>
      <c r="DI308" s="756"/>
      <c r="DJ308" s="756"/>
      <c r="DK308" s="756"/>
      <c r="DL308" s="757"/>
      <c r="DM308" s="756"/>
      <c r="DN308" s="756"/>
      <c r="DO308" s="756"/>
      <c r="DP308" s="756"/>
      <c r="DQ308" s="757"/>
      <c r="DR308" s="756"/>
      <c r="DS308" s="756"/>
      <c r="DT308" s="756"/>
      <c r="DU308" s="756"/>
      <c r="DV308" s="361"/>
      <c r="DW308" s="361"/>
      <c r="DX308" s="361"/>
      <c r="DY308" s="361"/>
      <c r="DZ308" s="361"/>
      <c r="EA308" s="361"/>
      <c r="EB308" s="361">
        <f t="shared" ref="EB308:EU308" si="279">+EB197/EB$302</f>
        <v>0.23083345588235296</v>
      </c>
      <c r="EC308" s="361">
        <f t="shared" si="279"/>
        <v>0.26860142118863051</v>
      </c>
      <c r="ED308" s="361">
        <f t="shared" si="279"/>
        <v>0.18969281314168379</v>
      </c>
      <c r="EE308" s="361">
        <f t="shared" si="279"/>
        <v>0.11859081183134049</v>
      </c>
      <c r="EF308" s="361">
        <f t="shared" si="279"/>
        <v>0.19410738818645029</v>
      </c>
      <c r="EG308" s="361">
        <f t="shared" si="279"/>
        <v>0.14591649964209019</v>
      </c>
      <c r="EH308" s="361">
        <f t="shared" si="279"/>
        <v>0.19486599583622483</v>
      </c>
      <c r="EI308" s="361">
        <f t="shared" si="279"/>
        <v>0.18454737928621409</v>
      </c>
      <c r="EJ308" s="361">
        <f t="shared" si="279"/>
        <v>0.24345843422114608</v>
      </c>
      <c r="EK308" s="361">
        <f t="shared" si="279"/>
        <v>0.19070295223392661</v>
      </c>
      <c r="EL308" s="361">
        <f t="shared" si="279"/>
        <v>0.23550151941747571</v>
      </c>
      <c r="EM308" s="361">
        <f t="shared" si="279"/>
        <v>0.11117294585987263</v>
      </c>
      <c r="EN308" s="361">
        <f t="shared" si="279"/>
        <v>9.4296913570219673E-2</v>
      </c>
      <c r="EO308" s="361">
        <f t="shared" si="279"/>
        <v>0.10218994911701046</v>
      </c>
      <c r="EP308" s="361">
        <f t="shared" si="279"/>
        <v>0.13661700740468533</v>
      </c>
      <c r="EQ308" s="361">
        <f t="shared" si="279"/>
        <v>0.11755993158649919</v>
      </c>
      <c r="ER308" s="361">
        <f t="shared" si="279"/>
        <v>0.10300035727457123</v>
      </c>
      <c r="ES308" s="361">
        <f t="shared" si="279"/>
        <v>8.6648455566645896E-2</v>
      </c>
      <c r="ET308" s="361">
        <f t="shared" si="279"/>
        <v>0.10546746597502203</v>
      </c>
      <c r="EU308" s="361">
        <f t="shared" si="279"/>
        <v>0.10147185833214713</v>
      </c>
      <c r="EV308" s="668"/>
      <c r="EW308" s="668"/>
      <c r="EX308" s="668"/>
      <c r="EY308" s="668"/>
      <c r="EZ308" s="668"/>
      <c r="FA308" s="668"/>
      <c r="FB308" s="668"/>
      <c r="FC308" s="668"/>
      <c r="FD308" s="668"/>
      <c r="FE308" s="668"/>
      <c r="FF308" s="668"/>
      <c r="FG308" s="668"/>
      <c r="FH308" s="668"/>
      <c r="FI308" s="668"/>
      <c r="FJ308" s="668"/>
      <c r="FK308" s="668"/>
      <c r="FL308" s="668"/>
      <c r="FM308" s="668"/>
      <c r="FN308" s="668"/>
      <c r="FO308" s="668"/>
      <c r="FP308" s="668"/>
      <c r="FQ308" s="668"/>
      <c r="FR308" s="668"/>
      <c r="FS308" s="668"/>
      <c r="FT308" s="668"/>
      <c r="FU308" s="668"/>
      <c r="FV308" s="668"/>
      <c r="FW308" s="668"/>
      <c r="FX308" s="668"/>
      <c r="FY308" s="668"/>
      <c r="FZ308" s="668"/>
      <c r="GA308" s="668"/>
      <c r="GB308" s="668"/>
      <c r="GC308" s="668"/>
      <c r="GD308" s="668"/>
      <c r="GE308" s="668"/>
      <c r="GF308" s="668"/>
      <c r="GG308" s="668"/>
      <c r="GH308" s="668"/>
      <c r="GI308" s="668"/>
      <c r="GJ308" s="668"/>
      <c r="GK308" s="668"/>
      <c r="GL308" s="668"/>
      <c r="GM308" s="668"/>
      <c r="GN308" s="668"/>
      <c r="GO308" s="668"/>
      <c r="GP308" s="668"/>
      <c r="GQ308" s="668"/>
      <c r="GR308" s="668"/>
      <c r="GS308" s="668"/>
      <c r="GT308" s="668"/>
      <c r="GU308" s="668"/>
      <c r="GV308" s="668"/>
      <c r="GW308" s="668"/>
      <c r="GX308" s="668"/>
      <c r="GY308" s="668"/>
      <c r="GZ308" s="668"/>
      <c r="HA308" s="668"/>
      <c r="HB308" s="668"/>
      <c r="HC308" s="668"/>
      <c r="HD308" s="668"/>
      <c r="HE308" s="668"/>
      <c r="HF308" s="668"/>
      <c r="HG308" s="668"/>
      <c r="HH308" s="668"/>
      <c r="HI308" s="668"/>
      <c r="HJ308" s="668"/>
      <c r="HK308" s="668"/>
      <c r="HL308" s="668"/>
      <c r="HM308" s="668"/>
      <c r="HN308" s="668"/>
      <c r="HO308" s="757"/>
      <c r="HP308" s="832"/>
      <c r="HQ308" s="756"/>
      <c r="HR308" s="832"/>
      <c r="HS308" s="833"/>
      <c r="HY308" s="509"/>
      <c r="HZ308" s="509"/>
      <c r="IA308" s="509"/>
      <c r="IB308" s="509"/>
    </row>
    <row r="309" spans="1:236" s="563" customFormat="1" hidden="1" outlineLevel="1">
      <c r="A309" s="634" t="s">
        <v>533</v>
      </c>
      <c r="B309" s="634"/>
      <c r="C309" s="634"/>
      <c r="D309" s="634"/>
      <c r="E309" s="634"/>
      <c r="F309" s="634"/>
      <c r="G309" s="634"/>
      <c r="H309" s="634"/>
      <c r="I309" s="634"/>
      <c r="J309" s="634"/>
      <c r="K309" s="634"/>
      <c r="L309" s="634"/>
      <c r="M309" s="634"/>
      <c r="N309" s="634"/>
      <c r="O309" s="634"/>
      <c r="P309" s="634"/>
      <c r="Q309" s="634"/>
      <c r="R309" s="634"/>
      <c r="S309" s="634"/>
      <c r="T309" s="634"/>
      <c r="U309" s="634"/>
      <c r="V309" s="634"/>
      <c r="W309" s="634"/>
      <c r="X309" s="634"/>
      <c r="Y309" s="634"/>
      <c r="Z309" s="634"/>
      <c r="AA309" s="634"/>
      <c r="AB309" s="634"/>
      <c r="AC309" s="634"/>
      <c r="AD309" s="634"/>
      <c r="AE309" s="634"/>
      <c r="AF309" s="634"/>
      <c r="AG309" s="634"/>
      <c r="AH309" s="634"/>
      <c r="AI309" s="634"/>
      <c r="AJ309" s="634"/>
      <c r="AK309" s="634"/>
      <c r="AL309" s="634"/>
      <c r="AM309" s="634"/>
      <c r="AN309" s="634"/>
      <c r="AO309" s="785"/>
      <c r="AP309" s="634"/>
      <c r="AQ309" s="634"/>
      <c r="AR309" s="634"/>
      <c r="AS309" s="634"/>
      <c r="AT309" s="785"/>
      <c r="AU309" s="634"/>
      <c r="AV309" s="634"/>
      <c r="AW309" s="634"/>
      <c r="AX309" s="634"/>
      <c r="AY309" s="785"/>
      <c r="AZ309" s="634"/>
      <c r="BA309" s="634"/>
      <c r="BB309" s="634"/>
      <c r="BC309" s="634"/>
      <c r="BD309" s="785"/>
      <c r="BE309" s="634"/>
      <c r="BF309" s="634"/>
      <c r="BG309" s="634"/>
      <c r="BH309" s="634"/>
      <c r="BI309" s="785"/>
      <c r="BJ309" s="634"/>
      <c r="BK309" s="634"/>
      <c r="BL309" s="634"/>
      <c r="BM309" s="634"/>
      <c r="BN309" s="785"/>
      <c r="BO309" s="756"/>
      <c r="BP309" s="756"/>
      <c r="BQ309" s="756"/>
      <c r="BR309" s="756"/>
      <c r="BS309" s="757"/>
      <c r="BT309" s="756"/>
      <c r="BU309" s="756"/>
      <c r="BV309" s="756"/>
      <c r="BW309" s="756"/>
      <c r="BX309" s="757"/>
      <c r="BY309" s="756"/>
      <c r="BZ309" s="756"/>
      <c r="CA309" s="756"/>
      <c r="CB309" s="756"/>
      <c r="CC309" s="757"/>
      <c r="CD309" s="756"/>
      <c r="CE309" s="756"/>
      <c r="CF309" s="756"/>
      <c r="CG309" s="756"/>
      <c r="CH309" s="757"/>
      <c r="CI309" s="756"/>
      <c r="CJ309" s="756"/>
      <c r="CK309" s="756"/>
      <c r="CL309" s="756"/>
      <c r="CM309" s="757"/>
      <c r="CN309" s="756"/>
      <c r="CO309" s="756"/>
      <c r="CP309" s="756"/>
      <c r="CQ309" s="756"/>
      <c r="CR309" s="757"/>
      <c r="CS309" s="756"/>
      <c r="CT309" s="756"/>
      <c r="CU309" s="756"/>
      <c r="CV309" s="756"/>
      <c r="CW309" s="757"/>
      <c r="CX309" s="756"/>
      <c r="CY309" s="756"/>
      <c r="CZ309" s="756"/>
      <c r="DA309" s="756"/>
      <c r="DB309" s="757"/>
      <c r="DC309" s="756"/>
      <c r="DD309" s="756"/>
      <c r="DE309" s="756"/>
      <c r="DF309" s="756"/>
      <c r="DG309" s="757"/>
      <c r="DH309" s="756"/>
      <c r="DI309" s="756"/>
      <c r="DJ309" s="756"/>
      <c r="DK309" s="756"/>
      <c r="DL309" s="757"/>
      <c r="DM309" s="756"/>
      <c r="DN309" s="756"/>
      <c r="DO309" s="756"/>
      <c r="DP309" s="756"/>
      <c r="DQ309" s="757"/>
      <c r="DR309" s="756"/>
      <c r="DS309" s="756"/>
      <c r="DT309" s="756"/>
      <c r="DU309" s="756"/>
      <c r="DV309" s="361"/>
      <c r="DW309" s="361"/>
      <c r="DX309" s="361"/>
      <c r="DY309" s="361"/>
      <c r="DZ309" s="361"/>
      <c r="EA309" s="361"/>
      <c r="EB309" s="361">
        <f t="shared" ref="EB309:EU309" si="280">+EB284/EB$302</f>
        <v>6.0606617647058825E-2</v>
      </c>
      <c r="EC309" s="361">
        <f t="shared" si="280"/>
        <v>6.545391903531439E-2</v>
      </c>
      <c r="ED309" s="361">
        <f t="shared" si="280"/>
        <v>4.6529774127310061E-2</v>
      </c>
      <c r="EE309" s="361">
        <f t="shared" si="280"/>
        <v>3.3989301447451228E-2</v>
      </c>
      <c r="EF309" s="361">
        <f t="shared" si="280"/>
        <v>4.9805812417437263E-2</v>
      </c>
      <c r="EG309" s="361">
        <f t="shared" si="280"/>
        <v>2.8492304939155333E-2</v>
      </c>
      <c r="EH309" s="361">
        <f t="shared" si="280"/>
        <v>2.5157009021512838E-2</v>
      </c>
      <c r="EI309" s="361">
        <f t="shared" si="280"/>
        <v>2.0547585724282714E-2</v>
      </c>
      <c r="EJ309" s="361">
        <f t="shared" si="280"/>
        <v>1.8706618240516545E-2</v>
      </c>
      <c r="EK309" s="361">
        <f t="shared" si="280"/>
        <v>2.3355430439520524E-2</v>
      </c>
      <c r="EL309" s="361">
        <f t="shared" si="280"/>
        <v>1.6845873786407766E-2</v>
      </c>
      <c r="EM309" s="361">
        <f t="shared" si="280"/>
        <v>1.3923832271762211E-2</v>
      </c>
      <c r="EN309" s="361">
        <f t="shared" si="280"/>
        <v>8.2601694370662334E-3</v>
      </c>
      <c r="EO309" s="361">
        <f t="shared" si="280"/>
        <v>7.5427461300768646E-3</v>
      </c>
      <c r="EP309" s="361">
        <f t="shared" si="280"/>
        <v>1.1640563910133028E-2</v>
      </c>
      <c r="EQ309" s="361">
        <f t="shared" si="280"/>
        <v>8.6850370103529282E-3</v>
      </c>
      <c r="ER309" s="361">
        <f t="shared" si="280"/>
        <v>6.6841803826513668E-3</v>
      </c>
      <c r="ES309" s="361">
        <f t="shared" si="280"/>
        <v>5.2522213106219991E-3</v>
      </c>
      <c r="ET309" s="361">
        <f t="shared" si="280"/>
        <v>6.5170758730850832E-3</v>
      </c>
      <c r="EU309" s="361">
        <f t="shared" si="280"/>
        <v>6.5924960707424256E-3</v>
      </c>
      <c r="EV309" s="668"/>
      <c r="EW309" s="668"/>
      <c r="EX309" s="668"/>
      <c r="EY309" s="668"/>
      <c r="EZ309" s="668"/>
      <c r="FA309" s="668"/>
      <c r="FB309" s="668"/>
      <c r="FC309" s="668"/>
      <c r="FD309" s="668"/>
      <c r="FE309" s="668"/>
      <c r="FF309" s="668"/>
      <c r="FG309" s="668"/>
      <c r="FH309" s="668"/>
      <c r="FI309" s="668"/>
      <c r="FJ309" s="668"/>
      <c r="FK309" s="668"/>
      <c r="FL309" s="668"/>
      <c r="FM309" s="668"/>
      <c r="FN309" s="668"/>
      <c r="FO309" s="668"/>
      <c r="FP309" s="668"/>
      <c r="FQ309" s="668"/>
      <c r="FR309" s="668"/>
      <c r="FS309" s="668"/>
      <c r="FT309" s="668"/>
      <c r="FU309" s="668"/>
      <c r="FV309" s="668"/>
      <c r="FW309" s="668"/>
      <c r="FX309" s="668"/>
      <c r="FY309" s="668"/>
      <c r="FZ309" s="668"/>
      <c r="GA309" s="668"/>
      <c r="GB309" s="668"/>
      <c r="GC309" s="668"/>
      <c r="GD309" s="668"/>
      <c r="GE309" s="668"/>
      <c r="GF309" s="668"/>
      <c r="GG309" s="668"/>
      <c r="GH309" s="668"/>
      <c r="GI309" s="668"/>
      <c r="GJ309" s="668"/>
      <c r="GK309" s="668"/>
      <c r="GL309" s="668"/>
      <c r="GM309" s="668"/>
      <c r="GN309" s="668"/>
      <c r="GO309" s="668"/>
      <c r="GP309" s="668"/>
      <c r="GQ309" s="668"/>
      <c r="GR309" s="668"/>
      <c r="GS309" s="668"/>
      <c r="GT309" s="668"/>
      <c r="GU309" s="668"/>
      <c r="GV309" s="668"/>
      <c r="GW309" s="668"/>
      <c r="GX309" s="668"/>
      <c r="GY309" s="668"/>
      <c r="GZ309" s="668"/>
      <c r="HA309" s="668"/>
      <c r="HB309" s="668"/>
      <c r="HC309" s="668"/>
      <c r="HD309" s="668"/>
      <c r="HE309" s="668"/>
      <c r="HF309" s="668"/>
      <c r="HG309" s="668"/>
      <c r="HH309" s="668"/>
      <c r="HI309" s="668"/>
      <c r="HJ309" s="668"/>
      <c r="HK309" s="668"/>
      <c r="HL309" s="668"/>
      <c r="HM309" s="668"/>
      <c r="HN309" s="668"/>
      <c r="HO309" s="757"/>
      <c r="HP309" s="832"/>
      <c r="HQ309" s="756"/>
      <c r="HR309" s="832"/>
      <c r="HS309" s="833"/>
      <c r="HY309" s="509"/>
      <c r="HZ309" s="509"/>
      <c r="IA309" s="509"/>
      <c r="IB309" s="509"/>
    </row>
    <row r="310" spans="1:236" s="563" customFormat="1" hidden="1" outlineLevel="1">
      <c r="A310" s="785" t="s">
        <v>280</v>
      </c>
      <c r="B310" s="634"/>
      <c r="C310" s="634"/>
      <c r="D310" s="634"/>
      <c r="E310" s="634"/>
      <c r="F310" s="634"/>
      <c r="G310" s="634"/>
      <c r="H310" s="634"/>
      <c r="I310" s="634"/>
      <c r="J310" s="634"/>
      <c r="K310" s="634"/>
      <c r="L310" s="634"/>
      <c r="M310" s="634"/>
      <c r="N310" s="634"/>
      <c r="O310" s="634"/>
      <c r="P310" s="634"/>
      <c r="Q310" s="634"/>
      <c r="R310" s="634"/>
      <c r="S310" s="634"/>
      <c r="T310" s="634"/>
      <c r="U310" s="634"/>
      <c r="V310" s="634"/>
      <c r="W310" s="634"/>
      <c r="X310" s="634"/>
      <c r="Y310" s="634"/>
      <c r="Z310" s="634"/>
      <c r="AA310" s="634"/>
      <c r="AB310" s="634"/>
      <c r="AC310" s="634"/>
      <c r="AD310" s="634"/>
      <c r="AE310" s="634"/>
      <c r="AF310" s="634"/>
      <c r="AG310" s="634"/>
      <c r="AH310" s="634"/>
      <c r="AI310" s="634"/>
      <c r="AJ310" s="634"/>
      <c r="AK310" s="634"/>
      <c r="AL310" s="634"/>
      <c r="AM310" s="634"/>
      <c r="AN310" s="634"/>
      <c r="AO310" s="785"/>
      <c r="AP310" s="634"/>
      <c r="AQ310" s="634"/>
      <c r="AR310" s="634"/>
      <c r="AS310" s="634"/>
      <c r="AT310" s="785"/>
      <c r="AU310" s="634"/>
      <c r="AV310" s="634"/>
      <c r="AW310" s="634"/>
      <c r="AX310" s="634"/>
      <c r="AY310" s="785"/>
      <c r="AZ310" s="634"/>
      <c r="BA310" s="634"/>
      <c r="BB310" s="634"/>
      <c r="BC310" s="634"/>
      <c r="BD310" s="785"/>
      <c r="BE310" s="634"/>
      <c r="BF310" s="634"/>
      <c r="BG310" s="634"/>
      <c r="BH310" s="634"/>
      <c r="BI310" s="785"/>
      <c r="BJ310" s="634"/>
      <c r="BK310" s="634"/>
      <c r="BL310" s="634"/>
      <c r="BM310" s="634"/>
      <c r="BN310" s="785"/>
      <c r="BO310" s="756"/>
      <c r="BP310" s="756"/>
      <c r="BQ310" s="756"/>
      <c r="BR310" s="756"/>
      <c r="BS310" s="757"/>
      <c r="BT310" s="756"/>
      <c r="BU310" s="756"/>
      <c r="BV310" s="756"/>
      <c r="BW310" s="756"/>
      <c r="BX310" s="757"/>
      <c r="BY310" s="756"/>
      <c r="BZ310" s="756"/>
      <c r="CA310" s="756"/>
      <c r="CB310" s="756"/>
      <c r="CC310" s="757"/>
      <c r="CD310" s="756"/>
      <c r="CE310" s="756"/>
      <c r="CF310" s="756"/>
      <c r="CG310" s="756"/>
      <c r="CH310" s="757"/>
      <c r="CI310" s="756"/>
      <c r="CJ310" s="756"/>
      <c r="CK310" s="756"/>
      <c r="CL310" s="756"/>
      <c r="CM310" s="757"/>
      <c r="CN310" s="756"/>
      <c r="CO310" s="756"/>
      <c r="CP310" s="756"/>
      <c r="CQ310" s="756"/>
      <c r="CR310" s="757"/>
      <c r="CS310" s="756"/>
      <c r="CT310" s="756"/>
      <c r="CU310" s="756"/>
      <c r="CV310" s="756"/>
      <c r="CW310" s="757"/>
      <c r="CX310" s="756"/>
      <c r="CY310" s="756"/>
      <c r="CZ310" s="756"/>
      <c r="DA310" s="756"/>
      <c r="DB310" s="757"/>
      <c r="DC310" s="756"/>
      <c r="DD310" s="756"/>
      <c r="DE310" s="756"/>
      <c r="DF310" s="756"/>
      <c r="DG310" s="757"/>
      <c r="DH310" s="756"/>
      <c r="DI310" s="756"/>
      <c r="DJ310" s="756"/>
      <c r="DK310" s="756"/>
      <c r="DL310" s="757"/>
      <c r="DM310" s="756"/>
      <c r="DN310" s="756"/>
      <c r="DO310" s="756"/>
      <c r="DP310" s="756"/>
      <c r="DQ310" s="757"/>
      <c r="DR310" s="756"/>
      <c r="DS310" s="756"/>
      <c r="DT310" s="756"/>
      <c r="DU310" s="756"/>
      <c r="DV310" s="834"/>
      <c r="DW310" s="834"/>
      <c r="DX310" s="834"/>
      <c r="DY310" s="834"/>
      <c r="DZ310" s="834"/>
      <c r="EA310" s="834"/>
      <c r="EB310" s="361">
        <f t="shared" ref="EB310:ET310" si="281">+SUM(EB307:EB309)</f>
        <v>0.54667306985294117</v>
      </c>
      <c r="EC310" s="361">
        <f t="shared" si="281"/>
        <v>0.60186003445305769</v>
      </c>
      <c r="ED310" s="361">
        <f t="shared" si="281"/>
        <v>0.46348302532511976</v>
      </c>
      <c r="EE310" s="361">
        <f t="shared" si="281"/>
        <v>0.38102916928886094</v>
      </c>
      <c r="EF310" s="361">
        <f t="shared" si="281"/>
        <v>0.486156605019815</v>
      </c>
      <c r="EG310" s="361">
        <f t="shared" si="281"/>
        <v>0.40467423049391549</v>
      </c>
      <c r="EH310" s="361">
        <f t="shared" si="281"/>
        <v>0.42122883414295625</v>
      </c>
      <c r="EI310" s="361">
        <f t="shared" si="281"/>
        <v>0.43466700839748074</v>
      </c>
      <c r="EJ310" s="361">
        <f t="shared" si="281"/>
        <v>0.43172545735059054</v>
      </c>
      <c r="EK310" s="361">
        <f t="shared" si="281"/>
        <v>0.42287825039182375</v>
      </c>
      <c r="EL310" s="361">
        <f t="shared" si="281"/>
        <v>0.39339045145631069</v>
      </c>
      <c r="EM310" s="361">
        <f t="shared" si="281"/>
        <v>0.2867083492569002</v>
      </c>
      <c r="EN310" s="361">
        <f t="shared" si="281"/>
        <v>0.26086220471447435</v>
      </c>
      <c r="EO310" s="361">
        <f t="shared" si="281"/>
        <v>0.2920711122581312</v>
      </c>
      <c r="EP310" s="361">
        <f t="shared" si="281"/>
        <v>0.30865706708728313</v>
      </c>
      <c r="EQ310" s="361">
        <f t="shared" si="281"/>
        <v>0.33600817931011306</v>
      </c>
      <c r="ER310" s="361">
        <f t="shared" si="281"/>
        <v>0.2934689730082235</v>
      </c>
      <c r="ES310" s="361">
        <f t="shared" si="281"/>
        <v>0.24650827146940615</v>
      </c>
      <c r="ET310" s="361">
        <f t="shared" si="281"/>
        <v>0.3001710607593932</v>
      </c>
      <c r="EU310" s="361">
        <f>+SUM(EU307:EU309)</f>
        <v>0.28912147576682168</v>
      </c>
      <c r="EV310" s="668"/>
      <c r="EW310" s="668"/>
      <c r="EX310" s="668"/>
      <c r="EY310" s="668"/>
      <c r="EZ310" s="668"/>
      <c r="FA310" s="668"/>
      <c r="FB310" s="668"/>
      <c r="FC310" s="668"/>
      <c r="FD310" s="668"/>
      <c r="FE310" s="668"/>
      <c r="FF310" s="668"/>
      <c r="FG310" s="668"/>
      <c r="FH310" s="668"/>
      <c r="FI310" s="668"/>
      <c r="FJ310" s="668"/>
      <c r="FK310" s="668"/>
      <c r="FL310" s="668"/>
      <c r="FM310" s="668"/>
      <c r="FN310" s="668"/>
      <c r="FO310" s="668"/>
      <c r="FP310" s="668"/>
      <c r="FQ310" s="668"/>
      <c r="FR310" s="668"/>
      <c r="FS310" s="668"/>
      <c r="FT310" s="668"/>
      <c r="FU310" s="668"/>
      <c r="FV310" s="668"/>
      <c r="FW310" s="668"/>
      <c r="FX310" s="668"/>
      <c r="FY310" s="668"/>
      <c r="FZ310" s="668"/>
      <c r="GA310" s="668"/>
      <c r="GB310" s="668"/>
      <c r="GC310" s="668"/>
      <c r="GD310" s="668"/>
      <c r="GE310" s="668"/>
      <c r="GF310" s="668"/>
      <c r="GG310" s="668"/>
      <c r="GH310" s="668"/>
      <c r="GI310" s="668"/>
      <c r="GJ310" s="668"/>
      <c r="GK310" s="668"/>
      <c r="GL310" s="668"/>
      <c r="GM310" s="668"/>
      <c r="GN310" s="668"/>
      <c r="GO310" s="668"/>
      <c r="GP310" s="668"/>
      <c r="GQ310" s="668"/>
      <c r="GR310" s="668"/>
      <c r="GS310" s="668"/>
      <c r="GT310" s="668"/>
      <c r="GU310" s="668"/>
      <c r="GV310" s="668"/>
      <c r="GW310" s="668"/>
      <c r="GX310" s="668"/>
      <c r="GY310" s="668"/>
      <c r="GZ310" s="668"/>
      <c r="HA310" s="668"/>
      <c r="HB310" s="668"/>
      <c r="HC310" s="668"/>
      <c r="HD310" s="668"/>
      <c r="HE310" s="668"/>
      <c r="HF310" s="668"/>
      <c r="HG310" s="668"/>
      <c r="HH310" s="668"/>
      <c r="HI310" s="668"/>
      <c r="HJ310" s="668"/>
      <c r="HK310" s="668"/>
      <c r="HL310" s="668"/>
      <c r="HM310" s="668"/>
      <c r="HN310" s="668"/>
      <c r="HO310" s="757"/>
      <c r="HP310" s="832"/>
      <c r="HQ310" s="756"/>
      <c r="HR310" s="832"/>
      <c r="HS310" s="833"/>
      <c r="HY310" s="509"/>
      <c r="HZ310" s="509"/>
      <c r="IA310" s="509"/>
      <c r="IB310" s="509"/>
    </row>
    <row r="311" spans="1:236" s="563" customFormat="1" hidden="1" outlineLevel="1">
      <c r="A311" s="634" t="s">
        <v>266</v>
      </c>
      <c r="B311" s="634"/>
      <c r="C311" s="634"/>
      <c r="D311" s="634"/>
      <c r="E311" s="634"/>
      <c r="F311" s="634"/>
      <c r="G311" s="634"/>
      <c r="H311" s="634"/>
      <c r="I311" s="634"/>
      <c r="J311" s="634"/>
      <c r="K311" s="634"/>
      <c r="L311" s="634"/>
      <c r="M311" s="634"/>
      <c r="N311" s="634"/>
      <c r="O311" s="634"/>
      <c r="P311" s="634"/>
      <c r="Q311" s="634"/>
      <c r="R311" s="634"/>
      <c r="S311" s="634"/>
      <c r="T311" s="634"/>
      <c r="U311" s="634"/>
      <c r="V311" s="634"/>
      <c r="W311" s="634"/>
      <c r="X311" s="634"/>
      <c r="Y311" s="634"/>
      <c r="Z311" s="634"/>
      <c r="AA311" s="634"/>
      <c r="AB311" s="634"/>
      <c r="AC311" s="634"/>
      <c r="AD311" s="634"/>
      <c r="AE311" s="634"/>
      <c r="AF311" s="634"/>
      <c r="AG311" s="634"/>
      <c r="AH311" s="634"/>
      <c r="AI311" s="634"/>
      <c r="AJ311" s="634"/>
      <c r="AK311" s="634"/>
      <c r="AL311" s="634"/>
      <c r="AM311" s="634"/>
      <c r="AN311" s="634"/>
      <c r="AO311" s="785"/>
      <c r="AP311" s="634"/>
      <c r="AQ311" s="634"/>
      <c r="AR311" s="634"/>
      <c r="AS311" s="634"/>
      <c r="AT311" s="785"/>
      <c r="AU311" s="634"/>
      <c r="AV311" s="634"/>
      <c r="AW311" s="634"/>
      <c r="AX311" s="634"/>
      <c r="AY311" s="785"/>
      <c r="AZ311" s="634"/>
      <c r="BA311" s="634"/>
      <c r="BB311" s="634"/>
      <c r="BC311" s="634"/>
      <c r="BD311" s="785"/>
      <c r="BE311" s="634"/>
      <c r="BF311" s="634"/>
      <c r="BG311" s="634"/>
      <c r="BH311" s="634"/>
      <c r="BI311" s="785"/>
      <c r="BJ311" s="634"/>
      <c r="BK311" s="634"/>
      <c r="BL311" s="634"/>
      <c r="BM311" s="634"/>
      <c r="BN311" s="785"/>
      <c r="BO311" s="756"/>
      <c r="BP311" s="756"/>
      <c r="BQ311" s="756"/>
      <c r="BR311" s="756"/>
      <c r="BS311" s="757"/>
      <c r="BT311" s="756"/>
      <c r="BU311" s="756"/>
      <c r="BV311" s="756"/>
      <c r="BW311" s="756"/>
      <c r="BX311" s="757"/>
      <c r="BY311" s="756"/>
      <c r="BZ311" s="756"/>
      <c r="CA311" s="756"/>
      <c r="CB311" s="756"/>
      <c r="CC311" s="757"/>
      <c r="CD311" s="756"/>
      <c r="CE311" s="756"/>
      <c r="CF311" s="756"/>
      <c r="CG311" s="756"/>
      <c r="CH311" s="757"/>
      <c r="CI311" s="756"/>
      <c r="CJ311" s="756"/>
      <c r="CK311" s="756"/>
      <c r="CL311" s="756"/>
      <c r="CM311" s="757"/>
      <c r="CN311" s="756"/>
      <c r="CO311" s="756"/>
      <c r="CP311" s="756"/>
      <c r="CQ311" s="756"/>
      <c r="CR311" s="757"/>
      <c r="CS311" s="756"/>
      <c r="CT311" s="756"/>
      <c r="CU311" s="756"/>
      <c r="CV311" s="756"/>
      <c r="CW311" s="757"/>
      <c r="CX311" s="756"/>
      <c r="CY311" s="756"/>
      <c r="CZ311" s="756"/>
      <c r="DA311" s="756"/>
      <c r="DB311" s="757"/>
      <c r="DC311" s="756"/>
      <c r="DD311" s="756"/>
      <c r="DE311" s="756"/>
      <c r="DF311" s="756"/>
      <c r="DG311" s="757"/>
      <c r="DH311" s="756"/>
      <c r="DI311" s="756"/>
      <c r="DJ311" s="756"/>
      <c r="DK311" s="756"/>
      <c r="DL311" s="757"/>
      <c r="DM311" s="756"/>
      <c r="DN311" s="756"/>
      <c r="DO311" s="756"/>
      <c r="DP311" s="756"/>
      <c r="DQ311" s="757"/>
      <c r="DR311" s="756"/>
      <c r="DS311" s="756"/>
      <c r="DT311" s="756"/>
      <c r="DU311" s="756"/>
      <c r="DV311" s="361"/>
      <c r="DW311" s="361"/>
      <c r="DX311" s="361"/>
      <c r="DY311" s="361"/>
      <c r="DZ311" s="361"/>
      <c r="EA311" s="361"/>
      <c r="EB311" s="361">
        <f t="shared" ref="EB311:EU311" si="282">+EB213/EB$302</f>
        <v>0.1233984375</v>
      </c>
      <c r="EC311" s="361">
        <f t="shared" si="282"/>
        <v>0.11574935400516795</v>
      </c>
      <c r="ED311" s="361">
        <f t="shared" si="282"/>
        <v>9.2548767967145798E-2</v>
      </c>
      <c r="EE311" s="361">
        <f t="shared" si="282"/>
        <v>8.6738514789175589E-2</v>
      </c>
      <c r="EF311" s="361">
        <f t="shared" si="282"/>
        <v>0.10222376863559163</v>
      </c>
      <c r="EG311" s="361">
        <f t="shared" si="282"/>
        <v>9.1879026485325685E-2</v>
      </c>
      <c r="EH311" s="361">
        <f t="shared" si="282"/>
        <v>7.5034698126301175E-2</v>
      </c>
      <c r="EI311" s="361">
        <f t="shared" si="282"/>
        <v>5.7505248425472354E-2</v>
      </c>
      <c r="EJ311" s="361">
        <f t="shared" si="282"/>
        <v>5.8274717514124295E-2</v>
      </c>
      <c r="EK311" s="361">
        <f t="shared" si="282"/>
        <v>7.098753632401017E-2</v>
      </c>
      <c r="EL311" s="361">
        <f t="shared" si="282"/>
        <v>6.3792776699029136E-2</v>
      </c>
      <c r="EM311" s="361">
        <f t="shared" si="282"/>
        <v>4.8921895103503185E-2</v>
      </c>
      <c r="EN311" s="361">
        <f t="shared" si="282"/>
        <v>5.1542743847785108E-2</v>
      </c>
      <c r="EO311" s="361">
        <f t="shared" si="282"/>
        <v>5.8231792204668328E-2</v>
      </c>
      <c r="EP311" s="361">
        <f t="shared" si="282"/>
        <v>5.5691278712621466E-2</v>
      </c>
      <c r="EQ311" s="361">
        <f t="shared" si="282"/>
        <v>6.6366633595390773E-2</v>
      </c>
      <c r="ER311" s="361">
        <f t="shared" si="282"/>
        <v>5.7582715609651454E-2</v>
      </c>
      <c r="ES311" s="361">
        <f t="shared" si="282"/>
        <v>4.9843774860377221E-2</v>
      </c>
      <c r="ET311" s="361">
        <f t="shared" si="282"/>
        <v>6.1275940358351093E-2</v>
      </c>
      <c r="EU311" s="361">
        <f t="shared" si="282"/>
        <v>5.7881903525591402E-2</v>
      </c>
      <c r="EV311" s="668"/>
      <c r="EW311" s="668"/>
      <c r="EX311" s="668"/>
      <c r="EY311" s="668"/>
      <c r="EZ311" s="668"/>
      <c r="FA311" s="668"/>
      <c r="FB311" s="668"/>
      <c r="FC311" s="668"/>
      <c r="FD311" s="668"/>
      <c r="FE311" s="668"/>
      <c r="FF311" s="668"/>
      <c r="FG311" s="668"/>
      <c r="FH311" s="668"/>
      <c r="FI311" s="668"/>
      <c r="FJ311" s="668"/>
      <c r="FK311" s="668"/>
      <c r="FL311" s="668"/>
      <c r="FM311" s="668"/>
      <c r="FN311" s="668"/>
      <c r="FO311" s="668"/>
      <c r="FP311" s="668"/>
      <c r="FQ311" s="668"/>
      <c r="FR311" s="668"/>
      <c r="FS311" s="668"/>
      <c r="FT311" s="668"/>
      <c r="FU311" s="668"/>
      <c r="FV311" s="668"/>
      <c r="FW311" s="668"/>
      <c r="FX311" s="668"/>
      <c r="FY311" s="668"/>
      <c r="FZ311" s="668"/>
      <c r="GA311" s="668"/>
      <c r="GB311" s="668"/>
      <c r="GC311" s="668"/>
      <c r="GD311" s="668"/>
      <c r="GE311" s="668"/>
      <c r="GF311" s="668"/>
      <c r="GG311" s="668"/>
      <c r="GH311" s="668"/>
      <c r="GI311" s="668"/>
      <c r="GJ311" s="668"/>
      <c r="GK311" s="668"/>
      <c r="GL311" s="668"/>
      <c r="GM311" s="668"/>
      <c r="GN311" s="668"/>
      <c r="GO311" s="668"/>
      <c r="GP311" s="668"/>
      <c r="GQ311" s="668"/>
      <c r="GR311" s="668"/>
      <c r="GS311" s="668"/>
      <c r="GT311" s="668"/>
      <c r="GU311" s="668"/>
      <c r="GV311" s="668"/>
      <c r="GW311" s="668"/>
      <c r="GX311" s="668"/>
      <c r="GY311" s="668"/>
      <c r="GZ311" s="668"/>
      <c r="HA311" s="668"/>
      <c r="HB311" s="668"/>
      <c r="HC311" s="668"/>
      <c r="HD311" s="668"/>
      <c r="HE311" s="668"/>
      <c r="HF311" s="668"/>
      <c r="HG311" s="668"/>
      <c r="HH311" s="668"/>
      <c r="HI311" s="668"/>
      <c r="HJ311" s="668"/>
      <c r="HK311" s="668"/>
      <c r="HL311" s="668"/>
      <c r="HM311" s="668"/>
      <c r="HN311" s="668"/>
      <c r="HO311" s="757"/>
      <c r="HP311" s="832"/>
      <c r="HQ311" s="756"/>
      <c r="HR311" s="832"/>
      <c r="HS311" s="833"/>
      <c r="HY311" s="509"/>
      <c r="HZ311" s="509"/>
      <c r="IA311" s="509"/>
      <c r="IB311" s="509"/>
    </row>
    <row r="312" spans="1:236" s="563" customFormat="1" hidden="1" outlineLevel="1">
      <c r="A312" s="634" t="s">
        <v>267</v>
      </c>
      <c r="B312" s="634"/>
      <c r="C312" s="634"/>
      <c r="D312" s="634"/>
      <c r="E312" s="634"/>
      <c r="F312" s="634"/>
      <c r="G312" s="634"/>
      <c r="H312" s="634"/>
      <c r="I312" s="634"/>
      <c r="J312" s="634"/>
      <c r="K312" s="634"/>
      <c r="L312" s="634"/>
      <c r="M312" s="634"/>
      <c r="N312" s="634"/>
      <c r="O312" s="634"/>
      <c r="P312" s="634"/>
      <c r="Q312" s="634"/>
      <c r="R312" s="634"/>
      <c r="S312" s="634"/>
      <c r="T312" s="634"/>
      <c r="U312" s="634"/>
      <c r="V312" s="634"/>
      <c r="W312" s="634"/>
      <c r="X312" s="634"/>
      <c r="Y312" s="634"/>
      <c r="Z312" s="634"/>
      <c r="AA312" s="634"/>
      <c r="AB312" s="634"/>
      <c r="AC312" s="634"/>
      <c r="AD312" s="634"/>
      <c r="AE312" s="634"/>
      <c r="AF312" s="634"/>
      <c r="AG312" s="634"/>
      <c r="AH312" s="634"/>
      <c r="AI312" s="634"/>
      <c r="AJ312" s="634"/>
      <c r="AK312" s="634"/>
      <c r="AL312" s="634"/>
      <c r="AM312" s="634"/>
      <c r="AN312" s="634"/>
      <c r="AO312" s="785"/>
      <c r="AP312" s="634"/>
      <c r="AQ312" s="634"/>
      <c r="AR312" s="634"/>
      <c r="AS312" s="634"/>
      <c r="AT312" s="785"/>
      <c r="AU312" s="634"/>
      <c r="AV312" s="634"/>
      <c r="AW312" s="634"/>
      <c r="AX312" s="634"/>
      <c r="AY312" s="785"/>
      <c r="AZ312" s="634"/>
      <c r="BA312" s="634"/>
      <c r="BB312" s="634"/>
      <c r="BC312" s="634"/>
      <c r="BD312" s="785"/>
      <c r="BE312" s="634"/>
      <c r="BF312" s="634"/>
      <c r="BG312" s="634"/>
      <c r="BH312" s="634"/>
      <c r="BI312" s="785"/>
      <c r="BJ312" s="634"/>
      <c r="BK312" s="634"/>
      <c r="BL312" s="634"/>
      <c r="BM312" s="634"/>
      <c r="BN312" s="785"/>
      <c r="BO312" s="756"/>
      <c r="BP312" s="756"/>
      <c r="BQ312" s="756"/>
      <c r="BR312" s="756"/>
      <c r="BS312" s="757"/>
      <c r="BT312" s="756"/>
      <c r="BU312" s="756"/>
      <c r="BV312" s="756"/>
      <c r="BW312" s="756"/>
      <c r="BX312" s="757"/>
      <c r="BY312" s="756"/>
      <c r="BZ312" s="756"/>
      <c r="CA312" s="756"/>
      <c r="CB312" s="756"/>
      <c r="CC312" s="757"/>
      <c r="CD312" s="756"/>
      <c r="CE312" s="756"/>
      <c r="CF312" s="756"/>
      <c r="CG312" s="756"/>
      <c r="CH312" s="757"/>
      <c r="CI312" s="756"/>
      <c r="CJ312" s="756"/>
      <c r="CK312" s="756"/>
      <c r="CL312" s="756"/>
      <c r="CM312" s="757"/>
      <c r="CN312" s="756"/>
      <c r="CO312" s="756"/>
      <c r="CP312" s="756"/>
      <c r="CQ312" s="756"/>
      <c r="CR312" s="757"/>
      <c r="CS312" s="756"/>
      <c r="CT312" s="756"/>
      <c r="CU312" s="756"/>
      <c r="CV312" s="756"/>
      <c r="CW312" s="757"/>
      <c r="CX312" s="756"/>
      <c r="CY312" s="756"/>
      <c r="CZ312" s="756"/>
      <c r="DA312" s="756"/>
      <c r="DB312" s="757"/>
      <c r="DC312" s="756"/>
      <c r="DD312" s="756"/>
      <c r="DE312" s="756"/>
      <c r="DF312" s="756"/>
      <c r="DG312" s="757"/>
      <c r="DH312" s="756"/>
      <c r="DI312" s="756"/>
      <c r="DJ312" s="756"/>
      <c r="DK312" s="756"/>
      <c r="DL312" s="757"/>
      <c r="DM312" s="756"/>
      <c r="DN312" s="756"/>
      <c r="DO312" s="756"/>
      <c r="DP312" s="756"/>
      <c r="DQ312" s="757"/>
      <c r="DR312" s="756"/>
      <c r="DS312" s="756"/>
      <c r="DT312" s="756"/>
      <c r="DU312" s="756"/>
      <c r="DV312" s="361"/>
      <c r="DW312" s="361"/>
      <c r="DX312" s="361"/>
      <c r="DY312" s="361"/>
      <c r="DZ312" s="361"/>
      <c r="EA312" s="361"/>
      <c r="EB312" s="361">
        <f t="shared" ref="EB312:EU312" si="283">+EB223/EB$302</f>
        <v>8.761351102941177E-2</v>
      </c>
      <c r="EC312" s="361">
        <f t="shared" si="283"/>
        <v>8.5608139534883707E-2</v>
      </c>
      <c r="ED312" s="361">
        <f t="shared" si="283"/>
        <v>6.220137474332648E-2</v>
      </c>
      <c r="EE312" s="361">
        <f t="shared" si="283"/>
        <v>5.5705751762114529E-2</v>
      </c>
      <c r="EF312" s="361">
        <f t="shared" si="283"/>
        <v>7.059958445933194E-2</v>
      </c>
      <c r="EG312" s="361">
        <f t="shared" si="283"/>
        <v>4.9098030094488182E-2</v>
      </c>
      <c r="EH312" s="361">
        <f t="shared" si="283"/>
        <v>6.125972458712977E-2</v>
      </c>
      <c r="EI312" s="361">
        <f t="shared" si="283"/>
        <v>6.1739211814263291E-2</v>
      </c>
      <c r="EJ312" s="361">
        <f t="shared" si="283"/>
        <v>6.2561758874830661E-2</v>
      </c>
      <c r="EK312" s="361">
        <f t="shared" si="283"/>
        <v>5.859145733755021E-2</v>
      </c>
      <c r="EL312" s="361">
        <f t="shared" si="283"/>
        <v>6.8108373433688085E-2</v>
      </c>
      <c r="EM312" s="361">
        <f t="shared" si="283"/>
        <v>6.7975888449898977E-2</v>
      </c>
      <c r="EN312" s="361">
        <f t="shared" si="283"/>
        <v>7.2481359129161274E-2</v>
      </c>
      <c r="EO312" s="361">
        <f t="shared" si="283"/>
        <v>7.7023133396221799E-2</v>
      </c>
      <c r="EP312" s="361">
        <f t="shared" si="283"/>
        <v>7.1379552840421995E-2</v>
      </c>
      <c r="EQ312" s="361">
        <f t="shared" si="283"/>
        <v>8.7783079979911013E-2</v>
      </c>
      <c r="ER312" s="361">
        <f t="shared" si="283"/>
        <v>7.6889977579163368E-2</v>
      </c>
      <c r="ES312" s="361">
        <f t="shared" si="283"/>
        <v>6.6556199909976244E-2</v>
      </c>
      <c r="ET312" s="361">
        <f t="shared" si="283"/>
        <v>8.102714256009548E-2</v>
      </c>
      <c r="EU312" s="361">
        <f t="shared" si="283"/>
        <v>7.6920997769403393E-2</v>
      </c>
      <c r="EV312" s="668"/>
      <c r="EW312" s="668"/>
      <c r="EX312" s="668"/>
      <c r="EY312" s="668"/>
      <c r="EZ312" s="668"/>
      <c r="FA312" s="668"/>
      <c r="FB312" s="668"/>
      <c r="FC312" s="668"/>
      <c r="FD312" s="668"/>
      <c r="FE312" s="668"/>
      <c r="FF312" s="668"/>
      <c r="FG312" s="668"/>
      <c r="FH312" s="668"/>
      <c r="FI312" s="668"/>
      <c r="FJ312" s="668"/>
      <c r="FK312" s="668"/>
      <c r="FL312" s="668"/>
      <c r="FM312" s="668"/>
      <c r="FN312" s="668"/>
      <c r="FO312" s="668"/>
      <c r="FP312" s="668"/>
      <c r="FQ312" s="668"/>
      <c r="FR312" s="668"/>
      <c r="FS312" s="668"/>
      <c r="FT312" s="668"/>
      <c r="FU312" s="668"/>
      <c r="FV312" s="668"/>
      <c r="FW312" s="668"/>
      <c r="FX312" s="668"/>
      <c r="FY312" s="668"/>
      <c r="FZ312" s="668"/>
      <c r="GA312" s="668"/>
      <c r="GB312" s="668"/>
      <c r="GC312" s="668"/>
      <c r="GD312" s="668"/>
      <c r="GE312" s="668"/>
      <c r="GF312" s="668"/>
      <c r="GG312" s="668"/>
      <c r="GH312" s="668"/>
      <c r="GI312" s="668"/>
      <c r="GJ312" s="668"/>
      <c r="GK312" s="668"/>
      <c r="GL312" s="668"/>
      <c r="GM312" s="668"/>
      <c r="GN312" s="668"/>
      <c r="GO312" s="668"/>
      <c r="GP312" s="668"/>
      <c r="GQ312" s="668"/>
      <c r="GR312" s="668"/>
      <c r="GS312" s="668"/>
      <c r="GT312" s="668"/>
      <c r="GU312" s="668"/>
      <c r="GV312" s="668"/>
      <c r="GW312" s="668"/>
      <c r="GX312" s="668"/>
      <c r="GY312" s="668"/>
      <c r="GZ312" s="668"/>
      <c r="HA312" s="668"/>
      <c r="HB312" s="668"/>
      <c r="HC312" s="668"/>
      <c r="HD312" s="668"/>
      <c r="HE312" s="668"/>
      <c r="HF312" s="668"/>
      <c r="HG312" s="668"/>
      <c r="HH312" s="668"/>
      <c r="HI312" s="668"/>
      <c r="HJ312" s="668"/>
      <c r="HK312" s="668"/>
      <c r="HL312" s="668"/>
      <c r="HM312" s="668"/>
      <c r="HN312" s="668"/>
      <c r="HO312" s="757"/>
      <c r="HP312" s="832"/>
      <c r="HQ312" s="756"/>
      <c r="HR312" s="832"/>
      <c r="HS312" s="833"/>
      <c r="HY312" s="509"/>
      <c r="HZ312" s="509"/>
      <c r="IA312" s="509"/>
      <c r="IB312" s="509"/>
    </row>
    <row r="313" spans="1:236" s="563" customFormat="1" hidden="1" outlineLevel="1">
      <c r="A313" s="634" t="s">
        <v>534</v>
      </c>
      <c r="B313" s="634"/>
      <c r="C313" s="634"/>
      <c r="D313" s="634"/>
      <c r="E313" s="634"/>
      <c r="F313" s="634"/>
      <c r="G313" s="634"/>
      <c r="H313" s="634"/>
      <c r="I313" s="634"/>
      <c r="J313" s="634"/>
      <c r="K313" s="634"/>
      <c r="L313" s="634"/>
      <c r="M313" s="634"/>
      <c r="N313" s="634"/>
      <c r="O313" s="634"/>
      <c r="P313" s="634"/>
      <c r="Q313" s="634"/>
      <c r="R313" s="634"/>
      <c r="S313" s="634"/>
      <c r="T313" s="634"/>
      <c r="U313" s="634"/>
      <c r="V313" s="634"/>
      <c r="W313" s="634"/>
      <c r="X313" s="634"/>
      <c r="Y313" s="634"/>
      <c r="Z313" s="634"/>
      <c r="AA313" s="634"/>
      <c r="AB313" s="634"/>
      <c r="AC313" s="634"/>
      <c r="AD313" s="634"/>
      <c r="AE313" s="634"/>
      <c r="AF313" s="634"/>
      <c r="AG313" s="634"/>
      <c r="AH313" s="634"/>
      <c r="AI313" s="634"/>
      <c r="AJ313" s="634"/>
      <c r="AK313" s="634"/>
      <c r="AL313" s="634"/>
      <c r="AM313" s="634"/>
      <c r="AN313" s="634"/>
      <c r="AO313" s="785"/>
      <c r="AP313" s="634"/>
      <c r="AQ313" s="634"/>
      <c r="AR313" s="634"/>
      <c r="AS313" s="634"/>
      <c r="AT313" s="785"/>
      <c r="AU313" s="634"/>
      <c r="AV313" s="634"/>
      <c r="AW313" s="634"/>
      <c r="AX313" s="634"/>
      <c r="AY313" s="785"/>
      <c r="AZ313" s="634"/>
      <c r="BA313" s="634"/>
      <c r="BB313" s="634"/>
      <c r="BC313" s="634"/>
      <c r="BD313" s="785"/>
      <c r="BE313" s="634"/>
      <c r="BF313" s="634"/>
      <c r="BG313" s="634"/>
      <c r="BH313" s="634"/>
      <c r="BI313" s="785"/>
      <c r="BJ313" s="634"/>
      <c r="BK313" s="634"/>
      <c r="BL313" s="634"/>
      <c r="BM313" s="634"/>
      <c r="BN313" s="785"/>
      <c r="BO313" s="756"/>
      <c r="BP313" s="756"/>
      <c r="BQ313" s="756"/>
      <c r="BR313" s="756"/>
      <c r="BS313" s="757"/>
      <c r="BT313" s="756"/>
      <c r="BU313" s="756"/>
      <c r="BV313" s="756"/>
      <c r="BW313" s="756"/>
      <c r="BX313" s="757"/>
      <c r="BY313" s="756"/>
      <c r="BZ313" s="756"/>
      <c r="CA313" s="756"/>
      <c r="CB313" s="756"/>
      <c r="CC313" s="757"/>
      <c r="CD313" s="756"/>
      <c r="CE313" s="756"/>
      <c r="CF313" s="756"/>
      <c r="CG313" s="756"/>
      <c r="CH313" s="757"/>
      <c r="CI313" s="756"/>
      <c r="CJ313" s="756"/>
      <c r="CK313" s="756"/>
      <c r="CL313" s="756"/>
      <c r="CM313" s="757"/>
      <c r="CN313" s="756"/>
      <c r="CO313" s="756"/>
      <c r="CP313" s="756"/>
      <c r="CQ313" s="756"/>
      <c r="CR313" s="757"/>
      <c r="CS313" s="756"/>
      <c r="CT313" s="756"/>
      <c r="CU313" s="756"/>
      <c r="CV313" s="756"/>
      <c r="CW313" s="757"/>
      <c r="CX313" s="756"/>
      <c r="CY313" s="756"/>
      <c r="CZ313" s="756"/>
      <c r="DA313" s="756"/>
      <c r="DB313" s="757"/>
      <c r="DC313" s="756"/>
      <c r="DD313" s="756"/>
      <c r="DE313" s="756"/>
      <c r="DF313" s="756"/>
      <c r="DG313" s="757"/>
      <c r="DH313" s="756"/>
      <c r="DI313" s="756"/>
      <c r="DJ313" s="756"/>
      <c r="DK313" s="756"/>
      <c r="DL313" s="757"/>
      <c r="DM313" s="756"/>
      <c r="DN313" s="756"/>
      <c r="DO313" s="756"/>
      <c r="DP313" s="756"/>
      <c r="DQ313" s="757"/>
      <c r="DR313" s="756"/>
      <c r="DS313" s="756"/>
      <c r="DT313" s="756"/>
      <c r="DU313" s="756"/>
      <c r="DV313" s="361"/>
      <c r="DW313" s="361"/>
      <c r="DX313" s="361"/>
      <c r="DY313" s="361"/>
      <c r="DZ313" s="361"/>
      <c r="EA313" s="361"/>
      <c r="EB313" s="361">
        <f t="shared" ref="EB313:EU313" si="284">+EB238/EB$302</f>
        <v>0.14207601102941178</v>
      </c>
      <c r="EC313" s="361">
        <f t="shared" si="284"/>
        <v>0.11839487510766591</v>
      </c>
      <c r="ED313" s="361">
        <f t="shared" si="284"/>
        <v>6.1424600616016491E-2</v>
      </c>
      <c r="EE313" s="361">
        <f t="shared" si="284"/>
        <v>6.935790462555072E-2</v>
      </c>
      <c r="EF313" s="361">
        <f t="shared" si="284"/>
        <v>9.2845103217588293E-2</v>
      </c>
      <c r="EG313" s="361">
        <f t="shared" si="284"/>
        <v>9.9161705052254911E-2</v>
      </c>
      <c r="EH313" s="361">
        <f t="shared" si="284"/>
        <v>4.2234723712662112E-2</v>
      </c>
      <c r="EI313" s="361">
        <f t="shared" si="284"/>
        <v>1.3172156275309953E-2</v>
      </c>
      <c r="EJ313" s="361">
        <f t="shared" si="284"/>
        <v>4.4654083672581726E-4</v>
      </c>
      <c r="EK313" s="361">
        <f t="shared" si="284"/>
        <v>3.973218565965627E-2</v>
      </c>
      <c r="EL313" s="361">
        <f t="shared" si="284"/>
        <v>8.0591265663118965E-3</v>
      </c>
      <c r="EM313" s="361">
        <f t="shared" si="284"/>
        <v>1.265315593704365E-2</v>
      </c>
      <c r="EN313" s="361">
        <f t="shared" si="284"/>
        <v>2.299685891812427E-2</v>
      </c>
      <c r="EO313" s="361">
        <f t="shared" si="284"/>
        <v>1.2734690663950861E-2</v>
      </c>
      <c r="EP313" s="361">
        <f t="shared" si="284"/>
        <v>1.4236951697366862E-2</v>
      </c>
      <c r="EQ313" s="361">
        <f t="shared" si="284"/>
        <v>1.2463772364970175E-2</v>
      </c>
      <c r="ER313" s="361">
        <f t="shared" si="284"/>
        <v>1.0602094973746782E-2</v>
      </c>
      <c r="ES313" s="361">
        <f t="shared" si="284"/>
        <v>9.1638765813632297E-3</v>
      </c>
      <c r="ET313" s="361">
        <f t="shared" si="284"/>
        <v>1.1370746859343426E-2</v>
      </c>
      <c r="EU313" s="361">
        <f t="shared" si="284"/>
        <v>1.0723652355797917E-2</v>
      </c>
      <c r="EV313" s="668"/>
      <c r="EW313" s="668"/>
      <c r="EX313" s="668"/>
      <c r="EY313" s="668"/>
      <c r="EZ313" s="668"/>
      <c r="FA313" s="668"/>
      <c r="FB313" s="668"/>
      <c r="FC313" s="668"/>
      <c r="FD313" s="668"/>
      <c r="FE313" s="668"/>
      <c r="FF313" s="668"/>
      <c r="FG313" s="668"/>
      <c r="FH313" s="668"/>
      <c r="FI313" s="668"/>
      <c r="FJ313" s="668"/>
      <c r="FK313" s="668"/>
      <c r="FL313" s="668"/>
      <c r="FM313" s="668"/>
      <c r="FN313" s="668"/>
      <c r="FO313" s="668"/>
      <c r="FP313" s="668"/>
      <c r="FQ313" s="668"/>
      <c r="FR313" s="668"/>
      <c r="FS313" s="668"/>
      <c r="FT313" s="668"/>
      <c r="FU313" s="668"/>
      <c r="FV313" s="668"/>
      <c r="FW313" s="668"/>
      <c r="FX313" s="668"/>
      <c r="FY313" s="668"/>
      <c r="FZ313" s="668"/>
      <c r="GA313" s="668"/>
      <c r="GB313" s="668"/>
      <c r="GC313" s="668"/>
      <c r="GD313" s="668"/>
      <c r="GE313" s="668"/>
      <c r="GF313" s="668"/>
      <c r="GG313" s="668"/>
      <c r="GH313" s="668"/>
      <c r="GI313" s="668"/>
      <c r="GJ313" s="668"/>
      <c r="GK313" s="668"/>
      <c r="GL313" s="668"/>
      <c r="GM313" s="668"/>
      <c r="GN313" s="668"/>
      <c r="GO313" s="668"/>
      <c r="GP313" s="668"/>
      <c r="GQ313" s="668"/>
      <c r="GR313" s="668"/>
      <c r="GS313" s="668"/>
      <c r="GT313" s="668"/>
      <c r="GU313" s="668"/>
      <c r="GV313" s="668"/>
      <c r="GW313" s="668"/>
      <c r="GX313" s="668"/>
      <c r="GY313" s="668"/>
      <c r="GZ313" s="668"/>
      <c r="HA313" s="668"/>
      <c r="HB313" s="668"/>
      <c r="HC313" s="668"/>
      <c r="HD313" s="668"/>
      <c r="HE313" s="668"/>
      <c r="HF313" s="668"/>
      <c r="HG313" s="668"/>
      <c r="HH313" s="668"/>
      <c r="HI313" s="668"/>
      <c r="HJ313" s="668"/>
      <c r="HK313" s="668"/>
      <c r="HL313" s="668"/>
      <c r="HM313" s="668"/>
      <c r="HN313" s="668"/>
      <c r="HO313" s="757"/>
      <c r="HP313" s="832"/>
      <c r="HQ313" s="756"/>
      <c r="HR313" s="832"/>
      <c r="HS313" s="833"/>
      <c r="HY313" s="509"/>
      <c r="HZ313" s="509"/>
      <c r="IA313" s="509"/>
      <c r="IB313" s="509"/>
    </row>
    <row r="314" spans="1:236" s="563" customFormat="1" hidden="1" outlineLevel="1">
      <c r="A314" s="785" t="s">
        <v>288</v>
      </c>
      <c r="B314" s="634"/>
      <c r="C314" s="634"/>
      <c r="D314" s="634"/>
      <c r="E314" s="634"/>
      <c r="F314" s="634"/>
      <c r="G314" s="634"/>
      <c r="H314" s="634"/>
      <c r="I314" s="634"/>
      <c r="J314" s="634"/>
      <c r="K314" s="634"/>
      <c r="L314" s="634"/>
      <c r="M314" s="634"/>
      <c r="N314" s="634"/>
      <c r="O314" s="634"/>
      <c r="P314" s="634"/>
      <c r="Q314" s="634"/>
      <c r="R314" s="634"/>
      <c r="S314" s="634"/>
      <c r="T314" s="634"/>
      <c r="U314" s="634"/>
      <c r="V314" s="634"/>
      <c r="W314" s="634"/>
      <c r="X314" s="634"/>
      <c r="Y314" s="634"/>
      <c r="Z314" s="634"/>
      <c r="AA314" s="634"/>
      <c r="AB314" s="634"/>
      <c r="AC314" s="634"/>
      <c r="AD314" s="634"/>
      <c r="AE314" s="634"/>
      <c r="AF314" s="634"/>
      <c r="AG314" s="634"/>
      <c r="AH314" s="634"/>
      <c r="AI314" s="634"/>
      <c r="AJ314" s="634"/>
      <c r="AK314" s="634"/>
      <c r="AL314" s="634"/>
      <c r="AM314" s="634"/>
      <c r="AN314" s="634"/>
      <c r="AO314" s="785"/>
      <c r="AP314" s="634"/>
      <c r="AQ314" s="634"/>
      <c r="AR314" s="634"/>
      <c r="AS314" s="634"/>
      <c r="AT314" s="785"/>
      <c r="AU314" s="634"/>
      <c r="AV314" s="634"/>
      <c r="AW314" s="634"/>
      <c r="AX314" s="634"/>
      <c r="AY314" s="785"/>
      <c r="AZ314" s="634"/>
      <c r="BA314" s="634"/>
      <c r="BB314" s="634"/>
      <c r="BC314" s="634"/>
      <c r="BD314" s="785"/>
      <c r="BE314" s="634"/>
      <c r="BF314" s="634"/>
      <c r="BG314" s="634"/>
      <c r="BH314" s="634"/>
      <c r="BI314" s="785"/>
      <c r="BJ314" s="634"/>
      <c r="BK314" s="634"/>
      <c r="BL314" s="634"/>
      <c r="BM314" s="634"/>
      <c r="BN314" s="785"/>
      <c r="BO314" s="756"/>
      <c r="BP314" s="756"/>
      <c r="BQ314" s="756"/>
      <c r="BR314" s="756"/>
      <c r="BS314" s="757"/>
      <c r="BT314" s="756"/>
      <c r="BU314" s="756"/>
      <c r="BV314" s="756"/>
      <c r="BW314" s="756"/>
      <c r="BX314" s="757"/>
      <c r="BY314" s="756"/>
      <c r="BZ314" s="756"/>
      <c r="CA314" s="756"/>
      <c r="CB314" s="756"/>
      <c r="CC314" s="757"/>
      <c r="CD314" s="756"/>
      <c r="CE314" s="756"/>
      <c r="CF314" s="756"/>
      <c r="CG314" s="756"/>
      <c r="CH314" s="757"/>
      <c r="CI314" s="756"/>
      <c r="CJ314" s="756"/>
      <c r="CK314" s="756"/>
      <c r="CL314" s="756"/>
      <c r="CM314" s="757"/>
      <c r="CN314" s="756"/>
      <c r="CO314" s="756"/>
      <c r="CP314" s="756"/>
      <c r="CQ314" s="756"/>
      <c r="CR314" s="757"/>
      <c r="CS314" s="756"/>
      <c r="CT314" s="756"/>
      <c r="CU314" s="756"/>
      <c r="CV314" s="756"/>
      <c r="CW314" s="757"/>
      <c r="CX314" s="756"/>
      <c r="CY314" s="756"/>
      <c r="CZ314" s="756"/>
      <c r="DA314" s="756"/>
      <c r="DB314" s="757"/>
      <c r="DC314" s="756"/>
      <c r="DD314" s="756"/>
      <c r="DE314" s="756"/>
      <c r="DF314" s="756"/>
      <c r="DG314" s="757"/>
      <c r="DH314" s="756"/>
      <c r="DI314" s="756"/>
      <c r="DJ314" s="756"/>
      <c r="DK314" s="756"/>
      <c r="DL314" s="757"/>
      <c r="DM314" s="756"/>
      <c r="DN314" s="756"/>
      <c r="DO314" s="756"/>
      <c r="DP314" s="756"/>
      <c r="DQ314" s="757"/>
      <c r="DR314" s="756"/>
      <c r="DS314" s="756"/>
      <c r="DT314" s="756"/>
      <c r="DU314" s="756"/>
      <c r="DV314" s="834"/>
      <c r="DW314" s="834"/>
      <c r="DX314" s="834"/>
      <c r="DY314" s="834"/>
      <c r="DZ314" s="834"/>
      <c r="EA314" s="834"/>
      <c r="EB314" s="361">
        <f t="shared" ref="EB314:ET314" si="285">+SUM(EB311:EB313)</f>
        <v>0.35308795955882355</v>
      </c>
      <c r="EC314" s="361">
        <f t="shared" si="285"/>
        <v>0.31975236864771761</v>
      </c>
      <c r="ED314" s="361">
        <f t="shared" si="285"/>
        <v>0.21617474332648876</v>
      </c>
      <c r="EE314" s="361">
        <f t="shared" si="285"/>
        <v>0.21180217117684083</v>
      </c>
      <c r="EF314" s="361">
        <f t="shared" si="285"/>
        <v>0.2656684563125119</v>
      </c>
      <c r="EG314" s="361">
        <f t="shared" si="285"/>
        <v>0.24013876163206876</v>
      </c>
      <c r="EH314" s="361">
        <f t="shared" si="285"/>
        <v>0.17852914642609308</v>
      </c>
      <c r="EI314" s="361">
        <f t="shared" si="285"/>
        <v>0.1324166165150456</v>
      </c>
      <c r="EJ314" s="361">
        <f t="shared" si="285"/>
        <v>0.12128301722568077</v>
      </c>
      <c r="EK314" s="361">
        <f t="shared" si="285"/>
        <v>0.16931117932121667</v>
      </c>
      <c r="EL314" s="361">
        <f t="shared" si="285"/>
        <v>0.13996027669902911</v>
      </c>
      <c r="EM314" s="361">
        <f t="shared" si="285"/>
        <v>0.12955093949044583</v>
      </c>
      <c r="EN314" s="361">
        <f t="shared" si="285"/>
        <v>0.14702096189507066</v>
      </c>
      <c r="EO314" s="361">
        <f t="shared" si="285"/>
        <v>0.147989616264841</v>
      </c>
      <c r="EP314" s="361">
        <f t="shared" si="285"/>
        <v>0.14130778325041032</v>
      </c>
      <c r="EQ314" s="361">
        <f t="shared" si="285"/>
        <v>0.16661348594027195</v>
      </c>
      <c r="ER314" s="361">
        <f t="shared" si="285"/>
        <v>0.14507478816256161</v>
      </c>
      <c r="ES314" s="361">
        <f t="shared" si="285"/>
        <v>0.12556385135171669</v>
      </c>
      <c r="ET314" s="361">
        <f t="shared" si="285"/>
        <v>0.15367382977778998</v>
      </c>
      <c r="EU314" s="361">
        <f>+SUM(EU311:EU313)</f>
        <v>0.1455265536507927</v>
      </c>
      <c r="EV314" s="668"/>
      <c r="EW314" s="668"/>
      <c r="EX314" s="668"/>
      <c r="EY314" s="668"/>
      <c r="EZ314" s="668"/>
      <c r="FA314" s="668"/>
      <c r="FB314" s="668"/>
      <c r="FC314" s="668"/>
      <c r="FD314" s="668"/>
      <c r="FE314" s="668"/>
      <c r="FF314" s="668"/>
      <c r="FG314" s="668"/>
      <c r="FH314" s="668"/>
      <c r="FI314" s="668"/>
      <c r="FJ314" s="668"/>
      <c r="FK314" s="668"/>
      <c r="FL314" s="668"/>
      <c r="FM314" s="668"/>
      <c r="FN314" s="668"/>
      <c r="FO314" s="668"/>
      <c r="FP314" s="668"/>
      <c r="FQ314" s="668"/>
      <c r="FR314" s="668"/>
      <c r="FS314" s="668"/>
      <c r="FT314" s="668"/>
      <c r="FU314" s="668"/>
      <c r="FV314" s="668"/>
      <c r="FW314" s="668"/>
      <c r="FX314" s="668"/>
      <c r="FY314" s="668"/>
      <c r="FZ314" s="668"/>
      <c r="GA314" s="668"/>
      <c r="GB314" s="668"/>
      <c r="GC314" s="668"/>
      <c r="GD314" s="668"/>
      <c r="GE314" s="668"/>
      <c r="GF314" s="668"/>
      <c r="GG314" s="668"/>
      <c r="GH314" s="668"/>
      <c r="GI314" s="668"/>
      <c r="GJ314" s="668"/>
      <c r="GK314" s="668"/>
      <c r="GL314" s="668"/>
      <c r="GM314" s="668"/>
      <c r="GN314" s="668"/>
      <c r="GO314" s="668"/>
      <c r="GP314" s="668"/>
      <c r="GQ314" s="668"/>
      <c r="GR314" s="668"/>
      <c r="GS314" s="668"/>
      <c r="GT314" s="668"/>
      <c r="GU314" s="668"/>
      <c r="GV314" s="668"/>
      <c r="GW314" s="668"/>
      <c r="GX314" s="668"/>
      <c r="GY314" s="668"/>
      <c r="GZ314" s="668"/>
      <c r="HA314" s="668"/>
      <c r="HB314" s="668"/>
      <c r="HC314" s="668"/>
      <c r="HD314" s="668"/>
      <c r="HE314" s="668"/>
      <c r="HF314" s="668"/>
      <c r="HG314" s="668"/>
      <c r="HH314" s="668"/>
      <c r="HI314" s="668"/>
      <c r="HJ314" s="668"/>
      <c r="HK314" s="668"/>
      <c r="HL314" s="668"/>
      <c r="HM314" s="668"/>
      <c r="HN314" s="668"/>
      <c r="HO314" s="757"/>
      <c r="HP314" s="832"/>
      <c r="HQ314" s="756"/>
      <c r="HR314" s="832"/>
      <c r="HS314" s="833"/>
      <c r="HY314" s="509"/>
      <c r="HZ314" s="509"/>
      <c r="IA314" s="509"/>
      <c r="IB314" s="509"/>
    </row>
    <row r="315" spans="1:236" s="563" customFormat="1" hidden="1" outlineLevel="1">
      <c r="A315" s="634" t="s">
        <v>535</v>
      </c>
      <c r="B315" s="634"/>
      <c r="C315" s="634"/>
      <c r="D315" s="634"/>
      <c r="E315" s="634"/>
      <c r="F315" s="634"/>
      <c r="G315" s="634"/>
      <c r="H315" s="634"/>
      <c r="I315" s="634"/>
      <c r="J315" s="634"/>
      <c r="K315" s="634"/>
      <c r="L315" s="634"/>
      <c r="M315" s="634"/>
      <c r="N315" s="634"/>
      <c r="O315" s="634"/>
      <c r="P315" s="634"/>
      <c r="Q315" s="634"/>
      <c r="R315" s="634"/>
      <c r="S315" s="634"/>
      <c r="T315" s="634"/>
      <c r="U315" s="634"/>
      <c r="V315" s="634"/>
      <c r="W315" s="634"/>
      <c r="X315" s="634"/>
      <c r="Y315" s="634"/>
      <c r="Z315" s="634"/>
      <c r="AA315" s="634"/>
      <c r="AB315" s="634"/>
      <c r="AC315" s="634"/>
      <c r="AD315" s="634"/>
      <c r="AE315" s="634"/>
      <c r="AF315" s="634"/>
      <c r="AG315" s="634"/>
      <c r="AH315" s="634"/>
      <c r="AI315" s="634"/>
      <c r="AJ315" s="634"/>
      <c r="AK315" s="634"/>
      <c r="AL315" s="634"/>
      <c r="AM315" s="634"/>
      <c r="AN315" s="634"/>
      <c r="AO315" s="785"/>
      <c r="AP315" s="634"/>
      <c r="AQ315" s="634"/>
      <c r="AR315" s="634"/>
      <c r="AS315" s="634"/>
      <c r="AT315" s="785"/>
      <c r="AU315" s="634"/>
      <c r="AV315" s="634"/>
      <c r="AW315" s="634"/>
      <c r="AX315" s="634"/>
      <c r="AY315" s="785"/>
      <c r="AZ315" s="634"/>
      <c r="BA315" s="634"/>
      <c r="BB315" s="634"/>
      <c r="BC315" s="634"/>
      <c r="BD315" s="785"/>
      <c r="BE315" s="634"/>
      <c r="BF315" s="634"/>
      <c r="BG315" s="634"/>
      <c r="BH315" s="634"/>
      <c r="BI315" s="785"/>
      <c r="BJ315" s="634"/>
      <c r="BK315" s="634"/>
      <c r="BL315" s="634"/>
      <c r="BM315" s="634"/>
      <c r="BN315" s="785"/>
      <c r="BO315" s="756"/>
      <c r="BP315" s="756"/>
      <c r="BQ315" s="756"/>
      <c r="BR315" s="756"/>
      <c r="BS315" s="757"/>
      <c r="BT315" s="756"/>
      <c r="BU315" s="756"/>
      <c r="BV315" s="756"/>
      <c r="BW315" s="756"/>
      <c r="BX315" s="757"/>
      <c r="BY315" s="756"/>
      <c r="BZ315" s="756"/>
      <c r="CA315" s="756"/>
      <c r="CB315" s="756"/>
      <c r="CC315" s="757"/>
      <c r="CD315" s="756"/>
      <c r="CE315" s="756"/>
      <c r="CF315" s="756"/>
      <c r="CG315" s="756"/>
      <c r="CH315" s="757"/>
      <c r="CI315" s="756"/>
      <c r="CJ315" s="756"/>
      <c r="CK315" s="756"/>
      <c r="CL315" s="756"/>
      <c r="CM315" s="757"/>
      <c r="CN315" s="756"/>
      <c r="CO315" s="756"/>
      <c r="CP315" s="756"/>
      <c r="CQ315" s="756"/>
      <c r="CR315" s="757"/>
      <c r="CS315" s="756"/>
      <c r="CT315" s="756"/>
      <c r="CU315" s="756"/>
      <c r="CV315" s="756"/>
      <c r="CW315" s="757"/>
      <c r="CX315" s="756"/>
      <c r="CY315" s="756"/>
      <c r="CZ315" s="756"/>
      <c r="DA315" s="756"/>
      <c r="DB315" s="757"/>
      <c r="DC315" s="756"/>
      <c r="DD315" s="756"/>
      <c r="DE315" s="756"/>
      <c r="DF315" s="756"/>
      <c r="DG315" s="757"/>
      <c r="DH315" s="756"/>
      <c r="DI315" s="756"/>
      <c r="DJ315" s="756"/>
      <c r="DK315" s="756"/>
      <c r="DL315" s="757"/>
      <c r="DM315" s="756"/>
      <c r="DN315" s="756"/>
      <c r="DO315" s="756"/>
      <c r="DP315" s="756"/>
      <c r="DQ315" s="757"/>
      <c r="DR315" s="756"/>
      <c r="DS315" s="756"/>
      <c r="DT315" s="756"/>
      <c r="DU315" s="756"/>
      <c r="DV315" s="361"/>
      <c r="DW315" s="361"/>
      <c r="DX315" s="361"/>
      <c r="DY315" s="361"/>
      <c r="DZ315" s="361"/>
      <c r="EA315" s="361"/>
      <c r="EB315" s="361">
        <f t="shared" ref="EB315:EU315" si="286">+EB271/EB$302</f>
        <v>0</v>
      </c>
      <c r="EC315" s="361">
        <f t="shared" si="286"/>
        <v>0</v>
      </c>
      <c r="ED315" s="361">
        <f t="shared" si="286"/>
        <v>0.24978507871321015</v>
      </c>
      <c r="EE315" s="361">
        <f t="shared" si="286"/>
        <v>0.29506859660163626</v>
      </c>
      <c r="EF315" s="361">
        <f t="shared" si="286"/>
        <v>0.15735044347990187</v>
      </c>
      <c r="EG315" s="361">
        <f t="shared" si="286"/>
        <v>0.23659627773801001</v>
      </c>
      <c r="EH315" s="361">
        <f t="shared" si="286"/>
        <v>0.32061068702290074</v>
      </c>
      <c r="EI315" s="361">
        <f t="shared" si="286"/>
        <v>0.33254023792862142</v>
      </c>
      <c r="EJ315" s="361">
        <f t="shared" si="286"/>
        <v>0.35558353510895885</v>
      </c>
      <c r="EK315" s="361">
        <f t="shared" si="286"/>
        <v>0.31026026153287323</v>
      </c>
      <c r="EL315" s="361">
        <f t="shared" si="286"/>
        <v>0.37278446601941745</v>
      </c>
      <c r="EM315" s="361">
        <f t="shared" si="286"/>
        <v>0.47715498938428874</v>
      </c>
      <c r="EN315" s="361">
        <f t="shared" si="286"/>
        <v>0.4895871819038643</v>
      </c>
      <c r="EO315" s="361">
        <f t="shared" si="286"/>
        <v>0.44718162839248432</v>
      </c>
      <c r="EP315" s="361">
        <f t="shared" si="286"/>
        <v>0.44632924079178155</v>
      </c>
      <c r="EQ315" s="361">
        <f t="shared" si="286"/>
        <v>0.44140625</v>
      </c>
      <c r="ER315" s="361">
        <f t="shared" si="286"/>
        <v>0.379746835443038</v>
      </c>
      <c r="ES315" s="361">
        <f t="shared" si="286"/>
        <v>0.31579954093343537</v>
      </c>
      <c r="ET315" s="361">
        <f t="shared" si="286"/>
        <v>0.33205244122965644</v>
      </c>
      <c r="EU315" s="361">
        <f t="shared" si="286"/>
        <v>0.35984316479400746</v>
      </c>
      <c r="EV315" s="668"/>
      <c r="EW315" s="668"/>
      <c r="EX315" s="668"/>
      <c r="EY315" s="668"/>
      <c r="EZ315" s="668"/>
      <c r="FA315" s="668"/>
      <c r="FB315" s="668"/>
      <c r="FC315" s="668"/>
      <c r="FD315" s="668"/>
      <c r="FE315" s="668"/>
      <c r="FF315" s="668"/>
      <c r="FG315" s="668"/>
      <c r="FH315" s="668"/>
      <c r="FI315" s="668"/>
      <c r="FJ315" s="668"/>
      <c r="FK315" s="668"/>
      <c r="FL315" s="668"/>
      <c r="FM315" s="668"/>
      <c r="FN315" s="668"/>
      <c r="FO315" s="668"/>
      <c r="FP315" s="668"/>
      <c r="FQ315" s="668"/>
      <c r="FR315" s="668"/>
      <c r="FS315" s="668"/>
      <c r="FT315" s="668"/>
      <c r="FU315" s="668"/>
      <c r="FV315" s="668"/>
      <c r="FW315" s="668"/>
      <c r="FX315" s="668"/>
      <c r="FY315" s="668"/>
      <c r="FZ315" s="668"/>
      <c r="GA315" s="668"/>
      <c r="GB315" s="668"/>
      <c r="GC315" s="668"/>
      <c r="GD315" s="668"/>
      <c r="GE315" s="668"/>
      <c r="GF315" s="668"/>
      <c r="GG315" s="668"/>
      <c r="GH315" s="668"/>
      <c r="GI315" s="668"/>
      <c r="GJ315" s="668"/>
      <c r="GK315" s="668"/>
      <c r="GL315" s="668"/>
      <c r="GM315" s="668"/>
      <c r="GN315" s="668"/>
      <c r="GO315" s="668"/>
      <c r="GP315" s="668"/>
      <c r="GQ315" s="668"/>
      <c r="GR315" s="668"/>
      <c r="GS315" s="668"/>
      <c r="GT315" s="668"/>
      <c r="GU315" s="668"/>
      <c r="GV315" s="668"/>
      <c r="GW315" s="668"/>
      <c r="GX315" s="668"/>
      <c r="GY315" s="668"/>
      <c r="GZ315" s="668"/>
      <c r="HA315" s="668"/>
      <c r="HB315" s="668"/>
      <c r="HC315" s="668"/>
      <c r="HD315" s="668"/>
      <c r="HE315" s="668"/>
      <c r="HF315" s="668"/>
      <c r="HG315" s="668"/>
      <c r="HH315" s="668"/>
      <c r="HI315" s="668"/>
      <c r="HJ315" s="668"/>
      <c r="HK315" s="668"/>
      <c r="HL315" s="668"/>
      <c r="HM315" s="668"/>
      <c r="HN315" s="668"/>
      <c r="HO315" s="757"/>
      <c r="HP315" s="832"/>
      <c r="HQ315" s="756"/>
      <c r="HR315" s="832"/>
      <c r="HS315" s="833"/>
      <c r="HY315" s="509"/>
      <c r="HZ315" s="509"/>
      <c r="IA315" s="509"/>
      <c r="IB315" s="509"/>
    </row>
    <row r="316" spans="1:236" s="563" customFormat="1" hidden="1" outlineLevel="1">
      <c r="A316" s="634" t="s">
        <v>536</v>
      </c>
      <c r="B316" s="634"/>
      <c r="C316" s="634"/>
      <c r="D316" s="634"/>
      <c r="E316" s="634"/>
      <c r="F316" s="634"/>
      <c r="G316" s="634"/>
      <c r="H316" s="634"/>
      <c r="I316" s="634"/>
      <c r="J316" s="634"/>
      <c r="K316" s="634"/>
      <c r="L316" s="634"/>
      <c r="M316" s="634"/>
      <c r="N316" s="634"/>
      <c r="O316" s="634"/>
      <c r="P316" s="634"/>
      <c r="Q316" s="634"/>
      <c r="R316" s="634"/>
      <c r="S316" s="634"/>
      <c r="T316" s="634"/>
      <c r="U316" s="634"/>
      <c r="V316" s="634"/>
      <c r="W316" s="634"/>
      <c r="X316" s="634"/>
      <c r="Y316" s="634"/>
      <c r="Z316" s="634"/>
      <c r="AA316" s="634"/>
      <c r="AB316" s="634"/>
      <c r="AC316" s="634"/>
      <c r="AD316" s="634"/>
      <c r="AE316" s="634"/>
      <c r="AF316" s="634"/>
      <c r="AG316" s="634"/>
      <c r="AH316" s="634"/>
      <c r="AI316" s="634"/>
      <c r="AJ316" s="634"/>
      <c r="AK316" s="634"/>
      <c r="AL316" s="634"/>
      <c r="AM316" s="634"/>
      <c r="AN316" s="634"/>
      <c r="AO316" s="785"/>
      <c r="AP316" s="634"/>
      <c r="AQ316" s="634"/>
      <c r="AR316" s="634"/>
      <c r="AS316" s="634"/>
      <c r="AT316" s="785"/>
      <c r="AU316" s="634"/>
      <c r="AV316" s="634"/>
      <c r="AW316" s="634"/>
      <c r="AX316" s="634"/>
      <c r="AY316" s="785"/>
      <c r="AZ316" s="634"/>
      <c r="BA316" s="634"/>
      <c r="BB316" s="634"/>
      <c r="BC316" s="634"/>
      <c r="BD316" s="785"/>
      <c r="BE316" s="634"/>
      <c r="BF316" s="634"/>
      <c r="BG316" s="634"/>
      <c r="BH316" s="634"/>
      <c r="BI316" s="785"/>
      <c r="BJ316" s="634"/>
      <c r="BK316" s="634"/>
      <c r="BL316" s="634"/>
      <c r="BM316" s="634"/>
      <c r="BN316" s="785"/>
      <c r="BO316" s="756"/>
      <c r="BP316" s="756"/>
      <c r="BQ316" s="756"/>
      <c r="BR316" s="756"/>
      <c r="BS316" s="757"/>
      <c r="BT316" s="756"/>
      <c r="BU316" s="756"/>
      <c r="BV316" s="756"/>
      <c r="BW316" s="756"/>
      <c r="BX316" s="757"/>
      <c r="BY316" s="756"/>
      <c r="BZ316" s="756"/>
      <c r="CA316" s="756"/>
      <c r="CB316" s="756"/>
      <c r="CC316" s="757"/>
      <c r="CD316" s="756"/>
      <c r="CE316" s="756"/>
      <c r="CF316" s="756"/>
      <c r="CG316" s="756"/>
      <c r="CH316" s="757"/>
      <c r="CI316" s="756"/>
      <c r="CJ316" s="756"/>
      <c r="CK316" s="756"/>
      <c r="CL316" s="756"/>
      <c r="CM316" s="757"/>
      <c r="CN316" s="756"/>
      <c r="CO316" s="756"/>
      <c r="CP316" s="756"/>
      <c r="CQ316" s="756"/>
      <c r="CR316" s="757"/>
      <c r="CS316" s="756"/>
      <c r="CT316" s="756"/>
      <c r="CU316" s="756"/>
      <c r="CV316" s="756"/>
      <c r="CW316" s="757"/>
      <c r="CX316" s="756"/>
      <c r="CY316" s="756"/>
      <c r="CZ316" s="756"/>
      <c r="DA316" s="756"/>
      <c r="DB316" s="757"/>
      <c r="DC316" s="756"/>
      <c r="DD316" s="756"/>
      <c r="DE316" s="756"/>
      <c r="DF316" s="756"/>
      <c r="DG316" s="757"/>
      <c r="DH316" s="756"/>
      <c r="DI316" s="756"/>
      <c r="DJ316" s="756"/>
      <c r="DK316" s="756"/>
      <c r="DL316" s="757"/>
      <c r="DM316" s="756"/>
      <c r="DN316" s="756"/>
      <c r="DO316" s="756"/>
      <c r="DP316" s="756"/>
      <c r="DQ316" s="757"/>
      <c r="DR316" s="756"/>
      <c r="DS316" s="756"/>
      <c r="DT316" s="756"/>
      <c r="DU316" s="756"/>
      <c r="DV316" s="361"/>
      <c r="DW316" s="361"/>
      <c r="DX316" s="361"/>
      <c r="DY316" s="361"/>
      <c r="DZ316" s="361"/>
      <c r="EA316" s="361"/>
      <c r="EB316" s="361">
        <f t="shared" ref="EB316:EU316" si="287">+EB288/EB$302</f>
        <v>0.10023897058823529</v>
      </c>
      <c r="EC316" s="361">
        <f t="shared" si="287"/>
        <v>7.8387596899224796E-2</v>
      </c>
      <c r="ED316" s="361">
        <f t="shared" si="287"/>
        <v>7.055715263518135E-2</v>
      </c>
      <c r="EE316" s="361">
        <f t="shared" si="287"/>
        <v>0.11210006293266202</v>
      </c>
      <c r="EF316" s="361">
        <f t="shared" si="287"/>
        <v>9.0824495187771262E-2</v>
      </c>
      <c r="EG316" s="361">
        <f t="shared" si="287"/>
        <v>0.11859073013600575</v>
      </c>
      <c r="EH316" s="361">
        <f t="shared" si="287"/>
        <v>7.963133240804994E-2</v>
      </c>
      <c r="EI316" s="361">
        <f t="shared" si="287"/>
        <v>0.10037613715885238</v>
      </c>
      <c r="EJ316" s="361">
        <f t="shared" si="287"/>
        <v>9.1407990314769982E-2</v>
      </c>
      <c r="EK316" s="361">
        <f t="shared" si="287"/>
        <v>9.7550308754086462E-2</v>
      </c>
      <c r="EL316" s="361">
        <f t="shared" si="287"/>
        <v>9.3864805825242759E-2</v>
      </c>
      <c r="EM316" s="361">
        <f t="shared" si="287"/>
        <v>0.10658572186836512</v>
      </c>
      <c r="EN316" s="361">
        <f t="shared" si="287"/>
        <v>0.10252965148659067</v>
      </c>
      <c r="EO316" s="361">
        <f t="shared" si="287"/>
        <v>0.1078755346721389</v>
      </c>
      <c r="EP316" s="361">
        <f t="shared" si="287"/>
        <v>0.10253400712683081</v>
      </c>
      <c r="EQ316" s="361">
        <f t="shared" si="287"/>
        <v>0.14284432277439352</v>
      </c>
      <c r="ER316" s="361">
        <f t="shared" si="287"/>
        <v>0.12150808215745881</v>
      </c>
      <c r="ES316" s="361">
        <f t="shared" si="287"/>
        <v>0.11934659561563715</v>
      </c>
      <c r="ET316" s="361">
        <f t="shared" si="287"/>
        <v>0.19039882516637521</v>
      </c>
      <c r="EU316" s="361">
        <f t="shared" si="287"/>
        <v>0.14283763530609889</v>
      </c>
      <c r="EV316" s="361"/>
      <c r="EW316" s="361"/>
      <c r="EX316" s="361"/>
      <c r="EY316" s="361"/>
      <c r="EZ316" s="361"/>
      <c r="FA316" s="361"/>
      <c r="FB316" s="361"/>
      <c r="FC316" s="361"/>
      <c r="FD316" s="361"/>
      <c r="FE316" s="361"/>
      <c r="FF316" s="361"/>
      <c r="FG316" s="361"/>
      <c r="FH316" s="361"/>
      <c r="FI316" s="361"/>
      <c r="FJ316" s="361"/>
      <c r="FK316" s="361"/>
      <c r="FL316" s="361"/>
      <c r="FM316" s="361"/>
      <c r="FN316" s="361"/>
      <c r="FO316" s="361"/>
      <c r="FP316" s="361"/>
      <c r="FQ316" s="361"/>
      <c r="FR316" s="361"/>
      <c r="FS316" s="835"/>
      <c r="FT316" s="361"/>
      <c r="FU316" s="361"/>
      <c r="FV316" s="361"/>
      <c r="FW316" s="361"/>
      <c r="FX316" s="361"/>
      <c r="FY316" s="361"/>
      <c r="FZ316" s="361"/>
      <c r="GA316" s="361"/>
      <c r="GB316" s="361"/>
      <c r="GC316" s="361"/>
      <c r="GD316" s="361"/>
      <c r="GE316" s="361"/>
      <c r="GF316" s="361"/>
      <c r="GG316" s="361"/>
      <c r="GH316" s="361"/>
      <c r="GI316" s="361"/>
      <c r="GJ316" s="361"/>
      <c r="GK316" s="361"/>
      <c r="GL316" s="361"/>
      <c r="GM316" s="361"/>
      <c r="GN316" s="361"/>
      <c r="GO316" s="361"/>
      <c r="GP316" s="361"/>
      <c r="GQ316" s="361"/>
      <c r="GR316" s="361"/>
      <c r="GS316" s="361"/>
      <c r="GT316" s="361"/>
      <c r="GU316" s="361"/>
      <c r="GV316" s="361"/>
      <c r="GW316" s="361"/>
      <c r="GX316" s="361"/>
      <c r="GY316" s="361"/>
      <c r="GZ316" s="361"/>
      <c r="HA316" s="361"/>
      <c r="HB316" s="361"/>
      <c r="HC316" s="361"/>
      <c r="HD316" s="361"/>
      <c r="HE316" s="361"/>
      <c r="HF316" s="361"/>
      <c r="HG316" s="361"/>
      <c r="HH316" s="361"/>
      <c r="HI316" s="361"/>
      <c r="HJ316" s="361"/>
      <c r="HK316" s="361"/>
      <c r="HL316" s="361"/>
      <c r="HM316" s="361"/>
      <c r="HN316" s="361"/>
      <c r="HO316" s="757"/>
      <c r="HP316" s="832"/>
      <c r="HQ316" s="756"/>
      <c r="HR316" s="832"/>
      <c r="HS316" s="833"/>
      <c r="HY316" s="509"/>
      <c r="HZ316" s="509"/>
      <c r="IA316" s="509"/>
      <c r="IB316" s="509"/>
    </row>
    <row r="317" spans="1:236" s="563" customFormat="1" hidden="1" outlineLevel="1">
      <c r="A317" s="785" t="s">
        <v>275</v>
      </c>
      <c r="B317" s="634"/>
      <c r="C317" s="634"/>
      <c r="D317" s="634"/>
      <c r="E317" s="634"/>
      <c r="F317" s="634"/>
      <c r="G317" s="634"/>
      <c r="H317" s="634"/>
      <c r="I317" s="634"/>
      <c r="J317" s="634"/>
      <c r="K317" s="634"/>
      <c r="L317" s="634"/>
      <c r="M317" s="634"/>
      <c r="N317" s="634"/>
      <c r="O317" s="634"/>
      <c r="P317" s="634"/>
      <c r="Q317" s="634"/>
      <c r="R317" s="634"/>
      <c r="S317" s="634"/>
      <c r="T317" s="634"/>
      <c r="U317" s="634"/>
      <c r="V317" s="634"/>
      <c r="W317" s="634"/>
      <c r="X317" s="634"/>
      <c r="Y317" s="634"/>
      <c r="Z317" s="634"/>
      <c r="AA317" s="634"/>
      <c r="AB317" s="634"/>
      <c r="AC317" s="634"/>
      <c r="AD317" s="634"/>
      <c r="AE317" s="634"/>
      <c r="AF317" s="634"/>
      <c r="AG317" s="634"/>
      <c r="AH317" s="634"/>
      <c r="AI317" s="634"/>
      <c r="AJ317" s="634"/>
      <c r="AK317" s="634"/>
      <c r="AL317" s="634"/>
      <c r="AM317" s="634"/>
      <c r="AN317" s="634"/>
      <c r="AO317" s="785"/>
      <c r="AP317" s="634"/>
      <c r="AQ317" s="634"/>
      <c r="AR317" s="634"/>
      <c r="AS317" s="634"/>
      <c r="AT317" s="785"/>
      <c r="AU317" s="634"/>
      <c r="AV317" s="634"/>
      <c r="AW317" s="634"/>
      <c r="AX317" s="634"/>
      <c r="AY317" s="785"/>
      <c r="AZ317" s="634"/>
      <c r="BA317" s="634"/>
      <c r="BB317" s="634"/>
      <c r="BC317" s="634"/>
      <c r="BD317" s="785"/>
      <c r="BE317" s="634"/>
      <c r="BF317" s="634"/>
      <c r="BG317" s="634"/>
      <c r="BH317" s="634"/>
      <c r="BI317" s="785"/>
      <c r="BJ317" s="634"/>
      <c r="BK317" s="634"/>
      <c r="BL317" s="634"/>
      <c r="BM317" s="634"/>
      <c r="BN317" s="785"/>
      <c r="BO317" s="756"/>
      <c r="BP317" s="756"/>
      <c r="BQ317" s="756"/>
      <c r="BR317" s="756"/>
      <c r="BS317" s="757"/>
      <c r="BT317" s="756"/>
      <c r="BU317" s="756"/>
      <c r="BV317" s="756"/>
      <c r="BW317" s="756"/>
      <c r="BX317" s="757"/>
      <c r="BY317" s="756"/>
      <c r="BZ317" s="756"/>
      <c r="CA317" s="756"/>
      <c r="CB317" s="756"/>
      <c r="CC317" s="757"/>
      <c r="CD317" s="756"/>
      <c r="CE317" s="756"/>
      <c r="CF317" s="756"/>
      <c r="CG317" s="756"/>
      <c r="CH317" s="757"/>
      <c r="CI317" s="756"/>
      <c r="CJ317" s="756"/>
      <c r="CK317" s="756"/>
      <c r="CL317" s="756"/>
      <c r="CM317" s="757"/>
      <c r="CN317" s="756"/>
      <c r="CO317" s="756"/>
      <c r="CP317" s="756"/>
      <c r="CQ317" s="756"/>
      <c r="CR317" s="757"/>
      <c r="CS317" s="756"/>
      <c r="CT317" s="756"/>
      <c r="CU317" s="756"/>
      <c r="CV317" s="756"/>
      <c r="CW317" s="757"/>
      <c r="CX317" s="756"/>
      <c r="CY317" s="756"/>
      <c r="CZ317" s="756"/>
      <c r="DA317" s="756"/>
      <c r="DB317" s="757"/>
      <c r="DC317" s="756"/>
      <c r="DD317" s="756"/>
      <c r="DE317" s="756"/>
      <c r="DF317" s="756"/>
      <c r="DG317" s="757"/>
      <c r="DH317" s="756"/>
      <c r="DI317" s="756"/>
      <c r="DJ317" s="756"/>
      <c r="DK317" s="756"/>
      <c r="DL317" s="757"/>
      <c r="DM317" s="756"/>
      <c r="DN317" s="756"/>
      <c r="DO317" s="756"/>
      <c r="DP317" s="756"/>
      <c r="DQ317" s="757"/>
      <c r="DR317" s="756"/>
      <c r="DS317" s="756"/>
      <c r="DT317" s="756"/>
      <c r="DU317" s="756"/>
      <c r="DV317" s="834"/>
      <c r="DW317" s="834"/>
      <c r="DX317" s="834"/>
      <c r="DY317" s="834"/>
      <c r="DZ317" s="834"/>
      <c r="EA317" s="834"/>
      <c r="EB317" s="361">
        <f t="shared" ref="EB317:ET317" si="288">+EB316+EB315+EB314+EB310</f>
        <v>1</v>
      </c>
      <c r="EC317" s="361">
        <f t="shared" si="288"/>
        <v>1</v>
      </c>
      <c r="ED317" s="361">
        <f t="shared" si="288"/>
        <v>1</v>
      </c>
      <c r="EE317" s="361">
        <f t="shared" si="288"/>
        <v>1</v>
      </c>
      <c r="EF317" s="361">
        <f t="shared" si="288"/>
        <v>1</v>
      </c>
      <c r="EG317" s="361">
        <f t="shared" si="288"/>
        <v>1</v>
      </c>
      <c r="EH317" s="361">
        <f t="shared" si="288"/>
        <v>1</v>
      </c>
      <c r="EI317" s="361">
        <f t="shared" si="288"/>
        <v>1</v>
      </c>
      <c r="EJ317" s="361">
        <f t="shared" si="288"/>
        <v>1</v>
      </c>
      <c r="EK317" s="361">
        <f t="shared" si="288"/>
        <v>1</v>
      </c>
      <c r="EL317" s="361">
        <f t="shared" si="288"/>
        <v>1</v>
      </c>
      <c r="EM317" s="361">
        <f t="shared" si="288"/>
        <v>0.99999999999999978</v>
      </c>
      <c r="EN317" s="361">
        <f t="shared" si="288"/>
        <v>1</v>
      </c>
      <c r="EO317" s="361">
        <f t="shared" si="288"/>
        <v>0.99511789158759545</v>
      </c>
      <c r="EP317" s="361">
        <f t="shared" si="288"/>
        <v>0.99882809825630592</v>
      </c>
      <c r="EQ317" s="361">
        <f t="shared" si="288"/>
        <v>1.0868722380247786</v>
      </c>
      <c r="ER317" s="361">
        <f t="shared" si="288"/>
        <v>0.93979867877128187</v>
      </c>
      <c r="ES317" s="361">
        <f t="shared" si="288"/>
        <v>0.80721825937019531</v>
      </c>
      <c r="ET317" s="361">
        <f t="shared" si="288"/>
        <v>0.97629615693321492</v>
      </c>
      <c r="EU317" s="361">
        <f>+EU316+EU315+EU314+EU310</f>
        <v>0.93732882951772079</v>
      </c>
      <c r="EV317" s="361"/>
      <c r="EW317" s="361"/>
      <c r="EX317" s="361"/>
      <c r="EY317" s="361"/>
      <c r="EZ317" s="361"/>
      <c r="FA317" s="361"/>
      <c r="FB317" s="361"/>
      <c r="FC317" s="361"/>
      <c r="FD317" s="361"/>
      <c r="FE317" s="361"/>
      <c r="FF317" s="361"/>
      <c r="FG317" s="361"/>
      <c r="FH317" s="361"/>
      <c r="FI317" s="361"/>
      <c r="FJ317" s="361"/>
      <c r="FK317" s="361"/>
      <c r="FL317" s="361"/>
      <c r="FM317" s="361"/>
      <c r="FN317" s="361"/>
      <c r="FO317" s="361"/>
      <c r="FP317" s="361"/>
      <c r="FQ317" s="361"/>
      <c r="FR317" s="361"/>
      <c r="FS317" s="835"/>
      <c r="FT317" s="361"/>
      <c r="FU317" s="361"/>
      <c r="FV317" s="361"/>
      <c r="FW317" s="361"/>
      <c r="FX317" s="361"/>
      <c r="FY317" s="361"/>
      <c r="FZ317" s="361"/>
      <c r="GA317" s="361"/>
      <c r="GB317" s="361"/>
      <c r="GC317" s="361"/>
      <c r="GD317" s="361"/>
      <c r="GE317" s="361"/>
      <c r="GF317" s="361"/>
      <c r="GG317" s="361"/>
      <c r="GH317" s="361"/>
      <c r="GI317" s="361"/>
      <c r="GJ317" s="361"/>
      <c r="GK317" s="361"/>
      <c r="GL317" s="361"/>
      <c r="GM317" s="361"/>
      <c r="GN317" s="361"/>
      <c r="GO317" s="361"/>
      <c r="GP317" s="361"/>
      <c r="GQ317" s="361"/>
      <c r="GR317" s="361"/>
      <c r="GS317" s="361"/>
      <c r="GT317" s="361"/>
      <c r="GU317" s="361"/>
      <c r="GV317" s="361"/>
      <c r="GW317" s="361"/>
      <c r="GX317" s="361"/>
      <c r="GY317" s="361"/>
      <c r="GZ317" s="361"/>
      <c r="HA317" s="361"/>
      <c r="HB317" s="361"/>
      <c r="HC317" s="361"/>
      <c r="HD317" s="361"/>
      <c r="HE317" s="361"/>
      <c r="HF317" s="361"/>
      <c r="HG317" s="361"/>
      <c r="HH317" s="361"/>
      <c r="HI317" s="361"/>
      <c r="HJ317" s="361"/>
      <c r="HK317" s="361"/>
      <c r="HL317" s="361"/>
      <c r="HM317" s="361"/>
      <c r="HN317" s="361"/>
      <c r="HO317" s="362"/>
      <c r="HP317" s="363"/>
      <c r="HQ317" s="756"/>
      <c r="HR317" s="832"/>
      <c r="HS317" s="833"/>
      <c r="HY317" s="509"/>
      <c r="HZ317" s="509"/>
      <c r="IA317" s="509"/>
      <c r="IB317" s="509"/>
    </row>
    <row r="318" spans="1:236" s="563" customFormat="1" hidden="1" outlineLevel="1">
      <c r="A318" s="538"/>
      <c r="B318" s="509"/>
      <c r="C318" s="509"/>
      <c r="D318" s="509"/>
      <c r="E318" s="509"/>
      <c r="F318" s="509"/>
      <c r="G318" s="509"/>
      <c r="H318" s="509"/>
      <c r="I318" s="509"/>
      <c r="J318" s="509"/>
      <c r="K318" s="509"/>
      <c r="L318" s="509"/>
      <c r="M318" s="509"/>
      <c r="N318" s="509"/>
      <c r="O318" s="509"/>
      <c r="P318" s="509"/>
      <c r="Q318" s="509"/>
      <c r="R318" s="509"/>
      <c r="S318" s="509"/>
      <c r="T318" s="509"/>
      <c r="U318" s="509"/>
      <c r="V318" s="509"/>
      <c r="W318" s="509"/>
      <c r="X318" s="509"/>
      <c r="Y318" s="509"/>
      <c r="Z318" s="509"/>
      <c r="AA318" s="509"/>
      <c r="AB318" s="509"/>
      <c r="AC318" s="509"/>
      <c r="AD318" s="509"/>
      <c r="AE318" s="509"/>
      <c r="AF318" s="509"/>
      <c r="AG318" s="509"/>
      <c r="AH318" s="509"/>
      <c r="AI318" s="509"/>
      <c r="AJ318" s="509"/>
      <c r="AK318" s="509"/>
      <c r="AL318" s="509"/>
      <c r="AM318" s="509"/>
      <c r="AN318" s="509"/>
      <c r="AO318" s="538"/>
      <c r="AP318" s="509"/>
      <c r="AQ318" s="509"/>
      <c r="AR318" s="509"/>
      <c r="AS318" s="509"/>
      <c r="AT318" s="538"/>
      <c r="AU318" s="509"/>
      <c r="AV318" s="509"/>
      <c r="AW318" s="509"/>
      <c r="AX318" s="509"/>
      <c r="AY318" s="538"/>
      <c r="AZ318" s="509"/>
      <c r="BA318" s="509"/>
      <c r="BB318" s="509"/>
      <c r="BC318" s="509"/>
      <c r="BD318" s="538"/>
      <c r="BE318" s="509"/>
      <c r="BF318" s="509"/>
      <c r="BG318" s="509"/>
      <c r="BH318" s="509"/>
      <c r="BI318" s="538"/>
      <c r="BJ318" s="509"/>
      <c r="BK318" s="509"/>
      <c r="BL318" s="509"/>
      <c r="BM318" s="509"/>
      <c r="BN318" s="538"/>
      <c r="BO318" s="509"/>
      <c r="BP318" s="509"/>
      <c r="BQ318" s="509"/>
      <c r="BR318" s="509"/>
      <c r="BS318" s="538"/>
      <c r="BT318" s="509"/>
      <c r="BU318" s="509"/>
      <c r="BV318" s="509"/>
      <c r="BW318" s="509"/>
      <c r="BX318" s="538"/>
      <c r="BY318" s="509"/>
      <c r="BZ318" s="509"/>
      <c r="CA318" s="509"/>
      <c r="CB318" s="509"/>
      <c r="CC318" s="538"/>
      <c r="CD318" s="509"/>
      <c r="CE318" s="509"/>
      <c r="CF318" s="509"/>
      <c r="CG318" s="509"/>
      <c r="CH318" s="538"/>
      <c r="CI318" s="509"/>
      <c r="CJ318" s="509"/>
      <c r="CK318" s="509"/>
      <c r="CL318" s="509"/>
      <c r="CM318" s="538"/>
      <c r="CN318" s="509"/>
      <c r="CO318" s="509"/>
      <c r="CP318" s="509"/>
      <c r="CQ318" s="509"/>
      <c r="CR318" s="509"/>
      <c r="CS318" s="509"/>
      <c r="CT318" s="509"/>
      <c r="CU318" s="509"/>
      <c r="CV318" s="701"/>
      <c r="CW318" s="701"/>
      <c r="CX318" s="701"/>
      <c r="CY318" s="701"/>
      <c r="CZ318" s="701"/>
      <c r="DA318" s="701"/>
      <c r="DB318" s="701"/>
      <c r="DC318" s="294"/>
      <c r="DD318" s="294"/>
      <c r="DE318" s="294"/>
      <c r="DF318" s="294"/>
      <c r="DG318" s="344"/>
      <c r="DH318" s="294"/>
      <c r="DI318" s="294"/>
      <c r="DJ318" s="294"/>
      <c r="DK318" s="294"/>
      <c r="DL318" s="344"/>
      <c r="DM318" s="294"/>
      <c r="DN318" s="294"/>
      <c r="DO318" s="294"/>
      <c r="DP318" s="294"/>
      <c r="DQ318" s="344"/>
      <c r="DR318" s="294"/>
      <c r="DS318" s="294"/>
      <c r="DT318" s="294"/>
      <c r="DU318" s="294"/>
      <c r="DV318" s="344"/>
      <c r="DW318" s="294"/>
      <c r="DX318" s="294"/>
      <c r="DY318" s="294"/>
      <c r="DZ318" s="294"/>
      <c r="EA318" s="344"/>
      <c r="EB318" s="364"/>
      <c r="EC318" s="364"/>
      <c r="ED318" s="364"/>
      <c r="EE318" s="364"/>
      <c r="EF318" s="364"/>
      <c r="EG318" s="364"/>
      <c r="EH318" s="364"/>
      <c r="EI318" s="364"/>
      <c r="EJ318" s="364"/>
      <c r="EK318" s="364"/>
      <c r="EL318" s="364"/>
      <c r="EM318" s="364"/>
      <c r="EN318" s="364"/>
      <c r="EO318" s="364"/>
      <c r="EP318" s="364"/>
      <c r="EQ318" s="364"/>
      <c r="ER318" s="364"/>
      <c r="ES318" s="364"/>
      <c r="ET318" s="364"/>
      <c r="EU318" s="364"/>
      <c r="EV318" s="364"/>
      <c r="EW318" s="364"/>
      <c r="EX318" s="364"/>
      <c r="EY318" s="364"/>
      <c r="EZ318" s="364"/>
      <c r="FA318" s="364"/>
      <c r="FB318" s="364"/>
      <c r="FC318" s="364"/>
      <c r="FD318" s="364"/>
      <c r="FE318" s="364"/>
      <c r="FF318" s="364"/>
      <c r="FG318" s="364"/>
      <c r="FH318" s="364"/>
      <c r="FI318" s="364"/>
      <c r="FJ318" s="364"/>
      <c r="FK318" s="364"/>
      <c r="FL318" s="364"/>
      <c r="FM318" s="364"/>
      <c r="FN318" s="364"/>
      <c r="FO318" s="364"/>
      <c r="FP318" s="364"/>
      <c r="FQ318" s="364"/>
      <c r="FR318" s="364"/>
      <c r="FS318" s="836"/>
      <c r="FT318" s="364"/>
      <c r="FU318" s="364"/>
      <c r="FV318" s="364"/>
      <c r="FW318" s="364"/>
      <c r="FX318" s="364"/>
      <c r="FY318" s="364"/>
      <c r="FZ318" s="364"/>
      <c r="GA318" s="364"/>
      <c r="GB318" s="364"/>
      <c r="GC318" s="364"/>
      <c r="GD318" s="364"/>
      <c r="GE318" s="364"/>
      <c r="GF318" s="364"/>
      <c r="GG318" s="364"/>
      <c r="GH318" s="364"/>
      <c r="GI318" s="364"/>
      <c r="GJ318" s="364"/>
      <c r="GK318" s="364"/>
      <c r="GL318" s="364"/>
      <c r="GM318" s="364"/>
      <c r="GN318" s="364"/>
      <c r="GO318" s="364"/>
      <c r="GP318" s="364"/>
      <c r="GQ318" s="364"/>
      <c r="GR318" s="364"/>
      <c r="GS318" s="364"/>
      <c r="GT318" s="364"/>
      <c r="GU318" s="364"/>
      <c r="GV318" s="364"/>
      <c r="GW318" s="364"/>
      <c r="GX318" s="364"/>
      <c r="GY318" s="364"/>
      <c r="GZ318" s="364"/>
      <c r="HA318" s="364"/>
      <c r="HB318" s="364"/>
      <c r="HC318" s="364"/>
      <c r="HD318" s="364"/>
      <c r="HE318" s="364"/>
      <c r="HF318" s="364"/>
      <c r="HG318" s="364"/>
      <c r="HH318" s="364"/>
      <c r="HI318" s="364"/>
      <c r="HJ318" s="364"/>
      <c r="HK318" s="364"/>
      <c r="HL318" s="364"/>
      <c r="HM318" s="364"/>
      <c r="HN318" s="364"/>
      <c r="HO318" s="344"/>
      <c r="HQ318" s="509"/>
      <c r="HY318" s="509"/>
      <c r="HZ318" s="509"/>
      <c r="IA318" s="509"/>
      <c r="IB318" s="509"/>
    </row>
    <row r="319" spans="1:236" s="563" customFormat="1" hidden="1" outlineLevel="1">
      <c r="A319" s="509"/>
      <c r="B319" s="509"/>
      <c r="C319" s="509"/>
      <c r="D319" s="509"/>
      <c r="E319" s="509"/>
      <c r="F319" s="509"/>
      <c r="G319" s="509"/>
      <c r="H319" s="509"/>
      <c r="I319" s="509"/>
      <c r="J319" s="509"/>
      <c r="K319" s="509"/>
      <c r="L319" s="509"/>
      <c r="M319" s="509"/>
      <c r="N319" s="509"/>
      <c r="O319" s="509"/>
      <c r="P319" s="509"/>
      <c r="Q319" s="509"/>
      <c r="R319" s="509"/>
      <c r="S319" s="509"/>
      <c r="T319" s="509"/>
      <c r="U319" s="509"/>
      <c r="V319" s="509"/>
      <c r="W319" s="509"/>
      <c r="X319" s="509"/>
      <c r="Y319" s="509"/>
      <c r="Z319" s="509"/>
      <c r="AA319" s="509"/>
      <c r="AB319" s="509"/>
      <c r="AC319" s="509"/>
      <c r="AD319" s="509"/>
      <c r="AE319" s="509"/>
      <c r="AF319" s="509"/>
      <c r="AG319" s="509"/>
      <c r="AH319" s="509"/>
      <c r="AI319" s="509"/>
      <c r="AJ319" s="509"/>
      <c r="AK319" s="509"/>
      <c r="AL319" s="509"/>
      <c r="AM319" s="509"/>
      <c r="AN319" s="509"/>
      <c r="AO319" s="538"/>
      <c r="AP319" s="509"/>
      <c r="AQ319" s="509"/>
      <c r="AR319" s="509"/>
      <c r="AS319" s="509"/>
      <c r="AT319" s="538"/>
      <c r="AU319" s="509"/>
      <c r="AV319" s="509"/>
      <c r="AW319" s="509"/>
      <c r="AX319" s="509"/>
      <c r="AY319" s="538"/>
      <c r="AZ319" s="509"/>
      <c r="BA319" s="509"/>
      <c r="BB319" s="509"/>
      <c r="BC319" s="509"/>
      <c r="BD319" s="538"/>
      <c r="BE319" s="509"/>
      <c r="BF319" s="509"/>
      <c r="BG319" s="509"/>
      <c r="BH319" s="509"/>
      <c r="BI319" s="538"/>
      <c r="BJ319" s="509"/>
      <c r="BK319" s="509"/>
      <c r="BL319" s="509"/>
      <c r="BM319" s="509"/>
      <c r="BN319" s="538"/>
      <c r="BO319" s="509"/>
      <c r="BP319" s="509"/>
      <c r="BQ319" s="509"/>
      <c r="BR319" s="509"/>
      <c r="BS319" s="538"/>
      <c r="BT319" s="509"/>
      <c r="BU319" s="509"/>
      <c r="BV319" s="509"/>
      <c r="BW319" s="509"/>
      <c r="BX319" s="538"/>
      <c r="BY319" s="509"/>
      <c r="BZ319" s="509"/>
      <c r="CA319" s="509"/>
      <c r="CB319" s="509"/>
      <c r="CC319" s="538"/>
      <c r="CD319" s="509"/>
      <c r="CE319" s="509"/>
      <c r="CF319" s="509"/>
      <c r="CG319" s="509"/>
      <c r="CH319" s="538"/>
      <c r="CI319" s="509"/>
      <c r="CJ319" s="509"/>
      <c r="CK319" s="509"/>
      <c r="CL319" s="509"/>
      <c r="CM319" s="538"/>
      <c r="CN319" s="509"/>
      <c r="CO319" s="509"/>
      <c r="CP319" s="509"/>
      <c r="CQ319" s="509"/>
      <c r="CR319" s="509"/>
      <c r="CS319" s="509"/>
      <c r="CT319" s="509"/>
      <c r="CU319" s="509"/>
      <c r="CV319" s="701"/>
      <c r="CW319" s="701"/>
      <c r="CX319" s="701"/>
      <c r="CY319" s="701"/>
      <c r="CZ319" s="701"/>
      <c r="DA319" s="701"/>
      <c r="DB319" s="701"/>
      <c r="DC319" s="294"/>
      <c r="DD319" s="294"/>
      <c r="DE319" s="294"/>
      <c r="DF319" s="294"/>
      <c r="DG319" s="344"/>
      <c r="DH319" s="294"/>
      <c r="DI319" s="294"/>
      <c r="DJ319" s="294"/>
      <c r="DK319" s="294"/>
      <c r="DL319" s="344"/>
      <c r="DM319" s="294"/>
      <c r="DN319" s="294"/>
      <c r="DO319" s="294"/>
      <c r="DP319" s="294"/>
      <c r="DQ319" s="344"/>
      <c r="DR319" s="294"/>
      <c r="DS319" s="294"/>
      <c r="DT319" s="294"/>
      <c r="DU319" s="294"/>
      <c r="DV319" s="344"/>
      <c r="DW319" s="294"/>
      <c r="DX319" s="294"/>
      <c r="DY319" s="294"/>
      <c r="DZ319" s="294"/>
      <c r="EA319" s="344"/>
      <c r="EB319" s="294"/>
      <c r="EC319" s="294"/>
      <c r="ED319" s="294"/>
      <c r="EE319" s="294"/>
      <c r="EF319" s="344"/>
      <c r="EG319" s="294"/>
      <c r="EH319" s="294"/>
      <c r="EI319" s="294"/>
      <c r="EJ319" s="294"/>
      <c r="EK319" s="344"/>
      <c r="EL319" s="294"/>
      <c r="EM319" s="294"/>
      <c r="EN319" s="294"/>
      <c r="EO319" s="294"/>
      <c r="EP319" s="344"/>
      <c r="EQ319" s="294"/>
      <c r="ER319" s="294"/>
      <c r="ES319" s="294"/>
      <c r="ET319" s="294"/>
      <c r="EU319" s="344"/>
      <c r="EV319" s="294"/>
      <c r="EW319" s="294"/>
      <c r="EX319" s="294"/>
      <c r="EY319" s="294"/>
      <c r="EZ319" s="344"/>
      <c r="FA319" s="294"/>
      <c r="FB319" s="294"/>
      <c r="FC319" s="294"/>
      <c r="FD319" s="294"/>
      <c r="FE319" s="344"/>
      <c r="FF319" s="294"/>
      <c r="FG319" s="294"/>
      <c r="FH319" s="294"/>
      <c r="FI319" s="294"/>
      <c r="FJ319" s="344"/>
      <c r="FK319" s="344"/>
      <c r="FL319" s="344"/>
      <c r="FM319" s="344"/>
      <c r="FN319" s="344"/>
      <c r="FO319" s="344"/>
      <c r="FP319" s="344"/>
      <c r="FQ319" s="344"/>
      <c r="FR319" s="344"/>
      <c r="FS319" s="830"/>
      <c r="FT319" s="344"/>
      <c r="FU319" s="344"/>
      <c r="FV319" s="344"/>
      <c r="FW319" s="344"/>
      <c r="FX319" s="344"/>
      <c r="FY319" s="344"/>
      <c r="FZ319" s="344"/>
      <c r="GA319" s="344"/>
      <c r="GB319" s="344"/>
      <c r="GC319" s="344"/>
      <c r="GD319" s="344"/>
      <c r="GE319" s="344"/>
      <c r="GF319" s="344"/>
      <c r="GG319" s="344"/>
      <c r="GH319" s="344"/>
      <c r="GI319" s="344"/>
      <c r="GJ319" s="344"/>
      <c r="GK319" s="344"/>
      <c r="GL319" s="344"/>
      <c r="GM319" s="344"/>
      <c r="GN319" s="344"/>
      <c r="GO319" s="344"/>
      <c r="GP319" s="344"/>
      <c r="GQ319" s="344"/>
      <c r="GR319" s="344"/>
      <c r="GS319" s="344"/>
      <c r="GT319" s="344"/>
      <c r="GU319" s="344"/>
      <c r="GV319" s="344"/>
      <c r="GW319" s="344"/>
      <c r="GX319" s="344"/>
      <c r="GY319" s="344"/>
      <c r="GZ319" s="344"/>
      <c r="HA319" s="344"/>
      <c r="HB319" s="344"/>
      <c r="HC319" s="344"/>
      <c r="HD319" s="344"/>
      <c r="HE319" s="344"/>
      <c r="HF319" s="344"/>
      <c r="HG319" s="344"/>
      <c r="HH319" s="344"/>
      <c r="HI319" s="344"/>
      <c r="HJ319" s="344"/>
      <c r="HK319" s="344"/>
      <c r="HL319" s="344"/>
      <c r="HM319" s="344"/>
      <c r="HN319" s="344"/>
      <c r="HO319" s="344"/>
      <c r="HQ319" s="509"/>
      <c r="HY319" s="509"/>
      <c r="HZ319" s="509"/>
      <c r="IA319" s="509"/>
      <c r="IB319" s="509"/>
    </row>
    <row r="320" spans="1:236" s="563" customFormat="1" hidden="1" outlineLevel="1">
      <c r="A320" s="509"/>
      <c r="B320" s="509"/>
      <c r="C320" s="509"/>
      <c r="D320" s="509"/>
      <c r="E320" s="509"/>
      <c r="F320" s="509"/>
      <c r="G320" s="509"/>
      <c r="H320" s="509"/>
      <c r="I320" s="509"/>
      <c r="J320" s="509"/>
      <c r="K320" s="509"/>
      <c r="L320" s="509"/>
      <c r="M320" s="509"/>
      <c r="N320" s="509"/>
      <c r="O320" s="509"/>
      <c r="P320" s="509"/>
      <c r="Q320" s="509"/>
      <c r="R320" s="509"/>
      <c r="S320" s="509"/>
      <c r="T320" s="509"/>
      <c r="U320" s="509"/>
      <c r="V320" s="509"/>
      <c r="W320" s="509"/>
      <c r="X320" s="509"/>
      <c r="Y320" s="509"/>
      <c r="Z320" s="509"/>
      <c r="AA320" s="509"/>
      <c r="AB320" s="509"/>
      <c r="AC320" s="509"/>
      <c r="AD320" s="509"/>
      <c r="AE320" s="509"/>
      <c r="AF320" s="509"/>
      <c r="AG320" s="509"/>
      <c r="AH320" s="509"/>
      <c r="AI320" s="509"/>
      <c r="AJ320" s="509"/>
      <c r="AK320" s="509"/>
      <c r="AL320" s="509"/>
      <c r="AM320" s="509"/>
      <c r="AN320" s="509"/>
      <c r="AO320" s="538"/>
      <c r="AP320" s="509"/>
      <c r="AQ320" s="509"/>
      <c r="AR320" s="509"/>
      <c r="AS320" s="509"/>
      <c r="AT320" s="538"/>
      <c r="AU320" s="509"/>
      <c r="AV320" s="509"/>
      <c r="AW320" s="509"/>
      <c r="AX320" s="509"/>
      <c r="AY320" s="538"/>
      <c r="AZ320" s="509"/>
      <c r="BA320" s="509"/>
      <c r="BB320" s="509"/>
      <c r="BC320" s="509"/>
      <c r="BD320" s="538"/>
      <c r="BE320" s="509"/>
      <c r="BF320" s="509"/>
      <c r="BG320" s="509"/>
      <c r="BH320" s="509"/>
      <c r="BI320" s="538"/>
      <c r="BJ320" s="509"/>
      <c r="BK320" s="509"/>
      <c r="BL320" s="509"/>
      <c r="BM320" s="509"/>
      <c r="BN320" s="538"/>
      <c r="BO320" s="509"/>
      <c r="BP320" s="509"/>
      <c r="BQ320" s="509"/>
      <c r="BR320" s="509"/>
      <c r="BS320" s="538"/>
      <c r="BT320" s="509"/>
      <c r="BU320" s="509"/>
      <c r="BV320" s="509"/>
      <c r="BW320" s="509"/>
      <c r="BX320" s="538"/>
      <c r="BY320" s="509"/>
      <c r="BZ320" s="509"/>
      <c r="CA320" s="509"/>
      <c r="CB320" s="509"/>
      <c r="CC320" s="538"/>
      <c r="CD320" s="509"/>
      <c r="CE320" s="509"/>
      <c r="CF320" s="509"/>
      <c r="CG320" s="509"/>
      <c r="CH320" s="538"/>
      <c r="CI320" s="509"/>
      <c r="CJ320" s="509"/>
      <c r="CK320" s="509"/>
      <c r="CL320" s="509"/>
      <c r="CM320" s="538"/>
      <c r="CN320" s="509"/>
      <c r="CO320" s="509"/>
      <c r="CP320" s="509"/>
      <c r="CQ320" s="509"/>
      <c r="CR320" s="509"/>
      <c r="CS320" s="509"/>
      <c r="CT320" s="509"/>
      <c r="CU320" s="509"/>
      <c r="CV320" s="701"/>
      <c r="CW320" s="701"/>
      <c r="CX320" s="701"/>
      <c r="CY320" s="701"/>
      <c r="CZ320" s="701"/>
      <c r="DA320" s="701"/>
      <c r="DB320" s="701"/>
      <c r="DC320" s="294"/>
      <c r="DD320" s="294"/>
      <c r="DE320" s="294"/>
      <c r="DF320" s="294"/>
      <c r="DG320" s="344"/>
      <c r="DH320" s="294"/>
      <c r="DI320" s="294"/>
      <c r="DJ320" s="294"/>
      <c r="DK320" s="294"/>
      <c r="DL320" s="344"/>
      <c r="DM320" s="294"/>
      <c r="DN320" s="294"/>
      <c r="DO320" s="294"/>
      <c r="DP320" s="294"/>
      <c r="DQ320" s="344"/>
      <c r="DR320" s="294"/>
      <c r="DS320" s="294"/>
      <c r="DT320" s="294"/>
      <c r="DU320" s="294"/>
      <c r="DV320" s="344"/>
      <c r="DW320" s="294"/>
      <c r="DX320" s="294"/>
      <c r="DY320" s="294"/>
      <c r="DZ320" s="294"/>
      <c r="EA320" s="344"/>
      <c r="EB320" s="294"/>
      <c r="EC320" s="294"/>
      <c r="ED320" s="364"/>
      <c r="EE320" s="364"/>
      <c r="EF320" s="364"/>
      <c r="EG320" s="364"/>
      <c r="EH320" s="364"/>
      <c r="EI320" s="364"/>
      <c r="EJ320" s="364"/>
      <c r="EK320" s="364"/>
      <c r="EL320" s="364"/>
      <c r="EM320" s="364"/>
      <c r="EN320" s="364"/>
      <c r="EO320" s="364"/>
      <c r="EP320" s="364"/>
      <c r="EQ320" s="364"/>
      <c r="ER320" s="364"/>
      <c r="ES320" s="364"/>
      <c r="ET320" s="364"/>
      <c r="EU320" s="364"/>
      <c r="EV320" s="364"/>
      <c r="EW320" s="364"/>
      <c r="EX320" s="364"/>
      <c r="EY320" s="364"/>
      <c r="EZ320" s="364"/>
      <c r="FA320" s="364"/>
      <c r="FB320" s="364"/>
      <c r="FC320" s="364"/>
      <c r="FD320" s="364"/>
      <c r="FE320" s="364"/>
      <c r="FF320" s="364"/>
      <c r="FG320" s="364"/>
      <c r="FH320" s="364"/>
      <c r="FI320" s="364"/>
      <c r="FJ320" s="364"/>
      <c r="FK320" s="364"/>
      <c r="FL320" s="364"/>
      <c r="FM320" s="364"/>
      <c r="FN320" s="364"/>
      <c r="FO320" s="364"/>
      <c r="FP320" s="364"/>
      <c r="FQ320" s="364"/>
      <c r="FR320" s="364"/>
      <c r="FS320" s="836"/>
      <c r="FT320" s="364"/>
      <c r="FU320" s="364"/>
      <c r="FV320" s="364"/>
      <c r="FW320" s="364"/>
      <c r="FX320" s="364"/>
      <c r="FY320" s="364"/>
      <c r="FZ320" s="364"/>
      <c r="GA320" s="364"/>
      <c r="GB320" s="364"/>
      <c r="GC320" s="364"/>
      <c r="GD320" s="364"/>
      <c r="GE320" s="364"/>
      <c r="GF320" s="364"/>
      <c r="GG320" s="364"/>
      <c r="GH320" s="364"/>
      <c r="GI320" s="364"/>
      <c r="GJ320" s="364"/>
      <c r="GK320" s="364"/>
      <c r="GL320" s="364"/>
      <c r="GM320" s="364"/>
      <c r="GN320" s="364"/>
      <c r="GO320" s="364"/>
      <c r="GP320" s="364"/>
      <c r="GQ320" s="364"/>
      <c r="GR320" s="364"/>
      <c r="GS320" s="364"/>
      <c r="GT320" s="364"/>
      <c r="GU320" s="364"/>
      <c r="GV320" s="364"/>
      <c r="GW320" s="364"/>
      <c r="GX320" s="364"/>
      <c r="GY320" s="364"/>
      <c r="GZ320" s="364"/>
      <c r="HA320" s="364"/>
      <c r="HB320" s="364"/>
      <c r="HC320" s="364"/>
      <c r="HD320" s="364"/>
      <c r="HE320" s="364"/>
      <c r="HF320" s="364"/>
      <c r="HG320" s="364"/>
      <c r="HH320" s="364"/>
      <c r="HI320" s="364"/>
      <c r="HJ320" s="364"/>
      <c r="HK320" s="364"/>
      <c r="HL320" s="364"/>
      <c r="HM320" s="364"/>
      <c r="HN320" s="364"/>
      <c r="HO320" s="344"/>
      <c r="HQ320" s="509"/>
      <c r="HY320" s="509"/>
      <c r="HZ320" s="509"/>
      <c r="IA320" s="509"/>
      <c r="IB320" s="509"/>
    </row>
    <row r="321" spans="1:236" s="538" customFormat="1" hidden="1" outlineLevel="1">
      <c r="A321" s="509"/>
      <c r="B321" s="509"/>
      <c r="C321" s="509"/>
      <c r="D321" s="509"/>
      <c r="E321" s="509"/>
      <c r="F321" s="509"/>
      <c r="G321" s="509"/>
      <c r="H321" s="509"/>
      <c r="I321" s="509"/>
      <c r="J321" s="509"/>
      <c r="K321" s="509"/>
      <c r="L321" s="509"/>
      <c r="M321" s="509"/>
      <c r="N321" s="509"/>
      <c r="O321" s="509"/>
      <c r="P321" s="509"/>
      <c r="Q321" s="509"/>
      <c r="R321" s="509"/>
      <c r="S321" s="509"/>
      <c r="T321" s="509"/>
      <c r="U321" s="509"/>
      <c r="V321" s="509"/>
      <c r="W321" s="509"/>
      <c r="X321" s="509"/>
      <c r="Y321" s="509"/>
      <c r="Z321" s="509"/>
      <c r="AA321" s="509"/>
      <c r="AB321" s="509"/>
      <c r="AC321" s="509"/>
      <c r="AD321" s="509"/>
      <c r="AE321" s="509"/>
      <c r="AF321" s="509"/>
      <c r="AG321" s="509"/>
      <c r="AH321" s="509"/>
      <c r="AI321" s="509"/>
      <c r="AJ321" s="509"/>
      <c r="AK321" s="509"/>
      <c r="AL321" s="509"/>
      <c r="AM321" s="509"/>
      <c r="AN321" s="509"/>
      <c r="AP321" s="509"/>
      <c r="AQ321" s="509"/>
      <c r="AR321" s="509"/>
      <c r="AS321" s="509"/>
      <c r="AU321" s="509"/>
      <c r="AV321" s="509"/>
      <c r="AW321" s="509"/>
      <c r="AX321" s="509"/>
      <c r="AZ321" s="509"/>
      <c r="BA321" s="509"/>
      <c r="BB321" s="509"/>
      <c r="BC321" s="509"/>
      <c r="BE321" s="509"/>
      <c r="BF321" s="509"/>
      <c r="BG321" s="509"/>
      <c r="BH321" s="509"/>
      <c r="BJ321" s="509"/>
      <c r="BK321" s="509"/>
      <c r="BL321" s="509"/>
      <c r="BM321" s="509"/>
      <c r="BO321" s="509"/>
      <c r="BP321" s="509"/>
      <c r="BQ321" s="509"/>
      <c r="BR321" s="509"/>
      <c r="BT321" s="509"/>
      <c r="BU321" s="509"/>
      <c r="BV321" s="509"/>
      <c r="BW321" s="509"/>
      <c r="BY321" s="509"/>
      <c r="BZ321" s="509"/>
      <c r="CA321" s="509"/>
      <c r="CB321" s="509"/>
      <c r="CD321" s="509"/>
      <c r="CE321" s="509"/>
      <c r="CF321" s="509"/>
      <c r="CG321" s="509"/>
      <c r="CI321" s="509"/>
      <c r="CJ321" s="509"/>
      <c r="CK321" s="509"/>
      <c r="CL321" s="509"/>
      <c r="CN321" s="509"/>
      <c r="CO321" s="509"/>
      <c r="CP321" s="509"/>
      <c r="CQ321" s="509"/>
      <c r="CR321" s="509"/>
      <c r="CS321" s="509"/>
      <c r="CT321" s="509"/>
      <c r="CU321" s="509"/>
      <c r="CV321" s="509"/>
      <c r="CW321" s="509"/>
      <c r="CX321" s="509"/>
      <c r="CY321" s="509"/>
      <c r="CZ321" s="509"/>
      <c r="DA321" s="509"/>
      <c r="DC321" s="509"/>
      <c r="DD321" s="509"/>
      <c r="DE321" s="509"/>
      <c r="DF321" s="509"/>
      <c r="DH321" s="509"/>
      <c r="DI321" s="509"/>
      <c r="DJ321" s="509"/>
      <c r="DK321" s="509"/>
      <c r="DM321" s="509"/>
      <c r="DN321" s="509"/>
      <c r="DO321" s="509"/>
      <c r="DP321" s="509"/>
      <c r="DR321" s="509"/>
      <c r="DS321" s="509"/>
      <c r="DT321" s="509"/>
      <c r="DU321" s="509"/>
      <c r="DW321" s="509"/>
      <c r="DX321" s="509"/>
      <c r="DY321" s="509"/>
      <c r="DZ321" s="509"/>
      <c r="EB321" s="509"/>
      <c r="EC321" s="509"/>
      <c r="ED321" s="509"/>
      <c r="EE321" s="509"/>
      <c r="EG321" s="509"/>
      <c r="EH321" s="509"/>
      <c r="EI321" s="509"/>
      <c r="EJ321" s="509"/>
      <c r="EL321" s="509"/>
      <c r="EM321" s="509"/>
      <c r="EN321" s="509"/>
      <c r="EO321" s="509"/>
      <c r="EQ321" s="509"/>
      <c r="ER321" s="509"/>
      <c r="ES321" s="509"/>
      <c r="ET321" s="509"/>
      <c r="EV321" s="509"/>
      <c r="EW321" s="509"/>
      <c r="EX321" s="509"/>
      <c r="EY321" s="509"/>
      <c r="FA321" s="509"/>
      <c r="FB321" s="509"/>
      <c r="FC321" s="509"/>
      <c r="FD321" s="509"/>
      <c r="FF321" s="509"/>
      <c r="FG321" s="509"/>
      <c r="FH321" s="509"/>
      <c r="FI321" s="509"/>
      <c r="HP321" s="563"/>
      <c r="HQ321" s="509"/>
      <c r="HR321" s="563"/>
      <c r="HS321" s="563"/>
      <c r="HT321" s="563"/>
      <c r="HU321" s="563"/>
      <c r="HV321" s="563"/>
      <c r="HW321" s="563"/>
      <c r="HX321" s="563"/>
      <c r="HY321" s="509"/>
      <c r="HZ321" s="509"/>
      <c r="IA321" s="509"/>
      <c r="IB321" s="509"/>
    </row>
    <row r="322" spans="1:236" s="563" customFormat="1" hidden="1" outlineLevel="1">
      <c r="A322" s="509"/>
      <c r="B322" s="509"/>
      <c r="C322" s="509"/>
      <c r="D322" s="509"/>
      <c r="E322" s="509"/>
      <c r="F322" s="509"/>
      <c r="G322" s="509"/>
      <c r="H322" s="509"/>
      <c r="I322" s="509"/>
      <c r="J322" s="509"/>
      <c r="K322" s="509"/>
      <c r="L322" s="509"/>
      <c r="M322" s="509"/>
      <c r="N322" s="509"/>
      <c r="O322" s="509"/>
      <c r="P322" s="509"/>
      <c r="Q322" s="509"/>
      <c r="R322" s="509"/>
      <c r="S322" s="509"/>
      <c r="T322" s="509"/>
      <c r="U322" s="509"/>
      <c r="V322" s="509"/>
      <c r="W322" s="509"/>
      <c r="X322" s="509"/>
      <c r="Y322" s="509"/>
      <c r="Z322" s="509"/>
      <c r="AA322" s="509"/>
      <c r="AB322" s="509"/>
      <c r="AC322" s="509"/>
      <c r="AD322" s="509"/>
      <c r="AE322" s="509"/>
      <c r="AF322" s="509"/>
      <c r="AG322" s="509"/>
      <c r="AH322" s="509"/>
      <c r="AI322" s="509"/>
      <c r="AJ322" s="509"/>
      <c r="AK322" s="509"/>
      <c r="AL322" s="509"/>
      <c r="AM322" s="509"/>
      <c r="AN322" s="509"/>
      <c r="AO322" s="538"/>
      <c r="AP322" s="509"/>
      <c r="AQ322" s="509"/>
      <c r="AR322" s="509"/>
      <c r="AS322" s="509"/>
      <c r="AT322" s="538"/>
      <c r="AU322" s="509"/>
      <c r="AV322" s="509"/>
      <c r="AW322" s="509"/>
      <c r="AX322" s="509"/>
      <c r="AY322" s="538"/>
      <c r="AZ322" s="509"/>
      <c r="BA322" s="509"/>
      <c r="BB322" s="509"/>
      <c r="BC322" s="509"/>
      <c r="BD322" s="538"/>
      <c r="BE322" s="509"/>
      <c r="BF322" s="509"/>
      <c r="BG322" s="509"/>
      <c r="BH322" s="509"/>
      <c r="BI322" s="538"/>
      <c r="BJ322" s="509"/>
      <c r="BK322" s="509"/>
      <c r="BL322" s="509"/>
      <c r="BM322" s="509"/>
      <c r="BN322" s="538"/>
      <c r="BO322" s="509"/>
      <c r="BP322" s="509"/>
      <c r="BQ322" s="509"/>
      <c r="BR322" s="509"/>
      <c r="BS322" s="538"/>
      <c r="BT322" s="509"/>
      <c r="BU322" s="509"/>
      <c r="BV322" s="509"/>
      <c r="BW322" s="509"/>
      <c r="BX322" s="538"/>
      <c r="BY322" s="509"/>
      <c r="BZ322" s="509"/>
      <c r="CA322" s="509"/>
      <c r="CB322" s="509"/>
      <c r="CC322" s="538"/>
      <c r="CD322" s="509"/>
      <c r="CE322" s="509"/>
      <c r="CF322" s="509"/>
      <c r="CG322" s="509"/>
      <c r="CH322" s="538"/>
      <c r="CI322" s="509"/>
      <c r="CJ322" s="509"/>
      <c r="CK322" s="509"/>
      <c r="CL322" s="509"/>
      <c r="CM322" s="538"/>
      <c r="CN322" s="509"/>
      <c r="CO322" s="509"/>
      <c r="CP322" s="509"/>
      <c r="CQ322" s="509"/>
      <c r="CR322" s="509"/>
      <c r="CS322" s="509"/>
      <c r="CT322" s="509"/>
      <c r="CU322" s="509"/>
      <c r="CV322" s="509"/>
      <c r="CW322" s="509"/>
      <c r="CX322" s="509"/>
      <c r="CY322" s="509"/>
      <c r="CZ322" s="509"/>
      <c r="DA322" s="509"/>
      <c r="DB322" s="538"/>
      <c r="DC322" s="509"/>
      <c r="DD322" s="509"/>
      <c r="DE322" s="509"/>
      <c r="DF322" s="509"/>
      <c r="DG322" s="538"/>
      <c r="DH322" s="509"/>
      <c r="DI322" s="509"/>
      <c r="DJ322" s="509"/>
      <c r="DK322" s="509"/>
      <c r="DL322" s="538"/>
      <c r="DM322" s="509"/>
      <c r="DN322" s="509"/>
      <c r="DO322" s="509"/>
      <c r="DP322" s="509"/>
      <c r="DQ322" s="538"/>
      <c r="DR322" s="509"/>
      <c r="DS322" s="509"/>
      <c r="DT322" s="509"/>
      <c r="DU322" s="509"/>
      <c r="DV322" s="538"/>
      <c r="DW322" s="509"/>
      <c r="DX322" s="509"/>
      <c r="DY322" s="509"/>
      <c r="DZ322" s="509"/>
      <c r="EA322" s="538"/>
      <c r="EB322" s="509"/>
      <c r="EC322" s="509"/>
      <c r="ED322" s="509"/>
      <c r="EE322" s="509"/>
      <c r="EF322" s="538"/>
      <c r="EG322" s="509"/>
      <c r="EH322" s="509"/>
      <c r="EI322" s="509"/>
      <c r="EJ322" s="509"/>
      <c r="EK322" s="538"/>
      <c r="EL322" s="509"/>
      <c r="EM322" s="509"/>
      <c r="EN322" s="509"/>
      <c r="EO322" s="509"/>
      <c r="EP322" s="538"/>
      <c r="EQ322" s="509"/>
      <c r="ER322" s="509"/>
      <c r="ES322" s="509"/>
      <c r="ET322" s="509"/>
      <c r="EU322" s="538"/>
      <c r="EV322" s="509"/>
      <c r="EW322" s="509"/>
      <c r="EX322" s="509"/>
      <c r="EY322" s="509"/>
      <c r="EZ322" s="538"/>
      <c r="FA322" s="509"/>
      <c r="FB322" s="509"/>
      <c r="FC322" s="509"/>
      <c r="FD322" s="509"/>
      <c r="FE322" s="538"/>
      <c r="FF322" s="509"/>
      <c r="FG322" s="509"/>
      <c r="FH322" s="509"/>
      <c r="FI322" s="509"/>
      <c r="FJ322" s="538"/>
      <c r="FK322" s="538"/>
      <c r="FL322" s="538"/>
      <c r="FM322" s="538"/>
      <c r="FN322" s="538"/>
      <c r="FO322" s="538"/>
      <c r="FP322" s="538"/>
      <c r="FQ322" s="538"/>
      <c r="FR322" s="538"/>
      <c r="FS322" s="538"/>
      <c r="FT322" s="538"/>
      <c r="FU322" s="538"/>
      <c r="FV322" s="538"/>
      <c r="FW322" s="538"/>
      <c r="FX322" s="538"/>
      <c r="FY322" s="538"/>
      <c r="FZ322" s="538"/>
      <c r="GA322" s="538"/>
      <c r="GB322" s="538"/>
      <c r="GC322" s="538"/>
      <c r="GD322" s="538"/>
      <c r="GE322" s="538"/>
      <c r="GF322" s="538"/>
      <c r="GG322" s="538"/>
      <c r="GH322" s="538"/>
      <c r="GI322" s="538"/>
      <c r="GJ322" s="538"/>
      <c r="GK322" s="538"/>
      <c r="GL322" s="538"/>
      <c r="GM322" s="538"/>
      <c r="GN322" s="538"/>
      <c r="GO322" s="538"/>
      <c r="GP322" s="538"/>
      <c r="GQ322" s="538"/>
      <c r="GR322" s="538"/>
      <c r="GS322" s="538"/>
      <c r="GT322" s="538"/>
      <c r="GU322" s="538"/>
      <c r="GV322" s="538"/>
      <c r="GW322" s="538"/>
      <c r="GX322" s="538"/>
      <c r="GY322" s="538"/>
      <c r="GZ322" s="538"/>
      <c r="HA322" s="538"/>
      <c r="HB322" s="538"/>
      <c r="HC322" s="538"/>
      <c r="HD322" s="538"/>
      <c r="HE322" s="538"/>
      <c r="HF322" s="538"/>
      <c r="HG322" s="538"/>
      <c r="HH322" s="538"/>
      <c r="HI322" s="538"/>
      <c r="HJ322" s="538"/>
      <c r="HK322" s="538"/>
      <c r="HL322" s="538"/>
      <c r="HM322" s="538"/>
      <c r="HN322" s="538"/>
      <c r="HO322" s="538"/>
      <c r="HQ322" s="509"/>
      <c r="HY322" s="509"/>
      <c r="HZ322" s="509"/>
      <c r="IA322" s="509"/>
      <c r="IB322" s="509"/>
    </row>
    <row r="323" spans="1:236" s="563" customFormat="1" hidden="1" outlineLevel="1">
      <c r="A323" s="509"/>
      <c r="B323" s="509"/>
      <c r="C323" s="509"/>
      <c r="D323" s="509"/>
      <c r="E323" s="509"/>
      <c r="F323" s="509"/>
      <c r="G323" s="509"/>
      <c r="H323" s="509"/>
      <c r="I323" s="509"/>
      <c r="J323" s="509"/>
      <c r="K323" s="509"/>
      <c r="L323" s="509"/>
      <c r="M323" s="509"/>
      <c r="N323" s="509"/>
      <c r="O323" s="509"/>
      <c r="P323" s="509"/>
      <c r="Q323" s="509"/>
      <c r="R323" s="509"/>
      <c r="S323" s="509"/>
      <c r="T323" s="509"/>
      <c r="U323" s="509"/>
      <c r="V323" s="509"/>
      <c r="W323" s="509"/>
      <c r="X323" s="509"/>
      <c r="Y323" s="509"/>
      <c r="Z323" s="509"/>
      <c r="AA323" s="509"/>
      <c r="AB323" s="509"/>
      <c r="AC323" s="509"/>
      <c r="AD323" s="509"/>
      <c r="AE323" s="509"/>
      <c r="AF323" s="509"/>
      <c r="AG323" s="509"/>
      <c r="AH323" s="509"/>
      <c r="AI323" s="509"/>
      <c r="AJ323" s="509"/>
      <c r="AK323" s="509"/>
      <c r="AL323" s="509"/>
      <c r="AM323" s="509"/>
      <c r="AN323" s="509"/>
      <c r="AO323" s="538"/>
      <c r="AP323" s="509"/>
      <c r="AQ323" s="509"/>
      <c r="AR323" s="509"/>
      <c r="AS323" s="509"/>
      <c r="AT323" s="538"/>
      <c r="AU323" s="509"/>
      <c r="AV323" s="509"/>
      <c r="AW323" s="509"/>
      <c r="AX323" s="509"/>
      <c r="AY323" s="538"/>
      <c r="AZ323" s="509"/>
      <c r="BA323" s="509"/>
      <c r="BB323" s="509"/>
      <c r="BC323" s="509"/>
      <c r="BD323" s="538"/>
      <c r="BE323" s="509"/>
      <c r="BF323" s="509"/>
      <c r="BG323" s="509"/>
      <c r="BH323" s="509"/>
      <c r="BI323" s="538"/>
      <c r="BJ323" s="509"/>
      <c r="BK323" s="509"/>
      <c r="BL323" s="509"/>
      <c r="BM323" s="509"/>
      <c r="BN323" s="538"/>
      <c r="BO323" s="509"/>
      <c r="BP323" s="509"/>
      <c r="BQ323" s="509"/>
      <c r="BR323" s="509"/>
      <c r="BS323" s="538"/>
      <c r="BT323" s="509"/>
      <c r="BU323" s="509"/>
      <c r="BV323" s="509"/>
      <c r="BW323" s="509"/>
      <c r="BX323" s="538"/>
      <c r="BY323" s="509"/>
      <c r="BZ323" s="509"/>
      <c r="CA323" s="509"/>
      <c r="CB323" s="509"/>
      <c r="CC323" s="538"/>
      <c r="CD323" s="509"/>
      <c r="CE323" s="509"/>
      <c r="CF323" s="509"/>
      <c r="CG323" s="509"/>
      <c r="CH323" s="538"/>
      <c r="CI323" s="509"/>
      <c r="CJ323" s="509"/>
      <c r="CK323" s="509"/>
      <c r="CL323" s="509"/>
      <c r="CM323" s="538"/>
      <c r="CN323" s="509"/>
      <c r="CO323" s="509"/>
      <c r="CP323" s="509"/>
      <c r="CQ323" s="509"/>
      <c r="CR323" s="509"/>
      <c r="CS323" s="509"/>
      <c r="CT323" s="509"/>
      <c r="CU323" s="509"/>
      <c r="CV323" s="509"/>
      <c r="CW323" s="509"/>
      <c r="CX323" s="509"/>
      <c r="CY323" s="509"/>
      <c r="CZ323" s="509"/>
      <c r="DA323" s="509"/>
      <c r="DB323" s="538"/>
      <c r="DC323" s="509"/>
      <c r="DD323" s="509"/>
      <c r="DE323" s="509"/>
      <c r="DF323" s="509"/>
      <c r="DG323" s="538"/>
      <c r="DH323" s="509"/>
      <c r="DI323" s="509"/>
      <c r="DJ323" s="509"/>
      <c r="DK323" s="509"/>
      <c r="DL323" s="538"/>
      <c r="DM323" s="509"/>
      <c r="DN323" s="509"/>
      <c r="DO323" s="509"/>
      <c r="DP323" s="509"/>
      <c r="DQ323" s="538"/>
      <c r="DR323" s="509"/>
      <c r="DS323" s="509"/>
      <c r="DT323" s="509"/>
      <c r="DU323" s="509"/>
      <c r="DV323" s="538"/>
      <c r="DW323" s="509"/>
      <c r="DX323" s="509"/>
      <c r="DY323" s="509"/>
      <c r="DZ323" s="509"/>
      <c r="EA323" s="538"/>
      <c r="EB323" s="509"/>
      <c r="EC323" s="509"/>
      <c r="ED323" s="509"/>
      <c r="EE323" s="509"/>
      <c r="EF323" s="538"/>
      <c r="EG323" s="509"/>
      <c r="EH323" s="509"/>
      <c r="EI323" s="509"/>
      <c r="EJ323" s="509"/>
      <c r="EK323" s="538"/>
      <c r="EL323" s="509"/>
      <c r="EM323" s="509"/>
      <c r="EN323" s="509"/>
      <c r="EO323" s="509"/>
      <c r="EP323" s="538"/>
      <c r="EQ323" s="509"/>
      <c r="ER323" s="509"/>
      <c r="ES323" s="509"/>
      <c r="ET323" s="509"/>
      <c r="EU323" s="538"/>
      <c r="EV323" s="509"/>
      <c r="EW323" s="509"/>
      <c r="EX323" s="509"/>
      <c r="EY323" s="509"/>
      <c r="EZ323" s="538"/>
      <c r="FA323" s="509"/>
      <c r="FB323" s="509"/>
      <c r="FC323" s="509"/>
      <c r="FD323" s="509"/>
      <c r="FE323" s="538"/>
      <c r="FF323" s="509"/>
      <c r="FG323" s="509"/>
      <c r="FH323" s="509"/>
      <c r="FI323" s="509"/>
      <c r="FJ323" s="538"/>
      <c r="FK323" s="538"/>
      <c r="FL323" s="538"/>
      <c r="FM323" s="538"/>
      <c r="FN323" s="538"/>
      <c r="FO323" s="538"/>
      <c r="FP323" s="538"/>
      <c r="FQ323" s="538"/>
      <c r="FR323" s="538"/>
      <c r="FS323" s="538"/>
      <c r="FT323" s="538"/>
      <c r="FU323" s="538"/>
      <c r="FV323" s="538"/>
      <c r="FW323" s="538"/>
      <c r="FX323" s="538"/>
      <c r="FY323" s="538"/>
      <c r="FZ323" s="538"/>
      <c r="GA323" s="538"/>
      <c r="GB323" s="538"/>
      <c r="GC323" s="538"/>
      <c r="GD323" s="538"/>
      <c r="GE323" s="538"/>
      <c r="GF323" s="538"/>
      <c r="GG323" s="538"/>
      <c r="GH323" s="538"/>
      <c r="GI323" s="538"/>
      <c r="GJ323" s="538"/>
      <c r="GK323" s="538"/>
      <c r="GL323" s="538"/>
      <c r="GM323" s="538"/>
      <c r="GN323" s="538"/>
      <c r="GO323" s="538"/>
      <c r="GP323" s="538"/>
      <c r="GQ323" s="538"/>
      <c r="GR323" s="538"/>
      <c r="GS323" s="538"/>
      <c r="GT323" s="538"/>
      <c r="GU323" s="538"/>
      <c r="GV323" s="538"/>
      <c r="GW323" s="538"/>
      <c r="GX323" s="538"/>
      <c r="GY323" s="538"/>
      <c r="GZ323" s="538"/>
      <c r="HA323" s="538"/>
      <c r="HB323" s="538"/>
      <c r="HC323" s="538"/>
      <c r="HD323" s="538"/>
      <c r="HE323" s="538"/>
      <c r="HF323" s="538"/>
      <c r="HG323" s="538"/>
      <c r="HH323" s="538"/>
      <c r="HI323" s="538"/>
      <c r="HJ323" s="538"/>
      <c r="HK323" s="538"/>
      <c r="HL323" s="538"/>
      <c r="HM323" s="538"/>
      <c r="HN323" s="538"/>
      <c r="HO323" s="538"/>
      <c r="HQ323" s="509"/>
      <c r="HY323" s="509"/>
      <c r="HZ323" s="509"/>
      <c r="IA323" s="509"/>
      <c r="IB323" s="509"/>
    </row>
    <row r="324" spans="1:236" s="563" customFormat="1" hidden="1" outlineLevel="1">
      <c r="A324" s="509"/>
      <c r="B324" s="509"/>
      <c r="C324" s="509"/>
      <c r="D324" s="509"/>
      <c r="E324" s="509"/>
      <c r="F324" s="509"/>
      <c r="G324" s="509"/>
      <c r="H324" s="509"/>
      <c r="I324" s="509"/>
      <c r="J324" s="509"/>
      <c r="K324" s="509"/>
      <c r="L324" s="509"/>
      <c r="M324" s="509"/>
      <c r="N324" s="509"/>
      <c r="O324" s="509"/>
      <c r="P324" s="509"/>
      <c r="Q324" s="509"/>
      <c r="R324" s="509"/>
      <c r="S324" s="509"/>
      <c r="T324" s="509"/>
      <c r="U324" s="509"/>
      <c r="V324" s="509"/>
      <c r="W324" s="509"/>
      <c r="X324" s="509"/>
      <c r="Y324" s="509"/>
      <c r="Z324" s="509"/>
      <c r="AA324" s="509"/>
      <c r="AB324" s="509"/>
      <c r="AC324" s="509"/>
      <c r="AD324" s="509"/>
      <c r="AE324" s="509"/>
      <c r="AF324" s="509"/>
      <c r="AG324" s="509"/>
      <c r="AH324" s="509"/>
      <c r="AI324" s="509"/>
      <c r="AJ324" s="509"/>
      <c r="AK324" s="509"/>
      <c r="AL324" s="509"/>
      <c r="AM324" s="509"/>
      <c r="AN324" s="509"/>
      <c r="AO324" s="538"/>
      <c r="AP324" s="509"/>
      <c r="AQ324" s="509"/>
      <c r="AR324" s="509"/>
      <c r="AS324" s="509"/>
      <c r="AT324" s="538"/>
      <c r="AU324" s="509"/>
      <c r="AV324" s="509"/>
      <c r="AW324" s="509"/>
      <c r="AX324" s="509"/>
      <c r="AY324" s="538"/>
      <c r="AZ324" s="509"/>
      <c r="BA324" s="509"/>
      <c r="BB324" s="509"/>
      <c r="BC324" s="509"/>
      <c r="BD324" s="538"/>
      <c r="BE324" s="509"/>
      <c r="BF324" s="509"/>
      <c r="BG324" s="509"/>
      <c r="BH324" s="509"/>
      <c r="BI324" s="538"/>
      <c r="BJ324" s="509"/>
      <c r="BK324" s="509"/>
      <c r="BL324" s="509"/>
      <c r="BM324" s="509"/>
      <c r="BN324" s="538"/>
      <c r="BO324" s="509"/>
      <c r="BP324" s="509"/>
      <c r="BQ324" s="509"/>
      <c r="BR324" s="509"/>
      <c r="BS324" s="538"/>
      <c r="BT324" s="509"/>
      <c r="BU324" s="509"/>
      <c r="BV324" s="509"/>
      <c r="BW324" s="509"/>
      <c r="BX324" s="538"/>
      <c r="BY324" s="509"/>
      <c r="BZ324" s="509"/>
      <c r="CA324" s="509"/>
      <c r="CB324" s="509"/>
      <c r="CC324" s="538"/>
      <c r="CD324" s="509"/>
      <c r="CE324" s="509"/>
      <c r="CF324" s="509"/>
      <c r="CG324" s="509"/>
      <c r="CH324" s="538"/>
      <c r="CI324" s="509"/>
      <c r="CJ324" s="509"/>
      <c r="CK324" s="509"/>
      <c r="CL324" s="509"/>
      <c r="CM324" s="538"/>
      <c r="CN324" s="509"/>
      <c r="CO324" s="509"/>
      <c r="CP324" s="509"/>
      <c r="CQ324" s="509"/>
      <c r="CR324" s="509"/>
      <c r="CS324" s="509"/>
      <c r="CT324" s="509"/>
      <c r="CU324" s="509"/>
      <c r="CV324" s="509"/>
      <c r="CW324" s="509"/>
      <c r="CX324" s="509"/>
      <c r="CY324" s="509"/>
      <c r="CZ324" s="509"/>
      <c r="DA324" s="509"/>
      <c r="DB324" s="538"/>
      <c r="DC324" s="509"/>
      <c r="DD324" s="509"/>
      <c r="DE324" s="509"/>
      <c r="DF324" s="509"/>
      <c r="DG324" s="538"/>
      <c r="DH324" s="509"/>
      <c r="DI324" s="509"/>
      <c r="DJ324" s="509"/>
      <c r="DK324" s="509"/>
      <c r="DL324" s="538"/>
      <c r="DM324" s="509"/>
      <c r="DN324" s="509"/>
      <c r="DO324" s="509"/>
      <c r="DP324" s="509"/>
      <c r="DQ324" s="538"/>
      <c r="DR324" s="509"/>
      <c r="DS324" s="509"/>
      <c r="DT324" s="509"/>
      <c r="DU324" s="509"/>
      <c r="DV324" s="538"/>
      <c r="DW324" s="509"/>
      <c r="DX324" s="509"/>
      <c r="DY324" s="509"/>
      <c r="DZ324" s="509"/>
      <c r="EA324" s="538"/>
      <c r="EB324" s="509"/>
      <c r="EC324" s="509"/>
      <c r="ED324" s="509"/>
      <c r="EE324" s="509"/>
      <c r="EF324" s="538"/>
      <c r="EG324" s="509"/>
      <c r="EH324" s="509"/>
      <c r="EI324" s="509"/>
      <c r="EJ324" s="509"/>
      <c r="EK324" s="538"/>
      <c r="EL324" s="509"/>
      <c r="EM324" s="509"/>
      <c r="EN324" s="509"/>
      <c r="EO324" s="509"/>
      <c r="EP324" s="538"/>
      <c r="EQ324" s="509"/>
      <c r="ER324" s="509"/>
      <c r="ES324" s="509"/>
      <c r="ET324" s="509"/>
      <c r="EU324" s="538"/>
      <c r="EV324" s="509"/>
      <c r="EW324" s="509"/>
      <c r="EX324" s="509"/>
      <c r="EY324" s="509"/>
      <c r="EZ324" s="538"/>
      <c r="FA324" s="509"/>
      <c r="FB324" s="509"/>
      <c r="FC324" s="509"/>
      <c r="FD324" s="509"/>
      <c r="FE324" s="538"/>
      <c r="FF324" s="509"/>
      <c r="FG324" s="509"/>
      <c r="FH324" s="509"/>
      <c r="FI324" s="509"/>
      <c r="FJ324" s="538"/>
      <c r="FK324" s="538"/>
      <c r="FL324" s="538"/>
      <c r="FM324" s="538"/>
      <c r="FN324" s="538"/>
      <c r="FO324" s="538"/>
      <c r="FP324" s="538"/>
      <c r="FQ324" s="538"/>
      <c r="FR324" s="538"/>
      <c r="FS324" s="538"/>
      <c r="FT324" s="538"/>
      <c r="FU324" s="538"/>
      <c r="FV324" s="538"/>
      <c r="FW324" s="538"/>
      <c r="FX324" s="538"/>
      <c r="FY324" s="538"/>
      <c r="FZ324" s="538"/>
      <c r="GA324" s="538"/>
      <c r="GB324" s="538"/>
      <c r="GC324" s="538"/>
      <c r="GD324" s="538"/>
      <c r="GE324" s="538"/>
      <c r="GF324" s="538"/>
      <c r="GG324" s="538"/>
      <c r="GH324" s="538"/>
      <c r="GI324" s="538"/>
      <c r="GJ324" s="538"/>
      <c r="GK324" s="538"/>
      <c r="GL324" s="538"/>
      <c r="GM324" s="538"/>
      <c r="GN324" s="538"/>
      <c r="GO324" s="538"/>
      <c r="GP324" s="538"/>
      <c r="GQ324" s="538"/>
      <c r="GR324" s="538"/>
      <c r="GS324" s="538"/>
      <c r="GT324" s="538"/>
      <c r="GU324" s="538"/>
      <c r="GV324" s="538"/>
      <c r="GW324" s="538"/>
      <c r="GX324" s="538"/>
      <c r="GY324" s="538"/>
      <c r="GZ324" s="538"/>
      <c r="HA324" s="538"/>
      <c r="HB324" s="538"/>
      <c r="HC324" s="538"/>
      <c r="HD324" s="538"/>
      <c r="HE324" s="538"/>
      <c r="HF324" s="538"/>
      <c r="HG324" s="538"/>
      <c r="HH324" s="538"/>
      <c r="HI324" s="538"/>
      <c r="HJ324" s="538"/>
      <c r="HK324" s="538"/>
      <c r="HL324" s="538"/>
      <c r="HM324" s="538"/>
      <c r="HN324" s="538"/>
      <c r="HO324" s="538"/>
      <c r="HQ324" s="509"/>
      <c r="HY324" s="509"/>
      <c r="HZ324" s="509"/>
      <c r="IA324" s="509"/>
      <c r="IB324" s="509"/>
    </row>
    <row r="325" spans="1:236" s="563" customFormat="1" hidden="1" outlineLevel="1">
      <c r="A325" s="509"/>
      <c r="B325" s="509"/>
      <c r="C325" s="509"/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509"/>
      <c r="R325" s="509"/>
      <c r="S325" s="509"/>
      <c r="T325" s="509"/>
      <c r="U325" s="509"/>
      <c r="V325" s="509"/>
      <c r="W325" s="509"/>
      <c r="X325" s="509"/>
      <c r="Y325" s="509"/>
      <c r="Z325" s="509"/>
      <c r="AA325" s="509"/>
      <c r="AB325" s="509"/>
      <c r="AC325" s="509"/>
      <c r="AD325" s="509"/>
      <c r="AE325" s="509"/>
      <c r="AF325" s="509"/>
      <c r="AG325" s="509"/>
      <c r="AH325" s="509"/>
      <c r="AI325" s="509"/>
      <c r="AJ325" s="509"/>
      <c r="AK325" s="509"/>
      <c r="AL325" s="509"/>
      <c r="AM325" s="509"/>
      <c r="AN325" s="509"/>
      <c r="AO325" s="538"/>
      <c r="AP325" s="509"/>
      <c r="AQ325" s="509"/>
      <c r="AR325" s="509"/>
      <c r="AS325" s="509"/>
      <c r="AT325" s="538"/>
      <c r="AU325" s="509"/>
      <c r="AV325" s="509"/>
      <c r="AW325" s="509"/>
      <c r="AX325" s="509"/>
      <c r="AY325" s="538"/>
      <c r="AZ325" s="509"/>
      <c r="BA325" s="509"/>
      <c r="BB325" s="509"/>
      <c r="BC325" s="509"/>
      <c r="BD325" s="538"/>
      <c r="BE325" s="509"/>
      <c r="BF325" s="509"/>
      <c r="BG325" s="509"/>
      <c r="BH325" s="509"/>
      <c r="BI325" s="538"/>
      <c r="BJ325" s="509"/>
      <c r="BK325" s="509"/>
      <c r="BL325" s="509"/>
      <c r="BM325" s="509"/>
      <c r="BN325" s="538"/>
      <c r="BO325" s="509"/>
      <c r="BP325" s="509"/>
      <c r="BQ325" s="509"/>
      <c r="BR325" s="509"/>
      <c r="BS325" s="538"/>
      <c r="BT325" s="509"/>
      <c r="BU325" s="509"/>
      <c r="BV325" s="509"/>
      <c r="BW325" s="509"/>
      <c r="BX325" s="538"/>
      <c r="BY325" s="509"/>
      <c r="BZ325" s="509"/>
      <c r="CA325" s="509"/>
      <c r="CB325" s="509"/>
      <c r="CC325" s="538"/>
      <c r="CD325" s="509"/>
      <c r="CE325" s="509"/>
      <c r="CF325" s="509"/>
      <c r="CG325" s="509"/>
      <c r="CH325" s="538"/>
      <c r="CI325" s="509"/>
      <c r="CJ325" s="509"/>
      <c r="CK325" s="509"/>
      <c r="CL325" s="509"/>
      <c r="CM325" s="538"/>
      <c r="CN325" s="509"/>
      <c r="CO325" s="509"/>
      <c r="CP325" s="509"/>
      <c r="CQ325" s="509"/>
      <c r="CR325" s="509"/>
      <c r="CS325" s="509"/>
      <c r="CT325" s="509"/>
      <c r="CU325" s="509"/>
      <c r="CV325" s="509"/>
      <c r="CW325" s="509"/>
      <c r="CX325" s="509"/>
      <c r="CY325" s="509"/>
      <c r="CZ325" s="509"/>
      <c r="DA325" s="509"/>
      <c r="DB325" s="538"/>
      <c r="DC325" s="509"/>
      <c r="DD325" s="509"/>
      <c r="DE325" s="509"/>
      <c r="DF325" s="509"/>
      <c r="DG325" s="538"/>
      <c r="DH325" s="509"/>
      <c r="DI325" s="509"/>
      <c r="DJ325" s="509"/>
      <c r="DK325" s="509"/>
      <c r="DL325" s="538"/>
      <c r="DM325" s="509"/>
      <c r="DN325" s="509"/>
      <c r="DO325" s="509"/>
      <c r="DP325" s="509"/>
      <c r="DQ325" s="538"/>
      <c r="DR325" s="509"/>
      <c r="DS325" s="509"/>
      <c r="DT325" s="509"/>
      <c r="DU325" s="509"/>
      <c r="DV325" s="538"/>
      <c r="DW325" s="509"/>
      <c r="DX325" s="509"/>
      <c r="DY325" s="509"/>
      <c r="DZ325" s="509"/>
      <c r="EA325" s="538"/>
      <c r="EB325" s="509"/>
      <c r="EC325" s="509"/>
      <c r="ED325" s="509"/>
      <c r="EE325" s="509"/>
      <c r="EF325" s="538"/>
      <c r="EG325" s="509"/>
      <c r="EH325" s="509"/>
      <c r="EI325" s="509"/>
      <c r="EJ325" s="509"/>
      <c r="EK325" s="538"/>
      <c r="EL325" s="509"/>
      <c r="EM325" s="509"/>
      <c r="EN325" s="509"/>
      <c r="EO325" s="509"/>
      <c r="EP325" s="538"/>
      <c r="EQ325" s="509"/>
      <c r="ER325" s="509"/>
      <c r="ES325" s="509"/>
      <c r="ET325" s="509"/>
      <c r="EU325" s="538"/>
      <c r="EV325" s="509"/>
      <c r="EW325" s="509"/>
      <c r="EX325" s="509"/>
      <c r="EY325" s="509"/>
      <c r="EZ325" s="538"/>
      <c r="FA325" s="509"/>
      <c r="FB325" s="509"/>
      <c r="FC325" s="509"/>
      <c r="FD325" s="509"/>
      <c r="FE325" s="538"/>
      <c r="FF325" s="509"/>
      <c r="FG325" s="509"/>
      <c r="FH325" s="509"/>
      <c r="FI325" s="509"/>
      <c r="FJ325" s="538"/>
      <c r="FK325" s="538"/>
      <c r="FL325" s="538"/>
      <c r="FM325" s="538"/>
      <c r="FN325" s="538"/>
      <c r="FO325" s="538"/>
      <c r="FP325" s="538"/>
      <c r="FQ325" s="538"/>
      <c r="FR325" s="538"/>
      <c r="FS325" s="538"/>
      <c r="FT325" s="538"/>
      <c r="FU325" s="538"/>
      <c r="FV325" s="538"/>
      <c r="FW325" s="538"/>
      <c r="FX325" s="538"/>
      <c r="FY325" s="538"/>
      <c r="FZ325" s="538"/>
      <c r="GA325" s="538"/>
      <c r="GB325" s="538"/>
      <c r="GC325" s="538"/>
      <c r="GD325" s="538"/>
      <c r="GE325" s="538"/>
      <c r="GF325" s="538"/>
      <c r="GG325" s="538"/>
      <c r="GH325" s="538"/>
      <c r="GI325" s="538"/>
      <c r="GJ325" s="538"/>
      <c r="GK325" s="538"/>
      <c r="GL325" s="538"/>
      <c r="GM325" s="538"/>
      <c r="GN325" s="538"/>
      <c r="GO325" s="538"/>
      <c r="GP325" s="538"/>
      <c r="GQ325" s="538"/>
      <c r="GR325" s="538"/>
      <c r="GS325" s="538"/>
      <c r="GT325" s="538"/>
      <c r="GU325" s="538"/>
      <c r="GV325" s="538"/>
      <c r="GW325" s="538"/>
      <c r="GX325" s="538"/>
      <c r="GY325" s="538"/>
      <c r="GZ325" s="538"/>
      <c r="HA325" s="538"/>
      <c r="HB325" s="538"/>
      <c r="HC325" s="538"/>
      <c r="HD325" s="538"/>
      <c r="HE325" s="538"/>
      <c r="HF325" s="538"/>
      <c r="HG325" s="538"/>
      <c r="HH325" s="538"/>
      <c r="HI325" s="538"/>
      <c r="HJ325" s="538"/>
      <c r="HK325" s="538"/>
      <c r="HL325" s="538"/>
      <c r="HM325" s="538"/>
      <c r="HN325" s="538"/>
      <c r="HO325" s="538"/>
      <c r="HQ325" s="509"/>
      <c r="HY325" s="509"/>
      <c r="HZ325" s="509"/>
      <c r="IA325" s="509"/>
      <c r="IB325" s="509"/>
    </row>
    <row r="326" spans="1:236" s="563" customFormat="1" hidden="1" outlineLevel="1">
      <c r="A326" s="509"/>
      <c r="B326" s="509"/>
      <c r="C326" s="509"/>
      <c r="D326" s="509"/>
      <c r="E326" s="509"/>
      <c r="F326" s="509"/>
      <c r="G326" s="509"/>
      <c r="H326" s="509"/>
      <c r="I326" s="509"/>
      <c r="J326" s="509"/>
      <c r="K326" s="509"/>
      <c r="L326" s="509"/>
      <c r="M326" s="509"/>
      <c r="N326" s="509"/>
      <c r="O326" s="509"/>
      <c r="P326" s="509"/>
      <c r="Q326" s="509"/>
      <c r="R326" s="509"/>
      <c r="S326" s="509"/>
      <c r="T326" s="509"/>
      <c r="U326" s="509"/>
      <c r="V326" s="509"/>
      <c r="W326" s="509"/>
      <c r="X326" s="509"/>
      <c r="Y326" s="509"/>
      <c r="Z326" s="509"/>
      <c r="AA326" s="509"/>
      <c r="AB326" s="509"/>
      <c r="AC326" s="509"/>
      <c r="AD326" s="509"/>
      <c r="AE326" s="509"/>
      <c r="AF326" s="509"/>
      <c r="AG326" s="509"/>
      <c r="AH326" s="509"/>
      <c r="AI326" s="509"/>
      <c r="AJ326" s="509"/>
      <c r="AK326" s="509"/>
      <c r="AL326" s="509"/>
      <c r="AM326" s="509"/>
      <c r="AN326" s="509"/>
      <c r="AO326" s="538"/>
      <c r="AP326" s="509"/>
      <c r="AQ326" s="509"/>
      <c r="AR326" s="509"/>
      <c r="AS326" s="509"/>
      <c r="AT326" s="538"/>
      <c r="AU326" s="509"/>
      <c r="AV326" s="509"/>
      <c r="AW326" s="509"/>
      <c r="AX326" s="509"/>
      <c r="AY326" s="538"/>
      <c r="AZ326" s="509"/>
      <c r="BA326" s="509"/>
      <c r="BB326" s="509"/>
      <c r="BC326" s="509"/>
      <c r="BD326" s="538"/>
      <c r="BE326" s="509"/>
      <c r="BF326" s="509"/>
      <c r="BG326" s="509"/>
      <c r="BH326" s="509"/>
      <c r="BI326" s="538"/>
      <c r="BJ326" s="509"/>
      <c r="BK326" s="509"/>
      <c r="BL326" s="509"/>
      <c r="BM326" s="509"/>
      <c r="BN326" s="538"/>
      <c r="BO326" s="509"/>
      <c r="BP326" s="509"/>
      <c r="BQ326" s="509"/>
      <c r="BR326" s="509"/>
      <c r="BS326" s="538"/>
      <c r="BT326" s="509"/>
      <c r="BU326" s="509"/>
      <c r="BV326" s="509"/>
      <c r="BW326" s="509"/>
      <c r="BX326" s="538"/>
      <c r="BY326" s="509"/>
      <c r="BZ326" s="509"/>
      <c r="CA326" s="509"/>
      <c r="CB326" s="509"/>
      <c r="CC326" s="538"/>
      <c r="CD326" s="509"/>
      <c r="CE326" s="509"/>
      <c r="CF326" s="509"/>
      <c r="CG326" s="509"/>
      <c r="CH326" s="538"/>
      <c r="CI326" s="509"/>
      <c r="CJ326" s="509"/>
      <c r="CK326" s="509"/>
      <c r="CL326" s="509"/>
      <c r="CM326" s="538"/>
      <c r="CN326" s="509"/>
      <c r="CO326" s="509"/>
      <c r="CP326" s="509"/>
      <c r="CQ326" s="509"/>
      <c r="CR326" s="509"/>
      <c r="CS326" s="509"/>
      <c r="CT326" s="509"/>
      <c r="CU326" s="509"/>
      <c r="CV326" s="509"/>
      <c r="CW326" s="509"/>
      <c r="CX326" s="509"/>
      <c r="CY326" s="509"/>
      <c r="CZ326" s="509"/>
      <c r="DA326" s="509"/>
      <c r="DB326" s="538"/>
      <c r="DC326" s="509"/>
      <c r="DD326" s="509"/>
      <c r="DE326" s="509"/>
      <c r="DF326" s="509"/>
      <c r="DG326" s="538"/>
      <c r="DH326" s="509"/>
      <c r="DI326" s="509"/>
      <c r="DJ326" s="509"/>
      <c r="DK326" s="509"/>
      <c r="DL326" s="538"/>
      <c r="DM326" s="509"/>
      <c r="DN326" s="509"/>
      <c r="DO326" s="509"/>
      <c r="DP326" s="509"/>
      <c r="DQ326" s="538"/>
      <c r="DR326" s="509"/>
      <c r="DS326" s="509"/>
      <c r="DT326" s="509"/>
      <c r="DU326" s="509"/>
      <c r="DV326" s="538"/>
      <c r="DW326" s="509"/>
      <c r="DX326" s="509"/>
      <c r="DY326" s="509"/>
      <c r="DZ326" s="509"/>
      <c r="EA326" s="538"/>
      <c r="EB326" s="509"/>
      <c r="EC326" s="509"/>
      <c r="ED326" s="509"/>
      <c r="EE326" s="509"/>
      <c r="EF326" s="538"/>
      <c r="EG326" s="509"/>
      <c r="EH326" s="509"/>
      <c r="EI326" s="509"/>
      <c r="EJ326" s="509"/>
      <c r="EK326" s="538"/>
      <c r="EL326" s="509"/>
      <c r="EM326" s="509"/>
      <c r="EN326" s="509"/>
      <c r="EO326" s="509"/>
      <c r="EP326" s="538"/>
      <c r="EQ326" s="509"/>
      <c r="ER326" s="509"/>
      <c r="ES326" s="509"/>
      <c r="ET326" s="509"/>
      <c r="EU326" s="538"/>
      <c r="EV326" s="509"/>
      <c r="EW326" s="509"/>
      <c r="EX326" s="509"/>
      <c r="EY326" s="509"/>
      <c r="EZ326" s="538"/>
      <c r="FA326" s="509"/>
      <c r="FB326" s="509"/>
      <c r="FC326" s="509"/>
      <c r="FD326" s="509"/>
      <c r="FE326" s="538"/>
      <c r="FF326" s="509"/>
      <c r="FG326" s="509"/>
      <c r="FH326" s="509"/>
      <c r="FI326" s="509"/>
      <c r="FJ326" s="538"/>
      <c r="FK326" s="538"/>
      <c r="FL326" s="538"/>
      <c r="FM326" s="538"/>
      <c r="FN326" s="538"/>
      <c r="FO326" s="538"/>
      <c r="FP326" s="538"/>
      <c r="FQ326" s="538"/>
      <c r="FR326" s="538"/>
      <c r="FS326" s="538"/>
      <c r="FT326" s="538"/>
      <c r="FU326" s="538"/>
      <c r="FV326" s="538"/>
      <c r="FW326" s="538"/>
      <c r="FX326" s="538"/>
      <c r="FY326" s="538"/>
      <c r="FZ326" s="538"/>
      <c r="GA326" s="538"/>
      <c r="GB326" s="538"/>
      <c r="GC326" s="538"/>
      <c r="GD326" s="538"/>
      <c r="GE326" s="538"/>
      <c r="GF326" s="538"/>
      <c r="GG326" s="538"/>
      <c r="GH326" s="538"/>
      <c r="GI326" s="538"/>
      <c r="GJ326" s="538"/>
      <c r="GK326" s="538"/>
      <c r="GL326" s="538"/>
      <c r="GM326" s="538"/>
      <c r="GN326" s="538"/>
      <c r="GO326" s="538"/>
      <c r="GP326" s="538"/>
      <c r="GQ326" s="538"/>
      <c r="GR326" s="538"/>
      <c r="GS326" s="538"/>
      <c r="GT326" s="538"/>
      <c r="GU326" s="538"/>
      <c r="GV326" s="538"/>
      <c r="GW326" s="538"/>
      <c r="GX326" s="538"/>
      <c r="GY326" s="538"/>
      <c r="GZ326" s="538"/>
      <c r="HA326" s="538"/>
      <c r="HB326" s="538"/>
      <c r="HC326" s="538"/>
      <c r="HD326" s="538"/>
      <c r="HE326" s="538"/>
      <c r="HF326" s="538"/>
      <c r="HG326" s="538"/>
      <c r="HH326" s="538"/>
      <c r="HI326" s="538"/>
      <c r="HJ326" s="538"/>
      <c r="HK326" s="538"/>
      <c r="HL326" s="538"/>
      <c r="HM326" s="538"/>
      <c r="HN326" s="538"/>
      <c r="HO326" s="538"/>
      <c r="HQ326" s="509"/>
      <c r="HY326" s="509"/>
      <c r="HZ326" s="509"/>
      <c r="IA326" s="509"/>
      <c r="IB326" s="509"/>
    </row>
    <row r="327" spans="1:236" s="563" customFormat="1" hidden="1" outlineLevel="1">
      <c r="A327" s="509"/>
      <c r="B327" s="509"/>
      <c r="C327" s="509"/>
      <c r="D327" s="509"/>
      <c r="E327" s="509"/>
      <c r="F327" s="509"/>
      <c r="G327" s="509"/>
      <c r="H327" s="509"/>
      <c r="I327" s="509"/>
      <c r="J327" s="509"/>
      <c r="K327" s="509"/>
      <c r="L327" s="509"/>
      <c r="M327" s="509"/>
      <c r="N327" s="509"/>
      <c r="O327" s="509"/>
      <c r="P327" s="509"/>
      <c r="Q327" s="509"/>
      <c r="R327" s="509"/>
      <c r="S327" s="509"/>
      <c r="T327" s="509"/>
      <c r="U327" s="509"/>
      <c r="V327" s="509"/>
      <c r="W327" s="509"/>
      <c r="X327" s="509"/>
      <c r="Y327" s="509"/>
      <c r="Z327" s="509"/>
      <c r="AA327" s="509"/>
      <c r="AB327" s="509"/>
      <c r="AC327" s="509"/>
      <c r="AD327" s="509"/>
      <c r="AE327" s="509"/>
      <c r="AF327" s="509"/>
      <c r="AG327" s="509"/>
      <c r="AH327" s="509"/>
      <c r="AI327" s="509"/>
      <c r="AJ327" s="509"/>
      <c r="AK327" s="509"/>
      <c r="AL327" s="509"/>
      <c r="AM327" s="509"/>
      <c r="AN327" s="509"/>
      <c r="AO327" s="538"/>
      <c r="AP327" s="509"/>
      <c r="AQ327" s="509"/>
      <c r="AR327" s="509"/>
      <c r="AS327" s="509"/>
      <c r="AT327" s="538"/>
      <c r="AU327" s="509"/>
      <c r="AV327" s="509"/>
      <c r="AW327" s="509"/>
      <c r="AX327" s="509"/>
      <c r="AY327" s="538"/>
      <c r="AZ327" s="509"/>
      <c r="BA327" s="509"/>
      <c r="BB327" s="509"/>
      <c r="BC327" s="509"/>
      <c r="BD327" s="538"/>
      <c r="BE327" s="509"/>
      <c r="BF327" s="509"/>
      <c r="BG327" s="509"/>
      <c r="BH327" s="509"/>
      <c r="BI327" s="538"/>
      <c r="BJ327" s="509"/>
      <c r="BK327" s="509"/>
      <c r="BL327" s="509"/>
      <c r="BM327" s="509"/>
      <c r="BN327" s="538"/>
      <c r="BO327" s="509"/>
      <c r="BP327" s="509"/>
      <c r="BQ327" s="509"/>
      <c r="BR327" s="509"/>
      <c r="BS327" s="538"/>
      <c r="BT327" s="509"/>
      <c r="BU327" s="509"/>
      <c r="BV327" s="509"/>
      <c r="BW327" s="509"/>
      <c r="BX327" s="538"/>
      <c r="BY327" s="509"/>
      <c r="BZ327" s="509"/>
      <c r="CA327" s="509"/>
      <c r="CB327" s="509"/>
      <c r="CC327" s="538"/>
      <c r="CD327" s="509"/>
      <c r="CE327" s="509"/>
      <c r="CF327" s="509"/>
      <c r="CG327" s="509"/>
      <c r="CH327" s="538"/>
      <c r="CI327" s="509"/>
      <c r="CJ327" s="509"/>
      <c r="CK327" s="509"/>
      <c r="CL327" s="509"/>
      <c r="CM327" s="538"/>
      <c r="CN327" s="509"/>
      <c r="CO327" s="509"/>
      <c r="CP327" s="509"/>
      <c r="CQ327" s="509"/>
      <c r="CR327" s="509"/>
      <c r="CS327" s="509"/>
      <c r="CT327" s="509"/>
      <c r="CU327" s="509"/>
      <c r="CV327" s="509"/>
      <c r="CW327" s="509"/>
      <c r="CX327" s="509"/>
      <c r="CY327" s="509"/>
      <c r="CZ327" s="509"/>
      <c r="DA327" s="509"/>
      <c r="DB327" s="538"/>
      <c r="DC327" s="509"/>
      <c r="DD327" s="509"/>
      <c r="DE327" s="509"/>
      <c r="DF327" s="509"/>
      <c r="DG327" s="538"/>
      <c r="DH327" s="509"/>
      <c r="DI327" s="509"/>
      <c r="DJ327" s="509"/>
      <c r="DK327" s="509"/>
      <c r="DL327" s="538"/>
      <c r="DM327" s="509"/>
      <c r="DN327" s="509"/>
      <c r="DO327" s="509"/>
      <c r="DP327" s="509"/>
      <c r="DQ327" s="538"/>
      <c r="DR327" s="509"/>
      <c r="DS327" s="509"/>
      <c r="DT327" s="509"/>
      <c r="DU327" s="509"/>
      <c r="DV327" s="538"/>
      <c r="DW327" s="509"/>
      <c r="DX327" s="509"/>
      <c r="DY327" s="509"/>
      <c r="DZ327" s="509"/>
      <c r="EA327" s="538"/>
      <c r="EB327" s="509"/>
      <c r="EC327" s="509"/>
      <c r="ED327" s="509"/>
      <c r="EE327" s="509"/>
      <c r="EF327" s="538"/>
      <c r="EG327" s="509"/>
      <c r="EH327" s="509"/>
      <c r="EI327" s="509"/>
      <c r="EJ327" s="509"/>
      <c r="EK327" s="538"/>
      <c r="EL327" s="509"/>
      <c r="EM327" s="509"/>
      <c r="EN327" s="509"/>
      <c r="EO327" s="509"/>
      <c r="EP327" s="538"/>
      <c r="EQ327" s="509"/>
      <c r="ER327" s="509"/>
      <c r="ES327" s="509"/>
      <c r="ET327" s="509"/>
      <c r="EU327" s="538"/>
      <c r="EV327" s="509"/>
      <c r="EW327" s="509"/>
      <c r="EX327" s="509"/>
      <c r="EY327" s="509"/>
      <c r="EZ327" s="538"/>
      <c r="FA327" s="509"/>
      <c r="FB327" s="509"/>
      <c r="FC327" s="509"/>
      <c r="FD327" s="509"/>
      <c r="FE327" s="538"/>
      <c r="FF327" s="509"/>
      <c r="FG327" s="509"/>
      <c r="FH327" s="509"/>
      <c r="FI327" s="509"/>
      <c r="FJ327" s="538"/>
      <c r="FK327" s="538"/>
      <c r="FL327" s="538"/>
      <c r="FM327" s="538"/>
      <c r="FN327" s="538"/>
      <c r="FO327" s="538"/>
      <c r="FP327" s="538"/>
      <c r="FQ327" s="538"/>
      <c r="FR327" s="538"/>
      <c r="FS327" s="538"/>
      <c r="FT327" s="538"/>
      <c r="FU327" s="538"/>
      <c r="FV327" s="538"/>
      <c r="FW327" s="538"/>
      <c r="FX327" s="538"/>
      <c r="FY327" s="538"/>
      <c r="FZ327" s="538"/>
      <c r="GA327" s="538"/>
      <c r="GB327" s="538"/>
      <c r="GC327" s="538"/>
      <c r="GD327" s="538"/>
      <c r="GE327" s="538"/>
      <c r="GF327" s="538"/>
      <c r="GG327" s="538"/>
      <c r="GH327" s="538"/>
      <c r="GI327" s="538"/>
      <c r="GJ327" s="538"/>
      <c r="GK327" s="538"/>
      <c r="GL327" s="538"/>
      <c r="GM327" s="538"/>
      <c r="GN327" s="538"/>
      <c r="GO327" s="538"/>
      <c r="GP327" s="538"/>
      <c r="GQ327" s="538"/>
      <c r="GR327" s="538"/>
      <c r="GS327" s="538"/>
      <c r="GT327" s="538"/>
      <c r="GU327" s="538"/>
      <c r="GV327" s="538"/>
      <c r="GW327" s="538"/>
      <c r="GX327" s="538"/>
      <c r="GY327" s="538"/>
      <c r="GZ327" s="538"/>
      <c r="HA327" s="538"/>
      <c r="HB327" s="538"/>
      <c r="HC327" s="538"/>
      <c r="HD327" s="538"/>
      <c r="HE327" s="538"/>
      <c r="HF327" s="538"/>
      <c r="HG327" s="538"/>
      <c r="HH327" s="538"/>
      <c r="HI327" s="538"/>
      <c r="HJ327" s="538"/>
      <c r="HK327" s="538"/>
      <c r="HL327" s="538"/>
      <c r="HM327" s="538"/>
      <c r="HN327" s="538"/>
      <c r="HO327" s="538"/>
      <c r="HQ327" s="509"/>
      <c r="HY327" s="509"/>
      <c r="HZ327" s="509"/>
      <c r="IA327" s="509"/>
      <c r="IB327" s="509"/>
    </row>
    <row r="328" spans="1:236" s="563" customFormat="1" hidden="1" outlineLevel="1">
      <c r="A328" s="509"/>
      <c r="B328" s="509"/>
      <c r="C328" s="509"/>
      <c r="D328" s="509"/>
      <c r="E328" s="509"/>
      <c r="F328" s="509"/>
      <c r="G328" s="509"/>
      <c r="H328" s="509"/>
      <c r="I328" s="509"/>
      <c r="J328" s="509"/>
      <c r="K328" s="509"/>
      <c r="L328" s="509"/>
      <c r="M328" s="509"/>
      <c r="N328" s="509"/>
      <c r="O328" s="509"/>
      <c r="P328" s="509"/>
      <c r="Q328" s="509"/>
      <c r="R328" s="509"/>
      <c r="S328" s="509"/>
      <c r="T328" s="509"/>
      <c r="U328" s="509"/>
      <c r="V328" s="509"/>
      <c r="W328" s="509"/>
      <c r="X328" s="509"/>
      <c r="Y328" s="509"/>
      <c r="Z328" s="509"/>
      <c r="AA328" s="509"/>
      <c r="AB328" s="509"/>
      <c r="AC328" s="509"/>
      <c r="AD328" s="509"/>
      <c r="AE328" s="509"/>
      <c r="AF328" s="509"/>
      <c r="AG328" s="509"/>
      <c r="AH328" s="509"/>
      <c r="AI328" s="509"/>
      <c r="AJ328" s="509"/>
      <c r="AK328" s="509"/>
      <c r="AL328" s="509"/>
      <c r="AM328" s="509"/>
      <c r="AN328" s="509"/>
      <c r="AO328" s="538"/>
      <c r="AP328" s="509"/>
      <c r="AQ328" s="509"/>
      <c r="AR328" s="509"/>
      <c r="AS328" s="509"/>
      <c r="AT328" s="538"/>
      <c r="AU328" s="509"/>
      <c r="AV328" s="509"/>
      <c r="AW328" s="509"/>
      <c r="AX328" s="509"/>
      <c r="AY328" s="538"/>
      <c r="AZ328" s="509"/>
      <c r="BA328" s="509"/>
      <c r="BB328" s="509"/>
      <c r="BC328" s="509"/>
      <c r="BD328" s="538"/>
      <c r="BE328" s="509"/>
      <c r="BF328" s="509"/>
      <c r="BG328" s="509"/>
      <c r="BH328" s="509"/>
      <c r="BI328" s="538"/>
      <c r="BJ328" s="509"/>
      <c r="BK328" s="509"/>
      <c r="BL328" s="509"/>
      <c r="BM328" s="509"/>
      <c r="BN328" s="538"/>
      <c r="BO328" s="509"/>
      <c r="BP328" s="509"/>
      <c r="BQ328" s="509"/>
      <c r="BR328" s="509"/>
      <c r="BS328" s="538"/>
      <c r="BT328" s="509"/>
      <c r="BU328" s="509"/>
      <c r="BV328" s="509"/>
      <c r="BW328" s="509"/>
      <c r="BX328" s="538"/>
      <c r="BY328" s="509"/>
      <c r="BZ328" s="509"/>
      <c r="CA328" s="509"/>
      <c r="CB328" s="509"/>
      <c r="CC328" s="538"/>
      <c r="CD328" s="509"/>
      <c r="CE328" s="509"/>
      <c r="CF328" s="509"/>
      <c r="CG328" s="509"/>
      <c r="CH328" s="538"/>
      <c r="CI328" s="509"/>
      <c r="CJ328" s="509"/>
      <c r="CK328" s="509"/>
      <c r="CL328" s="509"/>
      <c r="CM328" s="538"/>
      <c r="CN328" s="509"/>
      <c r="CO328" s="509"/>
      <c r="CP328" s="509"/>
      <c r="CQ328" s="509"/>
      <c r="CR328" s="509"/>
      <c r="CS328" s="509"/>
      <c r="CT328" s="509"/>
      <c r="CU328" s="509"/>
      <c r="CV328" s="509"/>
      <c r="CW328" s="509"/>
      <c r="CX328" s="509"/>
      <c r="CY328" s="509"/>
      <c r="CZ328" s="509"/>
      <c r="DA328" s="509"/>
      <c r="DB328" s="538"/>
      <c r="DC328" s="509"/>
      <c r="DD328" s="509"/>
      <c r="DE328" s="509"/>
      <c r="DF328" s="509"/>
      <c r="DG328" s="538"/>
      <c r="DH328" s="509"/>
      <c r="DI328" s="509"/>
      <c r="DJ328" s="509"/>
      <c r="DK328" s="509"/>
      <c r="DL328" s="538"/>
      <c r="DM328" s="509"/>
      <c r="DN328" s="509"/>
      <c r="DO328" s="509"/>
      <c r="DP328" s="509"/>
      <c r="DQ328" s="538"/>
      <c r="DR328" s="509"/>
      <c r="DS328" s="509"/>
      <c r="DT328" s="509"/>
      <c r="DU328" s="509"/>
      <c r="DV328" s="538"/>
      <c r="DW328" s="509"/>
      <c r="DX328" s="509"/>
      <c r="DY328" s="509"/>
      <c r="DZ328" s="509"/>
      <c r="EA328" s="538"/>
      <c r="EB328" s="509"/>
      <c r="EC328" s="509"/>
      <c r="ED328" s="509"/>
      <c r="EE328" s="509"/>
      <c r="EF328" s="538"/>
      <c r="EG328" s="509"/>
      <c r="EH328" s="509"/>
      <c r="EI328" s="509"/>
      <c r="EJ328" s="509"/>
      <c r="EK328" s="538"/>
      <c r="EL328" s="509"/>
      <c r="EM328" s="509"/>
      <c r="EN328" s="509"/>
      <c r="EO328" s="509"/>
      <c r="EP328" s="538"/>
      <c r="EQ328" s="509"/>
      <c r="ER328" s="509"/>
      <c r="ES328" s="509"/>
      <c r="ET328" s="509"/>
      <c r="EU328" s="538"/>
      <c r="EV328" s="509"/>
      <c r="EW328" s="509"/>
      <c r="EX328" s="509"/>
      <c r="EY328" s="509"/>
      <c r="EZ328" s="538"/>
      <c r="FA328" s="509"/>
      <c r="FB328" s="509"/>
      <c r="FC328" s="509"/>
      <c r="FD328" s="509"/>
      <c r="FE328" s="538"/>
      <c r="FF328" s="509"/>
      <c r="FG328" s="509"/>
      <c r="FH328" s="509"/>
      <c r="FI328" s="509"/>
      <c r="FJ328" s="538"/>
      <c r="FK328" s="538"/>
      <c r="FL328" s="538"/>
      <c r="FM328" s="538"/>
      <c r="FN328" s="538"/>
      <c r="FO328" s="538"/>
      <c r="FP328" s="538"/>
      <c r="FQ328" s="538"/>
      <c r="FR328" s="538"/>
      <c r="FS328" s="538"/>
      <c r="FT328" s="538"/>
      <c r="FU328" s="538"/>
      <c r="FV328" s="538"/>
      <c r="FW328" s="538"/>
      <c r="FX328" s="538"/>
      <c r="FY328" s="538"/>
      <c r="FZ328" s="538"/>
      <c r="GA328" s="538"/>
      <c r="GB328" s="538"/>
      <c r="GC328" s="538"/>
      <c r="GD328" s="538"/>
      <c r="GE328" s="538"/>
      <c r="GF328" s="538"/>
      <c r="GG328" s="538"/>
      <c r="GH328" s="538"/>
      <c r="GI328" s="538"/>
      <c r="GJ328" s="538"/>
      <c r="GK328" s="538"/>
      <c r="GL328" s="538"/>
      <c r="GM328" s="538"/>
      <c r="GN328" s="538"/>
      <c r="GO328" s="538"/>
      <c r="GP328" s="538"/>
      <c r="GQ328" s="538"/>
      <c r="GR328" s="538"/>
      <c r="GS328" s="538"/>
      <c r="GT328" s="538"/>
      <c r="GU328" s="538"/>
      <c r="GV328" s="538"/>
      <c r="GW328" s="538"/>
      <c r="GX328" s="538"/>
      <c r="GY328" s="538"/>
      <c r="GZ328" s="538"/>
      <c r="HA328" s="538"/>
      <c r="HB328" s="538"/>
      <c r="HC328" s="538"/>
      <c r="HD328" s="538"/>
      <c r="HE328" s="538"/>
      <c r="HF328" s="538"/>
      <c r="HG328" s="538"/>
      <c r="HH328" s="538"/>
      <c r="HI328" s="538"/>
      <c r="HJ328" s="538"/>
      <c r="HK328" s="538"/>
      <c r="HL328" s="538"/>
      <c r="HM328" s="538"/>
      <c r="HN328" s="538"/>
      <c r="HO328" s="538"/>
      <c r="HQ328" s="509"/>
      <c r="HY328" s="509"/>
      <c r="HZ328" s="509"/>
      <c r="IA328" s="509"/>
      <c r="IB328" s="509"/>
    </row>
    <row r="329" spans="1:236" s="563" customFormat="1" hidden="1" outlineLevel="1">
      <c r="A329" s="509"/>
      <c r="B329" s="509"/>
      <c r="C329" s="509"/>
      <c r="D329" s="509"/>
      <c r="E329" s="509"/>
      <c r="F329" s="509"/>
      <c r="G329" s="509"/>
      <c r="H329" s="509"/>
      <c r="I329" s="509"/>
      <c r="J329" s="509"/>
      <c r="K329" s="509"/>
      <c r="L329" s="509"/>
      <c r="M329" s="509"/>
      <c r="N329" s="509"/>
      <c r="O329" s="509"/>
      <c r="P329" s="509"/>
      <c r="Q329" s="509"/>
      <c r="R329" s="509"/>
      <c r="S329" s="509"/>
      <c r="T329" s="509"/>
      <c r="U329" s="509"/>
      <c r="V329" s="509"/>
      <c r="W329" s="509"/>
      <c r="X329" s="509"/>
      <c r="Y329" s="509"/>
      <c r="Z329" s="509"/>
      <c r="AA329" s="509"/>
      <c r="AB329" s="509"/>
      <c r="AC329" s="509"/>
      <c r="AD329" s="509"/>
      <c r="AE329" s="509"/>
      <c r="AF329" s="509"/>
      <c r="AG329" s="509"/>
      <c r="AH329" s="509"/>
      <c r="AI329" s="509"/>
      <c r="AJ329" s="509"/>
      <c r="AK329" s="509"/>
      <c r="AL329" s="509"/>
      <c r="AM329" s="509"/>
      <c r="AN329" s="509"/>
      <c r="AO329" s="538"/>
      <c r="AP329" s="509"/>
      <c r="AQ329" s="509"/>
      <c r="AR329" s="509"/>
      <c r="AS329" s="509"/>
      <c r="AT329" s="538"/>
      <c r="AU329" s="509"/>
      <c r="AV329" s="509"/>
      <c r="AW329" s="509"/>
      <c r="AX329" s="509"/>
      <c r="AY329" s="538"/>
      <c r="AZ329" s="509"/>
      <c r="BA329" s="509"/>
      <c r="BB329" s="509"/>
      <c r="BC329" s="509"/>
      <c r="BD329" s="538"/>
      <c r="BE329" s="509"/>
      <c r="BF329" s="509"/>
      <c r="BG329" s="509"/>
      <c r="BH329" s="509"/>
      <c r="BI329" s="538"/>
      <c r="BJ329" s="509"/>
      <c r="BK329" s="509"/>
      <c r="BL329" s="509"/>
      <c r="BM329" s="509"/>
      <c r="BN329" s="538"/>
      <c r="BO329" s="509"/>
      <c r="BP329" s="509"/>
      <c r="BQ329" s="509"/>
      <c r="BR329" s="509"/>
      <c r="BS329" s="538"/>
      <c r="BT329" s="509"/>
      <c r="BU329" s="509"/>
      <c r="BV329" s="509"/>
      <c r="BW329" s="509"/>
      <c r="BX329" s="538"/>
      <c r="BY329" s="509"/>
      <c r="BZ329" s="509"/>
      <c r="CA329" s="509"/>
      <c r="CB329" s="509"/>
      <c r="CC329" s="538"/>
      <c r="CD329" s="509"/>
      <c r="CE329" s="509"/>
      <c r="CF329" s="509"/>
      <c r="CG329" s="509"/>
      <c r="CH329" s="538"/>
      <c r="CI329" s="509"/>
      <c r="CJ329" s="509"/>
      <c r="CK329" s="509"/>
      <c r="CL329" s="509"/>
      <c r="CM329" s="538"/>
      <c r="CN329" s="509"/>
      <c r="CO329" s="509"/>
      <c r="CP329" s="509"/>
      <c r="CQ329" s="509"/>
      <c r="CR329" s="509"/>
      <c r="CS329" s="509"/>
      <c r="CT329" s="509"/>
      <c r="CU329" s="509"/>
      <c r="CV329" s="509"/>
      <c r="CW329" s="509"/>
      <c r="CX329" s="509"/>
      <c r="CY329" s="509"/>
      <c r="CZ329" s="509"/>
      <c r="DA329" s="509"/>
      <c r="DB329" s="538"/>
      <c r="DC329" s="509"/>
      <c r="DD329" s="509"/>
      <c r="DE329" s="509"/>
      <c r="DF329" s="509"/>
      <c r="DG329" s="538"/>
      <c r="DH329" s="509"/>
      <c r="DI329" s="509"/>
      <c r="DJ329" s="509"/>
      <c r="DK329" s="509"/>
      <c r="DL329" s="538"/>
      <c r="DM329" s="509"/>
      <c r="DN329" s="509"/>
      <c r="DO329" s="509"/>
      <c r="DP329" s="509"/>
      <c r="DQ329" s="538"/>
      <c r="DR329" s="509"/>
      <c r="DS329" s="509"/>
      <c r="DT329" s="509"/>
      <c r="DU329" s="509"/>
      <c r="DV329" s="538"/>
      <c r="DW329" s="509"/>
      <c r="DX329" s="509"/>
      <c r="DY329" s="509"/>
      <c r="DZ329" s="509"/>
      <c r="EA329" s="538"/>
      <c r="EB329" s="509"/>
      <c r="EC329" s="509"/>
      <c r="ED329" s="509"/>
      <c r="EE329" s="509"/>
      <c r="EF329" s="538"/>
      <c r="EG329" s="509"/>
      <c r="EH329" s="509"/>
      <c r="EI329" s="509"/>
      <c r="EJ329" s="509"/>
      <c r="EK329" s="538"/>
      <c r="EL329" s="509"/>
      <c r="EM329" s="509"/>
      <c r="EN329" s="509"/>
      <c r="EO329" s="509"/>
      <c r="EP329" s="538"/>
      <c r="EQ329" s="509"/>
      <c r="ER329" s="509"/>
      <c r="ES329" s="509"/>
      <c r="ET329" s="509"/>
      <c r="EU329" s="538"/>
      <c r="EV329" s="509"/>
      <c r="EW329" s="509"/>
      <c r="EX329" s="509"/>
      <c r="EY329" s="509"/>
      <c r="EZ329" s="538"/>
      <c r="FA329" s="509"/>
      <c r="FB329" s="509"/>
      <c r="FC329" s="509"/>
      <c r="FD329" s="509"/>
      <c r="FE329" s="538"/>
      <c r="FF329" s="509"/>
      <c r="FG329" s="509"/>
      <c r="FH329" s="509"/>
      <c r="FI329" s="509"/>
      <c r="FJ329" s="538"/>
      <c r="FK329" s="538"/>
      <c r="FL329" s="538"/>
      <c r="FM329" s="538"/>
      <c r="FN329" s="538"/>
      <c r="FO329" s="538"/>
      <c r="FP329" s="538"/>
      <c r="FQ329" s="538"/>
      <c r="FR329" s="538"/>
      <c r="FS329" s="538"/>
      <c r="FT329" s="538"/>
      <c r="FU329" s="538"/>
      <c r="FV329" s="538"/>
      <c r="FW329" s="538"/>
      <c r="FX329" s="538"/>
      <c r="FY329" s="538"/>
      <c r="FZ329" s="538"/>
      <c r="GA329" s="538"/>
      <c r="GB329" s="538"/>
      <c r="GC329" s="538"/>
      <c r="GD329" s="538"/>
      <c r="GE329" s="538"/>
      <c r="GF329" s="538"/>
      <c r="GG329" s="538"/>
      <c r="GH329" s="538"/>
      <c r="GI329" s="538"/>
      <c r="GJ329" s="538"/>
      <c r="GK329" s="538"/>
      <c r="GL329" s="538"/>
      <c r="GM329" s="538"/>
      <c r="GN329" s="538"/>
      <c r="GO329" s="538"/>
      <c r="GP329" s="538"/>
      <c r="GQ329" s="538"/>
      <c r="GR329" s="538"/>
      <c r="GS329" s="538"/>
      <c r="GT329" s="538"/>
      <c r="GU329" s="538"/>
      <c r="GV329" s="538"/>
      <c r="GW329" s="538"/>
      <c r="GX329" s="538"/>
      <c r="GY329" s="538"/>
      <c r="GZ329" s="538"/>
      <c r="HA329" s="538"/>
      <c r="HB329" s="538"/>
      <c r="HC329" s="538"/>
      <c r="HD329" s="538"/>
      <c r="HE329" s="538"/>
      <c r="HF329" s="538"/>
      <c r="HG329" s="538"/>
      <c r="HH329" s="538"/>
      <c r="HI329" s="538"/>
      <c r="HJ329" s="538"/>
      <c r="HK329" s="538"/>
      <c r="HL329" s="538"/>
      <c r="HM329" s="538"/>
      <c r="HN329" s="538"/>
      <c r="HO329" s="538"/>
      <c r="HQ329" s="509"/>
      <c r="HY329" s="509"/>
      <c r="HZ329" s="509"/>
      <c r="IA329" s="509"/>
      <c r="IB329" s="509"/>
    </row>
    <row r="330" spans="1:236" s="563" customFormat="1" hidden="1" outlineLevel="1">
      <c r="A330" s="509"/>
      <c r="B330" s="509"/>
      <c r="C330" s="509"/>
      <c r="D330" s="509"/>
      <c r="E330" s="509"/>
      <c r="F330" s="509"/>
      <c r="G330" s="509"/>
      <c r="H330" s="509"/>
      <c r="I330" s="509"/>
      <c r="J330" s="509"/>
      <c r="K330" s="509"/>
      <c r="L330" s="509"/>
      <c r="M330" s="509"/>
      <c r="N330" s="509"/>
      <c r="O330" s="509"/>
      <c r="P330" s="509"/>
      <c r="Q330" s="509"/>
      <c r="R330" s="509"/>
      <c r="S330" s="509"/>
      <c r="T330" s="509"/>
      <c r="U330" s="509"/>
      <c r="V330" s="509"/>
      <c r="W330" s="509"/>
      <c r="X330" s="509"/>
      <c r="Y330" s="509"/>
      <c r="Z330" s="509"/>
      <c r="AA330" s="509"/>
      <c r="AB330" s="509"/>
      <c r="AC330" s="509"/>
      <c r="AD330" s="509"/>
      <c r="AE330" s="509"/>
      <c r="AF330" s="509"/>
      <c r="AG330" s="509"/>
      <c r="AH330" s="509"/>
      <c r="AI330" s="509"/>
      <c r="AJ330" s="509"/>
      <c r="AK330" s="509"/>
      <c r="AL330" s="509"/>
      <c r="AM330" s="509"/>
      <c r="AN330" s="509"/>
      <c r="AO330" s="538"/>
      <c r="AP330" s="509"/>
      <c r="AQ330" s="509"/>
      <c r="AR330" s="509"/>
      <c r="AS330" s="509"/>
      <c r="AT330" s="538"/>
      <c r="AU330" s="509"/>
      <c r="AV330" s="509"/>
      <c r="AW330" s="509"/>
      <c r="AX330" s="509"/>
      <c r="AY330" s="538"/>
      <c r="AZ330" s="509"/>
      <c r="BA330" s="509"/>
      <c r="BB330" s="509"/>
      <c r="BC330" s="509"/>
      <c r="BD330" s="538"/>
      <c r="BE330" s="509"/>
      <c r="BF330" s="509"/>
      <c r="BG330" s="509"/>
      <c r="BH330" s="509"/>
      <c r="BI330" s="538"/>
      <c r="BJ330" s="509"/>
      <c r="BK330" s="509"/>
      <c r="BL330" s="509"/>
      <c r="BM330" s="509"/>
      <c r="BN330" s="538"/>
      <c r="BO330" s="509"/>
      <c r="BP330" s="509"/>
      <c r="BQ330" s="509"/>
      <c r="BR330" s="509"/>
      <c r="BS330" s="538"/>
      <c r="BT330" s="509"/>
      <c r="BU330" s="509"/>
      <c r="BV330" s="509"/>
      <c r="BW330" s="509"/>
      <c r="BX330" s="538"/>
      <c r="BY330" s="509"/>
      <c r="BZ330" s="509"/>
      <c r="CA330" s="509"/>
      <c r="CB330" s="509"/>
      <c r="CC330" s="538"/>
      <c r="CD330" s="509"/>
      <c r="CE330" s="509"/>
      <c r="CF330" s="509"/>
      <c r="CG330" s="509"/>
      <c r="CH330" s="538"/>
      <c r="CI330" s="509"/>
      <c r="CJ330" s="509"/>
      <c r="CK330" s="509"/>
      <c r="CL330" s="509"/>
      <c r="CM330" s="538"/>
      <c r="CN330" s="509"/>
      <c r="CO330" s="509"/>
      <c r="CP330" s="509"/>
      <c r="CQ330" s="509"/>
      <c r="CR330" s="509"/>
      <c r="CS330" s="509"/>
      <c r="CT330" s="509"/>
      <c r="CU330" s="509"/>
      <c r="CV330" s="509"/>
      <c r="CW330" s="509"/>
      <c r="CX330" s="509"/>
      <c r="CY330" s="509"/>
      <c r="CZ330" s="509"/>
      <c r="DA330" s="509"/>
      <c r="DB330" s="538"/>
      <c r="DC330" s="509"/>
      <c r="DD330" s="509"/>
      <c r="DE330" s="509"/>
      <c r="DF330" s="509"/>
      <c r="DG330" s="538"/>
      <c r="DH330" s="509"/>
      <c r="DI330" s="509"/>
      <c r="DJ330" s="509"/>
      <c r="DK330" s="509"/>
      <c r="DL330" s="538"/>
      <c r="DM330" s="509"/>
      <c r="DN330" s="509"/>
      <c r="DO330" s="509"/>
      <c r="DP330" s="509"/>
      <c r="DQ330" s="538"/>
      <c r="DR330" s="509"/>
      <c r="DS330" s="509"/>
      <c r="DT330" s="509"/>
      <c r="DU330" s="509"/>
      <c r="DV330" s="538"/>
      <c r="DW330" s="509"/>
      <c r="DX330" s="509"/>
      <c r="DY330" s="509"/>
      <c r="DZ330" s="509"/>
      <c r="EA330" s="538"/>
      <c r="EB330" s="509"/>
      <c r="EC330" s="509"/>
      <c r="ED330" s="509"/>
      <c r="EE330" s="509"/>
      <c r="EF330" s="538"/>
      <c r="EG330" s="509"/>
      <c r="EH330" s="509"/>
      <c r="EI330" s="509"/>
      <c r="EJ330" s="509"/>
      <c r="EK330" s="538"/>
      <c r="EL330" s="509"/>
      <c r="EM330" s="509"/>
      <c r="EN330" s="509"/>
      <c r="EO330" s="509"/>
      <c r="EP330" s="538"/>
      <c r="EQ330" s="538"/>
      <c r="ER330" s="538"/>
      <c r="ES330" s="538"/>
      <c r="ET330" s="538"/>
      <c r="EU330" s="538"/>
      <c r="EV330" s="538"/>
      <c r="EW330" s="538"/>
      <c r="EX330" s="538"/>
      <c r="EY330" s="538"/>
      <c r="EZ330" s="538"/>
      <c r="FA330" s="538"/>
      <c r="FB330" s="538"/>
      <c r="FC330" s="538"/>
      <c r="FD330" s="538"/>
      <c r="FE330" s="538"/>
      <c r="FF330" s="538"/>
      <c r="FG330" s="538"/>
      <c r="FH330" s="538"/>
      <c r="FI330" s="538"/>
      <c r="FJ330" s="538"/>
      <c r="FK330" s="538"/>
      <c r="FL330" s="538"/>
      <c r="FM330" s="538"/>
      <c r="FN330" s="538"/>
      <c r="FO330" s="538"/>
      <c r="FP330" s="538"/>
      <c r="FQ330" s="538"/>
      <c r="FR330" s="538"/>
      <c r="FS330" s="538"/>
      <c r="FT330" s="538"/>
      <c r="FU330" s="538"/>
      <c r="FV330" s="538"/>
      <c r="FW330" s="538"/>
      <c r="FX330" s="538"/>
      <c r="FY330" s="538"/>
      <c r="FZ330" s="538"/>
      <c r="GA330" s="538"/>
      <c r="GB330" s="538"/>
      <c r="GC330" s="538"/>
      <c r="GD330" s="538"/>
      <c r="GE330" s="538"/>
      <c r="GF330" s="538"/>
      <c r="GG330" s="538"/>
      <c r="GH330" s="538"/>
      <c r="GI330" s="538"/>
      <c r="GJ330" s="538"/>
      <c r="GK330" s="538"/>
      <c r="GL330" s="538"/>
      <c r="GM330" s="538"/>
      <c r="GN330" s="538"/>
      <c r="GO330" s="538"/>
      <c r="GP330" s="538"/>
      <c r="GQ330" s="538"/>
      <c r="GR330" s="538"/>
      <c r="GS330" s="538"/>
      <c r="GT330" s="538"/>
      <c r="GU330" s="538"/>
      <c r="GV330" s="538"/>
      <c r="GW330" s="538"/>
      <c r="GX330" s="538"/>
      <c r="GY330" s="538"/>
      <c r="GZ330" s="538"/>
      <c r="HA330" s="538"/>
      <c r="HB330" s="538"/>
      <c r="HC330" s="538"/>
      <c r="HD330" s="538"/>
      <c r="HE330" s="538"/>
      <c r="HF330" s="538"/>
      <c r="HG330" s="538"/>
      <c r="HH330" s="538"/>
      <c r="HI330" s="538"/>
      <c r="HJ330" s="538"/>
      <c r="HK330" s="538"/>
      <c r="HL330" s="538"/>
      <c r="HM330" s="538"/>
      <c r="HN330" s="538"/>
      <c r="HO330" s="538"/>
      <c r="HQ330" s="509"/>
      <c r="HY330" s="509"/>
      <c r="HZ330" s="509"/>
      <c r="IA330" s="509"/>
      <c r="IB330" s="509"/>
    </row>
    <row r="331" spans="1:236" s="563" customFormat="1" hidden="1" outlineLevel="1">
      <c r="A331" s="509"/>
      <c r="B331" s="509"/>
      <c r="C331" s="509"/>
      <c r="D331" s="509"/>
      <c r="E331" s="509"/>
      <c r="F331" s="509"/>
      <c r="G331" s="509"/>
      <c r="H331" s="509"/>
      <c r="I331" s="509"/>
      <c r="J331" s="509"/>
      <c r="K331" s="509"/>
      <c r="L331" s="509"/>
      <c r="M331" s="509"/>
      <c r="N331" s="509"/>
      <c r="O331" s="509"/>
      <c r="P331" s="509"/>
      <c r="Q331" s="509"/>
      <c r="R331" s="509"/>
      <c r="S331" s="509"/>
      <c r="T331" s="509"/>
      <c r="U331" s="509"/>
      <c r="V331" s="509"/>
      <c r="W331" s="509"/>
      <c r="X331" s="509"/>
      <c r="Y331" s="509"/>
      <c r="Z331" s="509"/>
      <c r="AA331" s="509"/>
      <c r="AB331" s="509"/>
      <c r="AC331" s="509"/>
      <c r="AD331" s="509"/>
      <c r="AE331" s="509"/>
      <c r="AF331" s="509"/>
      <c r="AG331" s="509"/>
      <c r="AH331" s="509"/>
      <c r="AI331" s="509"/>
      <c r="AJ331" s="509"/>
      <c r="AK331" s="509"/>
      <c r="AL331" s="509"/>
      <c r="AM331" s="509"/>
      <c r="AN331" s="509"/>
      <c r="AO331" s="538"/>
      <c r="AP331" s="509"/>
      <c r="AQ331" s="509"/>
      <c r="AR331" s="509"/>
      <c r="AS331" s="509"/>
      <c r="AT331" s="538"/>
      <c r="AU331" s="509"/>
      <c r="AV331" s="509"/>
      <c r="AW331" s="509"/>
      <c r="AX331" s="509"/>
      <c r="AY331" s="538"/>
      <c r="AZ331" s="509"/>
      <c r="BA331" s="509"/>
      <c r="BB331" s="509"/>
      <c r="BC331" s="509"/>
      <c r="BD331" s="538"/>
      <c r="BE331" s="509"/>
      <c r="BF331" s="509"/>
      <c r="BG331" s="509"/>
      <c r="BH331" s="509"/>
      <c r="BI331" s="538"/>
      <c r="BJ331" s="509"/>
      <c r="BK331" s="509"/>
      <c r="BL331" s="509"/>
      <c r="BM331" s="509"/>
      <c r="BN331" s="538"/>
      <c r="BO331" s="509"/>
      <c r="BP331" s="509"/>
      <c r="BQ331" s="509"/>
      <c r="BR331" s="509"/>
      <c r="BS331" s="538"/>
      <c r="BT331" s="509"/>
      <c r="BU331" s="509"/>
      <c r="BV331" s="509"/>
      <c r="BW331" s="509"/>
      <c r="BX331" s="538"/>
      <c r="BY331" s="509"/>
      <c r="BZ331" s="509"/>
      <c r="CA331" s="509"/>
      <c r="CB331" s="509"/>
      <c r="CC331" s="538"/>
      <c r="CD331" s="509"/>
      <c r="CE331" s="509"/>
      <c r="CF331" s="509"/>
      <c r="CG331" s="509"/>
      <c r="CH331" s="538"/>
      <c r="CI331" s="509"/>
      <c r="CJ331" s="509"/>
      <c r="CK331" s="509"/>
      <c r="CL331" s="509"/>
      <c r="CM331" s="538"/>
      <c r="CN331" s="509"/>
      <c r="CO331" s="509"/>
      <c r="CP331" s="509"/>
      <c r="CQ331" s="509"/>
      <c r="CR331" s="509"/>
      <c r="CS331" s="509"/>
      <c r="CT331" s="509"/>
      <c r="CU331" s="509"/>
      <c r="CV331" s="509"/>
      <c r="CW331" s="509"/>
      <c r="CX331" s="509"/>
      <c r="CY331" s="509"/>
      <c r="CZ331" s="509"/>
      <c r="DA331" s="509"/>
      <c r="DB331" s="538"/>
      <c r="DC331" s="509"/>
      <c r="DD331" s="509"/>
      <c r="DE331" s="509"/>
      <c r="DF331" s="509"/>
      <c r="DG331" s="538"/>
      <c r="DH331" s="509"/>
      <c r="DI331" s="509"/>
      <c r="DJ331" s="509"/>
      <c r="DK331" s="509"/>
      <c r="DL331" s="538"/>
      <c r="DM331" s="509"/>
      <c r="DN331" s="509"/>
      <c r="DO331" s="509"/>
      <c r="DP331" s="509"/>
      <c r="DQ331" s="538"/>
      <c r="DR331" s="509"/>
      <c r="DS331" s="509"/>
      <c r="DT331" s="509"/>
      <c r="DU331" s="509"/>
      <c r="DV331" s="538"/>
      <c r="DW331" s="509"/>
      <c r="DX331" s="509"/>
      <c r="DY331" s="509"/>
      <c r="DZ331" s="509"/>
      <c r="EA331" s="538"/>
      <c r="EB331" s="509"/>
      <c r="EC331" s="509"/>
      <c r="ED331" s="509"/>
      <c r="EE331" s="509"/>
      <c r="EF331" s="538"/>
      <c r="EG331" s="509"/>
      <c r="EH331" s="509"/>
      <c r="EI331" s="509"/>
      <c r="EJ331" s="509"/>
      <c r="EK331" s="538"/>
      <c r="EL331" s="509"/>
      <c r="EM331" s="509"/>
      <c r="EN331" s="509"/>
      <c r="EO331" s="509"/>
      <c r="EP331" s="538"/>
      <c r="EQ331" s="538"/>
      <c r="ER331" s="538"/>
      <c r="ES331" s="538"/>
      <c r="ET331" s="538"/>
      <c r="EU331" s="538"/>
      <c r="EV331" s="538"/>
      <c r="EW331" s="538"/>
      <c r="EX331" s="538"/>
      <c r="EY331" s="538"/>
      <c r="EZ331" s="538"/>
      <c r="FA331" s="538"/>
      <c r="FB331" s="538"/>
      <c r="FC331" s="538"/>
      <c r="FD331" s="538"/>
      <c r="FE331" s="538"/>
      <c r="FF331" s="538"/>
      <c r="FG331" s="538"/>
      <c r="FH331" s="538"/>
      <c r="FI331" s="538"/>
      <c r="FJ331" s="538"/>
      <c r="FK331" s="538"/>
      <c r="FL331" s="538"/>
      <c r="FM331" s="538"/>
      <c r="FN331" s="538"/>
      <c r="FO331" s="538"/>
      <c r="FP331" s="538"/>
      <c r="FQ331" s="538"/>
      <c r="FR331" s="538"/>
      <c r="FS331" s="538"/>
      <c r="FT331" s="538"/>
      <c r="FU331" s="538"/>
      <c r="FV331" s="538"/>
      <c r="FW331" s="538"/>
      <c r="FX331" s="538"/>
      <c r="FY331" s="538"/>
      <c r="FZ331" s="538"/>
      <c r="GA331" s="538"/>
      <c r="GB331" s="538"/>
      <c r="GC331" s="538"/>
      <c r="GD331" s="538"/>
      <c r="GE331" s="538"/>
      <c r="GF331" s="538"/>
      <c r="GG331" s="538"/>
      <c r="GH331" s="538"/>
      <c r="GI331" s="538"/>
      <c r="GJ331" s="538"/>
      <c r="GK331" s="538"/>
      <c r="GL331" s="538"/>
      <c r="GM331" s="538"/>
      <c r="GN331" s="538"/>
      <c r="GO331" s="538"/>
      <c r="GP331" s="538"/>
      <c r="GQ331" s="538"/>
      <c r="GR331" s="538"/>
      <c r="GS331" s="538"/>
      <c r="GT331" s="538"/>
      <c r="GU331" s="538"/>
      <c r="GV331" s="538"/>
      <c r="GW331" s="538"/>
      <c r="GX331" s="538"/>
      <c r="GY331" s="538"/>
      <c r="GZ331" s="538"/>
      <c r="HA331" s="538"/>
      <c r="HB331" s="538"/>
      <c r="HC331" s="538"/>
      <c r="HD331" s="538"/>
      <c r="HE331" s="538"/>
      <c r="HF331" s="538"/>
      <c r="HG331" s="538"/>
      <c r="HH331" s="538"/>
      <c r="HI331" s="538"/>
      <c r="HJ331" s="538"/>
      <c r="HK331" s="538"/>
      <c r="HL331" s="538"/>
      <c r="HM331" s="538"/>
      <c r="HN331" s="538"/>
      <c r="HO331" s="538"/>
      <c r="HQ331" s="509"/>
      <c r="HY331" s="509"/>
      <c r="HZ331" s="509"/>
      <c r="IA331" s="509"/>
      <c r="IB331" s="509"/>
    </row>
    <row r="332" spans="1:236" s="563" customFormat="1" hidden="1" outlineLevel="1">
      <c r="A332" s="509"/>
      <c r="B332" s="509"/>
      <c r="C332" s="509"/>
      <c r="D332" s="509"/>
      <c r="E332" s="509"/>
      <c r="F332" s="509"/>
      <c r="G332" s="509"/>
      <c r="H332" s="509"/>
      <c r="I332" s="509"/>
      <c r="J332" s="509"/>
      <c r="K332" s="509"/>
      <c r="L332" s="509"/>
      <c r="M332" s="509"/>
      <c r="N332" s="509"/>
      <c r="O332" s="509"/>
      <c r="P332" s="509"/>
      <c r="Q332" s="509"/>
      <c r="R332" s="509"/>
      <c r="S332" s="509"/>
      <c r="T332" s="509"/>
      <c r="U332" s="509"/>
      <c r="V332" s="509"/>
      <c r="W332" s="509"/>
      <c r="X332" s="509"/>
      <c r="Y332" s="509"/>
      <c r="Z332" s="509"/>
      <c r="AA332" s="509"/>
      <c r="AB332" s="509"/>
      <c r="AC332" s="509"/>
      <c r="AD332" s="509"/>
      <c r="AE332" s="509"/>
      <c r="AF332" s="509"/>
      <c r="AG332" s="509"/>
      <c r="AH332" s="509"/>
      <c r="AI332" s="509"/>
      <c r="AJ332" s="509"/>
      <c r="AK332" s="509"/>
      <c r="AL332" s="509"/>
      <c r="AM332" s="509"/>
      <c r="AN332" s="509"/>
      <c r="AO332" s="538"/>
      <c r="AP332" s="509"/>
      <c r="AQ332" s="509"/>
      <c r="AR332" s="509"/>
      <c r="AS332" s="509"/>
      <c r="AT332" s="538"/>
      <c r="AU332" s="509"/>
      <c r="AV332" s="509"/>
      <c r="AW332" s="509"/>
      <c r="AX332" s="509"/>
      <c r="AY332" s="538"/>
      <c r="AZ332" s="509"/>
      <c r="BA332" s="509"/>
      <c r="BB332" s="509"/>
      <c r="BC332" s="509"/>
      <c r="BD332" s="538"/>
      <c r="BE332" s="509"/>
      <c r="BF332" s="509"/>
      <c r="BG332" s="509"/>
      <c r="BH332" s="509"/>
      <c r="BI332" s="538"/>
      <c r="BJ332" s="509"/>
      <c r="BK332" s="509"/>
      <c r="BL332" s="509"/>
      <c r="BM332" s="509"/>
      <c r="BN332" s="538"/>
      <c r="BO332" s="509"/>
      <c r="BP332" s="509"/>
      <c r="BQ332" s="509"/>
      <c r="BR332" s="509"/>
      <c r="BS332" s="538"/>
      <c r="BT332" s="509"/>
      <c r="BU332" s="509"/>
      <c r="BV332" s="509"/>
      <c r="BW332" s="509"/>
      <c r="BX332" s="538"/>
      <c r="BY332" s="509"/>
      <c r="BZ332" s="509"/>
      <c r="CA332" s="509"/>
      <c r="CB332" s="509"/>
      <c r="CC332" s="538"/>
      <c r="CD332" s="509"/>
      <c r="CE332" s="509"/>
      <c r="CF332" s="509"/>
      <c r="CG332" s="509"/>
      <c r="CH332" s="538"/>
      <c r="CI332" s="509"/>
      <c r="CJ332" s="509"/>
      <c r="CK332" s="509"/>
      <c r="CL332" s="509"/>
      <c r="CM332" s="538"/>
      <c r="CN332" s="509"/>
      <c r="CO332" s="509"/>
      <c r="CP332" s="509"/>
      <c r="CQ332" s="509"/>
      <c r="CR332" s="509"/>
      <c r="CS332" s="509"/>
      <c r="CT332" s="509"/>
      <c r="CU332" s="509"/>
      <c r="CV332" s="509"/>
      <c r="CW332" s="509"/>
      <c r="CX332" s="509"/>
      <c r="CY332" s="509"/>
      <c r="CZ332" s="509"/>
      <c r="DA332" s="509"/>
      <c r="DB332" s="538"/>
      <c r="DC332" s="509"/>
      <c r="DD332" s="509"/>
      <c r="DE332" s="509"/>
      <c r="DF332" s="509"/>
      <c r="DG332" s="538"/>
      <c r="DH332" s="509"/>
      <c r="DI332" s="509"/>
      <c r="DJ332" s="509"/>
      <c r="DK332" s="509"/>
      <c r="DL332" s="538"/>
      <c r="DM332" s="509"/>
      <c r="DN332" s="509"/>
      <c r="DO332" s="509"/>
      <c r="DP332" s="509"/>
      <c r="DQ332" s="538"/>
      <c r="DR332" s="509"/>
      <c r="DS332" s="509"/>
      <c r="DT332" s="509"/>
      <c r="DU332" s="509"/>
      <c r="DV332" s="538"/>
      <c r="DW332" s="509"/>
      <c r="DX332" s="509"/>
      <c r="DY332" s="509"/>
      <c r="DZ332" s="509"/>
      <c r="EA332" s="538"/>
      <c r="EB332" s="509"/>
      <c r="EC332" s="509"/>
      <c r="ED332" s="509"/>
      <c r="EE332" s="509"/>
      <c r="EF332" s="538"/>
      <c r="EG332" s="509"/>
      <c r="EH332" s="509"/>
      <c r="EI332" s="509"/>
      <c r="EJ332" s="509"/>
      <c r="EK332" s="538"/>
      <c r="EL332" s="509"/>
      <c r="EM332" s="509"/>
      <c r="EN332" s="509"/>
      <c r="EO332" s="509"/>
      <c r="EP332" s="538"/>
      <c r="EQ332" s="538"/>
      <c r="ER332" s="538"/>
      <c r="ES332" s="538"/>
      <c r="ET332" s="538"/>
      <c r="EU332" s="538"/>
      <c r="EV332" s="538"/>
      <c r="EW332" s="538"/>
      <c r="EX332" s="538"/>
      <c r="EY332" s="538"/>
      <c r="EZ332" s="538"/>
      <c r="FA332" s="538"/>
      <c r="FB332" s="538"/>
      <c r="FC332" s="538"/>
      <c r="FD332" s="538"/>
      <c r="FE332" s="538"/>
      <c r="FF332" s="538"/>
      <c r="FG332" s="538"/>
      <c r="FH332" s="538"/>
      <c r="FI332" s="538"/>
      <c r="FJ332" s="538"/>
      <c r="FK332" s="538"/>
      <c r="FL332" s="538"/>
      <c r="FM332" s="538"/>
      <c r="FN332" s="538"/>
      <c r="FO332" s="538"/>
      <c r="FP332" s="538"/>
      <c r="FQ332" s="538"/>
      <c r="FR332" s="538"/>
      <c r="FS332" s="538"/>
      <c r="FT332" s="538"/>
      <c r="FU332" s="538"/>
      <c r="FV332" s="538"/>
      <c r="FW332" s="538"/>
      <c r="FX332" s="538"/>
      <c r="FY332" s="538"/>
      <c r="FZ332" s="538"/>
      <c r="GA332" s="538"/>
      <c r="GB332" s="538"/>
      <c r="GC332" s="538"/>
      <c r="GD332" s="538"/>
      <c r="GE332" s="538"/>
      <c r="GF332" s="538"/>
      <c r="GG332" s="538"/>
      <c r="GH332" s="538"/>
      <c r="GI332" s="538"/>
      <c r="GJ332" s="538"/>
      <c r="GK332" s="538"/>
      <c r="GL332" s="538"/>
      <c r="GM332" s="538"/>
      <c r="GN332" s="538"/>
      <c r="GO332" s="538"/>
      <c r="GP332" s="538"/>
      <c r="GQ332" s="538"/>
      <c r="GR332" s="538"/>
      <c r="GS332" s="538"/>
      <c r="GT332" s="538"/>
      <c r="GU332" s="538"/>
      <c r="GV332" s="538"/>
      <c r="GW332" s="538"/>
      <c r="GX332" s="538"/>
      <c r="GY332" s="538"/>
      <c r="GZ332" s="538"/>
      <c r="HA332" s="538"/>
      <c r="HB332" s="538"/>
      <c r="HC332" s="538"/>
      <c r="HD332" s="538"/>
      <c r="HE332" s="538"/>
      <c r="HF332" s="538"/>
      <c r="HG332" s="538"/>
      <c r="HH332" s="538"/>
      <c r="HI332" s="538"/>
      <c r="HJ332" s="538"/>
      <c r="HK332" s="538"/>
      <c r="HL332" s="538"/>
      <c r="HM332" s="538"/>
      <c r="HN332" s="538"/>
      <c r="HO332" s="538"/>
      <c r="HQ332" s="509"/>
      <c r="HY332" s="509"/>
      <c r="HZ332" s="509"/>
      <c r="IA332" s="509"/>
      <c r="IB332" s="509"/>
    </row>
    <row r="333" spans="1:236" s="563" customFormat="1" hidden="1" outlineLevel="1">
      <c r="A333" s="509"/>
      <c r="B333" s="509"/>
      <c r="C333" s="509"/>
      <c r="D333" s="509"/>
      <c r="E333" s="509"/>
      <c r="F333" s="509"/>
      <c r="G333" s="509"/>
      <c r="H333" s="509"/>
      <c r="I333" s="509"/>
      <c r="J333" s="509"/>
      <c r="K333" s="509"/>
      <c r="L333" s="509"/>
      <c r="M333" s="509"/>
      <c r="N333" s="509"/>
      <c r="O333" s="509"/>
      <c r="P333" s="509"/>
      <c r="Q333" s="509"/>
      <c r="R333" s="509"/>
      <c r="S333" s="509"/>
      <c r="T333" s="509"/>
      <c r="U333" s="509"/>
      <c r="V333" s="509"/>
      <c r="W333" s="509"/>
      <c r="X333" s="509"/>
      <c r="Y333" s="509"/>
      <c r="Z333" s="509"/>
      <c r="AA333" s="509"/>
      <c r="AB333" s="509"/>
      <c r="AC333" s="509"/>
      <c r="AD333" s="509"/>
      <c r="AE333" s="509"/>
      <c r="AF333" s="509"/>
      <c r="AG333" s="509"/>
      <c r="AH333" s="509"/>
      <c r="AI333" s="509"/>
      <c r="AJ333" s="509"/>
      <c r="AK333" s="509"/>
      <c r="AL333" s="509"/>
      <c r="AM333" s="509"/>
      <c r="AN333" s="509"/>
      <c r="AO333" s="538"/>
      <c r="AP333" s="509"/>
      <c r="AQ333" s="509"/>
      <c r="AR333" s="509"/>
      <c r="AS333" s="509"/>
      <c r="AT333" s="538"/>
      <c r="AU333" s="509"/>
      <c r="AV333" s="509"/>
      <c r="AW333" s="509"/>
      <c r="AX333" s="509"/>
      <c r="AY333" s="538"/>
      <c r="AZ333" s="509"/>
      <c r="BA333" s="509"/>
      <c r="BB333" s="509"/>
      <c r="BC333" s="509"/>
      <c r="BD333" s="538"/>
      <c r="BE333" s="509"/>
      <c r="BF333" s="509"/>
      <c r="BG333" s="509"/>
      <c r="BH333" s="509"/>
      <c r="BI333" s="538"/>
      <c r="BJ333" s="509"/>
      <c r="BK333" s="509"/>
      <c r="BL333" s="509"/>
      <c r="BM333" s="509"/>
      <c r="BN333" s="538"/>
      <c r="BO333" s="509"/>
      <c r="BP333" s="509"/>
      <c r="BQ333" s="509"/>
      <c r="BR333" s="509"/>
      <c r="BS333" s="538"/>
      <c r="BT333" s="509"/>
      <c r="BU333" s="509"/>
      <c r="BV333" s="509"/>
      <c r="BW333" s="509"/>
      <c r="BX333" s="538"/>
      <c r="BY333" s="509"/>
      <c r="BZ333" s="509"/>
      <c r="CA333" s="509"/>
      <c r="CB333" s="509"/>
      <c r="CC333" s="538"/>
      <c r="CD333" s="509"/>
      <c r="CE333" s="509"/>
      <c r="CF333" s="509"/>
      <c r="CG333" s="509"/>
      <c r="CH333" s="538"/>
      <c r="CI333" s="509"/>
      <c r="CJ333" s="509"/>
      <c r="CK333" s="509"/>
      <c r="CL333" s="509"/>
      <c r="CM333" s="538"/>
      <c r="CN333" s="509"/>
      <c r="CO333" s="509"/>
      <c r="CP333" s="509"/>
      <c r="CQ333" s="509"/>
      <c r="CR333" s="509"/>
      <c r="CS333" s="509"/>
      <c r="CT333" s="509"/>
      <c r="CU333" s="509"/>
      <c r="CV333" s="509"/>
      <c r="CW333" s="509"/>
      <c r="CX333" s="509"/>
      <c r="CY333" s="509"/>
      <c r="CZ333" s="509"/>
      <c r="DA333" s="509"/>
      <c r="DB333" s="538"/>
      <c r="DC333" s="509"/>
      <c r="DD333" s="509"/>
      <c r="DE333" s="509"/>
      <c r="DF333" s="509"/>
      <c r="DG333" s="538"/>
      <c r="DH333" s="509"/>
      <c r="DI333" s="509"/>
      <c r="DJ333" s="509"/>
      <c r="DK333" s="509"/>
      <c r="DL333" s="538"/>
      <c r="DM333" s="509"/>
      <c r="DN333" s="509"/>
      <c r="DO333" s="509"/>
      <c r="DP333" s="509"/>
      <c r="DQ333" s="538"/>
      <c r="DR333" s="509"/>
      <c r="DS333" s="509"/>
      <c r="DT333" s="509"/>
      <c r="DU333" s="509"/>
      <c r="DV333" s="538"/>
      <c r="DW333" s="509"/>
      <c r="DX333" s="509"/>
      <c r="DY333" s="509"/>
      <c r="DZ333" s="509"/>
      <c r="EA333" s="538"/>
      <c r="EB333" s="509"/>
      <c r="EC333" s="509"/>
      <c r="ED333" s="509"/>
      <c r="EE333" s="509"/>
      <c r="EF333" s="538"/>
      <c r="EG333" s="509"/>
      <c r="EH333" s="509"/>
      <c r="EI333" s="509"/>
      <c r="EJ333" s="509"/>
      <c r="EK333" s="538"/>
      <c r="EL333" s="509"/>
      <c r="EM333" s="509"/>
      <c r="EN333" s="509"/>
      <c r="EO333" s="509"/>
      <c r="EP333" s="538"/>
      <c r="EQ333" s="538"/>
      <c r="ER333" s="538"/>
      <c r="ES333" s="538"/>
      <c r="ET333" s="538"/>
      <c r="EU333" s="538"/>
      <c r="EV333" s="538"/>
      <c r="EW333" s="538"/>
      <c r="EX333" s="538"/>
      <c r="EY333" s="538"/>
      <c r="EZ333" s="538"/>
      <c r="FA333" s="538"/>
      <c r="FB333" s="538"/>
      <c r="FC333" s="538"/>
      <c r="FD333" s="538"/>
      <c r="FE333" s="538"/>
      <c r="FF333" s="538"/>
      <c r="FG333" s="538"/>
      <c r="FH333" s="538"/>
      <c r="FI333" s="538"/>
      <c r="FJ333" s="538"/>
      <c r="FK333" s="538"/>
      <c r="FL333" s="538"/>
      <c r="FM333" s="538"/>
      <c r="FN333" s="538"/>
      <c r="FO333" s="538"/>
      <c r="FP333" s="538"/>
      <c r="FQ333" s="538"/>
      <c r="FR333" s="538"/>
      <c r="FS333" s="538"/>
      <c r="FT333" s="538"/>
      <c r="FU333" s="538"/>
      <c r="FV333" s="538"/>
      <c r="FW333" s="538"/>
      <c r="FX333" s="538"/>
      <c r="FY333" s="538"/>
      <c r="FZ333" s="538"/>
      <c r="GA333" s="538"/>
      <c r="GB333" s="538"/>
      <c r="GC333" s="538"/>
      <c r="GD333" s="538"/>
      <c r="GE333" s="538"/>
      <c r="GF333" s="538"/>
      <c r="GG333" s="538"/>
      <c r="GH333" s="538"/>
      <c r="GI333" s="538"/>
      <c r="GJ333" s="538"/>
      <c r="GK333" s="538"/>
      <c r="GL333" s="538"/>
      <c r="GM333" s="538"/>
      <c r="GN333" s="538"/>
      <c r="GO333" s="538"/>
      <c r="GP333" s="538"/>
      <c r="GQ333" s="538"/>
      <c r="GR333" s="538"/>
      <c r="GS333" s="538"/>
      <c r="GT333" s="538"/>
      <c r="GU333" s="538"/>
      <c r="GV333" s="538"/>
      <c r="GW333" s="538"/>
      <c r="GX333" s="538"/>
      <c r="GY333" s="538"/>
      <c r="GZ333" s="538"/>
      <c r="HA333" s="538"/>
      <c r="HB333" s="538"/>
      <c r="HC333" s="538"/>
      <c r="HD333" s="538"/>
      <c r="HE333" s="538"/>
      <c r="HF333" s="538"/>
      <c r="HG333" s="538"/>
      <c r="HH333" s="538"/>
      <c r="HI333" s="538"/>
      <c r="HJ333" s="538"/>
      <c r="HK333" s="538"/>
      <c r="HL333" s="538"/>
      <c r="HM333" s="538"/>
      <c r="HN333" s="538"/>
      <c r="HO333" s="538"/>
      <c r="HQ333" s="509"/>
      <c r="HY333" s="509"/>
      <c r="HZ333" s="509"/>
      <c r="IA333" s="509"/>
      <c r="IB333" s="509"/>
    </row>
    <row r="334" spans="1:236" s="563" customFormat="1" hidden="1" outlineLevel="1">
      <c r="A334" s="509"/>
      <c r="B334" s="509"/>
      <c r="C334" s="509"/>
      <c r="D334" s="509"/>
      <c r="E334" s="509"/>
      <c r="F334" s="509"/>
      <c r="G334" s="509"/>
      <c r="H334" s="509"/>
      <c r="I334" s="509"/>
      <c r="J334" s="509"/>
      <c r="K334" s="509"/>
      <c r="L334" s="509"/>
      <c r="M334" s="509"/>
      <c r="N334" s="509"/>
      <c r="O334" s="509"/>
      <c r="P334" s="509"/>
      <c r="Q334" s="509"/>
      <c r="R334" s="509"/>
      <c r="S334" s="509"/>
      <c r="T334" s="509"/>
      <c r="U334" s="509"/>
      <c r="V334" s="509"/>
      <c r="W334" s="509"/>
      <c r="X334" s="509"/>
      <c r="Y334" s="509"/>
      <c r="Z334" s="509"/>
      <c r="AA334" s="509"/>
      <c r="AB334" s="509"/>
      <c r="AC334" s="509"/>
      <c r="AD334" s="509"/>
      <c r="AE334" s="509"/>
      <c r="AF334" s="509"/>
      <c r="AG334" s="509"/>
      <c r="AH334" s="509"/>
      <c r="AI334" s="509"/>
      <c r="AJ334" s="509"/>
      <c r="AK334" s="509"/>
      <c r="AL334" s="509"/>
      <c r="AM334" s="509"/>
      <c r="AN334" s="509"/>
      <c r="AO334" s="538"/>
      <c r="AP334" s="509"/>
      <c r="AQ334" s="509"/>
      <c r="AR334" s="509"/>
      <c r="AS334" s="509"/>
      <c r="AT334" s="538"/>
      <c r="AU334" s="509"/>
      <c r="AV334" s="509"/>
      <c r="AW334" s="509"/>
      <c r="AX334" s="509"/>
      <c r="AY334" s="538"/>
      <c r="AZ334" s="509"/>
      <c r="BA334" s="509"/>
      <c r="BB334" s="509"/>
      <c r="BC334" s="509"/>
      <c r="BD334" s="538"/>
      <c r="BE334" s="509"/>
      <c r="BF334" s="509"/>
      <c r="BG334" s="509"/>
      <c r="BH334" s="509"/>
      <c r="BI334" s="538"/>
      <c r="BJ334" s="509"/>
      <c r="BK334" s="509"/>
      <c r="BL334" s="509"/>
      <c r="BM334" s="509"/>
      <c r="BN334" s="538"/>
      <c r="BO334" s="509"/>
      <c r="BP334" s="509"/>
      <c r="BQ334" s="509"/>
      <c r="BR334" s="509"/>
      <c r="BS334" s="538"/>
      <c r="BT334" s="509"/>
      <c r="BU334" s="509"/>
      <c r="BV334" s="509"/>
      <c r="BW334" s="509"/>
      <c r="BX334" s="538"/>
      <c r="BY334" s="509"/>
      <c r="BZ334" s="509"/>
      <c r="CA334" s="509"/>
      <c r="CB334" s="509"/>
      <c r="CC334" s="538"/>
      <c r="CD334" s="509"/>
      <c r="CE334" s="509"/>
      <c r="CF334" s="509"/>
      <c r="CG334" s="509"/>
      <c r="CH334" s="538"/>
      <c r="CI334" s="509"/>
      <c r="CJ334" s="509"/>
      <c r="CK334" s="509"/>
      <c r="CL334" s="509"/>
      <c r="CM334" s="538"/>
      <c r="CN334" s="509"/>
      <c r="CO334" s="509"/>
      <c r="CP334" s="509"/>
      <c r="CQ334" s="509"/>
      <c r="CR334" s="509"/>
      <c r="CS334" s="509"/>
      <c r="CT334" s="509"/>
      <c r="CU334" s="509"/>
      <c r="CV334" s="509"/>
      <c r="CW334" s="509"/>
      <c r="CX334" s="509"/>
      <c r="CY334" s="509"/>
      <c r="CZ334" s="509"/>
      <c r="DA334" s="509"/>
      <c r="DB334" s="538"/>
      <c r="DC334" s="509"/>
      <c r="DD334" s="509"/>
      <c r="DE334" s="509"/>
      <c r="DF334" s="509"/>
      <c r="DG334" s="538"/>
      <c r="DH334" s="509"/>
      <c r="DI334" s="509"/>
      <c r="DJ334" s="509"/>
      <c r="DK334" s="509"/>
      <c r="DL334" s="538"/>
      <c r="DM334" s="509"/>
      <c r="DN334" s="509"/>
      <c r="DO334" s="509"/>
      <c r="DP334" s="509"/>
      <c r="DQ334" s="538"/>
      <c r="DR334" s="509"/>
      <c r="DS334" s="509"/>
      <c r="DT334" s="509"/>
      <c r="DU334" s="509"/>
      <c r="DV334" s="538"/>
      <c r="DW334" s="509"/>
      <c r="DX334" s="509"/>
      <c r="DY334" s="509"/>
      <c r="DZ334" s="509"/>
      <c r="EA334" s="538"/>
      <c r="EB334" s="509"/>
      <c r="EC334" s="509"/>
      <c r="ED334" s="509"/>
      <c r="EE334" s="509"/>
      <c r="EF334" s="538"/>
      <c r="EG334" s="509"/>
      <c r="EH334" s="509"/>
      <c r="EI334" s="509"/>
      <c r="EJ334" s="509"/>
      <c r="EK334" s="538"/>
      <c r="EL334" s="509"/>
      <c r="EM334" s="509"/>
      <c r="EN334" s="509"/>
      <c r="EO334" s="509"/>
      <c r="EP334" s="538"/>
      <c r="EQ334" s="538"/>
      <c r="ER334" s="538"/>
      <c r="ES334" s="538"/>
      <c r="ET334" s="538"/>
      <c r="EU334" s="538"/>
      <c r="EV334" s="538"/>
      <c r="EW334" s="538"/>
      <c r="EX334" s="538"/>
      <c r="EY334" s="538"/>
      <c r="EZ334" s="538"/>
      <c r="FA334" s="538"/>
      <c r="FB334" s="538"/>
      <c r="FC334" s="538"/>
      <c r="FD334" s="538"/>
      <c r="FE334" s="538"/>
      <c r="FF334" s="538"/>
      <c r="FG334" s="538"/>
      <c r="FH334" s="538"/>
      <c r="FI334" s="538"/>
      <c r="FJ334" s="538"/>
      <c r="FK334" s="538"/>
      <c r="FL334" s="538"/>
      <c r="FM334" s="538"/>
      <c r="FN334" s="538"/>
      <c r="FO334" s="538"/>
      <c r="FP334" s="538"/>
      <c r="FQ334" s="538"/>
      <c r="FR334" s="538"/>
      <c r="FS334" s="538"/>
      <c r="FT334" s="538"/>
      <c r="FU334" s="538"/>
      <c r="FV334" s="538"/>
      <c r="FW334" s="538"/>
      <c r="FX334" s="538"/>
      <c r="FY334" s="538"/>
      <c r="FZ334" s="538"/>
      <c r="GA334" s="538"/>
      <c r="GB334" s="538"/>
      <c r="GC334" s="538"/>
      <c r="GD334" s="538"/>
      <c r="GE334" s="538"/>
      <c r="GF334" s="538"/>
      <c r="GG334" s="538"/>
      <c r="GH334" s="538"/>
      <c r="GI334" s="538"/>
      <c r="GJ334" s="538"/>
      <c r="GK334" s="538"/>
      <c r="GL334" s="538"/>
      <c r="GM334" s="538"/>
      <c r="GN334" s="538"/>
      <c r="GO334" s="538"/>
      <c r="GP334" s="538"/>
      <c r="GQ334" s="538"/>
      <c r="GR334" s="538"/>
      <c r="GS334" s="538"/>
      <c r="GT334" s="538"/>
      <c r="GU334" s="538"/>
      <c r="GV334" s="538"/>
      <c r="GW334" s="538"/>
      <c r="GX334" s="538"/>
      <c r="GY334" s="538"/>
      <c r="GZ334" s="538"/>
      <c r="HA334" s="538"/>
      <c r="HB334" s="538"/>
      <c r="HC334" s="538"/>
      <c r="HD334" s="538"/>
      <c r="HE334" s="538"/>
      <c r="HF334" s="538"/>
      <c r="HG334" s="538"/>
      <c r="HH334" s="538"/>
      <c r="HI334" s="538"/>
      <c r="HJ334" s="538"/>
      <c r="HK334" s="538"/>
      <c r="HL334" s="538"/>
      <c r="HM334" s="538"/>
      <c r="HN334" s="538"/>
      <c r="HO334" s="538"/>
      <c r="HQ334" s="509"/>
      <c r="HY334" s="509"/>
      <c r="HZ334" s="509"/>
      <c r="IA334" s="509"/>
      <c r="IB334" s="509"/>
    </row>
    <row r="335" spans="1:236" s="563" customFormat="1" hidden="1" outlineLevel="2">
      <c r="A335" s="538" t="s">
        <v>537</v>
      </c>
      <c r="B335" s="752"/>
      <c r="C335" s="752"/>
      <c r="D335" s="752"/>
      <c r="E335" s="752"/>
      <c r="F335" s="752"/>
      <c r="G335" s="752"/>
      <c r="H335" s="752"/>
      <c r="I335" s="752"/>
      <c r="J335" s="752"/>
      <c r="K335" s="752"/>
      <c r="L335" s="752"/>
      <c r="M335" s="752"/>
      <c r="N335" s="752"/>
      <c r="O335" s="752"/>
      <c r="P335" s="752"/>
      <c r="Q335" s="752"/>
      <c r="R335" s="752"/>
      <c r="S335" s="752"/>
      <c r="T335" s="752"/>
      <c r="U335" s="752"/>
      <c r="V335" s="752"/>
      <c r="W335" s="752"/>
      <c r="X335" s="752"/>
      <c r="Y335" s="752"/>
      <c r="Z335" s="752"/>
      <c r="AA335" s="752"/>
      <c r="AB335" s="752"/>
      <c r="AC335" s="752"/>
      <c r="AD335" s="752"/>
      <c r="AE335" s="752"/>
      <c r="AF335" s="752"/>
      <c r="AG335" s="752"/>
      <c r="AH335" s="752"/>
      <c r="AI335" s="752"/>
      <c r="AJ335" s="752"/>
      <c r="AK335" s="752"/>
      <c r="AL335" s="752"/>
      <c r="AM335" s="752"/>
      <c r="AN335" s="752"/>
      <c r="AO335" s="753"/>
      <c r="AP335" s="752"/>
      <c r="AQ335" s="752"/>
      <c r="AR335" s="752"/>
      <c r="AS335" s="752"/>
      <c r="AT335" s="753"/>
      <c r="AU335" s="752"/>
      <c r="AV335" s="752"/>
      <c r="AW335" s="752"/>
      <c r="AX335" s="752"/>
      <c r="AY335" s="753"/>
      <c r="AZ335" s="752"/>
      <c r="BA335" s="752"/>
      <c r="BB335" s="752"/>
      <c r="BC335" s="752"/>
      <c r="BD335" s="753"/>
      <c r="BE335" s="752"/>
      <c r="BF335" s="752"/>
      <c r="BG335" s="752"/>
      <c r="BH335" s="752"/>
      <c r="BI335" s="753"/>
      <c r="BJ335" s="752"/>
      <c r="BK335" s="752"/>
      <c r="BL335" s="752"/>
      <c r="BM335" s="752"/>
      <c r="BN335" s="753"/>
      <c r="BO335" s="754"/>
      <c r="BP335" s="754"/>
      <c r="BQ335" s="754"/>
      <c r="BR335" s="754"/>
      <c r="BS335" s="755"/>
      <c r="BT335" s="754"/>
      <c r="BU335" s="754"/>
      <c r="BV335" s="754"/>
      <c r="BW335" s="754"/>
      <c r="BX335" s="755"/>
      <c r="BY335" s="754"/>
      <c r="BZ335" s="754"/>
      <c r="CA335" s="754"/>
      <c r="CB335" s="754"/>
      <c r="CC335" s="755"/>
      <c r="CD335" s="754"/>
      <c r="CE335" s="754"/>
      <c r="CF335" s="754"/>
      <c r="CG335" s="754"/>
      <c r="CH335" s="755"/>
      <c r="CI335" s="754"/>
      <c r="CJ335" s="754"/>
      <c r="CK335" s="754"/>
      <c r="CL335" s="754"/>
      <c r="CM335" s="755"/>
      <c r="CN335" s="754"/>
      <c r="CO335" s="754"/>
      <c r="CP335" s="754"/>
      <c r="CQ335" s="754"/>
      <c r="CR335" s="755"/>
      <c r="CS335" s="754"/>
      <c r="CT335" s="754"/>
      <c r="CU335" s="754"/>
      <c r="CV335" s="754"/>
      <c r="CW335" s="755"/>
      <c r="CX335" s="754"/>
      <c r="CY335" s="754"/>
      <c r="CZ335" s="754"/>
      <c r="DA335" s="754"/>
      <c r="DB335" s="755"/>
      <c r="DC335" s="754"/>
      <c r="DD335" s="754"/>
      <c r="DE335" s="754"/>
      <c r="DF335" s="754"/>
      <c r="DG335" s="755"/>
      <c r="DH335" s="754"/>
      <c r="DI335" s="754"/>
      <c r="DJ335" s="754"/>
      <c r="DK335" s="837"/>
      <c r="DL335" s="755"/>
      <c r="DM335" s="756"/>
      <c r="DN335" s="756"/>
      <c r="DO335" s="756"/>
      <c r="DP335" s="756"/>
      <c r="DQ335" s="757"/>
      <c r="DR335" s="756"/>
      <c r="DS335" s="756"/>
      <c r="DT335" s="756"/>
      <c r="DU335" s="756"/>
      <c r="DV335" s="838"/>
      <c r="DW335" s="756"/>
      <c r="DX335" s="756"/>
      <c r="DY335" s="756"/>
      <c r="DZ335" s="756"/>
      <c r="EA335" s="838"/>
      <c r="EB335" s="756"/>
      <c r="EC335" s="756"/>
      <c r="ED335" s="756"/>
      <c r="EE335" s="756"/>
      <c r="EF335" s="757"/>
      <c r="EG335" s="839"/>
      <c r="EH335" s="756"/>
      <c r="EI335" s="756"/>
      <c r="EJ335" s="756"/>
      <c r="EK335" s="757"/>
      <c r="EL335" s="756"/>
      <c r="EM335" s="756"/>
      <c r="EN335" s="756"/>
      <c r="EO335" s="756"/>
      <c r="EP335" s="757"/>
      <c r="EQ335" s="756"/>
      <c r="ER335" s="756"/>
      <c r="ES335" s="756"/>
      <c r="ET335" s="756"/>
      <c r="EU335" s="757"/>
      <c r="EV335" s="668"/>
      <c r="EW335" s="668"/>
      <c r="EX335" s="668"/>
      <c r="EY335" s="668"/>
      <c r="EZ335" s="668"/>
      <c r="FA335" s="668"/>
      <c r="FB335" s="668"/>
      <c r="FC335" s="668"/>
      <c r="FD335" s="668"/>
      <c r="FE335" s="668"/>
      <c r="FF335" s="668"/>
      <c r="FG335" s="668"/>
      <c r="FH335" s="668"/>
      <c r="FI335" s="668"/>
      <c r="FJ335" s="668"/>
      <c r="FK335" s="668"/>
      <c r="FL335" s="668"/>
      <c r="FM335" s="668"/>
      <c r="FN335" s="668"/>
      <c r="FO335" s="668"/>
      <c r="FP335" s="668"/>
      <c r="FQ335" s="668"/>
      <c r="FR335" s="668"/>
      <c r="FS335" s="668"/>
      <c r="FT335" s="668"/>
      <c r="FU335" s="668"/>
      <c r="FV335" s="668"/>
      <c r="FW335" s="668"/>
      <c r="FX335" s="668"/>
      <c r="FY335" s="668"/>
      <c r="FZ335" s="668"/>
      <c r="GA335" s="668"/>
      <c r="GB335" s="668"/>
      <c r="GC335" s="668"/>
      <c r="GD335" s="668"/>
      <c r="GE335" s="668"/>
      <c r="GF335" s="668"/>
      <c r="GG335" s="668"/>
      <c r="GH335" s="668"/>
      <c r="GI335" s="668"/>
      <c r="GJ335" s="668"/>
      <c r="GK335" s="668"/>
      <c r="GL335" s="668"/>
      <c r="GM335" s="668"/>
      <c r="GN335" s="668"/>
      <c r="GO335" s="668"/>
      <c r="GP335" s="668"/>
      <c r="GQ335" s="668"/>
      <c r="GR335" s="668"/>
      <c r="GS335" s="668"/>
      <c r="GT335" s="668"/>
      <c r="GU335" s="668"/>
      <c r="GV335" s="668"/>
      <c r="GW335" s="668"/>
      <c r="GX335" s="668"/>
      <c r="GY335" s="668"/>
      <c r="GZ335" s="668"/>
      <c r="HA335" s="668"/>
      <c r="HB335" s="668"/>
      <c r="HC335" s="668"/>
      <c r="HD335" s="668"/>
      <c r="HE335" s="668"/>
      <c r="HF335" s="668"/>
      <c r="HG335" s="668"/>
      <c r="HH335" s="668"/>
      <c r="HI335" s="668"/>
      <c r="HJ335" s="668"/>
      <c r="HK335" s="668"/>
      <c r="HL335" s="668"/>
      <c r="HM335" s="668"/>
      <c r="HN335" s="668"/>
      <c r="HO335" s="757"/>
      <c r="HQ335" s="509"/>
      <c r="HY335" s="509"/>
      <c r="HZ335" s="509"/>
      <c r="IA335" s="509"/>
      <c r="IB335" s="509"/>
    </row>
    <row r="336" spans="1:236" s="563" customFormat="1" hidden="1" outlineLevel="2">
      <c r="A336" s="729" t="s">
        <v>538</v>
      </c>
      <c r="B336" s="840"/>
      <c r="C336" s="840"/>
      <c r="D336" s="840"/>
      <c r="E336" s="840"/>
      <c r="F336" s="840"/>
      <c r="G336" s="840"/>
      <c r="H336" s="840"/>
      <c r="I336" s="840"/>
      <c r="J336" s="840"/>
      <c r="K336" s="840"/>
      <c r="L336" s="840"/>
      <c r="M336" s="840"/>
      <c r="N336" s="840"/>
      <c r="O336" s="840"/>
      <c r="P336" s="840"/>
      <c r="Q336" s="840"/>
      <c r="R336" s="840"/>
      <c r="S336" s="840"/>
      <c r="T336" s="840"/>
      <c r="U336" s="840"/>
      <c r="V336" s="840"/>
      <c r="W336" s="840"/>
      <c r="X336" s="840"/>
      <c r="Y336" s="840"/>
      <c r="Z336" s="840"/>
      <c r="AA336" s="840"/>
      <c r="AB336" s="840"/>
      <c r="AC336" s="840"/>
      <c r="AD336" s="840"/>
      <c r="AE336" s="840"/>
      <c r="AF336" s="840"/>
      <c r="AG336" s="840"/>
      <c r="AH336" s="840"/>
      <c r="AI336" s="840"/>
      <c r="AJ336" s="840"/>
      <c r="AK336" s="840"/>
      <c r="AL336" s="840"/>
      <c r="AM336" s="840"/>
      <c r="AN336" s="840"/>
      <c r="AO336" s="841"/>
      <c r="AP336" s="840"/>
      <c r="AQ336" s="840"/>
      <c r="AR336" s="840"/>
      <c r="AS336" s="840"/>
      <c r="AT336" s="841"/>
      <c r="AU336" s="840"/>
      <c r="AV336" s="840"/>
      <c r="AW336" s="840"/>
      <c r="AX336" s="840"/>
      <c r="AY336" s="841"/>
      <c r="AZ336" s="840"/>
      <c r="BA336" s="840"/>
      <c r="BB336" s="840"/>
      <c r="BC336" s="840"/>
      <c r="BD336" s="841"/>
      <c r="BE336" s="840"/>
      <c r="BF336" s="840"/>
      <c r="BG336" s="840"/>
      <c r="BH336" s="840"/>
      <c r="BI336" s="841"/>
      <c r="BJ336" s="840"/>
      <c r="BK336" s="840"/>
      <c r="BL336" s="840"/>
      <c r="BM336" s="840"/>
      <c r="BN336" s="841"/>
      <c r="BO336" s="842"/>
      <c r="BP336" s="842"/>
      <c r="BQ336" s="842"/>
      <c r="BR336" s="842"/>
      <c r="BS336" s="843"/>
      <c r="BT336" s="842"/>
      <c r="BU336" s="842"/>
      <c r="BV336" s="842"/>
      <c r="BW336" s="842"/>
      <c r="BX336" s="844">
        <v>2465.576</v>
      </c>
      <c r="BY336" s="842"/>
      <c r="BZ336" s="842"/>
      <c r="CA336" s="842"/>
      <c r="CB336" s="842"/>
      <c r="CC336" s="844">
        <v>1756.0160000000001</v>
      </c>
      <c r="CD336" s="842"/>
      <c r="CE336" s="842"/>
      <c r="CF336" s="842"/>
      <c r="CG336" s="842"/>
      <c r="CH336" s="844">
        <v>1959.759</v>
      </c>
      <c r="CI336" s="842"/>
      <c r="CJ336" s="842"/>
      <c r="CK336" s="842"/>
      <c r="CL336" s="842"/>
      <c r="CM336" s="844">
        <f>2528+130</f>
        <v>2658</v>
      </c>
      <c r="CN336" s="842"/>
      <c r="CO336" s="842"/>
      <c r="CP336" s="842"/>
      <c r="CQ336" s="842"/>
      <c r="CR336" s="844">
        <v>3929</v>
      </c>
      <c r="CS336" s="845">
        <v>1337</v>
      </c>
      <c r="CT336" s="845">
        <v>1216</v>
      </c>
      <c r="CU336" s="845">
        <v>1328</v>
      </c>
      <c r="CV336" s="845">
        <f>CW336-SUM(CS336:CU336)</f>
        <v>1486</v>
      </c>
      <c r="CW336" s="844">
        <v>5367</v>
      </c>
      <c r="CX336" s="845">
        <v>918</v>
      </c>
      <c r="CY336" s="845">
        <v>1098</v>
      </c>
      <c r="CZ336" s="845">
        <v>1283</v>
      </c>
      <c r="DA336" s="845">
        <f>DB336-SUM(CX336:CZ336)</f>
        <v>1403</v>
      </c>
      <c r="DB336" s="844">
        <v>4702</v>
      </c>
      <c r="DC336" s="845">
        <v>1194</v>
      </c>
      <c r="DD336" s="845">
        <v>1101</v>
      </c>
      <c r="DE336" s="845">
        <v>1391</v>
      </c>
      <c r="DF336" s="845">
        <v>873</v>
      </c>
      <c r="DG336" s="844">
        <f>SUM(DC336:DF336)</f>
        <v>4559</v>
      </c>
      <c r="DH336" s="845">
        <v>938</v>
      </c>
      <c r="DI336" s="845">
        <v>910</v>
      </c>
      <c r="DJ336" s="845">
        <v>1069</v>
      </c>
      <c r="DK336" s="845">
        <v>1214</v>
      </c>
      <c r="DL336" s="844">
        <f>SUM(DH336:DK336)</f>
        <v>4131</v>
      </c>
      <c r="DM336" s="845">
        <v>1160</v>
      </c>
      <c r="DN336" s="845">
        <v>1212</v>
      </c>
      <c r="DO336" s="845">
        <v>1226</v>
      </c>
      <c r="DP336" s="845">
        <v>1219</v>
      </c>
      <c r="DQ336" s="844">
        <f>SUM(DM336:DP336)</f>
        <v>4817</v>
      </c>
      <c r="DR336" s="845">
        <v>1200</v>
      </c>
      <c r="DS336" s="845">
        <v>1207</v>
      </c>
      <c r="DT336" s="845">
        <v>1286</v>
      </c>
      <c r="DU336" s="845">
        <v>1309</v>
      </c>
      <c r="DV336" s="844">
        <f>SUM(DR336:DU336)</f>
        <v>5002</v>
      </c>
      <c r="DW336" s="845">
        <v>1203</v>
      </c>
      <c r="DX336" s="845">
        <v>1045</v>
      </c>
      <c r="DY336" s="846">
        <v>927</v>
      </c>
      <c r="DZ336" s="845">
        <v>829</v>
      </c>
      <c r="EA336" s="847">
        <f>SUM(DW336:DZ336)</f>
        <v>4004</v>
      </c>
      <c r="EB336" s="845">
        <v>751</v>
      </c>
      <c r="EC336" s="698">
        <v>841</v>
      </c>
      <c r="ED336" s="698">
        <v>790</v>
      </c>
      <c r="EE336" s="848">
        <v>722</v>
      </c>
      <c r="EF336" s="699">
        <f>SUM(EB336:EE336)</f>
        <v>3104</v>
      </c>
      <c r="EG336" s="698">
        <v>663</v>
      </c>
      <c r="EH336" s="698">
        <v>669</v>
      </c>
      <c r="EI336" s="848"/>
      <c r="EJ336" s="848"/>
      <c r="EK336" s="847"/>
      <c r="EL336" s="848"/>
      <c r="EM336" s="848"/>
      <c r="EN336" s="848"/>
      <c r="EO336" s="848"/>
      <c r="EP336" s="847"/>
      <c r="EQ336" s="848"/>
      <c r="ER336" s="848"/>
      <c r="ES336" s="848"/>
      <c r="ET336" s="848"/>
      <c r="EU336" s="847"/>
      <c r="EV336" s="668"/>
      <c r="EW336" s="668"/>
      <c r="EX336" s="668"/>
      <c r="EY336" s="668"/>
      <c r="EZ336" s="668"/>
      <c r="FA336" s="668"/>
      <c r="FB336" s="668"/>
      <c r="FC336" s="668"/>
      <c r="FD336" s="668"/>
      <c r="FE336" s="668"/>
      <c r="FF336" s="668"/>
      <c r="FG336" s="668"/>
      <c r="FH336" s="668"/>
      <c r="FI336" s="668"/>
      <c r="FJ336" s="668"/>
      <c r="FK336" s="668"/>
      <c r="FL336" s="668"/>
      <c r="FM336" s="668"/>
      <c r="FN336" s="668"/>
      <c r="FO336" s="668"/>
      <c r="FP336" s="668"/>
      <c r="FQ336" s="668"/>
      <c r="FR336" s="668"/>
      <c r="FS336" s="668"/>
      <c r="FT336" s="668"/>
      <c r="FU336" s="668"/>
      <c r="FV336" s="668"/>
      <c r="FW336" s="668"/>
      <c r="FX336" s="668"/>
      <c r="FY336" s="668"/>
      <c r="FZ336" s="668"/>
      <c r="GA336" s="668"/>
      <c r="GB336" s="668"/>
      <c r="GC336" s="668"/>
      <c r="GD336" s="668"/>
      <c r="GE336" s="668"/>
      <c r="GF336" s="668"/>
      <c r="GG336" s="668"/>
      <c r="GH336" s="668"/>
      <c r="GI336" s="668"/>
      <c r="GJ336" s="668"/>
      <c r="GK336" s="668"/>
      <c r="GL336" s="668"/>
      <c r="GM336" s="668"/>
      <c r="GN336" s="668"/>
      <c r="GO336" s="668"/>
      <c r="GP336" s="668"/>
      <c r="GQ336" s="668"/>
      <c r="GR336" s="668"/>
      <c r="GS336" s="668"/>
      <c r="GT336" s="668"/>
      <c r="GU336" s="668"/>
      <c r="GV336" s="668"/>
      <c r="GW336" s="668"/>
      <c r="GX336" s="668"/>
      <c r="GY336" s="668"/>
      <c r="GZ336" s="668"/>
      <c r="HA336" s="668"/>
      <c r="HB336" s="668"/>
      <c r="HC336" s="668"/>
      <c r="HD336" s="668"/>
      <c r="HE336" s="668"/>
      <c r="HF336" s="668"/>
      <c r="HG336" s="668"/>
      <c r="HH336" s="668"/>
      <c r="HI336" s="668"/>
      <c r="HJ336" s="668"/>
      <c r="HK336" s="668"/>
      <c r="HL336" s="668"/>
      <c r="HM336" s="668"/>
      <c r="HN336" s="668"/>
      <c r="HO336" s="757"/>
      <c r="HQ336" s="509"/>
      <c r="HY336" s="509"/>
      <c r="HZ336" s="509"/>
      <c r="IA336" s="509"/>
      <c r="IB336" s="509"/>
    </row>
    <row r="337" spans="1:236" s="563" customFormat="1" hidden="1" outlineLevel="2">
      <c r="A337" s="509" t="s">
        <v>339</v>
      </c>
      <c r="B337" s="752"/>
      <c r="C337" s="752"/>
      <c r="D337" s="752"/>
      <c r="E337" s="752"/>
      <c r="F337" s="752"/>
      <c r="G337" s="752"/>
      <c r="H337" s="752"/>
      <c r="I337" s="752"/>
      <c r="J337" s="752"/>
      <c r="K337" s="752"/>
      <c r="L337" s="752"/>
      <c r="M337" s="752"/>
      <c r="N337" s="752"/>
      <c r="O337" s="752"/>
      <c r="P337" s="752"/>
      <c r="Q337" s="752"/>
      <c r="R337" s="752"/>
      <c r="S337" s="752"/>
      <c r="T337" s="752"/>
      <c r="U337" s="752"/>
      <c r="V337" s="752"/>
      <c r="W337" s="752"/>
      <c r="X337" s="752"/>
      <c r="Y337" s="752"/>
      <c r="Z337" s="752"/>
      <c r="AA337" s="752"/>
      <c r="AB337" s="752"/>
      <c r="AC337" s="752"/>
      <c r="AD337" s="752"/>
      <c r="AE337" s="752"/>
      <c r="AF337" s="752"/>
      <c r="AG337" s="752"/>
      <c r="AH337" s="752"/>
      <c r="AI337" s="752"/>
      <c r="AJ337" s="752"/>
      <c r="AK337" s="752"/>
      <c r="AL337" s="752"/>
      <c r="AM337" s="752"/>
      <c r="AN337" s="752"/>
      <c r="AO337" s="753"/>
      <c r="AP337" s="752"/>
      <c r="AQ337" s="752"/>
      <c r="AR337" s="752"/>
      <c r="AS337" s="752"/>
      <c r="AT337" s="753"/>
      <c r="AU337" s="752"/>
      <c r="AV337" s="752"/>
      <c r="AW337" s="752"/>
      <c r="AX337" s="752"/>
      <c r="AY337" s="753"/>
      <c r="AZ337" s="752"/>
      <c r="BA337" s="752"/>
      <c r="BB337" s="752"/>
      <c r="BC337" s="752"/>
      <c r="BD337" s="753"/>
      <c r="BE337" s="752"/>
      <c r="BF337" s="752"/>
      <c r="BG337" s="752"/>
      <c r="BH337" s="752"/>
      <c r="BI337" s="753"/>
      <c r="BJ337" s="752"/>
      <c r="BK337" s="752"/>
      <c r="BL337" s="752"/>
      <c r="BM337" s="752"/>
      <c r="BN337" s="753"/>
      <c r="BO337" s="754"/>
      <c r="BP337" s="754"/>
      <c r="BQ337" s="754"/>
      <c r="BR337" s="754"/>
      <c r="BS337" s="755"/>
      <c r="BT337" s="754"/>
      <c r="BU337" s="754"/>
      <c r="BV337" s="754"/>
      <c r="BW337" s="754"/>
      <c r="BX337" s="649" t="s">
        <v>199</v>
      </c>
      <c r="BY337" s="754"/>
      <c r="BZ337" s="754"/>
      <c r="CA337" s="754"/>
      <c r="CB337" s="754"/>
      <c r="CC337" s="649" t="s">
        <v>199</v>
      </c>
      <c r="CD337" s="754"/>
      <c r="CE337" s="754"/>
      <c r="CF337" s="754"/>
      <c r="CG337" s="754"/>
      <c r="CH337" s="649" t="s">
        <v>199</v>
      </c>
      <c r="CI337" s="754"/>
      <c r="CJ337" s="754"/>
      <c r="CK337" s="754"/>
      <c r="CL337" s="649"/>
      <c r="CM337" s="649" t="s">
        <v>199</v>
      </c>
      <c r="CN337" s="754"/>
      <c r="CO337" s="754"/>
      <c r="CP337" s="754"/>
      <c r="CQ337" s="754"/>
      <c r="CR337" s="649" t="s">
        <v>199</v>
      </c>
      <c r="CS337" s="849" t="s">
        <v>199</v>
      </c>
      <c r="CT337" s="849" t="s">
        <v>199</v>
      </c>
      <c r="CU337" s="849" t="s">
        <v>199</v>
      </c>
      <c r="CV337" s="523">
        <f>CW337-SUM(CS337:CU337)</f>
        <v>166</v>
      </c>
      <c r="CW337" s="524">
        <v>166</v>
      </c>
      <c r="CX337" s="523">
        <v>197</v>
      </c>
      <c r="CY337" s="523">
        <v>195</v>
      </c>
      <c r="CZ337" s="523">
        <v>252</v>
      </c>
      <c r="DA337" s="523">
        <f>DB337-SUM(CX337:CZ337)</f>
        <v>259</v>
      </c>
      <c r="DB337" s="524">
        <v>903</v>
      </c>
      <c r="DC337" s="523">
        <v>230</v>
      </c>
      <c r="DD337" s="523">
        <v>248</v>
      </c>
      <c r="DE337" s="523">
        <v>385</v>
      </c>
      <c r="DF337" s="523">
        <v>270</v>
      </c>
      <c r="DG337" s="524">
        <f>SUM(DC337:DF337)</f>
        <v>1133</v>
      </c>
      <c r="DH337" s="523">
        <v>222</v>
      </c>
      <c r="DI337" s="523">
        <v>251</v>
      </c>
      <c r="DJ337" s="523">
        <v>306</v>
      </c>
      <c r="DK337" s="523">
        <v>427</v>
      </c>
      <c r="DL337" s="524">
        <f>SUM(DH337:DK337)</f>
        <v>1206</v>
      </c>
      <c r="DM337" s="523">
        <v>409</v>
      </c>
      <c r="DN337" s="523">
        <v>440</v>
      </c>
      <c r="DO337" s="523">
        <v>390</v>
      </c>
      <c r="DP337" s="523">
        <v>424</v>
      </c>
      <c r="DQ337" s="524">
        <f>SUM(DM337:DP337)</f>
        <v>1663</v>
      </c>
      <c r="DR337" s="523">
        <v>413</v>
      </c>
      <c r="DS337" s="523">
        <v>367</v>
      </c>
      <c r="DT337" s="523">
        <v>403</v>
      </c>
      <c r="DU337" s="523">
        <v>382</v>
      </c>
      <c r="DV337" s="524">
        <f>SUM(DR337:DU337)</f>
        <v>1565</v>
      </c>
      <c r="DW337" s="523">
        <v>382</v>
      </c>
      <c r="DX337" s="523">
        <v>367</v>
      </c>
      <c r="DY337" s="523">
        <v>342</v>
      </c>
      <c r="DZ337" s="523">
        <v>326</v>
      </c>
      <c r="EA337" s="542">
        <f>SUM(DW337:DZ337)</f>
        <v>1417</v>
      </c>
      <c r="EB337" s="523">
        <v>337</v>
      </c>
      <c r="EC337" s="539">
        <v>320</v>
      </c>
      <c r="ED337" s="539">
        <v>671</v>
      </c>
      <c r="EE337" s="756">
        <v>865</v>
      </c>
      <c r="EF337" s="542">
        <f>SUM(EB337:EE337)</f>
        <v>2193</v>
      </c>
      <c r="EG337" s="539">
        <v>734</v>
      </c>
      <c r="EH337" s="539">
        <v>772</v>
      </c>
      <c r="EI337" s="756"/>
      <c r="EJ337" s="756"/>
      <c r="EK337" s="757" t="s">
        <v>397</v>
      </c>
      <c r="EL337" s="756"/>
      <c r="EM337" s="756"/>
      <c r="EN337" s="756"/>
      <c r="EO337" s="756"/>
      <c r="EP337" s="757"/>
      <c r="EQ337" s="756"/>
      <c r="ER337" s="756"/>
      <c r="ES337" s="756"/>
      <c r="ET337" s="756"/>
      <c r="EU337" s="757"/>
      <c r="EV337" s="668"/>
      <c r="EW337" s="668"/>
      <c r="EX337" s="668"/>
      <c r="EY337" s="668"/>
      <c r="EZ337" s="668"/>
      <c r="FA337" s="668"/>
      <c r="FB337" s="668"/>
      <c r="FC337" s="668"/>
      <c r="FD337" s="668"/>
      <c r="FE337" s="668"/>
      <c r="FF337" s="668"/>
      <c r="FG337" s="668"/>
      <c r="FH337" s="668"/>
      <c r="FI337" s="668"/>
      <c r="FJ337" s="668"/>
      <c r="FK337" s="668"/>
      <c r="FL337" s="668"/>
      <c r="FM337" s="668"/>
      <c r="FN337" s="668"/>
      <c r="FO337" s="668"/>
      <c r="FP337" s="668"/>
      <c r="FQ337" s="668"/>
      <c r="FR337" s="668"/>
      <c r="FS337" s="668"/>
      <c r="FT337" s="668"/>
      <c r="FU337" s="668"/>
      <c r="FV337" s="668"/>
      <c r="FW337" s="668"/>
      <c r="FX337" s="668"/>
      <c r="FY337" s="668"/>
      <c r="FZ337" s="668"/>
      <c r="GA337" s="668"/>
      <c r="GB337" s="668"/>
      <c r="GC337" s="668"/>
      <c r="GD337" s="668"/>
      <c r="GE337" s="668"/>
      <c r="GF337" s="668"/>
      <c r="GG337" s="668"/>
      <c r="GH337" s="668"/>
      <c r="GI337" s="668"/>
      <c r="GJ337" s="668"/>
      <c r="GK337" s="668"/>
      <c r="GL337" s="668"/>
      <c r="GM337" s="668"/>
      <c r="GN337" s="668"/>
      <c r="GO337" s="668"/>
      <c r="GP337" s="668"/>
      <c r="GQ337" s="668"/>
      <c r="GR337" s="668"/>
      <c r="GS337" s="668"/>
      <c r="GT337" s="668"/>
      <c r="GU337" s="668"/>
      <c r="GV337" s="668"/>
      <c r="GW337" s="668"/>
      <c r="GX337" s="668"/>
      <c r="GY337" s="668"/>
      <c r="GZ337" s="668"/>
      <c r="HA337" s="668"/>
      <c r="HB337" s="668"/>
      <c r="HC337" s="668"/>
      <c r="HD337" s="668"/>
      <c r="HE337" s="668"/>
      <c r="HF337" s="668"/>
      <c r="HG337" s="668"/>
      <c r="HH337" s="668"/>
      <c r="HI337" s="668"/>
      <c r="HJ337" s="668"/>
      <c r="HK337" s="668"/>
      <c r="HL337" s="668"/>
      <c r="HM337" s="668"/>
      <c r="HN337" s="668"/>
      <c r="HO337" s="757"/>
      <c r="HQ337" s="509"/>
      <c r="HY337" s="509"/>
      <c r="HZ337" s="509"/>
      <c r="IA337" s="509"/>
      <c r="IB337" s="509"/>
    </row>
    <row r="338" spans="1:236" s="563" customFormat="1" hidden="1" outlineLevel="2">
      <c r="A338" s="850" t="s">
        <v>539</v>
      </c>
      <c r="B338" s="752"/>
      <c r="C338" s="752"/>
      <c r="D338" s="752"/>
      <c r="E338" s="752"/>
      <c r="F338" s="752"/>
      <c r="G338" s="752"/>
      <c r="H338" s="752"/>
      <c r="I338" s="752"/>
      <c r="J338" s="752"/>
      <c r="K338" s="752"/>
      <c r="L338" s="752"/>
      <c r="M338" s="752"/>
      <c r="N338" s="752"/>
      <c r="O338" s="752"/>
      <c r="P338" s="752"/>
      <c r="Q338" s="752"/>
      <c r="R338" s="752"/>
      <c r="S338" s="752"/>
      <c r="T338" s="752"/>
      <c r="U338" s="752"/>
      <c r="V338" s="752"/>
      <c r="W338" s="752"/>
      <c r="X338" s="752"/>
      <c r="Y338" s="752"/>
      <c r="Z338" s="752"/>
      <c r="AA338" s="752"/>
      <c r="AB338" s="752"/>
      <c r="AC338" s="752"/>
      <c r="AD338" s="752"/>
      <c r="AE338" s="752"/>
      <c r="AF338" s="752"/>
      <c r="AG338" s="752"/>
      <c r="AH338" s="752"/>
      <c r="AI338" s="752"/>
      <c r="AJ338" s="752"/>
      <c r="AK338" s="752"/>
      <c r="AL338" s="752"/>
      <c r="AM338" s="752"/>
      <c r="AN338" s="752"/>
      <c r="AO338" s="753"/>
      <c r="AP338" s="752"/>
      <c r="AQ338" s="752"/>
      <c r="AR338" s="752"/>
      <c r="AS338" s="752"/>
      <c r="AT338" s="753"/>
      <c r="AU338" s="752"/>
      <c r="AV338" s="752"/>
      <c r="AW338" s="752"/>
      <c r="AX338" s="752"/>
      <c r="AY338" s="753"/>
      <c r="AZ338" s="752"/>
      <c r="BA338" s="752"/>
      <c r="BB338" s="752"/>
      <c r="BC338" s="752"/>
      <c r="BD338" s="753"/>
      <c r="BE338" s="752"/>
      <c r="BF338" s="752"/>
      <c r="BG338" s="752"/>
      <c r="BH338" s="752"/>
      <c r="BI338" s="753"/>
      <c r="BJ338" s="752"/>
      <c r="BK338" s="752"/>
      <c r="BL338" s="752"/>
      <c r="BM338" s="752"/>
      <c r="BN338" s="753"/>
      <c r="BO338" s="754"/>
      <c r="BP338" s="754"/>
      <c r="BQ338" s="754"/>
      <c r="BR338" s="754"/>
      <c r="BS338" s="755"/>
      <c r="BT338" s="754"/>
      <c r="BU338" s="754"/>
      <c r="BV338" s="754"/>
      <c r="BW338" s="754"/>
      <c r="BX338" s="649"/>
      <c r="BY338" s="754"/>
      <c r="BZ338" s="754"/>
      <c r="CA338" s="754"/>
      <c r="CB338" s="754"/>
      <c r="CC338" s="649"/>
      <c r="CD338" s="754"/>
      <c r="CE338" s="754"/>
      <c r="CF338" s="754"/>
      <c r="CG338" s="754"/>
      <c r="CH338" s="649"/>
      <c r="CI338" s="754"/>
      <c r="CJ338" s="754"/>
      <c r="CK338" s="754"/>
      <c r="CL338" s="649"/>
      <c r="CM338" s="649"/>
      <c r="CN338" s="754"/>
      <c r="CO338" s="754"/>
      <c r="CP338" s="754"/>
      <c r="CQ338" s="754"/>
      <c r="CR338" s="649"/>
      <c r="CS338" s="849"/>
      <c r="CT338" s="849"/>
      <c r="CU338" s="849"/>
      <c r="CV338" s="523"/>
      <c r="CW338" s="524"/>
      <c r="CX338" s="523"/>
      <c r="CY338" s="523"/>
      <c r="CZ338" s="523"/>
      <c r="DA338" s="523"/>
      <c r="DB338" s="524"/>
      <c r="DC338" s="523"/>
      <c r="DD338" s="523"/>
      <c r="DE338" s="523"/>
      <c r="DF338" s="523"/>
      <c r="DG338" s="524"/>
      <c r="DH338" s="523"/>
      <c r="DI338" s="523"/>
      <c r="DJ338" s="523"/>
      <c r="DK338" s="523"/>
      <c r="DL338" s="524"/>
      <c r="DM338" s="523"/>
      <c r="DN338" s="523"/>
      <c r="DO338" s="523"/>
      <c r="DP338" s="523"/>
      <c r="DQ338" s="524"/>
      <c r="DR338" s="523"/>
      <c r="DS338" s="523"/>
      <c r="DT338" s="523"/>
      <c r="DU338" s="523"/>
      <c r="DV338" s="524"/>
      <c r="DW338" s="523"/>
      <c r="DX338" s="523"/>
      <c r="DY338" s="523"/>
      <c r="DZ338" s="523"/>
      <c r="EA338" s="757"/>
      <c r="EB338" s="756">
        <f>+EB337-EB292</f>
        <v>162</v>
      </c>
      <c r="EC338" s="756">
        <f>+EC337-EC292</f>
        <v>153</v>
      </c>
      <c r="ED338" s="756">
        <f>+ED337-ED292</f>
        <v>135</v>
      </c>
      <c r="EE338" s="756">
        <f>+EE337-EE292</f>
        <v>164</v>
      </c>
      <c r="EF338" s="756">
        <f>+EF337-EF292</f>
        <v>614</v>
      </c>
      <c r="EG338" s="756">
        <f>+EG337-EG292</f>
        <v>198</v>
      </c>
      <c r="EH338" s="756">
        <f>+EH337-EH292</f>
        <v>159</v>
      </c>
      <c r="EI338" s="756"/>
      <c r="EJ338" s="756"/>
      <c r="EK338" s="757"/>
      <c r="EL338" s="756"/>
      <c r="EM338" s="756"/>
      <c r="EN338" s="756"/>
      <c r="EO338" s="756"/>
      <c r="EP338" s="757"/>
      <c r="EQ338" s="756"/>
      <c r="ER338" s="756"/>
      <c r="ES338" s="756"/>
      <c r="ET338" s="756"/>
      <c r="EU338" s="757"/>
      <c r="EV338" s="668"/>
      <c r="EW338" s="668"/>
      <c r="EX338" s="668"/>
      <c r="EY338" s="668"/>
      <c r="EZ338" s="668"/>
      <c r="FA338" s="668"/>
      <c r="FB338" s="668"/>
      <c r="FC338" s="668"/>
      <c r="FD338" s="668"/>
      <c r="FE338" s="668"/>
      <c r="FF338" s="668"/>
      <c r="FG338" s="668"/>
      <c r="FH338" s="668"/>
      <c r="FI338" s="668"/>
      <c r="FJ338" s="668"/>
      <c r="FK338" s="668"/>
      <c r="FL338" s="668"/>
      <c r="FM338" s="668"/>
      <c r="FN338" s="668"/>
      <c r="FO338" s="668"/>
      <c r="FP338" s="668"/>
      <c r="FQ338" s="668"/>
      <c r="FR338" s="668"/>
      <c r="FS338" s="668"/>
      <c r="FT338" s="668"/>
      <c r="FU338" s="668"/>
      <c r="FV338" s="668"/>
      <c r="FW338" s="668"/>
      <c r="FX338" s="668"/>
      <c r="FY338" s="668"/>
      <c r="FZ338" s="668"/>
      <c r="GA338" s="668"/>
      <c r="GB338" s="668"/>
      <c r="GC338" s="668"/>
      <c r="GD338" s="668"/>
      <c r="GE338" s="668"/>
      <c r="GF338" s="668"/>
      <c r="GG338" s="668"/>
      <c r="GH338" s="668"/>
      <c r="GI338" s="668"/>
      <c r="GJ338" s="668"/>
      <c r="GK338" s="668"/>
      <c r="GL338" s="668"/>
      <c r="GM338" s="668"/>
      <c r="GN338" s="668"/>
      <c r="GO338" s="668"/>
      <c r="GP338" s="668"/>
      <c r="GQ338" s="668"/>
      <c r="GR338" s="668"/>
      <c r="GS338" s="668"/>
      <c r="GT338" s="668"/>
      <c r="GU338" s="668"/>
      <c r="GV338" s="668"/>
      <c r="GW338" s="668"/>
      <c r="GX338" s="668"/>
      <c r="GY338" s="668"/>
      <c r="GZ338" s="668"/>
      <c r="HA338" s="668"/>
      <c r="HB338" s="668"/>
      <c r="HC338" s="668"/>
      <c r="HD338" s="668"/>
      <c r="HE338" s="668"/>
      <c r="HF338" s="668"/>
      <c r="HG338" s="668"/>
      <c r="HH338" s="668"/>
      <c r="HI338" s="668"/>
      <c r="HJ338" s="668"/>
      <c r="HK338" s="668"/>
      <c r="HL338" s="668"/>
      <c r="HM338" s="668"/>
      <c r="HN338" s="668"/>
      <c r="HO338" s="757"/>
      <c r="HQ338" s="509"/>
      <c r="HY338" s="509"/>
      <c r="HZ338" s="509"/>
      <c r="IA338" s="509"/>
      <c r="IB338" s="509"/>
    </row>
    <row r="339" spans="1:236" s="563" customFormat="1" hidden="1" outlineLevel="2">
      <c r="A339" s="851" t="s">
        <v>540</v>
      </c>
      <c r="B339" s="852"/>
      <c r="C339" s="852"/>
      <c r="D339" s="852"/>
      <c r="E339" s="852"/>
      <c r="F339" s="852"/>
      <c r="G339" s="852"/>
      <c r="H339" s="852"/>
      <c r="I339" s="852"/>
      <c r="J339" s="852"/>
      <c r="K339" s="852"/>
      <c r="L339" s="852"/>
      <c r="M339" s="852"/>
      <c r="N339" s="852"/>
      <c r="O339" s="852"/>
      <c r="P339" s="852"/>
      <c r="Q339" s="852"/>
      <c r="R339" s="852"/>
      <c r="S339" s="852"/>
      <c r="T339" s="852"/>
      <c r="U339" s="852"/>
      <c r="V339" s="852"/>
      <c r="W339" s="852"/>
      <c r="X339" s="852"/>
      <c r="Y339" s="852"/>
      <c r="Z339" s="852"/>
      <c r="AA339" s="852"/>
      <c r="AB339" s="852"/>
      <c r="AC339" s="852"/>
      <c r="AD339" s="852"/>
      <c r="AE339" s="852"/>
      <c r="AF339" s="852"/>
      <c r="AG339" s="852"/>
      <c r="AH339" s="852"/>
      <c r="AI339" s="852"/>
      <c r="AJ339" s="852"/>
      <c r="AK339" s="852"/>
      <c r="AL339" s="852"/>
      <c r="AM339" s="852"/>
      <c r="AN339" s="852"/>
      <c r="AO339" s="853"/>
      <c r="AP339" s="852"/>
      <c r="AQ339" s="852"/>
      <c r="AR339" s="852"/>
      <c r="AS339" s="852"/>
      <c r="AT339" s="853"/>
      <c r="AU339" s="852"/>
      <c r="AV339" s="852"/>
      <c r="AW339" s="852"/>
      <c r="AX339" s="852"/>
      <c r="AY339" s="853"/>
      <c r="AZ339" s="852"/>
      <c r="BA339" s="852"/>
      <c r="BB339" s="852"/>
      <c r="BC339" s="852"/>
      <c r="BD339" s="853"/>
      <c r="BE339" s="852"/>
      <c r="BF339" s="852"/>
      <c r="BG339" s="852"/>
      <c r="BH339" s="852"/>
      <c r="BI339" s="853"/>
      <c r="BJ339" s="852"/>
      <c r="BK339" s="852"/>
      <c r="BL339" s="852"/>
      <c r="BM339" s="852"/>
      <c r="BN339" s="853"/>
      <c r="BO339" s="854"/>
      <c r="BP339" s="854"/>
      <c r="BQ339" s="854"/>
      <c r="BR339" s="854"/>
      <c r="BS339" s="855"/>
      <c r="BT339" s="854"/>
      <c r="BU339" s="854"/>
      <c r="BV339" s="854"/>
      <c r="BW339" s="854"/>
      <c r="BX339" s="856"/>
      <c r="BY339" s="854"/>
      <c r="BZ339" s="854"/>
      <c r="CA339" s="854"/>
      <c r="CB339" s="854"/>
      <c r="CC339" s="856"/>
      <c r="CD339" s="854"/>
      <c r="CE339" s="854"/>
      <c r="CF339" s="854"/>
      <c r="CG339" s="854"/>
      <c r="CH339" s="856"/>
      <c r="CI339" s="854"/>
      <c r="CJ339" s="854"/>
      <c r="CK339" s="854"/>
      <c r="CL339" s="856"/>
      <c r="CM339" s="856"/>
      <c r="CN339" s="854"/>
      <c r="CO339" s="854"/>
      <c r="CP339" s="854"/>
      <c r="CQ339" s="854"/>
      <c r="CR339" s="856"/>
      <c r="CS339" s="857"/>
      <c r="CT339" s="857"/>
      <c r="CU339" s="857"/>
      <c r="CV339" s="858"/>
      <c r="CW339" s="859"/>
      <c r="CX339" s="858"/>
      <c r="CY339" s="858"/>
      <c r="CZ339" s="858"/>
      <c r="DA339" s="858"/>
      <c r="DB339" s="859"/>
      <c r="DC339" s="858"/>
      <c r="DD339" s="858"/>
      <c r="DE339" s="858"/>
      <c r="DF339" s="858"/>
      <c r="DG339" s="859"/>
      <c r="DH339" s="858"/>
      <c r="DI339" s="858"/>
      <c r="DJ339" s="858"/>
      <c r="DK339" s="858"/>
      <c r="DL339" s="859"/>
      <c r="DM339" s="858"/>
      <c r="DN339" s="858"/>
      <c r="DO339" s="858"/>
      <c r="DP339" s="858"/>
      <c r="DQ339" s="859"/>
      <c r="DR339" s="858"/>
      <c r="DS339" s="858"/>
      <c r="DT339" s="858"/>
      <c r="DU339" s="858"/>
      <c r="DV339" s="859"/>
      <c r="DW339" s="858"/>
      <c r="DX339" s="858"/>
      <c r="DY339" s="858"/>
      <c r="DZ339" s="858"/>
      <c r="EA339" s="860"/>
      <c r="EB339" s="861">
        <f>+EB337-EB338</f>
        <v>175</v>
      </c>
      <c r="EC339" s="861">
        <f t="shared" ref="EC339:EH339" si="289">+EC337-EC338</f>
        <v>167</v>
      </c>
      <c r="ED339" s="861">
        <f t="shared" si="289"/>
        <v>536</v>
      </c>
      <c r="EE339" s="861">
        <f t="shared" si="289"/>
        <v>701</v>
      </c>
      <c r="EF339" s="861">
        <f t="shared" si="289"/>
        <v>1579</v>
      </c>
      <c r="EG339" s="861">
        <f t="shared" si="289"/>
        <v>536</v>
      </c>
      <c r="EH339" s="861">
        <f t="shared" si="289"/>
        <v>613</v>
      </c>
      <c r="EI339" s="862"/>
      <c r="EJ339" s="862"/>
      <c r="EK339" s="863"/>
      <c r="EL339" s="862"/>
      <c r="EM339" s="862"/>
      <c r="EN339" s="862"/>
      <c r="EO339" s="862"/>
      <c r="EP339" s="863"/>
      <c r="EQ339" s="862"/>
      <c r="ER339" s="862"/>
      <c r="ES339" s="862"/>
      <c r="ET339" s="862"/>
      <c r="EU339" s="863"/>
      <c r="EV339" s="668"/>
      <c r="EW339" s="668"/>
      <c r="EX339" s="668"/>
      <c r="EY339" s="668"/>
      <c r="EZ339" s="668"/>
      <c r="FA339" s="668"/>
      <c r="FB339" s="668"/>
      <c r="FC339" s="668"/>
      <c r="FD339" s="668"/>
      <c r="FE339" s="668"/>
      <c r="FF339" s="668"/>
      <c r="FG339" s="668"/>
      <c r="FH339" s="668"/>
      <c r="FI339" s="668"/>
      <c r="FJ339" s="668"/>
      <c r="FK339" s="668"/>
      <c r="FL339" s="668"/>
      <c r="FM339" s="668"/>
      <c r="FN339" s="668"/>
      <c r="FO339" s="668"/>
      <c r="FP339" s="668"/>
      <c r="FQ339" s="668"/>
      <c r="FR339" s="668"/>
      <c r="FS339" s="668"/>
      <c r="FT339" s="668"/>
      <c r="FU339" s="668"/>
      <c r="FV339" s="668"/>
      <c r="FW339" s="668"/>
      <c r="FX339" s="668"/>
      <c r="FY339" s="668"/>
      <c r="FZ339" s="668"/>
      <c r="GA339" s="668"/>
      <c r="GB339" s="668"/>
      <c r="GC339" s="668"/>
      <c r="GD339" s="668"/>
      <c r="GE339" s="668"/>
      <c r="GF339" s="668"/>
      <c r="GG339" s="668"/>
      <c r="GH339" s="668"/>
      <c r="GI339" s="668"/>
      <c r="GJ339" s="668"/>
      <c r="GK339" s="668"/>
      <c r="GL339" s="668"/>
      <c r="GM339" s="668"/>
      <c r="GN339" s="668"/>
      <c r="GO339" s="668"/>
      <c r="GP339" s="668"/>
      <c r="GQ339" s="668"/>
      <c r="GR339" s="668"/>
      <c r="GS339" s="668"/>
      <c r="GT339" s="668"/>
      <c r="GU339" s="668"/>
      <c r="GV339" s="668"/>
      <c r="GW339" s="668"/>
      <c r="GX339" s="668"/>
      <c r="GY339" s="668"/>
      <c r="GZ339" s="668"/>
      <c r="HA339" s="668"/>
      <c r="HB339" s="668"/>
      <c r="HC339" s="668"/>
      <c r="HD339" s="668"/>
      <c r="HE339" s="668"/>
      <c r="HF339" s="668"/>
      <c r="HG339" s="668"/>
      <c r="HH339" s="668"/>
      <c r="HI339" s="668"/>
      <c r="HJ339" s="668"/>
      <c r="HK339" s="668"/>
      <c r="HL339" s="668"/>
      <c r="HM339" s="668"/>
      <c r="HN339" s="668"/>
      <c r="HO339" s="757"/>
      <c r="HQ339" s="509"/>
      <c r="HY339" s="509"/>
      <c r="HZ339" s="509"/>
      <c r="IA339" s="509"/>
      <c r="IB339" s="509"/>
    </row>
    <row r="340" spans="1:236" s="563" customFormat="1" hidden="1" outlineLevel="2">
      <c r="A340" s="509" t="s">
        <v>541</v>
      </c>
      <c r="B340" s="752"/>
      <c r="C340" s="752"/>
      <c r="D340" s="752"/>
      <c r="E340" s="752"/>
      <c r="F340" s="752"/>
      <c r="G340" s="752"/>
      <c r="H340" s="752"/>
      <c r="I340" s="752"/>
      <c r="J340" s="752"/>
      <c r="K340" s="752"/>
      <c r="L340" s="752"/>
      <c r="M340" s="752"/>
      <c r="N340" s="752"/>
      <c r="O340" s="752"/>
      <c r="P340" s="752"/>
      <c r="Q340" s="752"/>
      <c r="R340" s="752"/>
      <c r="S340" s="752"/>
      <c r="T340" s="752"/>
      <c r="U340" s="752"/>
      <c r="V340" s="752"/>
      <c r="W340" s="752"/>
      <c r="X340" s="752"/>
      <c r="Y340" s="752"/>
      <c r="Z340" s="752"/>
      <c r="AA340" s="752"/>
      <c r="AB340" s="752"/>
      <c r="AC340" s="752"/>
      <c r="AD340" s="752"/>
      <c r="AE340" s="752"/>
      <c r="AF340" s="752"/>
      <c r="AG340" s="752"/>
      <c r="AH340" s="752"/>
      <c r="AI340" s="752"/>
      <c r="AJ340" s="752"/>
      <c r="AK340" s="752"/>
      <c r="AL340" s="752"/>
      <c r="AM340" s="752"/>
      <c r="AN340" s="752"/>
      <c r="AO340" s="753"/>
      <c r="AP340" s="752"/>
      <c r="AQ340" s="752"/>
      <c r="AR340" s="752"/>
      <c r="AS340" s="752"/>
      <c r="AT340" s="753"/>
      <c r="AU340" s="752"/>
      <c r="AV340" s="752"/>
      <c r="AW340" s="752"/>
      <c r="AX340" s="752"/>
      <c r="AY340" s="753"/>
      <c r="AZ340" s="752"/>
      <c r="BA340" s="752"/>
      <c r="BB340" s="752"/>
      <c r="BC340" s="752"/>
      <c r="BD340" s="753"/>
      <c r="BE340" s="752"/>
      <c r="BF340" s="752"/>
      <c r="BG340" s="752"/>
      <c r="BH340" s="752"/>
      <c r="BI340" s="753"/>
      <c r="BJ340" s="752"/>
      <c r="BK340" s="752"/>
      <c r="BL340" s="752"/>
      <c r="BM340" s="752"/>
      <c r="BN340" s="753"/>
      <c r="BO340" s="754"/>
      <c r="BP340" s="754"/>
      <c r="BQ340" s="754"/>
      <c r="BR340" s="754"/>
      <c r="BS340" s="755"/>
      <c r="BT340" s="754"/>
      <c r="BU340" s="754"/>
      <c r="BV340" s="754"/>
      <c r="BW340" s="754"/>
      <c r="BX340" s="649" t="s">
        <v>199</v>
      </c>
      <c r="BY340" s="754"/>
      <c r="BZ340" s="754"/>
      <c r="CA340" s="754"/>
      <c r="CB340" s="754"/>
      <c r="CC340" s="649" t="s">
        <v>199</v>
      </c>
      <c r="CD340" s="754"/>
      <c r="CE340" s="754"/>
      <c r="CF340" s="754"/>
      <c r="CG340" s="754"/>
      <c r="CH340" s="649" t="s">
        <v>199</v>
      </c>
      <c r="CI340" s="754"/>
      <c r="CJ340" s="754"/>
      <c r="CK340" s="754"/>
      <c r="CL340" s="649"/>
      <c r="CM340" s="649" t="s">
        <v>199</v>
      </c>
      <c r="CN340" s="754"/>
      <c r="CO340" s="754"/>
      <c r="CP340" s="754"/>
      <c r="CQ340" s="754"/>
      <c r="CR340" s="649" t="s">
        <v>199</v>
      </c>
      <c r="CS340" s="849" t="s">
        <v>199</v>
      </c>
      <c r="CT340" s="849" t="s">
        <v>199</v>
      </c>
      <c r="CU340" s="849" t="s">
        <v>199</v>
      </c>
      <c r="CV340" s="523">
        <f>CW340-SUM(CS340:CU340)</f>
        <v>120</v>
      </c>
      <c r="CW340" s="524">
        <v>120</v>
      </c>
      <c r="CX340" s="523">
        <v>118</v>
      </c>
      <c r="CY340" s="523">
        <v>85</v>
      </c>
      <c r="CZ340" s="523">
        <v>97</v>
      </c>
      <c r="DA340" s="523">
        <f>DB340-SUM(CX340:CZ340)</f>
        <v>108</v>
      </c>
      <c r="DB340" s="524">
        <v>408</v>
      </c>
      <c r="DC340" s="523">
        <v>81</v>
      </c>
      <c r="DD340" s="523">
        <v>0</v>
      </c>
      <c r="DE340" s="523">
        <v>0</v>
      </c>
      <c r="DF340" s="523">
        <v>0</v>
      </c>
      <c r="DG340" s="524">
        <f>SUM(DC340:DF340)</f>
        <v>81</v>
      </c>
      <c r="DH340" s="523">
        <v>0</v>
      </c>
      <c r="DI340" s="523">
        <v>0</v>
      </c>
      <c r="DJ340" s="523">
        <v>0</v>
      </c>
      <c r="DK340" s="523">
        <v>0</v>
      </c>
      <c r="DL340" s="524">
        <f>SUM(DH340:DK340)</f>
        <v>0</v>
      </c>
      <c r="DM340" s="523">
        <v>0</v>
      </c>
      <c r="DN340" s="523">
        <v>0</v>
      </c>
      <c r="DO340" s="523">
        <v>0</v>
      </c>
      <c r="DP340" s="523">
        <v>0</v>
      </c>
      <c r="DQ340" s="524">
        <f>SUM(DM340:DP340)</f>
        <v>0</v>
      </c>
      <c r="DR340" s="523">
        <v>0</v>
      </c>
      <c r="DS340" s="523">
        <v>0</v>
      </c>
      <c r="DT340" s="523">
        <v>0</v>
      </c>
      <c r="DU340" s="523">
        <v>0</v>
      </c>
      <c r="DV340" s="524">
        <f>SUM(DR340:DU340)</f>
        <v>0</v>
      </c>
      <c r="DW340" s="523">
        <v>0</v>
      </c>
      <c r="DX340" s="523">
        <v>0</v>
      </c>
      <c r="DY340" s="523">
        <v>0</v>
      </c>
      <c r="DZ340" s="523">
        <v>0</v>
      </c>
      <c r="EA340" s="757">
        <f>SUM(DW340:DZ340)</f>
        <v>0</v>
      </c>
      <c r="EB340" s="523">
        <v>0</v>
      </c>
      <c r="EC340" s="523">
        <v>0</v>
      </c>
      <c r="ED340" s="523">
        <v>0</v>
      </c>
      <c r="EE340" s="523">
        <v>0</v>
      </c>
      <c r="EF340" s="757">
        <f>SUM(EB340:EE340)</f>
        <v>0</v>
      </c>
      <c r="EG340" s="756"/>
      <c r="EH340" s="756"/>
      <c r="EI340" s="756"/>
      <c r="EJ340" s="756"/>
      <c r="EK340" s="757"/>
      <c r="EL340" s="756"/>
      <c r="EM340" s="756"/>
      <c r="EN340" s="756"/>
      <c r="EO340" s="756"/>
      <c r="EP340" s="757"/>
      <c r="EQ340" s="756"/>
      <c r="ER340" s="756"/>
      <c r="ES340" s="756"/>
      <c r="ET340" s="756"/>
      <c r="EU340" s="757"/>
      <c r="EV340" s="668"/>
      <c r="EW340" s="668"/>
      <c r="EX340" s="668"/>
      <c r="EY340" s="668"/>
      <c r="EZ340" s="668"/>
      <c r="FA340" s="668"/>
      <c r="FB340" s="668"/>
      <c r="FC340" s="668"/>
      <c r="FD340" s="668"/>
      <c r="FE340" s="668"/>
      <c r="FF340" s="668"/>
      <c r="FG340" s="668"/>
      <c r="FH340" s="668"/>
      <c r="FI340" s="668"/>
      <c r="FJ340" s="668"/>
      <c r="FK340" s="668"/>
      <c r="FL340" s="668"/>
      <c r="FM340" s="668"/>
      <c r="FN340" s="668"/>
      <c r="FO340" s="668"/>
      <c r="FP340" s="668"/>
      <c r="FQ340" s="668"/>
      <c r="FR340" s="668"/>
      <c r="FS340" s="668"/>
      <c r="FT340" s="668"/>
      <c r="FU340" s="668"/>
      <c r="FV340" s="668"/>
      <c r="FW340" s="668"/>
      <c r="FX340" s="668"/>
      <c r="FY340" s="668"/>
      <c r="FZ340" s="668"/>
      <c r="GA340" s="668"/>
      <c r="GB340" s="668"/>
      <c r="GC340" s="668"/>
      <c r="GD340" s="668"/>
      <c r="GE340" s="668"/>
      <c r="GF340" s="668"/>
      <c r="GG340" s="668"/>
      <c r="GH340" s="668"/>
      <c r="GI340" s="668"/>
      <c r="GJ340" s="668"/>
      <c r="GK340" s="668"/>
      <c r="GL340" s="668"/>
      <c r="GM340" s="668"/>
      <c r="GN340" s="668"/>
      <c r="GO340" s="668"/>
      <c r="GP340" s="668"/>
      <c r="GQ340" s="668"/>
      <c r="GR340" s="668"/>
      <c r="GS340" s="668"/>
      <c r="GT340" s="668"/>
      <c r="GU340" s="668"/>
      <c r="GV340" s="668"/>
      <c r="GW340" s="668"/>
      <c r="GX340" s="668"/>
      <c r="GY340" s="668"/>
      <c r="GZ340" s="668"/>
      <c r="HA340" s="668"/>
      <c r="HB340" s="668"/>
      <c r="HC340" s="668"/>
      <c r="HD340" s="668"/>
      <c r="HE340" s="668"/>
      <c r="HF340" s="668"/>
      <c r="HG340" s="668"/>
      <c r="HH340" s="668"/>
      <c r="HI340" s="668"/>
      <c r="HJ340" s="668"/>
      <c r="HK340" s="668"/>
      <c r="HL340" s="668"/>
      <c r="HM340" s="668"/>
      <c r="HN340" s="668"/>
      <c r="HO340" s="757"/>
      <c r="HQ340" s="509"/>
      <c r="HY340" s="509"/>
      <c r="HZ340" s="509"/>
      <c r="IA340" s="509"/>
      <c r="IB340" s="509"/>
    </row>
    <row r="341" spans="1:236" s="563" customFormat="1" hidden="1" outlineLevel="2">
      <c r="A341" s="509" t="s">
        <v>542</v>
      </c>
      <c r="B341" s="752"/>
      <c r="C341" s="752"/>
      <c r="D341" s="752"/>
      <c r="E341" s="752"/>
      <c r="F341" s="752"/>
      <c r="G341" s="752"/>
      <c r="H341" s="752"/>
      <c r="I341" s="752"/>
      <c r="J341" s="752"/>
      <c r="K341" s="752"/>
      <c r="L341" s="752"/>
      <c r="M341" s="752"/>
      <c r="N341" s="752"/>
      <c r="O341" s="752"/>
      <c r="P341" s="752"/>
      <c r="Q341" s="752"/>
      <c r="R341" s="752"/>
      <c r="S341" s="752"/>
      <c r="T341" s="752"/>
      <c r="U341" s="752"/>
      <c r="V341" s="752"/>
      <c r="W341" s="752"/>
      <c r="X341" s="752"/>
      <c r="Y341" s="752"/>
      <c r="Z341" s="752"/>
      <c r="AA341" s="752"/>
      <c r="AB341" s="752"/>
      <c r="AC341" s="752"/>
      <c r="AD341" s="752"/>
      <c r="AE341" s="752"/>
      <c r="AF341" s="752"/>
      <c r="AG341" s="752"/>
      <c r="AH341" s="752"/>
      <c r="AI341" s="752"/>
      <c r="AJ341" s="752"/>
      <c r="AK341" s="752"/>
      <c r="AL341" s="752"/>
      <c r="AM341" s="752"/>
      <c r="AN341" s="752"/>
      <c r="AO341" s="753"/>
      <c r="AP341" s="752"/>
      <c r="AQ341" s="752"/>
      <c r="AR341" s="752"/>
      <c r="AS341" s="752"/>
      <c r="AT341" s="753"/>
      <c r="AU341" s="752"/>
      <c r="AV341" s="752"/>
      <c r="AW341" s="752"/>
      <c r="AX341" s="752"/>
      <c r="AY341" s="753"/>
      <c r="AZ341" s="752"/>
      <c r="BA341" s="752"/>
      <c r="BB341" s="752"/>
      <c r="BC341" s="752"/>
      <c r="BD341" s="753"/>
      <c r="BE341" s="752"/>
      <c r="BF341" s="752"/>
      <c r="BG341" s="752"/>
      <c r="BH341" s="752"/>
      <c r="BI341" s="753"/>
      <c r="BJ341" s="752"/>
      <c r="BK341" s="752"/>
      <c r="BL341" s="752"/>
      <c r="BM341" s="752"/>
      <c r="BN341" s="753"/>
      <c r="BO341" s="754"/>
      <c r="BP341" s="754"/>
      <c r="BQ341" s="754"/>
      <c r="BR341" s="754"/>
      <c r="BS341" s="755"/>
      <c r="BT341" s="754"/>
      <c r="BU341" s="754"/>
      <c r="BV341" s="754"/>
      <c r="BW341" s="754"/>
      <c r="BX341" s="524">
        <v>1132.921</v>
      </c>
      <c r="BY341" s="754"/>
      <c r="BZ341" s="754"/>
      <c r="CA341" s="754"/>
      <c r="CB341" s="754"/>
      <c r="CC341" s="524">
        <v>740.89499999999998</v>
      </c>
      <c r="CD341" s="754"/>
      <c r="CE341" s="754"/>
      <c r="CF341" s="754"/>
      <c r="CG341" s="754"/>
      <c r="CH341" s="524">
        <v>1418.9480000000001</v>
      </c>
      <c r="CI341" s="754"/>
      <c r="CJ341" s="754"/>
      <c r="CK341" s="754"/>
      <c r="CL341" s="754"/>
      <c r="CM341" s="524">
        <v>2343</v>
      </c>
      <c r="CN341" s="754"/>
      <c r="CO341" s="754"/>
      <c r="CP341" s="754"/>
      <c r="CQ341" s="754"/>
      <c r="CR341" s="524">
        <v>1913</v>
      </c>
      <c r="CS341" s="849" t="s">
        <v>199</v>
      </c>
      <c r="CT341" s="849" t="s">
        <v>199</v>
      </c>
      <c r="CU341" s="849" t="s">
        <v>199</v>
      </c>
      <c r="CV341" s="849" t="s">
        <v>199</v>
      </c>
      <c r="CW341" s="649" t="s">
        <v>199</v>
      </c>
      <c r="CX341" s="649" t="s">
        <v>199</v>
      </c>
      <c r="CY341" s="649" t="s">
        <v>199</v>
      </c>
      <c r="CZ341" s="649" t="s">
        <v>199</v>
      </c>
      <c r="DA341" s="849" t="s">
        <v>199</v>
      </c>
      <c r="DB341" s="649" t="s">
        <v>199</v>
      </c>
      <c r="DC341" s="649" t="s">
        <v>199</v>
      </c>
      <c r="DD341" s="649" t="s">
        <v>199</v>
      </c>
      <c r="DE341" s="649" t="s">
        <v>199</v>
      </c>
      <c r="DF341" s="849">
        <v>0</v>
      </c>
      <c r="DG341" s="524">
        <f>SUM(DC341:DF341)</f>
        <v>0</v>
      </c>
      <c r="DH341" s="849">
        <v>0</v>
      </c>
      <c r="DI341" s="849">
        <v>0</v>
      </c>
      <c r="DJ341" s="849">
        <v>0</v>
      </c>
      <c r="DK341" s="849">
        <v>0</v>
      </c>
      <c r="DL341" s="524">
        <f>SUM(DH341:DK341)</f>
        <v>0</v>
      </c>
      <c r="DM341" s="849">
        <v>0</v>
      </c>
      <c r="DN341" s="849">
        <v>0</v>
      </c>
      <c r="DO341" s="849">
        <v>0</v>
      </c>
      <c r="DP341" s="849">
        <v>0</v>
      </c>
      <c r="DQ341" s="524">
        <f>SUM(DM341:DP341)</f>
        <v>0</v>
      </c>
      <c r="DR341" s="849">
        <v>0</v>
      </c>
      <c r="DS341" s="849">
        <v>0</v>
      </c>
      <c r="DT341" s="849">
        <v>0</v>
      </c>
      <c r="DU341" s="849">
        <v>0</v>
      </c>
      <c r="DV341" s="524">
        <f>SUM(DR341:DU341)</f>
        <v>0</v>
      </c>
      <c r="DW341" s="849">
        <v>0</v>
      </c>
      <c r="DX341" s="849">
        <v>0</v>
      </c>
      <c r="DY341" s="849">
        <v>0</v>
      </c>
      <c r="DZ341" s="849">
        <v>0</v>
      </c>
      <c r="EA341" s="757">
        <f>SUM(DW341:DZ341)</f>
        <v>0</v>
      </c>
      <c r="EB341" s="849">
        <v>0</v>
      </c>
      <c r="EC341" s="849">
        <v>0</v>
      </c>
      <c r="ED341" s="849">
        <v>0</v>
      </c>
      <c r="EE341" s="849">
        <v>0</v>
      </c>
      <c r="EF341" s="757">
        <f>SUM(EB341:EE341)</f>
        <v>0</v>
      </c>
      <c r="EG341" s="756"/>
      <c r="EH341" s="756"/>
      <c r="EI341" s="756"/>
      <c r="EJ341" s="756"/>
      <c r="EK341" s="757"/>
      <c r="EL341" s="756"/>
      <c r="EM341" s="756"/>
      <c r="EN341" s="756"/>
      <c r="EO341" s="756"/>
      <c r="EP341" s="757"/>
      <c r="EQ341" s="756"/>
      <c r="ER341" s="756"/>
      <c r="ES341" s="756"/>
      <c r="ET341" s="756"/>
      <c r="EU341" s="757"/>
      <c r="EV341" s="668"/>
      <c r="EW341" s="668"/>
      <c r="EX341" s="668"/>
      <c r="EY341" s="668"/>
      <c r="EZ341" s="668"/>
      <c r="FA341" s="668"/>
      <c r="FB341" s="668"/>
      <c r="FC341" s="668"/>
      <c r="FD341" s="668"/>
      <c r="FE341" s="668"/>
      <c r="FF341" s="668"/>
      <c r="FG341" s="668"/>
      <c r="FH341" s="668"/>
      <c r="FI341" s="668"/>
      <c r="FJ341" s="668"/>
      <c r="FK341" s="668"/>
      <c r="FL341" s="668"/>
      <c r="FM341" s="668"/>
      <c r="FN341" s="668"/>
      <c r="FO341" s="668"/>
      <c r="FP341" s="668"/>
      <c r="FQ341" s="668"/>
      <c r="FR341" s="668"/>
      <c r="FS341" s="668"/>
      <c r="FT341" s="668"/>
      <c r="FU341" s="668"/>
      <c r="FV341" s="668"/>
      <c r="FW341" s="668"/>
      <c r="FX341" s="668"/>
      <c r="FY341" s="668"/>
      <c r="FZ341" s="668"/>
      <c r="GA341" s="668"/>
      <c r="GB341" s="668"/>
      <c r="GC341" s="668"/>
      <c r="GD341" s="668"/>
      <c r="GE341" s="668"/>
      <c r="GF341" s="668"/>
      <c r="GG341" s="668"/>
      <c r="GH341" s="668"/>
      <c r="GI341" s="668"/>
      <c r="GJ341" s="668"/>
      <c r="GK341" s="668"/>
      <c r="GL341" s="668"/>
      <c r="GM341" s="668"/>
      <c r="GN341" s="668"/>
      <c r="GO341" s="668"/>
      <c r="GP341" s="668"/>
      <c r="GQ341" s="668"/>
      <c r="GR341" s="668"/>
      <c r="GS341" s="668"/>
      <c r="GT341" s="668"/>
      <c r="GU341" s="668"/>
      <c r="GV341" s="668"/>
      <c r="GW341" s="668"/>
      <c r="GX341" s="668"/>
      <c r="GY341" s="668"/>
      <c r="GZ341" s="668"/>
      <c r="HA341" s="668"/>
      <c r="HB341" s="668"/>
      <c r="HC341" s="668"/>
      <c r="HD341" s="668"/>
      <c r="HE341" s="668"/>
      <c r="HF341" s="668"/>
      <c r="HG341" s="668"/>
      <c r="HH341" s="668"/>
      <c r="HI341" s="668"/>
      <c r="HJ341" s="668"/>
      <c r="HK341" s="668"/>
      <c r="HL341" s="668"/>
      <c r="HM341" s="668"/>
      <c r="HN341" s="668"/>
      <c r="HO341" s="757"/>
      <c r="HQ341" s="509"/>
      <c r="HY341" s="509"/>
      <c r="HZ341" s="509"/>
      <c r="IA341" s="509"/>
      <c r="IB341" s="509"/>
    </row>
    <row r="342" spans="1:236" s="563" customFormat="1" hidden="1" outlineLevel="2">
      <c r="A342" s="509" t="s">
        <v>543</v>
      </c>
      <c r="B342" s="752"/>
      <c r="C342" s="752"/>
      <c r="D342" s="752"/>
      <c r="E342" s="752"/>
      <c r="F342" s="752"/>
      <c r="G342" s="752"/>
      <c r="H342" s="752"/>
      <c r="I342" s="752"/>
      <c r="J342" s="752"/>
      <c r="K342" s="752"/>
      <c r="L342" s="752"/>
      <c r="M342" s="752"/>
      <c r="N342" s="752"/>
      <c r="O342" s="752"/>
      <c r="P342" s="752"/>
      <c r="Q342" s="752"/>
      <c r="R342" s="752"/>
      <c r="S342" s="752"/>
      <c r="T342" s="752"/>
      <c r="U342" s="752"/>
      <c r="V342" s="752"/>
      <c r="W342" s="752"/>
      <c r="X342" s="752"/>
      <c r="Y342" s="752"/>
      <c r="Z342" s="752"/>
      <c r="AA342" s="752"/>
      <c r="AB342" s="752"/>
      <c r="AC342" s="752"/>
      <c r="AD342" s="752"/>
      <c r="AE342" s="752"/>
      <c r="AF342" s="752"/>
      <c r="AG342" s="752"/>
      <c r="AH342" s="752"/>
      <c r="AI342" s="752"/>
      <c r="AJ342" s="752"/>
      <c r="AK342" s="752"/>
      <c r="AL342" s="752"/>
      <c r="AM342" s="752"/>
      <c r="AN342" s="752"/>
      <c r="AO342" s="753"/>
      <c r="AP342" s="752"/>
      <c r="AQ342" s="752"/>
      <c r="AR342" s="752"/>
      <c r="AS342" s="752"/>
      <c r="AT342" s="753"/>
      <c r="AU342" s="752"/>
      <c r="AV342" s="752"/>
      <c r="AW342" s="752"/>
      <c r="AX342" s="752"/>
      <c r="AY342" s="753"/>
      <c r="AZ342" s="752"/>
      <c r="BA342" s="752"/>
      <c r="BB342" s="752"/>
      <c r="BC342" s="752"/>
      <c r="BD342" s="753"/>
      <c r="BE342" s="752"/>
      <c r="BF342" s="752"/>
      <c r="BG342" s="752"/>
      <c r="BH342" s="752"/>
      <c r="BI342" s="753"/>
      <c r="BJ342" s="752"/>
      <c r="BK342" s="752"/>
      <c r="BL342" s="752"/>
      <c r="BM342" s="752"/>
      <c r="BN342" s="753"/>
      <c r="BO342" s="754"/>
      <c r="BP342" s="754"/>
      <c r="BQ342" s="754"/>
      <c r="BR342" s="754"/>
      <c r="BS342" s="755"/>
      <c r="BT342" s="754"/>
      <c r="BU342" s="754"/>
      <c r="BV342" s="754"/>
      <c r="BW342" s="754"/>
      <c r="BX342" s="524"/>
      <c r="BY342" s="754"/>
      <c r="BZ342" s="754"/>
      <c r="CA342" s="754"/>
      <c r="CB342" s="754"/>
      <c r="CC342" s="524"/>
      <c r="CD342" s="754"/>
      <c r="CE342" s="754"/>
      <c r="CF342" s="754"/>
      <c r="CG342" s="754"/>
      <c r="CH342" s="524"/>
      <c r="CI342" s="754"/>
      <c r="CJ342" s="754"/>
      <c r="CK342" s="754"/>
      <c r="CL342" s="754"/>
      <c r="CM342" s="524"/>
      <c r="CN342" s="754"/>
      <c r="CO342" s="754"/>
      <c r="CP342" s="754"/>
      <c r="CQ342" s="754"/>
      <c r="CR342" s="524"/>
      <c r="CS342" s="849"/>
      <c r="CT342" s="849"/>
      <c r="CU342" s="849"/>
      <c r="CV342" s="849"/>
      <c r="CW342" s="649"/>
      <c r="CX342" s="649"/>
      <c r="CY342" s="649"/>
      <c r="CZ342" s="649"/>
      <c r="DA342" s="849"/>
      <c r="DB342" s="649"/>
      <c r="DC342" s="649"/>
      <c r="DD342" s="649"/>
      <c r="DE342" s="649"/>
      <c r="DF342" s="849"/>
      <c r="DG342" s="649" t="s">
        <v>199</v>
      </c>
      <c r="DH342" s="849">
        <v>283</v>
      </c>
      <c r="DI342" s="849">
        <v>253</v>
      </c>
      <c r="DJ342" s="849">
        <v>256</v>
      </c>
      <c r="DK342" s="849">
        <v>309</v>
      </c>
      <c r="DL342" s="649" t="s">
        <v>199</v>
      </c>
      <c r="DM342" s="849">
        <v>0</v>
      </c>
      <c r="DN342" s="849">
        <v>0</v>
      </c>
      <c r="DO342" s="849">
        <v>0</v>
      </c>
      <c r="DP342" s="849">
        <v>0</v>
      </c>
      <c r="DQ342" s="649" t="s">
        <v>199</v>
      </c>
      <c r="DR342" s="849">
        <v>0</v>
      </c>
      <c r="DS342" s="849">
        <v>0</v>
      </c>
      <c r="DT342" s="849">
        <v>0</v>
      </c>
      <c r="DU342" s="849">
        <v>0</v>
      </c>
      <c r="DV342" s="649" t="s">
        <v>199</v>
      </c>
      <c r="DW342" s="849">
        <v>0</v>
      </c>
      <c r="DX342" s="849">
        <v>0</v>
      </c>
      <c r="DY342" s="849">
        <v>0</v>
      </c>
      <c r="DZ342" s="849">
        <v>0</v>
      </c>
      <c r="EA342" s="649" t="s">
        <v>199</v>
      </c>
      <c r="EB342" s="849">
        <v>0</v>
      </c>
      <c r="EC342" s="849">
        <v>0</v>
      </c>
      <c r="ED342" s="849">
        <v>0</v>
      </c>
      <c r="EE342" s="849">
        <v>0</v>
      </c>
      <c r="EF342" s="649" t="s">
        <v>199</v>
      </c>
      <c r="EG342" s="756"/>
      <c r="EH342" s="756"/>
      <c r="EI342" s="756"/>
      <c r="EJ342" s="756"/>
      <c r="EK342" s="757"/>
      <c r="EL342" s="756"/>
      <c r="EM342" s="756"/>
      <c r="EN342" s="756"/>
      <c r="EO342" s="756"/>
      <c r="EP342" s="757"/>
      <c r="EQ342" s="756"/>
      <c r="ER342" s="756"/>
      <c r="ES342" s="756"/>
      <c r="ET342" s="756"/>
      <c r="EU342" s="757"/>
      <c r="EV342" s="668"/>
      <c r="EW342" s="668"/>
      <c r="EX342" s="668"/>
      <c r="EY342" s="668"/>
      <c r="EZ342" s="668"/>
      <c r="FA342" s="668"/>
      <c r="FB342" s="668"/>
      <c r="FC342" s="668"/>
      <c r="FD342" s="668"/>
      <c r="FE342" s="668"/>
      <c r="FF342" s="668"/>
      <c r="FG342" s="668"/>
      <c r="FH342" s="668"/>
      <c r="FI342" s="668"/>
      <c r="FJ342" s="668"/>
      <c r="FK342" s="668"/>
      <c r="FL342" s="668"/>
      <c r="FM342" s="668"/>
      <c r="FN342" s="668"/>
      <c r="FO342" s="668"/>
      <c r="FP342" s="668"/>
      <c r="FQ342" s="668"/>
      <c r="FR342" s="668"/>
      <c r="FS342" s="668"/>
      <c r="FT342" s="668"/>
      <c r="FU342" s="668"/>
      <c r="FV342" s="668"/>
      <c r="FW342" s="668"/>
      <c r="FX342" s="668"/>
      <c r="FY342" s="668"/>
      <c r="FZ342" s="668"/>
      <c r="GA342" s="668"/>
      <c r="GB342" s="668"/>
      <c r="GC342" s="668"/>
      <c r="GD342" s="668"/>
      <c r="GE342" s="668"/>
      <c r="GF342" s="668"/>
      <c r="GG342" s="668"/>
      <c r="GH342" s="668"/>
      <c r="GI342" s="668"/>
      <c r="GJ342" s="668"/>
      <c r="GK342" s="668"/>
      <c r="GL342" s="668"/>
      <c r="GM342" s="668"/>
      <c r="GN342" s="668"/>
      <c r="GO342" s="668"/>
      <c r="GP342" s="668"/>
      <c r="GQ342" s="668"/>
      <c r="GR342" s="668"/>
      <c r="GS342" s="668"/>
      <c r="GT342" s="668"/>
      <c r="GU342" s="668"/>
      <c r="GV342" s="668"/>
      <c r="GW342" s="668"/>
      <c r="GX342" s="668"/>
      <c r="GY342" s="668"/>
      <c r="GZ342" s="668"/>
      <c r="HA342" s="668"/>
      <c r="HB342" s="668"/>
      <c r="HC342" s="668"/>
      <c r="HD342" s="668"/>
      <c r="HE342" s="668"/>
      <c r="HF342" s="668"/>
      <c r="HG342" s="668"/>
      <c r="HH342" s="668"/>
      <c r="HI342" s="668"/>
      <c r="HJ342" s="668"/>
      <c r="HK342" s="668"/>
      <c r="HL342" s="668"/>
      <c r="HM342" s="668"/>
      <c r="HN342" s="668"/>
      <c r="HO342" s="757"/>
      <c r="HQ342" s="509"/>
      <c r="HY342" s="509"/>
      <c r="HZ342" s="509"/>
      <c r="IA342" s="509"/>
      <c r="IB342" s="509"/>
    </row>
    <row r="343" spans="1:236" s="563" customFormat="1" hidden="1" outlineLevel="2">
      <c r="A343" s="509" t="s">
        <v>544</v>
      </c>
      <c r="B343" s="752"/>
      <c r="C343" s="752"/>
      <c r="D343" s="752"/>
      <c r="E343" s="752"/>
      <c r="F343" s="752"/>
      <c r="G343" s="752"/>
      <c r="H343" s="752"/>
      <c r="I343" s="752"/>
      <c r="J343" s="752"/>
      <c r="K343" s="752"/>
      <c r="L343" s="752"/>
      <c r="M343" s="752"/>
      <c r="N343" s="752"/>
      <c r="O343" s="752"/>
      <c r="P343" s="752"/>
      <c r="Q343" s="752"/>
      <c r="R343" s="752"/>
      <c r="S343" s="752"/>
      <c r="T343" s="752"/>
      <c r="U343" s="752"/>
      <c r="V343" s="752"/>
      <c r="W343" s="752"/>
      <c r="X343" s="752"/>
      <c r="Y343" s="752"/>
      <c r="Z343" s="752"/>
      <c r="AA343" s="752"/>
      <c r="AB343" s="752"/>
      <c r="AC343" s="752"/>
      <c r="AD343" s="752"/>
      <c r="AE343" s="752"/>
      <c r="AF343" s="752"/>
      <c r="AG343" s="752"/>
      <c r="AH343" s="752"/>
      <c r="AI343" s="752"/>
      <c r="AJ343" s="752"/>
      <c r="AK343" s="752"/>
      <c r="AL343" s="752"/>
      <c r="AM343" s="752"/>
      <c r="AN343" s="752"/>
      <c r="AO343" s="753"/>
      <c r="AP343" s="752"/>
      <c r="AQ343" s="752"/>
      <c r="AR343" s="752"/>
      <c r="AS343" s="752"/>
      <c r="AT343" s="753"/>
      <c r="AU343" s="752"/>
      <c r="AV343" s="752"/>
      <c r="AW343" s="752"/>
      <c r="AX343" s="752"/>
      <c r="AY343" s="753"/>
      <c r="AZ343" s="752"/>
      <c r="BA343" s="752"/>
      <c r="BB343" s="752"/>
      <c r="BC343" s="752"/>
      <c r="BD343" s="753"/>
      <c r="BE343" s="752"/>
      <c r="BF343" s="752"/>
      <c r="BG343" s="752"/>
      <c r="BH343" s="752"/>
      <c r="BI343" s="753"/>
      <c r="BJ343" s="752"/>
      <c r="BK343" s="752"/>
      <c r="BL343" s="752"/>
      <c r="BM343" s="752"/>
      <c r="BN343" s="753"/>
      <c r="BO343" s="754"/>
      <c r="BP343" s="754"/>
      <c r="BQ343" s="754"/>
      <c r="BR343" s="754"/>
      <c r="BS343" s="755"/>
      <c r="BT343" s="754"/>
      <c r="BU343" s="754"/>
      <c r="BV343" s="754"/>
      <c r="BW343" s="754"/>
      <c r="BX343" s="524"/>
      <c r="BY343" s="754"/>
      <c r="BZ343" s="754"/>
      <c r="CA343" s="754"/>
      <c r="CB343" s="754"/>
      <c r="CC343" s="524"/>
      <c r="CD343" s="754"/>
      <c r="CE343" s="754"/>
      <c r="CF343" s="754"/>
      <c r="CG343" s="754"/>
      <c r="CH343" s="524"/>
      <c r="CI343" s="754"/>
      <c r="CJ343" s="754"/>
      <c r="CK343" s="754"/>
      <c r="CL343" s="754"/>
      <c r="CM343" s="524"/>
      <c r="CN343" s="754"/>
      <c r="CO343" s="754"/>
      <c r="CP343" s="754"/>
      <c r="CQ343" s="754"/>
      <c r="CR343" s="524"/>
      <c r="CS343" s="849"/>
      <c r="CT343" s="849"/>
      <c r="CU343" s="849"/>
      <c r="CV343" s="849"/>
      <c r="CW343" s="649"/>
      <c r="CX343" s="649"/>
      <c r="CY343" s="649"/>
      <c r="CZ343" s="649"/>
      <c r="DA343" s="849"/>
      <c r="DB343" s="649"/>
      <c r="DC343" s="649"/>
      <c r="DD343" s="649"/>
      <c r="DE343" s="649"/>
      <c r="DF343" s="849"/>
      <c r="DG343" s="649" t="s">
        <v>199</v>
      </c>
      <c r="DH343" s="849">
        <v>-283</v>
      </c>
      <c r="DI343" s="849">
        <v>-253</v>
      </c>
      <c r="DJ343" s="849">
        <v>-256</v>
      </c>
      <c r="DK343" s="849">
        <v>-309</v>
      </c>
      <c r="DL343" s="649" t="s">
        <v>199</v>
      </c>
      <c r="DM343" s="849">
        <v>0</v>
      </c>
      <c r="DN343" s="849">
        <v>0</v>
      </c>
      <c r="DO343" s="849">
        <v>0</v>
      </c>
      <c r="DP343" s="849">
        <v>0</v>
      </c>
      <c r="DQ343" s="649" t="s">
        <v>199</v>
      </c>
      <c r="DR343" s="849">
        <v>0</v>
      </c>
      <c r="DS343" s="849">
        <v>0</v>
      </c>
      <c r="DT343" s="849">
        <v>0</v>
      </c>
      <c r="DU343" s="849">
        <v>0</v>
      </c>
      <c r="DV343" s="649" t="s">
        <v>199</v>
      </c>
      <c r="DW343" s="849">
        <v>0</v>
      </c>
      <c r="DX343" s="849">
        <v>0</v>
      </c>
      <c r="DY343" s="849">
        <v>0</v>
      </c>
      <c r="DZ343" s="849">
        <v>0</v>
      </c>
      <c r="EA343" s="649" t="s">
        <v>199</v>
      </c>
      <c r="EB343" s="849">
        <v>0</v>
      </c>
      <c r="EC343" s="849">
        <v>0</v>
      </c>
      <c r="ED343" s="849">
        <v>0</v>
      </c>
      <c r="EE343" s="849">
        <v>0</v>
      </c>
      <c r="EF343" s="649" t="s">
        <v>199</v>
      </c>
      <c r="EG343" s="756"/>
      <c r="EH343" s="756"/>
      <c r="EI343" s="756"/>
      <c r="EJ343" s="756"/>
      <c r="EK343" s="757"/>
      <c r="EL343" s="756"/>
      <c r="EM343" s="756"/>
      <c r="EN343" s="756"/>
      <c r="EO343" s="756"/>
      <c r="EP343" s="757"/>
      <c r="EQ343" s="756"/>
      <c r="ER343" s="756"/>
      <c r="ES343" s="756"/>
      <c r="ET343" s="756"/>
      <c r="EU343" s="757"/>
      <c r="EV343" s="756"/>
      <c r="EW343" s="756"/>
      <c r="EX343" s="756"/>
      <c r="EY343" s="756"/>
      <c r="EZ343" s="757"/>
      <c r="FA343" s="756"/>
      <c r="FB343" s="756"/>
      <c r="FC343" s="756"/>
      <c r="FD343" s="756"/>
      <c r="FE343" s="757"/>
      <c r="FF343" s="756"/>
      <c r="FG343" s="756"/>
      <c r="FH343" s="756"/>
      <c r="FI343" s="756"/>
      <c r="FJ343" s="757"/>
      <c r="FK343" s="757"/>
      <c r="FL343" s="757"/>
      <c r="FM343" s="757"/>
      <c r="FN343" s="757"/>
      <c r="FO343" s="757"/>
      <c r="FP343" s="757"/>
      <c r="FQ343" s="757"/>
      <c r="FR343" s="757"/>
      <c r="FS343" s="757"/>
      <c r="FT343" s="757"/>
      <c r="FU343" s="757"/>
      <c r="FV343" s="757"/>
      <c r="FW343" s="757"/>
      <c r="FX343" s="757"/>
      <c r="FY343" s="757"/>
      <c r="FZ343" s="757"/>
      <c r="GA343" s="757"/>
      <c r="GB343" s="757"/>
      <c r="GC343" s="757"/>
      <c r="GD343" s="757"/>
      <c r="GE343" s="757"/>
      <c r="GF343" s="757"/>
      <c r="GG343" s="757"/>
      <c r="GH343" s="757"/>
      <c r="GI343" s="757"/>
      <c r="GJ343" s="757"/>
      <c r="GK343" s="757"/>
      <c r="GL343" s="757"/>
      <c r="GM343" s="757"/>
      <c r="GN343" s="757"/>
      <c r="GO343" s="757"/>
      <c r="GP343" s="757"/>
      <c r="GQ343" s="757"/>
      <c r="GR343" s="757"/>
      <c r="GS343" s="757"/>
      <c r="GT343" s="757"/>
      <c r="GU343" s="757"/>
      <c r="GV343" s="757"/>
      <c r="GW343" s="757"/>
      <c r="GX343" s="757"/>
      <c r="GY343" s="757"/>
      <c r="GZ343" s="757"/>
      <c r="HA343" s="757"/>
      <c r="HB343" s="757"/>
      <c r="HC343" s="757"/>
      <c r="HD343" s="757"/>
      <c r="HE343" s="757"/>
      <c r="HF343" s="757"/>
      <c r="HG343" s="757"/>
      <c r="HH343" s="757"/>
      <c r="HI343" s="757"/>
      <c r="HJ343" s="757"/>
      <c r="HK343" s="757"/>
      <c r="HL343" s="757"/>
      <c r="HM343" s="757"/>
      <c r="HN343" s="757"/>
      <c r="HO343" s="757"/>
      <c r="HQ343" s="509"/>
      <c r="HY343" s="509"/>
      <c r="HZ343" s="509"/>
      <c r="IA343" s="509"/>
      <c r="IB343" s="509"/>
    </row>
    <row r="344" spans="1:236" s="563" customFormat="1" hidden="1" outlineLevel="2">
      <c r="A344" s="509" t="s">
        <v>316</v>
      </c>
      <c r="B344" s="752"/>
      <c r="C344" s="752"/>
      <c r="D344" s="752"/>
      <c r="E344" s="752"/>
      <c r="F344" s="752"/>
      <c r="G344" s="752"/>
      <c r="H344" s="752"/>
      <c r="I344" s="752"/>
      <c r="J344" s="752"/>
      <c r="K344" s="752"/>
      <c r="L344" s="752"/>
      <c r="M344" s="752"/>
      <c r="N344" s="752"/>
      <c r="O344" s="752"/>
      <c r="P344" s="752"/>
      <c r="Q344" s="752"/>
      <c r="R344" s="752"/>
      <c r="S344" s="752"/>
      <c r="T344" s="752"/>
      <c r="U344" s="752"/>
      <c r="V344" s="752"/>
      <c r="W344" s="752"/>
      <c r="X344" s="752"/>
      <c r="Y344" s="752"/>
      <c r="Z344" s="752"/>
      <c r="AA344" s="752"/>
      <c r="AB344" s="752"/>
      <c r="AC344" s="752"/>
      <c r="AD344" s="752"/>
      <c r="AE344" s="752"/>
      <c r="AF344" s="752"/>
      <c r="AG344" s="752"/>
      <c r="AH344" s="752"/>
      <c r="AI344" s="752"/>
      <c r="AJ344" s="752"/>
      <c r="AK344" s="752"/>
      <c r="AL344" s="752"/>
      <c r="AM344" s="752"/>
      <c r="AN344" s="752"/>
      <c r="AO344" s="753"/>
      <c r="AP344" s="752"/>
      <c r="AQ344" s="752"/>
      <c r="AR344" s="752"/>
      <c r="AS344" s="752"/>
      <c r="AT344" s="753"/>
      <c r="AU344" s="752"/>
      <c r="AV344" s="752"/>
      <c r="AW344" s="752"/>
      <c r="AX344" s="752"/>
      <c r="AY344" s="753"/>
      <c r="AZ344" s="752"/>
      <c r="BA344" s="752"/>
      <c r="BB344" s="752"/>
      <c r="BC344" s="752"/>
      <c r="BD344" s="753"/>
      <c r="BE344" s="752"/>
      <c r="BF344" s="752"/>
      <c r="BG344" s="752"/>
      <c r="BH344" s="752"/>
      <c r="BI344" s="753"/>
      <c r="BJ344" s="752"/>
      <c r="BK344" s="752"/>
      <c r="BL344" s="752"/>
      <c r="BM344" s="752"/>
      <c r="BN344" s="753"/>
      <c r="BO344" s="754"/>
      <c r="BP344" s="754"/>
      <c r="BQ344" s="754"/>
      <c r="BR344" s="754"/>
      <c r="BS344" s="755"/>
      <c r="BT344" s="754"/>
      <c r="BU344" s="754"/>
      <c r="BV344" s="754"/>
      <c r="BW344" s="754"/>
      <c r="BX344" s="649">
        <v>293.25700000000001</v>
      </c>
      <c r="BY344" s="754"/>
      <c r="BZ344" s="754"/>
      <c r="CA344" s="754"/>
      <c r="CB344" s="754"/>
      <c r="CC344" s="524">
        <v>200.11799999999999</v>
      </c>
      <c r="CD344" s="754"/>
      <c r="CE344" s="754"/>
      <c r="CF344" s="754"/>
      <c r="CG344" s="754"/>
      <c r="CH344" s="524">
        <v>140.46100000000001</v>
      </c>
      <c r="CI344" s="754"/>
      <c r="CJ344" s="754"/>
      <c r="CK344" s="754"/>
      <c r="CL344" s="754"/>
      <c r="CM344" s="649">
        <v>0</v>
      </c>
      <c r="CN344" s="754"/>
      <c r="CO344" s="754"/>
      <c r="CP344" s="754"/>
      <c r="CQ344" s="754"/>
      <c r="CR344" s="524">
        <v>6</v>
      </c>
      <c r="CS344" s="523">
        <v>-5</v>
      </c>
      <c r="CT344" s="523">
        <v>0</v>
      </c>
      <c r="CU344" s="523">
        <v>0</v>
      </c>
      <c r="CV344" s="523">
        <f>CW344-SUM(CS344:CU344)</f>
        <v>1</v>
      </c>
      <c r="CW344" s="649">
        <v>-4</v>
      </c>
      <c r="CX344" s="523">
        <v>0</v>
      </c>
      <c r="CY344" s="523">
        <v>0</v>
      </c>
      <c r="CZ344" s="523">
        <v>0</v>
      </c>
      <c r="DA344" s="523">
        <f>DB344-SUM(CX344:CZ344)</f>
        <v>0</v>
      </c>
      <c r="DB344" s="649">
        <v>0</v>
      </c>
      <c r="DC344" s="523">
        <v>0</v>
      </c>
      <c r="DD344" s="523">
        <v>0</v>
      </c>
      <c r="DE344" s="523">
        <v>0</v>
      </c>
      <c r="DF344" s="523">
        <v>19</v>
      </c>
      <c r="DG344" s="524">
        <f>SUM(DC344:DF344)</f>
        <v>19</v>
      </c>
      <c r="DH344" s="523">
        <v>17</v>
      </c>
      <c r="DI344" s="523">
        <v>23</v>
      </c>
      <c r="DJ344" s="523">
        <v>21</v>
      </c>
      <c r="DK344" s="523">
        <v>5</v>
      </c>
      <c r="DL344" s="524">
        <f>SUM(DH344:DK344)</f>
        <v>66</v>
      </c>
      <c r="DM344" s="523">
        <v>5</v>
      </c>
      <c r="DN344" s="523">
        <v>1</v>
      </c>
      <c r="DO344" s="523">
        <v>1</v>
      </c>
      <c r="DP344" s="523">
        <v>6</v>
      </c>
      <c r="DQ344" s="524">
        <f>SUM(DM344:DP344)</f>
        <v>13</v>
      </c>
      <c r="DR344" s="523">
        <v>0</v>
      </c>
      <c r="DS344" s="523">
        <v>0</v>
      </c>
      <c r="DT344" s="523">
        <v>1</v>
      </c>
      <c r="DU344" s="523">
        <v>1</v>
      </c>
      <c r="DV344" s="524">
        <f>SUM(DR344:DU344)</f>
        <v>2</v>
      </c>
      <c r="DW344" s="523">
        <v>0</v>
      </c>
      <c r="DX344" s="523">
        <v>0</v>
      </c>
      <c r="DY344" s="523">
        <v>0</v>
      </c>
      <c r="DZ344" s="523">
        <v>0</v>
      </c>
      <c r="EA344" s="757">
        <f>SUM(DW344:DZ344)</f>
        <v>0</v>
      </c>
      <c r="EB344" s="523">
        <v>0</v>
      </c>
      <c r="EC344" s="523">
        <v>0</v>
      </c>
      <c r="ED344" s="523">
        <v>0</v>
      </c>
      <c r="EE344" s="756">
        <v>2</v>
      </c>
      <c r="EF344" s="757">
        <f>SUM(EB344:EE344)</f>
        <v>2</v>
      </c>
      <c r="EG344" s="756">
        <v>0</v>
      </c>
      <c r="EH344" s="756">
        <v>0</v>
      </c>
      <c r="EI344" s="756"/>
      <c r="EJ344" s="756"/>
      <c r="EK344" s="757"/>
      <c r="EL344" s="756"/>
      <c r="EM344" s="756"/>
      <c r="EN344" s="756"/>
      <c r="EO344" s="756"/>
      <c r="EP344" s="757"/>
      <c r="EQ344" s="756"/>
      <c r="ER344" s="756"/>
      <c r="ES344" s="756"/>
      <c r="ET344" s="756"/>
      <c r="EU344" s="757"/>
      <c r="EV344" s="756"/>
      <c r="EW344" s="756"/>
      <c r="EX344" s="756"/>
      <c r="EY344" s="756"/>
      <c r="EZ344" s="757"/>
      <c r="FA344" s="756"/>
      <c r="FB344" s="756"/>
      <c r="FC344" s="756"/>
      <c r="FD344" s="756"/>
      <c r="FE344" s="757"/>
      <c r="FF344" s="756"/>
      <c r="FG344" s="756"/>
      <c r="FH344" s="756"/>
      <c r="FI344" s="756"/>
      <c r="FJ344" s="757"/>
      <c r="FK344" s="757"/>
      <c r="FL344" s="757"/>
      <c r="FM344" s="757"/>
      <c r="FN344" s="757"/>
      <c r="FO344" s="757"/>
      <c r="FP344" s="757"/>
      <c r="FQ344" s="757"/>
      <c r="FR344" s="757"/>
      <c r="FS344" s="757"/>
      <c r="FT344" s="757"/>
      <c r="FU344" s="757"/>
      <c r="FV344" s="757"/>
      <c r="FW344" s="757"/>
      <c r="FX344" s="757"/>
      <c r="FY344" s="757"/>
      <c r="FZ344" s="757"/>
      <c r="GA344" s="757"/>
      <c r="GB344" s="757"/>
      <c r="GC344" s="757"/>
      <c r="GD344" s="757"/>
      <c r="GE344" s="757"/>
      <c r="GF344" s="757"/>
      <c r="GG344" s="757"/>
      <c r="GH344" s="757"/>
      <c r="GI344" s="757"/>
      <c r="GJ344" s="757"/>
      <c r="GK344" s="757"/>
      <c r="GL344" s="757"/>
      <c r="GM344" s="757"/>
      <c r="GN344" s="757"/>
      <c r="GO344" s="757"/>
      <c r="GP344" s="757"/>
      <c r="GQ344" s="757"/>
      <c r="GR344" s="757"/>
      <c r="GS344" s="757"/>
      <c r="GT344" s="757"/>
      <c r="GU344" s="757"/>
      <c r="GV344" s="757"/>
      <c r="GW344" s="757"/>
      <c r="GX344" s="757"/>
      <c r="GY344" s="757"/>
      <c r="GZ344" s="757"/>
      <c r="HA344" s="757"/>
      <c r="HB344" s="757"/>
      <c r="HC344" s="757"/>
      <c r="HD344" s="757"/>
      <c r="HE344" s="757"/>
      <c r="HF344" s="757"/>
      <c r="HG344" s="757"/>
      <c r="HH344" s="757"/>
      <c r="HI344" s="757"/>
      <c r="HJ344" s="757"/>
      <c r="HK344" s="757"/>
      <c r="HL344" s="757"/>
      <c r="HM344" s="757"/>
      <c r="HN344" s="757"/>
      <c r="HO344" s="757"/>
      <c r="HQ344" s="509"/>
      <c r="HY344" s="509"/>
      <c r="HZ344" s="509"/>
      <c r="IA344" s="509"/>
      <c r="IB344" s="509"/>
    </row>
    <row r="345" spans="1:236" s="563" customFormat="1" hidden="1" outlineLevel="2">
      <c r="A345" s="752"/>
      <c r="B345" s="752"/>
      <c r="C345" s="752"/>
      <c r="D345" s="752"/>
      <c r="E345" s="752"/>
      <c r="F345" s="752"/>
      <c r="G345" s="752"/>
      <c r="H345" s="752"/>
      <c r="I345" s="752"/>
      <c r="J345" s="752"/>
      <c r="K345" s="752"/>
      <c r="L345" s="752"/>
      <c r="M345" s="752"/>
      <c r="N345" s="752"/>
      <c r="O345" s="752"/>
      <c r="P345" s="752"/>
      <c r="Q345" s="752"/>
      <c r="R345" s="752"/>
      <c r="S345" s="752"/>
      <c r="T345" s="752"/>
      <c r="U345" s="752"/>
      <c r="V345" s="752"/>
      <c r="W345" s="752"/>
      <c r="X345" s="752"/>
      <c r="Y345" s="752"/>
      <c r="Z345" s="752"/>
      <c r="AA345" s="752"/>
      <c r="AB345" s="752"/>
      <c r="AC345" s="752"/>
      <c r="AD345" s="752"/>
      <c r="AE345" s="752"/>
      <c r="AF345" s="752"/>
      <c r="AG345" s="752"/>
      <c r="AH345" s="752"/>
      <c r="AI345" s="752"/>
      <c r="AJ345" s="752"/>
      <c r="AK345" s="752"/>
      <c r="AL345" s="752"/>
      <c r="AM345" s="752"/>
      <c r="AN345" s="752"/>
      <c r="AO345" s="753"/>
      <c r="AP345" s="752"/>
      <c r="AQ345" s="752"/>
      <c r="AR345" s="752"/>
      <c r="AS345" s="752"/>
      <c r="AT345" s="753"/>
      <c r="AU345" s="752"/>
      <c r="AV345" s="752"/>
      <c r="AW345" s="752"/>
      <c r="AX345" s="752"/>
      <c r="AY345" s="753"/>
      <c r="AZ345" s="752"/>
      <c r="BA345" s="752"/>
      <c r="BB345" s="752"/>
      <c r="BC345" s="752"/>
      <c r="BD345" s="753"/>
      <c r="BE345" s="752"/>
      <c r="BF345" s="752"/>
      <c r="BG345" s="752"/>
      <c r="BH345" s="752"/>
      <c r="BI345" s="753"/>
      <c r="BJ345" s="752"/>
      <c r="BK345" s="752"/>
      <c r="BL345" s="752"/>
      <c r="BM345" s="752"/>
      <c r="BN345" s="753"/>
      <c r="BO345" s="754"/>
      <c r="BP345" s="754"/>
      <c r="BQ345" s="754"/>
      <c r="BR345" s="754"/>
      <c r="BS345" s="755"/>
      <c r="BT345" s="754"/>
      <c r="BU345" s="754"/>
      <c r="BV345" s="754"/>
      <c r="BW345" s="754"/>
      <c r="BX345" s="524"/>
      <c r="BY345" s="754"/>
      <c r="BZ345" s="754"/>
      <c r="CA345" s="754"/>
      <c r="CB345" s="754"/>
      <c r="CC345" s="524"/>
      <c r="CD345" s="754"/>
      <c r="CE345" s="754"/>
      <c r="CF345" s="754"/>
      <c r="CG345" s="754"/>
      <c r="CH345" s="524"/>
      <c r="CI345" s="754"/>
      <c r="CJ345" s="754"/>
      <c r="CK345" s="754"/>
      <c r="CL345" s="754"/>
      <c r="CM345" s="524"/>
      <c r="CN345" s="754"/>
      <c r="CO345" s="754"/>
      <c r="CP345" s="754"/>
      <c r="CQ345" s="754"/>
      <c r="CR345" s="524"/>
      <c r="CS345" s="523"/>
      <c r="CT345" s="523"/>
      <c r="CU345" s="523"/>
      <c r="CV345" s="523"/>
      <c r="CW345" s="524"/>
      <c r="CX345" s="523"/>
      <c r="CY345" s="523"/>
      <c r="CZ345" s="523"/>
      <c r="DA345" s="523"/>
      <c r="DB345" s="524"/>
      <c r="DC345" s="754"/>
      <c r="DD345" s="754"/>
      <c r="DE345" s="754"/>
      <c r="DF345" s="754"/>
      <c r="DG345" s="524"/>
      <c r="DH345" s="754"/>
      <c r="DI345" s="754"/>
      <c r="DJ345" s="754"/>
      <c r="DK345" s="754"/>
      <c r="DL345" s="754"/>
      <c r="DM345" s="754">
        <f t="shared" ref="DM345:DV345" si="290">SUM(DM336:DM337,DM344)</f>
        <v>1574</v>
      </c>
      <c r="DN345" s="754">
        <f t="shared" si="290"/>
        <v>1653</v>
      </c>
      <c r="DO345" s="754">
        <f t="shared" si="290"/>
        <v>1617</v>
      </c>
      <c r="DP345" s="754">
        <f t="shared" si="290"/>
        <v>1649</v>
      </c>
      <c r="DQ345" s="754">
        <f t="shared" si="290"/>
        <v>6493</v>
      </c>
      <c r="DR345" s="754">
        <f t="shared" si="290"/>
        <v>1613</v>
      </c>
      <c r="DS345" s="754">
        <f t="shared" si="290"/>
        <v>1574</v>
      </c>
      <c r="DT345" s="754">
        <f t="shared" si="290"/>
        <v>1690</v>
      </c>
      <c r="DU345" s="754">
        <f t="shared" si="290"/>
        <v>1692</v>
      </c>
      <c r="DV345" s="754">
        <f t="shared" si="290"/>
        <v>6569</v>
      </c>
      <c r="DW345" s="754">
        <f t="shared" ref="DW345:ED345" si="291">SUM(DW336:DW337)</f>
        <v>1585</v>
      </c>
      <c r="DX345" s="754">
        <f t="shared" si="291"/>
        <v>1412</v>
      </c>
      <c r="DY345" s="754">
        <f t="shared" si="291"/>
        <v>1269</v>
      </c>
      <c r="DZ345" s="754">
        <f t="shared" si="291"/>
        <v>1155</v>
      </c>
      <c r="EA345" s="754">
        <f t="shared" si="291"/>
        <v>5421</v>
      </c>
      <c r="EB345" s="754">
        <f t="shared" si="291"/>
        <v>1088</v>
      </c>
      <c r="EC345" s="754">
        <f t="shared" si="291"/>
        <v>1161</v>
      </c>
      <c r="ED345" s="754">
        <f t="shared" si="291"/>
        <v>1461</v>
      </c>
      <c r="EE345" s="754">
        <f>SUM(EE336:EE337,EE344)</f>
        <v>1589</v>
      </c>
      <c r="EF345" s="754">
        <f>SUM(EF336:EF337)</f>
        <v>5297</v>
      </c>
      <c r="EG345" s="754">
        <f>SUM(EG336:EG337)</f>
        <v>1397</v>
      </c>
      <c r="EH345" s="754">
        <f>SUM(EH336:EH337)</f>
        <v>1441</v>
      </c>
      <c r="EI345" s="756"/>
      <c r="EJ345" s="756"/>
      <c r="EK345" s="757"/>
      <c r="EL345" s="756"/>
      <c r="EM345" s="756"/>
      <c r="EN345" s="756"/>
      <c r="EO345" s="756"/>
      <c r="EP345" s="757"/>
      <c r="EQ345" s="756"/>
      <c r="ER345" s="756"/>
      <c r="ES345" s="756"/>
      <c r="ET345" s="756"/>
      <c r="EU345" s="757"/>
      <c r="EV345" s="756"/>
      <c r="EW345" s="756"/>
      <c r="EX345" s="756"/>
      <c r="EY345" s="756"/>
      <c r="EZ345" s="757"/>
      <c r="FA345" s="756"/>
      <c r="FB345" s="756"/>
      <c r="FC345" s="756"/>
      <c r="FD345" s="756"/>
      <c r="FE345" s="757"/>
      <c r="FF345" s="756"/>
      <c r="FG345" s="756"/>
      <c r="FH345" s="756"/>
      <c r="FI345" s="756"/>
      <c r="FJ345" s="757"/>
      <c r="FK345" s="757"/>
      <c r="FL345" s="757"/>
      <c r="FM345" s="757"/>
      <c r="FN345" s="757"/>
      <c r="FO345" s="757"/>
      <c r="FP345" s="757"/>
      <c r="FQ345" s="757"/>
      <c r="FR345" s="757"/>
      <c r="FS345" s="757"/>
      <c r="FT345" s="757"/>
      <c r="FU345" s="757"/>
      <c r="FV345" s="757"/>
      <c r="FW345" s="757"/>
      <c r="FX345" s="757"/>
      <c r="FY345" s="757"/>
      <c r="FZ345" s="757"/>
      <c r="GA345" s="757"/>
      <c r="GB345" s="757"/>
      <c r="GC345" s="757"/>
      <c r="GD345" s="757"/>
      <c r="GE345" s="757"/>
      <c r="GF345" s="757"/>
      <c r="GG345" s="757"/>
      <c r="GH345" s="757"/>
      <c r="GI345" s="757"/>
      <c r="GJ345" s="757"/>
      <c r="GK345" s="757"/>
      <c r="GL345" s="757"/>
      <c r="GM345" s="757"/>
      <c r="GN345" s="757"/>
      <c r="GO345" s="757"/>
      <c r="GP345" s="757"/>
      <c r="GQ345" s="757"/>
      <c r="GR345" s="757"/>
      <c r="GS345" s="757"/>
      <c r="GT345" s="757"/>
      <c r="GU345" s="757"/>
      <c r="GV345" s="757"/>
      <c r="GW345" s="757"/>
      <c r="GX345" s="757"/>
      <c r="GY345" s="757"/>
      <c r="GZ345" s="757"/>
      <c r="HA345" s="757"/>
      <c r="HB345" s="757"/>
      <c r="HC345" s="757"/>
      <c r="HD345" s="757"/>
      <c r="HE345" s="757"/>
      <c r="HF345" s="757"/>
      <c r="HG345" s="757"/>
      <c r="HH345" s="757"/>
      <c r="HI345" s="757"/>
      <c r="HJ345" s="757"/>
      <c r="HK345" s="757"/>
      <c r="HL345" s="757"/>
      <c r="HM345" s="757"/>
      <c r="HN345" s="757"/>
      <c r="HO345" s="757"/>
      <c r="HQ345" s="509"/>
      <c r="HY345" s="509"/>
      <c r="HZ345" s="509"/>
      <c r="IA345" s="509"/>
      <c r="IB345" s="509"/>
    </row>
    <row r="346" spans="1:236" s="563" customFormat="1" hidden="1" outlineLevel="2">
      <c r="A346" s="538" t="s">
        <v>545</v>
      </c>
      <c r="B346" s="752"/>
      <c r="C346" s="752"/>
      <c r="D346" s="752"/>
      <c r="E346" s="752"/>
      <c r="F346" s="752"/>
      <c r="G346" s="752"/>
      <c r="H346" s="752"/>
      <c r="I346" s="752"/>
      <c r="J346" s="752"/>
      <c r="K346" s="752"/>
      <c r="L346" s="752"/>
      <c r="M346" s="752"/>
      <c r="N346" s="752"/>
      <c r="O346" s="752"/>
      <c r="P346" s="752"/>
      <c r="Q346" s="752"/>
      <c r="R346" s="752"/>
      <c r="S346" s="752"/>
      <c r="T346" s="752"/>
      <c r="U346" s="752"/>
      <c r="V346" s="752"/>
      <c r="W346" s="752"/>
      <c r="X346" s="752"/>
      <c r="Y346" s="752"/>
      <c r="Z346" s="752"/>
      <c r="AA346" s="752"/>
      <c r="AB346" s="752"/>
      <c r="AC346" s="752"/>
      <c r="AD346" s="752"/>
      <c r="AE346" s="752"/>
      <c r="AF346" s="752"/>
      <c r="AG346" s="752"/>
      <c r="AH346" s="752"/>
      <c r="AI346" s="752"/>
      <c r="AJ346" s="752"/>
      <c r="AK346" s="752"/>
      <c r="AL346" s="752"/>
      <c r="AM346" s="752"/>
      <c r="AN346" s="752"/>
      <c r="AO346" s="753"/>
      <c r="AP346" s="752"/>
      <c r="AQ346" s="752"/>
      <c r="AR346" s="752"/>
      <c r="AS346" s="752"/>
      <c r="AT346" s="753"/>
      <c r="AU346" s="752"/>
      <c r="AV346" s="752"/>
      <c r="AW346" s="752"/>
      <c r="AX346" s="752"/>
      <c r="AY346" s="753"/>
      <c r="AZ346" s="752"/>
      <c r="BA346" s="752"/>
      <c r="BB346" s="752"/>
      <c r="BC346" s="752"/>
      <c r="BD346" s="753"/>
      <c r="BE346" s="752"/>
      <c r="BF346" s="752"/>
      <c r="BG346" s="752"/>
      <c r="BH346" s="752"/>
      <c r="BI346" s="753"/>
      <c r="BJ346" s="752"/>
      <c r="BK346" s="752"/>
      <c r="BL346" s="752"/>
      <c r="BM346" s="752"/>
      <c r="BN346" s="753"/>
      <c r="BO346" s="754"/>
      <c r="BP346" s="754"/>
      <c r="BQ346" s="754"/>
      <c r="BR346" s="754"/>
      <c r="BS346" s="755"/>
      <c r="BT346" s="754"/>
      <c r="BU346" s="754"/>
      <c r="BV346" s="754"/>
      <c r="BW346" s="754"/>
      <c r="BX346" s="524"/>
      <c r="BY346" s="754"/>
      <c r="BZ346" s="754"/>
      <c r="CA346" s="754"/>
      <c r="CB346" s="754"/>
      <c r="CC346" s="524"/>
      <c r="CD346" s="754"/>
      <c r="CE346" s="754"/>
      <c r="CF346" s="754"/>
      <c r="CG346" s="754"/>
      <c r="CH346" s="524"/>
      <c r="CI346" s="754"/>
      <c r="CJ346" s="754"/>
      <c r="CK346" s="754"/>
      <c r="CL346" s="754"/>
      <c r="CM346" s="524"/>
      <c r="CN346" s="754"/>
      <c r="CO346" s="754"/>
      <c r="CP346" s="754"/>
      <c r="CQ346" s="754"/>
      <c r="CR346" s="524"/>
      <c r="CS346" s="523"/>
      <c r="CT346" s="523"/>
      <c r="CU346" s="523"/>
      <c r="CV346" s="523"/>
      <c r="CW346" s="524"/>
      <c r="CX346" s="523"/>
      <c r="CY346" s="523"/>
      <c r="CZ346" s="523"/>
      <c r="DA346" s="523"/>
      <c r="DB346" s="524"/>
      <c r="DC346" s="523"/>
      <c r="DD346" s="523"/>
      <c r="DE346" s="523"/>
      <c r="DF346" s="523"/>
      <c r="DG346" s="524"/>
      <c r="DH346" s="754"/>
      <c r="DI346" s="754"/>
      <c r="DJ346" s="754"/>
      <c r="DK346" s="754"/>
      <c r="DL346" s="524"/>
      <c r="DM346" s="754"/>
      <c r="DN346" s="754"/>
      <c r="DO346" s="754"/>
      <c r="DP346" s="756"/>
      <c r="DQ346" s="524"/>
      <c r="DR346" s="756"/>
      <c r="DS346" s="756"/>
      <c r="DT346" s="756"/>
      <c r="DU346" s="756"/>
      <c r="DV346" s="757"/>
      <c r="DW346" s="756"/>
      <c r="DX346" s="864"/>
      <c r="DY346" s="756"/>
      <c r="DZ346" s="756"/>
      <c r="EA346" s="757"/>
      <c r="EB346" s="756"/>
      <c r="EC346" s="756"/>
      <c r="ED346" s="756"/>
      <c r="EE346" s="756"/>
      <c r="EF346" s="757"/>
      <c r="EG346" s="756"/>
      <c r="EH346" s="756"/>
      <c r="EI346" s="756"/>
      <c r="EJ346" s="756"/>
      <c r="EK346" s="757"/>
      <c r="EL346" s="756"/>
      <c r="EM346" s="756"/>
      <c r="EN346" s="756"/>
      <c r="EO346" s="756"/>
      <c r="EP346" s="757"/>
      <c r="EQ346" s="756"/>
      <c r="ER346" s="756"/>
      <c r="ES346" s="756"/>
      <c r="ET346" s="756"/>
      <c r="EU346" s="757"/>
      <c r="EV346" s="756"/>
      <c r="EW346" s="756"/>
      <c r="EX346" s="756"/>
      <c r="EY346" s="756"/>
      <c r="EZ346" s="757"/>
      <c r="FA346" s="756"/>
      <c r="FB346" s="756"/>
      <c r="FC346" s="756"/>
      <c r="FD346" s="756"/>
      <c r="FE346" s="757"/>
      <c r="FF346" s="756"/>
      <c r="FG346" s="756"/>
      <c r="FH346" s="756"/>
      <c r="FI346" s="756"/>
      <c r="FJ346" s="757"/>
      <c r="FK346" s="757"/>
      <c r="FL346" s="757"/>
      <c r="FM346" s="757"/>
      <c r="FN346" s="757"/>
      <c r="FO346" s="757"/>
      <c r="FP346" s="757"/>
      <c r="FQ346" s="757"/>
      <c r="FR346" s="757"/>
      <c r="FS346" s="757"/>
      <c r="FT346" s="757"/>
      <c r="FU346" s="757"/>
      <c r="FV346" s="757"/>
      <c r="FW346" s="757"/>
      <c r="FX346" s="757"/>
      <c r="FY346" s="757"/>
      <c r="FZ346" s="757"/>
      <c r="GA346" s="757"/>
      <c r="GB346" s="757"/>
      <c r="GC346" s="757"/>
      <c r="GD346" s="757"/>
      <c r="GE346" s="757"/>
      <c r="GF346" s="757"/>
      <c r="GG346" s="757"/>
      <c r="GH346" s="757"/>
      <c r="GI346" s="757"/>
      <c r="GJ346" s="757"/>
      <c r="GK346" s="757"/>
      <c r="GL346" s="757"/>
      <c r="GM346" s="757"/>
      <c r="GN346" s="757"/>
      <c r="GO346" s="757"/>
      <c r="GP346" s="757"/>
      <c r="GQ346" s="757"/>
      <c r="GR346" s="757"/>
      <c r="GS346" s="757"/>
      <c r="GT346" s="757"/>
      <c r="GU346" s="757"/>
      <c r="GV346" s="757"/>
      <c r="GW346" s="757"/>
      <c r="GX346" s="757"/>
      <c r="GY346" s="757"/>
      <c r="GZ346" s="757"/>
      <c r="HA346" s="757"/>
      <c r="HB346" s="757"/>
      <c r="HC346" s="757"/>
      <c r="HD346" s="757"/>
      <c r="HE346" s="757"/>
      <c r="HF346" s="757"/>
      <c r="HG346" s="757"/>
      <c r="HH346" s="757"/>
      <c r="HI346" s="757"/>
      <c r="HJ346" s="757"/>
      <c r="HK346" s="757"/>
      <c r="HL346" s="757"/>
      <c r="HM346" s="757"/>
      <c r="HN346" s="757"/>
      <c r="HO346" s="757"/>
      <c r="HQ346" s="509"/>
      <c r="HY346" s="509"/>
      <c r="HZ346" s="509"/>
      <c r="IA346" s="509"/>
      <c r="IB346" s="509"/>
    </row>
    <row r="347" spans="1:236" s="563" customFormat="1" hidden="1" outlineLevel="2">
      <c r="A347" s="509" t="s">
        <v>538</v>
      </c>
      <c r="B347" s="752"/>
      <c r="C347" s="752"/>
      <c r="D347" s="752"/>
      <c r="E347" s="752"/>
      <c r="F347" s="752"/>
      <c r="G347" s="752"/>
      <c r="H347" s="752"/>
      <c r="I347" s="752"/>
      <c r="J347" s="752"/>
      <c r="K347" s="752"/>
      <c r="L347" s="752"/>
      <c r="M347" s="752"/>
      <c r="N347" s="752"/>
      <c r="O347" s="752"/>
      <c r="P347" s="752"/>
      <c r="Q347" s="752"/>
      <c r="R347" s="752"/>
      <c r="S347" s="752"/>
      <c r="T347" s="752"/>
      <c r="U347" s="752"/>
      <c r="V347" s="752"/>
      <c r="W347" s="752"/>
      <c r="X347" s="752"/>
      <c r="Y347" s="752"/>
      <c r="Z347" s="752"/>
      <c r="AA347" s="752"/>
      <c r="AB347" s="752"/>
      <c r="AC347" s="752"/>
      <c r="AD347" s="752"/>
      <c r="AE347" s="752"/>
      <c r="AF347" s="752"/>
      <c r="AG347" s="752"/>
      <c r="AH347" s="752"/>
      <c r="AI347" s="752"/>
      <c r="AJ347" s="752"/>
      <c r="AK347" s="752"/>
      <c r="AL347" s="752"/>
      <c r="AM347" s="752"/>
      <c r="AN347" s="752"/>
      <c r="AO347" s="753"/>
      <c r="AP347" s="752"/>
      <c r="AQ347" s="752"/>
      <c r="AR347" s="752"/>
      <c r="AS347" s="752"/>
      <c r="AT347" s="753"/>
      <c r="AU347" s="752"/>
      <c r="AV347" s="752"/>
      <c r="AW347" s="752"/>
      <c r="AX347" s="752"/>
      <c r="AY347" s="753"/>
      <c r="AZ347" s="752"/>
      <c r="BA347" s="752"/>
      <c r="BB347" s="752"/>
      <c r="BC347" s="752"/>
      <c r="BD347" s="753"/>
      <c r="BE347" s="752"/>
      <c r="BF347" s="752"/>
      <c r="BG347" s="752"/>
      <c r="BH347" s="752"/>
      <c r="BI347" s="753"/>
      <c r="BJ347" s="752"/>
      <c r="BK347" s="752"/>
      <c r="BL347" s="752"/>
      <c r="BM347" s="752"/>
      <c r="BN347" s="753"/>
      <c r="BO347" s="754"/>
      <c r="BP347" s="754"/>
      <c r="BQ347" s="754"/>
      <c r="BR347" s="754"/>
      <c r="BS347" s="755"/>
      <c r="BT347" s="754"/>
      <c r="BU347" s="754"/>
      <c r="BV347" s="754"/>
      <c r="BW347" s="754"/>
      <c r="BX347" s="524">
        <v>-190.60900000000001</v>
      </c>
      <c r="BY347" s="754"/>
      <c r="BZ347" s="754"/>
      <c r="CA347" s="754"/>
      <c r="CB347" s="754"/>
      <c r="CC347" s="524">
        <v>-660.596</v>
      </c>
      <c r="CD347" s="754"/>
      <c r="CE347" s="754"/>
      <c r="CF347" s="754"/>
      <c r="CG347" s="754"/>
      <c r="CH347" s="524">
        <v>-23.193999999999999</v>
      </c>
      <c r="CI347" s="754"/>
      <c r="CJ347" s="754"/>
      <c r="CK347" s="754"/>
      <c r="CL347" s="754"/>
      <c r="CM347" s="524">
        <f>280-54</f>
        <v>226</v>
      </c>
      <c r="CN347" s="754"/>
      <c r="CO347" s="754"/>
      <c r="CP347" s="754"/>
      <c r="CQ347" s="754"/>
      <c r="CR347" s="524">
        <v>586</v>
      </c>
      <c r="CS347" s="523">
        <v>312</v>
      </c>
      <c r="CT347" s="523">
        <v>136</v>
      </c>
      <c r="CU347" s="523">
        <v>167</v>
      </c>
      <c r="CV347" s="523">
        <f>CW347-SUM(CS347:CU347)</f>
        <v>65</v>
      </c>
      <c r="CW347" s="524">
        <v>680</v>
      </c>
      <c r="CX347" s="523">
        <v>-321</v>
      </c>
      <c r="CY347" s="523">
        <v>-258</v>
      </c>
      <c r="CZ347" s="523">
        <v>-112</v>
      </c>
      <c r="DA347" s="523">
        <f>DB347-SUM(CX347:CZ347)</f>
        <v>21</v>
      </c>
      <c r="DB347" s="524">
        <v>-670</v>
      </c>
      <c r="DC347" s="523">
        <v>-160</v>
      </c>
      <c r="DD347" s="523">
        <v>-9</v>
      </c>
      <c r="DE347" s="523">
        <v>143</v>
      </c>
      <c r="DF347" s="523">
        <v>-431</v>
      </c>
      <c r="DG347" s="524">
        <f>SUM(DC347:DF347)</f>
        <v>-457</v>
      </c>
      <c r="DH347" s="523">
        <v>-35</v>
      </c>
      <c r="DI347" s="523">
        <v>-72</v>
      </c>
      <c r="DJ347" s="523">
        <v>76</v>
      </c>
      <c r="DK347" s="523">
        <v>158</v>
      </c>
      <c r="DL347" s="524">
        <f>SUM(DH347:DK347)</f>
        <v>127</v>
      </c>
      <c r="DM347" s="523">
        <v>146</v>
      </c>
      <c r="DN347" s="523">
        <v>128</v>
      </c>
      <c r="DO347" s="523">
        <v>128</v>
      </c>
      <c r="DP347" s="523">
        <v>91</v>
      </c>
      <c r="DQ347" s="524">
        <f>SUM(DM347:DP347)</f>
        <v>493</v>
      </c>
      <c r="DR347" s="523">
        <v>100</v>
      </c>
      <c r="DS347" s="523">
        <v>142</v>
      </c>
      <c r="DT347" s="523">
        <v>149</v>
      </c>
      <c r="DU347" s="523">
        <v>165</v>
      </c>
      <c r="DV347" s="524">
        <f>SUM(DR347:DU347)</f>
        <v>556</v>
      </c>
      <c r="DW347" s="523">
        <v>124</v>
      </c>
      <c r="DX347" s="523">
        <v>82</v>
      </c>
      <c r="DY347" s="523">
        <v>-114</v>
      </c>
      <c r="DZ347" s="523">
        <v>-323</v>
      </c>
      <c r="EA347" s="757">
        <f>SUM(DW347:DZ347)</f>
        <v>-231</v>
      </c>
      <c r="EB347" s="523">
        <v>-39</v>
      </c>
      <c r="EC347" s="756">
        <v>2</v>
      </c>
      <c r="ED347" s="756">
        <v>22</v>
      </c>
      <c r="EE347" s="756">
        <v>-7</v>
      </c>
      <c r="EF347" s="757">
        <f>SUM(EB347:EE347)</f>
        <v>-22</v>
      </c>
      <c r="EG347" s="756">
        <v>-3</v>
      </c>
      <c r="EH347" s="756">
        <v>9</v>
      </c>
      <c r="EI347" s="756"/>
      <c r="EJ347" s="756"/>
      <c r="EK347" s="757"/>
      <c r="EL347" s="756"/>
      <c r="EM347" s="756"/>
      <c r="EN347" s="756"/>
      <c r="EO347" s="756"/>
      <c r="EP347" s="757"/>
      <c r="EQ347" s="756"/>
      <c r="ER347" s="756"/>
      <c r="ES347" s="756"/>
      <c r="ET347" s="756"/>
      <c r="EU347" s="757"/>
      <c r="EV347" s="756"/>
      <c r="EW347" s="756"/>
      <c r="EX347" s="756"/>
      <c r="EY347" s="756"/>
      <c r="EZ347" s="757"/>
      <c r="FA347" s="756"/>
      <c r="FB347" s="756"/>
      <c r="FC347" s="756"/>
      <c r="FD347" s="756"/>
      <c r="FE347" s="757"/>
      <c r="FF347" s="756"/>
      <c r="FG347" s="756"/>
      <c r="FH347" s="756"/>
      <c r="FI347" s="756"/>
      <c r="FJ347" s="757"/>
      <c r="FK347" s="757"/>
      <c r="FL347" s="757"/>
      <c r="FM347" s="757"/>
      <c r="FN347" s="757"/>
      <c r="FO347" s="757"/>
      <c r="FP347" s="757"/>
      <c r="FQ347" s="757"/>
      <c r="FR347" s="757"/>
      <c r="FS347" s="757"/>
      <c r="FT347" s="757"/>
      <c r="FU347" s="757"/>
      <c r="FV347" s="757"/>
      <c r="FW347" s="757"/>
      <c r="FX347" s="757"/>
      <c r="FY347" s="757"/>
      <c r="FZ347" s="757"/>
      <c r="GA347" s="757"/>
      <c r="GB347" s="757"/>
      <c r="GC347" s="757"/>
      <c r="GD347" s="757"/>
      <c r="GE347" s="757"/>
      <c r="GF347" s="757"/>
      <c r="GG347" s="757"/>
      <c r="GH347" s="757"/>
      <c r="GI347" s="757"/>
      <c r="GJ347" s="757"/>
      <c r="GK347" s="757"/>
      <c r="GL347" s="757"/>
      <c r="GM347" s="757"/>
      <c r="GN347" s="757"/>
      <c r="GO347" s="757"/>
      <c r="GP347" s="757"/>
      <c r="GQ347" s="757"/>
      <c r="GR347" s="757"/>
      <c r="GS347" s="757"/>
      <c r="GT347" s="757"/>
      <c r="GU347" s="757"/>
      <c r="GV347" s="757"/>
      <c r="GW347" s="757"/>
      <c r="GX347" s="757"/>
      <c r="GY347" s="757"/>
      <c r="GZ347" s="757"/>
      <c r="HA347" s="757"/>
      <c r="HB347" s="757"/>
      <c r="HC347" s="757"/>
      <c r="HD347" s="757"/>
      <c r="HE347" s="757"/>
      <c r="HF347" s="757"/>
      <c r="HG347" s="757"/>
      <c r="HH347" s="757"/>
      <c r="HI347" s="757"/>
      <c r="HJ347" s="757"/>
      <c r="HK347" s="757"/>
      <c r="HL347" s="757"/>
      <c r="HM347" s="757"/>
      <c r="HN347" s="757"/>
      <c r="HO347" s="757"/>
      <c r="HQ347" s="509"/>
      <c r="HY347" s="509"/>
      <c r="HZ347" s="509"/>
      <c r="IA347" s="509"/>
      <c r="IB347" s="509"/>
    </row>
    <row r="348" spans="1:236" s="563" customFormat="1" hidden="1" outlineLevel="2">
      <c r="A348" s="509" t="s">
        <v>292</v>
      </c>
      <c r="B348" s="752"/>
      <c r="C348" s="752"/>
      <c r="D348" s="752"/>
      <c r="E348" s="752"/>
      <c r="F348" s="752"/>
      <c r="G348" s="752"/>
      <c r="H348" s="752"/>
      <c r="I348" s="752"/>
      <c r="J348" s="752"/>
      <c r="K348" s="752"/>
      <c r="L348" s="752"/>
      <c r="M348" s="752"/>
      <c r="N348" s="752"/>
      <c r="O348" s="752"/>
      <c r="P348" s="752"/>
      <c r="Q348" s="752"/>
      <c r="R348" s="752"/>
      <c r="S348" s="752"/>
      <c r="T348" s="752"/>
      <c r="U348" s="752"/>
      <c r="V348" s="752"/>
      <c r="W348" s="752"/>
      <c r="X348" s="752"/>
      <c r="Y348" s="752"/>
      <c r="Z348" s="752"/>
      <c r="AA348" s="752"/>
      <c r="AB348" s="752"/>
      <c r="AC348" s="752"/>
      <c r="AD348" s="752"/>
      <c r="AE348" s="752"/>
      <c r="AF348" s="752"/>
      <c r="AG348" s="752"/>
      <c r="AH348" s="752"/>
      <c r="AI348" s="752"/>
      <c r="AJ348" s="752"/>
      <c r="AK348" s="752"/>
      <c r="AL348" s="752"/>
      <c r="AM348" s="752"/>
      <c r="AN348" s="752"/>
      <c r="AO348" s="753"/>
      <c r="AP348" s="752"/>
      <c r="AQ348" s="752"/>
      <c r="AR348" s="752"/>
      <c r="AS348" s="752"/>
      <c r="AT348" s="753"/>
      <c r="AU348" s="752"/>
      <c r="AV348" s="752"/>
      <c r="AW348" s="752"/>
      <c r="AX348" s="752"/>
      <c r="AY348" s="753"/>
      <c r="AZ348" s="752"/>
      <c r="BA348" s="752"/>
      <c r="BB348" s="752"/>
      <c r="BC348" s="752"/>
      <c r="BD348" s="753"/>
      <c r="BE348" s="752"/>
      <c r="BF348" s="752"/>
      <c r="BG348" s="752"/>
      <c r="BH348" s="752"/>
      <c r="BI348" s="753"/>
      <c r="BJ348" s="752"/>
      <c r="BK348" s="752"/>
      <c r="BL348" s="752"/>
      <c r="BM348" s="752"/>
      <c r="BN348" s="753"/>
      <c r="BO348" s="754"/>
      <c r="BP348" s="754"/>
      <c r="BQ348" s="754"/>
      <c r="BR348" s="754"/>
      <c r="BS348" s="755"/>
      <c r="BT348" s="754"/>
      <c r="BU348" s="754"/>
      <c r="BV348" s="754"/>
      <c r="BW348" s="754"/>
      <c r="BX348" s="649" t="s">
        <v>199</v>
      </c>
      <c r="BY348" s="754"/>
      <c r="BZ348" s="754"/>
      <c r="CA348" s="754"/>
      <c r="CB348" s="754"/>
      <c r="CC348" s="649" t="s">
        <v>199</v>
      </c>
      <c r="CD348" s="754"/>
      <c r="CE348" s="754"/>
      <c r="CF348" s="754"/>
      <c r="CG348" s="754"/>
      <c r="CH348" s="649" t="s">
        <v>199</v>
      </c>
      <c r="CI348" s="754"/>
      <c r="CJ348" s="754"/>
      <c r="CK348" s="754"/>
      <c r="CL348" s="754"/>
      <c r="CM348" s="649" t="s">
        <v>199</v>
      </c>
      <c r="CN348" s="754"/>
      <c r="CO348" s="754"/>
      <c r="CP348" s="754"/>
      <c r="CQ348" s="754"/>
      <c r="CR348" s="649" t="s">
        <v>199</v>
      </c>
      <c r="CS348" s="849" t="s">
        <v>199</v>
      </c>
      <c r="CT348" s="849" t="s">
        <v>199</v>
      </c>
      <c r="CU348" s="849" t="s">
        <v>199</v>
      </c>
      <c r="CV348" s="523">
        <f>CW348-SUM(CS348:CU348)</f>
        <v>-27</v>
      </c>
      <c r="CW348" s="524">
        <v>-27</v>
      </c>
      <c r="CX348" s="523">
        <v>-35</v>
      </c>
      <c r="CY348" s="523">
        <v>-50</v>
      </c>
      <c r="CZ348" s="523">
        <v>-3</v>
      </c>
      <c r="DA348" s="523">
        <f>DB348-SUM(CX348:CZ348)</f>
        <v>-12</v>
      </c>
      <c r="DB348" s="524">
        <v>-100</v>
      </c>
      <c r="DC348" s="523">
        <v>-11</v>
      </c>
      <c r="DD348" s="523">
        <v>-38</v>
      </c>
      <c r="DE348" s="523">
        <v>47</v>
      </c>
      <c r="DF348" s="523">
        <v>-10</v>
      </c>
      <c r="DG348" s="524">
        <f>SUM(DC348:DF348)</f>
        <v>-12</v>
      </c>
      <c r="DH348" s="523">
        <v>1</v>
      </c>
      <c r="DI348" s="523">
        <v>-12</v>
      </c>
      <c r="DJ348" s="523">
        <v>8</v>
      </c>
      <c r="DK348" s="523">
        <v>53</v>
      </c>
      <c r="DL348" s="524">
        <f>SUM(DH348:DK348)</f>
        <v>50</v>
      </c>
      <c r="DM348" s="523">
        <v>47</v>
      </c>
      <c r="DN348" s="523">
        <v>33</v>
      </c>
      <c r="DO348" s="523">
        <v>33</v>
      </c>
      <c r="DP348" s="523">
        <v>68</v>
      </c>
      <c r="DQ348" s="524">
        <f>SUM(DM348:DP348)</f>
        <v>181</v>
      </c>
      <c r="DR348" s="523">
        <v>19</v>
      </c>
      <c r="DS348" s="523">
        <v>-7</v>
      </c>
      <c r="DT348" s="523">
        <v>12</v>
      </c>
      <c r="DU348" s="523">
        <v>27</v>
      </c>
      <c r="DV348" s="524">
        <f>SUM(DR348:DU348)</f>
        <v>51</v>
      </c>
      <c r="DW348" s="523">
        <v>34</v>
      </c>
      <c r="DX348" s="523">
        <v>31</v>
      </c>
      <c r="DY348" s="523">
        <v>18</v>
      </c>
      <c r="DZ348" s="523">
        <v>22</v>
      </c>
      <c r="EA348" s="757">
        <f>SUM(DW348:DZ348)</f>
        <v>105</v>
      </c>
      <c r="EB348" s="523">
        <v>16</v>
      </c>
      <c r="EC348" s="756">
        <v>0</v>
      </c>
      <c r="ED348" s="756">
        <v>79</v>
      </c>
      <c r="EE348" s="756">
        <v>121</v>
      </c>
      <c r="EF348" s="757">
        <f>SUM(EB348:EE348)</f>
        <v>216</v>
      </c>
      <c r="EG348" s="756">
        <v>91</v>
      </c>
      <c r="EH348" s="756">
        <v>82</v>
      </c>
      <c r="EI348" s="756"/>
      <c r="EJ348" s="756"/>
      <c r="EK348" s="757"/>
      <c r="EL348" s="756"/>
      <c r="EM348" s="756"/>
      <c r="EN348" s="756"/>
      <c r="EO348" s="756"/>
      <c r="EP348" s="757"/>
      <c r="EQ348" s="756"/>
      <c r="ER348" s="756"/>
      <c r="ES348" s="756"/>
      <c r="ET348" s="756"/>
      <c r="EU348" s="757"/>
      <c r="EV348" s="756"/>
      <c r="EW348" s="756"/>
      <c r="EX348" s="756"/>
      <c r="EY348" s="756"/>
      <c r="EZ348" s="757"/>
      <c r="FA348" s="756"/>
      <c r="FB348" s="756"/>
      <c r="FC348" s="756"/>
      <c r="FD348" s="756"/>
      <c r="FE348" s="757"/>
      <c r="FF348" s="756"/>
      <c r="FG348" s="756"/>
      <c r="FH348" s="756"/>
      <c r="FI348" s="756"/>
      <c r="FJ348" s="757"/>
      <c r="FK348" s="757"/>
      <c r="FL348" s="757"/>
      <c r="FM348" s="757"/>
      <c r="FN348" s="757"/>
      <c r="FO348" s="757"/>
      <c r="FP348" s="757"/>
      <c r="FQ348" s="757"/>
      <c r="FR348" s="757"/>
      <c r="FS348" s="757"/>
      <c r="FT348" s="757"/>
      <c r="FU348" s="757"/>
      <c r="FV348" s="757"/>
      <c r="FW348" s="757"/>
      <c r="FX348" s="757"/>
      <c r="FY348" s="757"/>
      <c r="FZ348" s="757"/>
      <c r="GA348" s="757"/>
      <c r="GB348" s="757"/>
      <c r="GC348" s="757"/>
      <c r="GD348" s="757"/>
      <c r="GE348" s="757"/>
      <c r="GF348" s="757"/>
      <c r="GG348" s="757"/>
      <c r="GH348" s="757"/>
      <c r="GI348" s="757"/>
      <c r="GJ348" s="757"/>
      <c r="GK348" s="757"/>
      <c r="GL348" s="757"/>
      <c r="GM348" s="757"/>
      <c r="GN348" s="757"/>
      <c r="GO348" s="757"/>
      <c r="GP348" s="757"/>
      <c r="GQ348" s="757"/>
      <c r="GR348" s="757"/>
      <c r="GS348" s="757"/>
      <c r="GT348" s="757"/>
      <c r="GU348" s="757"/>
      <c r="GV348" s="757"/>
      <c r="GW348" s="757"/>
      <c r="GX348" s="757"/>
      <c r="GY348" s="757"/>
      <c r="GZ348" s="757"/>
      <c r="HA348" s="757"/>
      <c r="HB348" s="757"/>
      <c r="HC348" s="757"/>
      <c r="HD348" s="757"/>
      <c r="HE348" s="757"/>
      <c r="HF348" s="757"/>
      <c r="HG348" s="757"/>
      <c r="HH348" s="757"/>
      <c r="HI348" s="757"/>
      <c r="HJ348" s="757"/>
      <c r="HK348" s="757"/>
      <c r="HL348" s="757"/>
      <c r="HM348" s="757"/>
      <c r="HN348" s="757"/>
      <c r="HO348" s="757"/>
      <c r="HQ348" s="509"/>
      <c r="HY348" s="509"/>
      <c r="HZ348" s="509"/>
      <c r="IA348" s="509"/>
      <c r="IB348" s="509"/>
    </row>
    <row r="349" spans="1:236" s="563" customFormat="1" hidden="1" outlineLevel="2">
      <c r="A349" s="509" t="s">
        <v>541</v>
      </c>
      <c r="B349" s="752"/>
      <c r="C349" s="752"/>
      <c r="D349" s="752"/>
      <c r="E349" s="752"/>
      <c r="F349" s="752"/>
      <c r="G349" s="752"/>
      <c r="H349" s="752"/>
      <c r="I349" s="752"/>
      <c r="J349" s="752"/>
      <c r="K349" s="752"/>
      <c r="L349" s="752"/>
      <c r="M349" s="752"/>
      <c r="N349" s="752"/>
      <c r="O349" s="752"/>
      <c r="P349" s="752"/>
      <c r="Q349" s="752"/>
      <c r="R349" s="752"/>
      <c r="S349" s="752"/>
      <c r="T349" s="752"/>
      <c r="U349" s="752"/>
      <c r="V349" s="752"/>
      <c r="W349" s="752"/>
      <c r="X349" s="752"/>
      <c r="Y349" s="752"/>
      <c r="Z349" s="752"/>
      <c r="AA349" s="752"/>
      <c r="AB349" s="752"/>
      <c r="AC349" s="752"/>
      <c r="AD349" s="752"/>
      <c r="AE349" s="752"/>
      <c r="AF349" s="752"/>
      <c r="AG349" s="752"/>
      <c r="AH349" s="752"/>
      <c r="AI349" s="752"/>
      <c r="AJ349" s="752"/>
      <c r="AK349" s="752"/>
      <c r="AL349" s="752"/>
      <c r="AM349" s="752"/>
      <c r="AN349" s="752"/>
      <c r="AO349" s="753"/>
      <c r="AP349" s="752"/>
      <c r="AQ349" s="752"/>
      <c r="AR349" s="752"/>
      <c r="AS349" s="752"/>
      <c r="AT349" s="753"/>
      <c r="AU349" s="752"/>
      <c r="AV349" s="752"/>
      <c r="AW349" s="752"/>
      <c r="AX349" s="752"/>
      <c r="AY349" s="753"/>
      <c r="AZ349" s="752"/>
      <c r="BA349" s="752"/>
      <c r="BB349" s="752"/>
      <c r="BC349" s="752"/>
      <c r="BD349" s="753"/>
      <c r="BE349" s="752"/>
      <c r="BF349" s="752"/>
      <c r="BG349" s="752"/>
      <c r="BH349" s="752"/>
      <c r="BI349" s="753"/>
      <c r="BJ349" s="752"/>
      <c r="BK349" s="752"/>
      <c r="BL349" s="752"/>
      <c r="BM349" s="752"/>
      <c r="BN349" s="753"/>
      <c r="BO349" s="754"/>
      <c r="BP349" s="754"/>
      <c r="BQ349" s="754"/>
      <c r="BR349" s="754"/>
      <c r="BS349" s="755"/>
      <c r="BT349" s="754"/>
      <c r="BU349" s="754"/>
      <c r="BV349" s="754"/>
      <c r="BW349" s="754"/>
      <c r="BX349" s="649" t="s">
        <v>199</v>
      </c>
      <c r="BY349" s="754"/>
      <c r="BZ349" s="754"/>
      <c r="CA349" s="754"/>
      <c r="CB349" s="754"/>
      <c r="CC349" s="649" t="s">
        <v>199</v>
      </c>
      <c r="CD349" s="754"/>
      <c r="CE349" s="754"/>
      <c r="CF349" s="754"/>
      <c r="CG349" s="754"/>
      <c r="CH349" s="649" t="s">
        <v>199</v>
      </c>
      <c r="CI349" s="754"/>
      <c r="CJ349" s="754"/>
      <c r="CK349" s="754"/>
      <c r="CL349" s="754"/>
      <c r="CM349" s="649" t="s">
        <v>199</v>
      </c>
      <c r="CN349" s="754"/>
      <c r="CO349" s="754"/>
      <c r="CP349" s="754"/>
      <c r="CQ349" s="754"/>
      <c r="CR349" s="649" t="s">
        <v>199</v>
      </c>
      <c r="CS349" s="849" t="s">
        <v>199</v>
      </c>
      <c r="CT349" s="849" t="s">
        <v>199</v>
      </c>
      <c r="CU349" s="849" t="s">
        <v>199</v>
      </c>
      <c r="CV349" s="523">
        <f>CW349-SUM(CS349:CU349)</f>
        <v>20</v>
      </c>
      <c r="CW349" s="524">
        <v>20</v>
      </c>
      <c r="CX349" s="523">
        <v>-4</v>
      </c>
      <c r="CY349" s="523">
        <v>-22</v>
      </c>
      <c r="CZ349" s="523">
        <v>-3</v>
      </c>
      <c r="DA349" s="523">
        <f>DB349-SUM(CX349:CZ349)</f>
        <v>12</v>
      </c>
      <c r="DB349" s="524">
        <v>-17</v>
      </c>
      <c r="DC349" s="523">
        <v>-8</v>
      </c>
      <c r="DD349" s="849" t="s">
        <v>199</v>
      </c>
      <c r="DE349" s="849" t="s">
        <v>199</v>
      </c>
      <c r="DF349" s="849" t="s">
        <v>199</v>
      </c>
      <c r="DG349" s="524">
        <f>SUM(DC349:DF349)</f>
        <v>-8</v>
      </c>
      <c r="DH349" s="523">
        <v>0</v>
      </c>
      <c r="DI349" s="523">
        <v>0</v>
      </c>
      <c r="DJ349" s="523">
        <v>0</v>
      </c>
      <c r="DK349" s="523">
        <v>0</v>
      </c>
      <c r="DL349" s="524">
        <f>SUM(DH349:DK349)</f>
        <v>0</v>
      </c>
      <c r="DM349" s="523">
        <v>0</v>
      </c>
      <c r="DN349" s="523">
        <v>0</v>
      </c>
      <c r="DO349" s="523">
        <v>0</v>
      </c>
      <c r="DP349" s="523">
        <v>0</v>
      </c>
      <c r="DQ349" s="524">
        <f>SUM(DM349:DP349)</f>
        <v>0</v>
      </c>
      <c r="DR349" s="523">
        <v>0</v>
      </c>
      <c r="DS349" s="523">
        <v>0</v>
      </c>
      <c r="DT349" s="523">
        <v>0</v>
      </c>
      <c r="DU349" s="523">
        <v>0</v>
      </c>
      <c r="DV349" s="524">
        <f>SUM(DR349:DU349)</f>
        <v>0</v>
      </c>
      <c r="DW349" s="523">
        <v>0</v>
      </c>
      <c r="DX349" s="523">
        <v>0</v>
      </c>
      <c r="DY349" s="523">
        <v>0</v>
      </c>
      <c r="DZ349" s="523">
        <v>0</v>
      </c>
      <c r="EA349" s="757">
        <f>SUM(DW349:DZ349)</f>
        <v>0</v>
      </c>
      <c r="EB349" s="523">
        <v>0</v>
      </c>
      <c r="EC349" s="756">
        <v>0</v>
      </c>
      <c r="ED349" s="756">
        <v>0</v>
      </c>
      <c r="EE349" s="756">
        <v>0</v>
      </c>
      <c r="EF349" s="757">
        <f>SUM(EB349:EE349)</f>
        <v>0</v>
      </c>
      <c r="EG349" s="756"/>
      <c r="EH349" s="756"/>
      <c r="EI349" s="756"/>
      <c r="EJ349" s="756"/>
      <c r="EK349" s="757"/>
      <c r="EL349" s="756"/>
      <c r="EM349" s="756"/>
      <c r="EN349" s="756"/>
      <c r="EO349" s="756"/>
      <c r="EP349" s="757"/>
      <c r="EQ349" s="756"/>
      <c r="ER349" s="756"/>
      <c r="ES349" s="756"/>
      <c r="ET349" s="756"/>
      <c r="EU349" s="757"/>
      <c r="EV349" s="756"/>
      <c r="EW349" s="756"/>
      <c r="EX349" s="756"/>
      <c r="EY349" s="756"/>
      <c r="EZ349" s="757"/>
      <c r="FA349" s="756"/>
      <c r="FB349" s="756"/>
      <c r="FC349" s="756"/>
      <c r="FD349" s="756"/>
      <c r="FE349" s="757"/>
      <c r="FF349" s="756"/>
      <c r="FG349" s="756"/>
      <c r="FH349" s="756"/>
      <c r="FI349" s="756"/>
      <c r="FJ349" s="757"/>
      <c r="FK349" s="757"/>
      <c r="FL349" s="757"/>
      <c r="FM349" s="757"/>
      <c r="FN349" s="757"/>
      <c r="FO349" s="757"/>
      <c r="FP349" s="757"/>
      <c r="FQ349" s="757"/>
      <c r="FR349" s="757"/>
      <c r="FS349" s="757"/>
      <c r="FT349" s="757"/>
      <c r="FU349" s="757"/>
      <c r="FV349" s="757"/>
      <c r="FW349" s="757"/>
      <c r="FX349" s="757"/>
      <c r="FY349" s="757"/>
      <c r="FZ349" s="757"/>
      <c r="GA349" s="757"/>
      <c r="GB349" s="757"/>
      <c r="GC349" s="757"/>
      <c r="GD349" s="757"/>
      <c r="GE349" s="757"/>
      <c r="GF349" s="757"/>
      <c r="GG349" s="757"/>
      <c r="GH349" s="757"/>
      <c r="GI349" s="757"/>
      <c r="GJ349" s="757"/>
      <c r="GK349" s="757"/>
      <c r="GL349" s="757"/>
      <c r="GM349" s="757"/>
      <c r="GN349" s="757"/>
      <c r="GO349" s="757"/>
      <c r="GP349" s="757"/>
      <c r="GQ349" s="757"/>
      <c r="GR349" s="757"/>
      <c r="GS349" s="757"/>
      <c r="GT349" s="757"/>
      <c r="GU349" s="757"/>
      <c r="GV349" s="757"/>
      <c r="GW349" s="757"/>
      <c r="GX349" s="757"/>
      <c r="GY349" s="757"/>
      <c r="GZ349" s="757"/>
      <c r="HA349" s="757"/>
      <c r="HB349" s="757"/>
      <c r="HC349" s="757"/>
      <c r="HD349" s="757"/>
      <c r="HE349" s="757"/>
      <c r="HF349" s="757"/>
      <c r="HG349" s="757"/>
      <c r="HH349" s="757"/>
      <c r="HI349" s="757"/>
      <c r="HJ349" s="757"/>
      <c r="HK349" s="757"/>
      <c r="HL349" s="757"/>
      <c r="HM349" s="757"/>
      <c r="HN349" s="757"/>
      <c r="HO349" s="757"/>
      <c r="HQ349" s="509"/>
      <c r="HY349" s="509"/>
      <c r="HZ349" s="509"/>
      <c r="IA349" s="509"/>
      <c r="IB349" s="509"/>
    </row>
    <row r="350" spans="1:236" s="563" customFormat="1" hidden="1" outlineLevel="2">
      <c r="A350" s="509" t="s">
        <v>542</v>
      </c>
      <c r="B350" s="752"/>
      <c r="C350" s="752"/>
      <c r="D350" s="752"/>
      <c r="E350" s="752"/>
      <c r="F350" s="752"/>
      <c r="G350" s="752"/>
      <c r="H350" s="752"/>
      <c r="I350" s="752"/>
      <c r="J350" s="752"/>
      <c r="K350" s="752"/>
      <c r="L350" s="752"/>
      <c r="M350" s="752"/>
      <c r="N350" s="752"/>
      <c r="O350" s="752"/>
      <c r="P350" s="752"/>
      <c r="Q350" s="752"/>
      <c r="R350" s="752"/>
      <c r="S350" s="752"/>
      <c r="T350" s="752"/>
      <c r="U350" s="752"/>
      <c r="V350" s="752"/>
      <c r="W350" s="752"/>
      <c r="X350" s="752"/>
      <c r="Y350" s="752"/>
      <c r="Z350" s="752"/>
      <c r="AA350" s="752"/>
      <c r="AB350" s="752"/>
      <c r="AC350" s="752"/>
      <c r="AD350" s="752"/>
      <c r="AE350" s="752"/>
      <c r="AF350" s="752"/>
      <c r="AG350" s="752"/>
      <c r="AH350" s="752"/>
      <c r="AI350" s="752"/>
      <c r="AJ350" s="752"/>
      <c r="AK350" s="752"/>
      <c r="AL350" s="752"/>
      <c r="AM350" s="752"/>
      <c r="AN350" s="752"/>
      <c r="AO350" s="753"/>
      <c r="AP350" s="752"/>
      <c r="AQ350" s="752"/>
      <c r="AR350" s="752"/>
      <c r="AS350" s="752"/>
      <c r="AT350" s="753"/>
      <c r="AU350" s="752"/>
      <c r="AV350" s="752"/>
      <c r="AW350" s="752"/>
      <c r="AX350" s="752"/>
      <c r="AY350" s="753"/>
      <c r="AZ350" s="752"/>
      <c r="BA350" s="752"/>
      <c r="BB350" s="752"/>
      <c r="BC350" s="752"/>
      <c r="BD350" s="753"/>
      <c r="BE350" s="752"/>
      <c r="BF350" s="752"/>
      <c r="BG350" s="752"/>
      <c r="BH350" s="752"/>
      <c r="BI350" s="753"/>
      <c r="BJ350" s="752"/>
      <c r="BK350" s="752"/>
      <c r="BL350" s="752"/>
      <c r="BM350" s="752"/>
      <c r="BN350" s="753"/>
      <c r="BO350" s="754"/>
      <c r="BP350" s="754"/>
      <c r="BQ350" s="754"/>
      <c r="BR350" s="754"/>
      <c r="BS350" s="755"/>
      <c r="BT350" s="754"/>
      <c r="BU350" s="754"/>
      <c r="BV350" s="754"/>
      <c r="BW350" s="754"/>
      <c r="BX350" s="524">
        <v>267.81700000000001</v>
      </c>
      <c r="BY350" s="754"/>
      <c r="BZ350" s="754"/>
      <c r="CA350" s="754"/>
      <c r="CB350" s="754"/>
      <c r="CC350" s="524">
        <v>-159.58500000000001</v>
      </c>
      <c r="CD350" s="754"/>
      <c r="CE350" s="754"/>
      <c r="CF350" s="754"/>
      <c r="CG350" s="754"/>
      <c r="CH350" s="524">
        <v>-189.55199999999999</v>
      </c>
      <c r="CI350" s="754"/>
      <c r="CJ350" s="754"/>
      <c r="CK350" s="754"/>
      <c r="CL350" s="754"/>
      <c r="CM350" s="524">
        <v>35</v>
      </c>
      <c r="CN350" s="754"/>
      <c r="CO350" s="754"/>
      <c r="CP350" s="754"/>
      <c r="CQ350" s="754"/>
      <c r="CR350" s="524">
        <v>-311</v>
      </c>
      <c r="CS350" s="849" t="s">
        <v>199</v>
      </c>
      <c r="CT350" s="849" t="s">
        <v>199</v>
      </c>
      <c r="CU350" s="849" t="s">
        <v>199</v>
      </c>
      <c r="CV350" s="849" t="s">
        <v>199</v>
      </c>
      <c r="CW350" s="649" t="s">
        <v>199</v>
      </c>
      <c r="CX350" s="849" t="s">
        <v>199</v>
      </c>
      <c r="CY350" s="849" t="s">
        <v>199</v>
      </c>
      <c r="CZ350" s="849" t="s">
        <v>199</v>
      </c>
      <c r="DA350" s="849" t="s">
        <v>199</v>
      </c>
      <c r="DB350" s="649" t="s">
        <v>199</v>
      </c>
      <c r="DC350" s="849" t="s">
        <v>199</v>
      </c>
      <c r="DD350" s="849" t="s">
        <v>199</v>
      </c>
      <c r="DE350" s="849" t="s">
        <v>199</v>
      </c>
      <c r="DF350" s="849" t="s">
        <v>199</v>
      </c>
      <c r="DG350" s="524">
        <f>SUM(DC350:DF350)</f>
        <v>0</v>
      </c>
      <c r="DH350" s="849">
        <v>0</v>
      </c>
      <c r="DI350" s="849">
        <v>0</v>
      </c>
      <c r="DJ350" s="849">
        <v>0</v>
      </c>
      <c r="DK350" s="849">
        <v>0</v>
      </c>
      <c r="DL350" s="524">
        <f>SUM(DH350:DK350)</f>
        <v>0</v>
      </c>
      <c r="DM350" s="849">
        <v>0</v>
      </c>
      <c r="DN350" s="849">
        <v>0</v>
      </c>
      <c r="DO350" s="849">
        <v>0</v>
      </c>
      <c r="DP350" s="849">
        <v>0</v>
      </c>
      <c r="DQ350" s="524">
        <f>SUM(DM350:DP350)</f>
        <v>0</v>
      </c>
      <c r="DR350" s="849">
        <v>0</v>
      </c>
      <c r="DS350" s="849">
        <v>0</v>
      </c>
      <c r="DT350" s="849">
        <v>0</v>
      </c>
      <c r="DU350" s="849">
        <v>0</v>
      </c>
      <c r="DV350" s="524">
        <f>SUM(DR350:DU350)</f>
        <v>0</v>
      </c>
      <c r="DW350" s="849">
        <v>0</v>
      </c>
      <c r="DX350" s="849">
        <v>0</v>
      </c>
      <c r="DY350" s="849">
        <v>0</v>
      </c>
      <c r="DZ350" s="849">
        <v>0</v>
      </c>
      <c r="EA350" s="757">
        <f>SUM(DW350:DZ350)</f>
        <v>0</v>
      </c>
      <c r="EB350" s="849">
        <v>0</v>
      </c>
      <c r="EC350" s="756">
        <v>0</v>
      </c>
      <c r="ED350" s="756">
        <v>0</v>
      </c>
      <c r="EE350" s="756">
        <v>0</v>
      </c>
      <c r="EF350" s="757">
        <f>SUM(EB350:EE350)</f>
        <v>0</v>
      </c>
      <c r="EG350" s="756"/>
      <c r="EH350" s="756"/>
      <c r="EI350" s="756"/>
      <c r="EJ350" s="756"/>
      <c r="EK350" s="757"/>
      <c r="EL350" s="756"/>
      <c r="EM350" s="756"/>
      <c r="EN350" s="756"/>
      <c r="EO350" s="756"/>
      <c r="EP350" s="757"/>
      <c r="EQ350" s="756"/>
      <c r="ER350" s="756"/>
      <c r="ES350" s="756"/>
      <c r="ET350" s="756"/>
      <c r="EU350" s="757"/>
      <c r="EV350" s="756"/>
      <c r="EW350" s="756"/>
      <c r="EX350" s="756"/>
      <c r="EY350" s="756"/>
      <c r="EZ350" s="757"/>
      <c r="FA350" s="756"/>
      <c r="FB350" s="756"/>
      <c r="FC350" s="756"/>
      <c r="FD350" s="756"/>
      <c r="FE350" s="757"/>
      <c r="FF350" s="756"/>
      <c r="FG350" s="756"/>
      <c r="FH350" s="756"/>
      <c r="FI350" s="756"/>
      <c r="FJ350" s="757"/>
      <c r="FK350" s="757"/>
      <c r="FL350" s="757"/>
      <c r="FM350" s="757"/>
      <c r="FN350" s="757"/>
      <c r="FO350" s="757"/>
      <c r="FP350" s="757"/>
      <c r="FQ350" s="757"/>
      <c r="FR350" s="757"/>
      <c r="FS350" s="757"/>
      <c r="FT350" s="757"/>
      <c r="FU350" s="757"/>
      <c r="FV350" s="757"/>
      <c r="FW350" s="757"/>
      <c r="FX350" s="757"/>
      <c r="FY350" s="757"/>
      <c r="FZ350" s="757"/>
      <c r="GA350" s="757"/>
      <c r="GB350" s="757"/>
      <c r="GC350" s="757"/>
      <c r="GD350" s="757"/>
      <c r="GE350" s="757"/>
      <c r="GF350" s="757"/>
      <c r="GG350" s="757"/>
      <c r="GH350" s="757"/>
      <c r="GI350" s="757"/>
      <c r="GJ350" s="757"/>
      <c r="GK350" s="757"/>
      <c r="GL350" s="757"/>
      <c r="GM350" s="757"/>
      <c r="GN350" s="757"/>
      <c r="GO350" s="757"/>
      <c r="GP350" s="757"/>
      <c r="GQ350" s="757"/>
      <c r="GR350" s="757"/>
      <c r="GS350" s="757"/>
      <c r="GT350" s="757"/>
      <c r="GU350" s="757"/>
      <c r="GV350" s="757"/>
      <c r="GW350" s="757"/>
      <c r="GX350" s="757"/>
      <c r="GY350" s="757"/>
      <c r="GZ350" s="757"/>
      <c r="HA350" s="757"/>
      <c r="HB350" s="757"/>
      <c r="HC350" s="757"/>
      <c r="HD350" s="757"/>
      <c r="HE350" s="757"/>
      <c r="HF350" s="757"/>
      <c r="HG350" s="757"/>
      <c r="HH350" s="757"/>
      <c r="HI350" s="757"/>
      <c r="HJ350" s="757"/>
      <c r="HK350" s="757"/>
      <c r="HL350" s="757"/>
      <c r="HM350" s="757"/>
      <c r="HN350" s="757"/>
      <c r="HO350" s="757"/>
      <c r="HQ350" s="509"/>
      <c r="HY350" s="509"/>
      <c r="HZ350" s="509"/>
      <c r="IA350" s="509"/>
      <c r="IB350" s="509"/>
    </row>
    <row r="351" spans="1:236" s="563" customFormat="1" hidden="1" outlineLevel="2">
      <c r="A351" s="509" t="s">
        <v>543</v>
      </c>
      <c r="B351" s="752"/>
      <c r="C351" s="752"/>
      <c r="D351" s="752"/>
      <c r="E351" s="752"/>
      <c r="F351" s="752"/>
      <c r="G351" s="752"/>
      <c r="H351" s="752"/>
      <c r="I351" s="752"/>
      <c r="J351" s="752"/>
      <c r="K351" s="752"/>
      <c r="L351" s="752"/>
      <c r="M351" s="752"/>
      <c r="N351" s="752"/>
      <c r="O351" s="752"/>
      <c r="P351" s="752"/>
      <c r="Q351" s="752"/>
      <c r="R351" s="752"/>
      <c r="S351" s="752"/>
      <c r="T351" s="752"/>
      <c r="U351" s="752"/>
      <c r="V351" s="752"/>
      <c r="W351" s="752"/>
      <c r="X351" s="752"/>
      <c r="Y351" s="752"/>
      <c r="Z351" s="752"/>
      <c r="AA351" s="752"/>
      <c r="AB351" s="752"/>
      <c r="AC351" s="752"/>
      <c r="AD351" s="752"/>
      <c r="AE351" s="752"/>
      <c r="AF351" s="752"/>
      <c r="AG351" s="752"/>
      <c r="AH351" s="752"/>
      <c r="AI351" s="752"/>
      <c r="AJ351" s="752"/>
      <c r="AK351" s="752"/>
      <c r="AL351" s="752"/>
      <c r="AM351" s="752"/>
      <c r="AN351" s="752"/>
      <c r="AO351" s="753"/>
      <c r="AP351" s="752"/>
      <c r="AQ351" s="752"/>
      <c r="AR351" s="752"/>
      <c r="AS351" s="752"/>
      <c r="AT351" s="753"/>
      <c r="AU351" s="752"/>
      <c r="AV351" s="752"/>
      <c r="AW351" s="752"/>
      <c r="AX351" s="752"/>
      <c r="AY351" s="753"/>
      <c r="AZ351" s="752"/>
      <c r="BA351" s="752"/>
      <c r="BB351" s="752"/>
      <c r="BC351" s="752"/>
      <c r="BD351" s="753"/>
      <c r="BE351" s="752"/>
      <c r="BF351" s="752"/>
      <c r="BG351" s="752"/>
      <c r="BH351" s="752"/>
      <c r="BI351" s="753"/>
      <c r="BJ351" s="752"/>
      <c r="BK351" s="752"/>
      <c r="BL351" s="752"/>
      <c r="BM351" s="752"/>
      <c r="BN351" s="753"/>
      <c r="BO351" s="754"/>
      <c r="BP351" s="754"/>
      <c r="BQ351" s="754"/>
      <c r="BR351" s="754"/>
      <c r="BS351" s="755"/>
      <c r="BT351" s="754"/>
      <c r="BU351" s="754"/>
      <c r="BV351" s="754"/>
      <c r="BW351" s="754"/>
      <c r="BX351" s="524"/>
      <c r="BY351" s="754"/>
      <c r="BZ351" s="754"/>
      <c r="CA351" s="754"/>
      <c r="CB351" s="754"/>
      <c r="CC351" s="524"/>
      <c r="CD351" s="754"/>
      <c r="CE351" s="754"/>
      <c r="CF351" s="754"/>
      <c r="CG351" s="754"/>
      <c r="CH351" s="524"/>
      <c r="CI351" s="754"/>
      <c r="CJ351" s="754"/>
      <c r="CK351" s="754"/>
      <c r="CL351" s="754"/>
      <c r="CM351" s="524"/>
      <c r="CN351" s="754"/>
      <c r="CO351" s="754"/>
      <c r="CP351" s="754"/>
      <c r="CQ351" s="754"/>
      <c r="CR351" s="524"/>
      <c r="CS351" s="849"/>
      <c r="CT351" s="849"/>
      <c r="CU351" s="849"/>
      <c r="CV351" s="849"/>
      <c r="CW351" s="649"/>
      <c r="CX351" s="849"/>
      <c r="CY351" s="849"/>
      <c r="CZ351" s="849"/>
      <c r="DA351" s="849"/>
      <c r="DB351" s="649"/>
      <c r="DC351" s="849"/>
      <c r="DD351" s="849"/>
      <c r="DE351" s="849"/>
      <c r="DF351" s="849"/>
      <c r="DG351" s="649" t="s">
        <v>199</v>
      </c>
      <c r="DH351" s="849">
        <v>-132</v>
      </c>
      <c r="DI351" s="849">
        <v>-101</v>
      </c>
      <c r="DJ351" s="849">
        <v>-101</v>
      </c>
      <c r="DK351" s="849">
        <v>-99</v>
      </c>
      <c r="DL351" s="649" t="s">
        <v>199</v>
      </c>
      <c r="DM351" s="849">
        <v>0</v>
      </c>
      <c r="DN351" s="849">
        <v>0</v>
      </c>
      <c r="DO351" s="849">
        <v>0</v>
      </c>
      <c r="DP351" s="849">
        <v>0</v>
      </c>
      <c r="DQ351" s="649" t="s">
        <v>199</v>
      </c>
      <c r="DR351" s="849">
        <v>0</v>
      </c>
      <c r="DS351" s="849">
        <v>0</v>
      </c>
      <c r="DT351" s="849">
        <v>0</v>
      </c>
      <c r="DU351" s="849">
        <v>0</v>
      </c>
      <c r="DV351" s="649" t="s">
        <v>199</v>
      </c>
      <c r="DW351" s="849">
        <v>0</v>
      </c>
      <c r="DX351" s="849">
        <v>0</v>
      </c>
      <c r="DY351" s="849">
        <v>0</v>
      </c>
      <c r="DZ351" s="849">
        <v>0</v>
      </c>
      <c r="EA351" s="649" t="s">
        <v>199</v>
      </c>
      <c r="EB351" s="849">
        <v>0</v>
      </c>
      <c r="EC351" s="756">
        <v>0</v>
      </c>
      <c r="ED351" s="756">
        <v>0</v>
      </c>
      <c r="EE351" s="756">
        <v>0</v>
      </c>
      <c r="EF351" s="649" t="s">
        <v>199</v>
      </c>
      <c r="EG351" s="756"/>
      <c r="EH351" s="756"/>
      <c r="EI351" s="756"/>
      <c r="EJ351" s="756"/>
      <c r="EK351" s="757"/>
      <c r="EL351" s="756"/>
      <c r="EM351" s="756"/>
      <c r="EN351" s="756"/>
      <c r="EO351" s="756"/>
      <c r="EP351" s="757"/>
      <c r="EQ351" s="756"/>
      <c r="ER351" s="756"/>
      <c r="ES351" s="756"/>
      <c r="ET351" s="756"/>
      <c r="EU351" s="757"/>
      <c r="EV351" s="756"/>
      <c r="EW351" s="756"/>
      <c r="EX351" s="756"/>
      <c r="EY351" s="756"/>
      <c r="EZ351" s="757"/>
      <c r="FA351" s="756"/>
      <c r="FB351" s="756"/>
      <c r="FC351" s="756"/>
      <c r="FD351" s="756"/>
      <c r="FE351" s="757"/>
      <c r="FF351" s="756"/>
      <c r="FG351" s="756"/>
      <c r="FH351" s="756"/>
      <c r="FI351" s="756"/>
      <c r="FJ351" s="757"/>
      <c r="FK351" s="757"/>
      <c r="FL351" s="757"/>
      <c r="FM351" s="757"/>
      <c r="FN351" s="757"/>
      <c r="FO351" s="757"/>
      <c r="FP351" s="757"/>
      <c r="FQ351" s="757"/>
      <c r="FR351" s="757"/>
      <c r="FS351" s="757"/>
      <c r="FT351" s="757"/>
      <c r="FU351" s="757"/>
      <c r="FV351" s="757"/>
      <c r="FW351" s="757"/>
      <c r="FX351" s="757"/>
      <c r="FY351" s="757"/>
      <c r="FZ351" s="757"/>
      <c r="GA351" s="757"/>
      <c r="GB351" s="757"/>
      <c r="GC351" s="757"/>
      <c r="GD351" s="757"/>
      <c r="GE351" s="757"/>
      <c r="GF351" s="757"/>
      <c r="GG351" s="757"/>
      <c r="GH351" s="757"/>
      <c r="GI351" s="757"/>
      <c r="GJ351" s="757"/>
      <c r="GK351" s="757"/>
      <c r="GL351" s="757"/>
      <c r="GM351" s="757"/>
      <c r="GN351" s="757"/>
      <c r="GO351" s="757"/>
      <c r="GP351" s="757"/>
      <c r="GQ351" s="757"/>
      <c r="GR351" s="757"/>
      <c r="GS351" s="757"/>
      <c r="GT351" s="757"/>
      <c r="GU351" s="757"/>
      <c r="GV351" s="757"/>
      <c r="GW351" s="757"/>
      <c r="GX351" s="757"/>
      <c r="GY351" s="757"/>
      <c r="GZ351" s="757"/>
      <c r="HA351" s="757"/>
      <c r="HB351" s="757"/>
      <c r="HC351" s="757"/>
      <c r="HD351" s="757"/>
      <c r="HE351" s="757"/>
      <c r="HF351" s="757"/>
      <c r="HG351" s="757"/>
      <c r="HH351" s="757"/>
      <c r="HI351" s="757"/>
      <c r="HJ351" s="757"/>
      <c r="HK351" s="757"/>
      <c r="HL351" s="757"/>
      <c r="HM351" s="757"/>
      <c r="HN351" s="757"/>
      <c r="HO351" s="757"/>
      <c r="HQ351" s="509"/>
      <c r="HY351" s="509"/>
      <c r="HZ351" s="509"/>
      <c r="IA351" s="509"/>
      <c r="IB351" s="509"/>
    </row>
    <row r="352" spans="1:236" s="563" customFormat="1" hidden="1" outlineLevel="2">
      <c r="A352" s="509" t="s">
        <v>544</v>
      </c>
      <c r="B352" s="752"/>
      <c r="C352" s="752"/>
      <c r="D352" s="752"/>
      <c r="E352" s="752"/>
      <c r="F352" s="752"/>
      <c r="G352" s="752"/>
      <c r="H352" s="752"/>
      <c r="I352" s="752"/>
      <c r="J352" s="752"/>
      <c r="K352" s="752"/>
      <c r="L352" s="752"/>
      <c r="M352" s="752"/>
      <c r="N352" s="752"/>
      <c r="O352" s="752"/>
      <c r="P352" s="752"/>
      <c r="Q352" s="752"/>
      <c r="R352" s="752"/>
      <c r="S352" s="752"/>
      <c r="T352" s="752"/>
      <c r="U352" s="752"/>
      <c r="V352" s="752"/>
      <c r="W352" s="752"/>
      <c r="X352" s="752"/>
      <c r="Y352" s="752"/>
      <c r="Z352" s="752"/>
      <c r="AA352" s="752"/>
      <c r="AB352" s="752"/>
      <c r="AC352" s="752"/>
      <c r="AD352" s="752"/>
      <c r="AE352" s="752"/>
      <c r="AF352" s="752"/>
      <c r="AG352" s="752"/>
      <c r="AH352" s="752"/>
      <c r="AI352" s="752"/>
      <c r="AJ352" s="752"/>
      <c r="AK352" s="752"/>
      <c r="AL352" s="752"/>
      <c r="AM352" s="752"/>
      <c r="AN352" s="752"/>
      <c r="AO352" s="753"/>
      <c r="AP352" s="752"/>
      <c r="AQ352" s="752"/>
      <c r="AR352" s="752"/>
      <c r="AS352" s="752"/>
      <c r="AT352" s="753"/>
      <c r="AU352" s="752"/>
      <c r="AV352" s="752"/>
      <c r="AW352" s="752"/>
      <c r="AX352" s="752"/>
      <c r="AY352" s="753"/>
      <c r="AZ352" s="752"/>
      <c r="BA352" s="752"/>
      <c r="BB352" s="752"/>
      <c r="BC352" s="752"/>
      <c r="BD352" s="753"/>
      <c r="BE352" s="752"/>
      <c r="BF352" s="752"/>
      <c r="BG352" s="752"/>
      <c r="BH352" s="752"/>
      <c r="BI352" s="753"/>
      <c r="BJ352" s="752"/>
      <c r="BK352" s="752"/>
      <c r="BL352" s="752"/>
      <c r="BM352" s="752"/>
      <c r="BN352" s="753"/>
      <c r="BO352" s="754"/>
      <c r="BP352" s="754"/>
      <c r="BQ352" s="754"/>
      <c r="BR352" s="754"/>
      <c r="BS352" s="755"/>
      <c r="BT352" s="754"/>
      <c r="BU352" s="754"/>
      <c r="BV352" s="754"/>
      <c r="BW352" s="754"/>
      <c r="BX352" s="524"/>
      <c r="BY352" s="754"/>
      <c r="BZ352" s="754"/>
      <c r="CA352" s="754"/>
      <c r="CB352" s="754"/>
      <c r="CC352" s="524"/>
      <c r="CD352" s="754"/>
      <c r="CE352" s="754"/>
      <c r="CF352" s="754"/>
      <c r="CG352" s="754"/>
      <c r="CH352" s="524"/>
      <c r="CI352" s="754"/>
      <c r="CJ352" s="754"/>
      <c r="CK352" s="754"/>
      <c r="CL352" s="754"/>
      <c r="CM352" s="524"/>
      <c r="CN352" s="754"/>
      <c r="CO352" s="754"/>
      <c r="CP352" s="754"/>
      <c r="CQ352" s="754"/>
      <c r="CR352" s="524"/>
      <c r="CS352" s="849"/>
      <c r="CT352" s="849"/>
      <c r="CU352" s="849"/>
      <c r="CV352" s="849"/>
      <c r="CW352" s="649"/>
      <c r="CX352" s="849"/>
      <c r="CY352" s="849"/>
      <c r="CZ352" s="849"/>
      <c r="DA352" s="849"/>
      <c r="DB352" s="649"/>
      <c r="DC352" s="849"/>
      <c r="DD352" s="849"/>
      <c r="DE352" s="849"/>
      <c r="DF352" s="849"/>
      <c r="DG352" s="649" t="s">
        <v>199</v>
      </c>
      <c r="DH352" s="849">
        <v>-8</v>
      </c>
      <c r="DI352" s="849">
        <v>-23</v>
      </c>
      <c r="DJ352" s="849">
        <v>-11</v>
      </c>
      <c r="DK352" s="849">
        <v>-6</v>
      </c>
      <c r="DL352" s="649" t="s">
        <v>199</v>
      </c>
      <c r="DM352" s="849">
        <v>0</v>
      </c>
      <c r="DN352" s="849">
        <v>0</v>
      </c>
      <c r="DO352" s="849">
        <v>0</v>
      </c>
      <c r="DP352" s="849">
        <v>0</v>
      </c>
      <c r="DQ352" s="649" t="s">
        <v>199</v>
      </c>
      <c r="DR352" s="849">
        <v>0</v>
      </c>
      <c r="DS352" s="849">
        <v>0</v>
      </c>
      <c r="DT352" s="849">
        <v>0</v>
      </c>
      <c r="DU352" s="849">
        <v>0</v>
      </c>
      <c r="DV352" s="649" t="s">
        <v>199</v>
      </c>
      <c r="DW352" s="849">
        <v>0</v>
      </c>
      <c r="DX352" s="849">
        <v>0</v>
      </c>
      <c r="DY352" s="849">
        <v>0</v>
      </c>
      <c r="DZ352" s="849">
        <v>0</v>
      </c>
      <c r="EA352" s="649" t="s">
        <v>199</v>
      </c>
      <c r="EB352" s="849">
        <v>0</v>
      </c>
      <c r="EC352" s="756">
        <v>0</v>
      </c>
      <c r="ED352" s="756">
        <v>0</v>
      </c>
      <c r="EE352" s="756">
        <v>0</v>
      </c>
      <c r="EF352" s="649" t="s">
        <v>199</v>
      </c>
      <c r="EG352" s="756"/>
      <c r="EH352" s="756"/>
      <c r="EI352" s="756"/>
      <c r="EJ352" s="756"/>
      <c r="EK352" s="757"/>
      <c r="EL352" s="756"/>
      <c r="EM352" s="756"/>
      <c r="EN352" s="756"/>
      <c r="EO352" s="756"/>
      <c r="EP352" s="757"/>
      <c r="EQ352" s="756"/>
      <c r="ER352" s="756"/>
      <c r="ES352" s="756"/>
      <c r="ET352" s="756"/>
      <c r="EU352" s="757"/>
      <c r="EV352" s="756"/>
      <c r="EW352" s="756"/>
      <c r="EX352" s="756"/>
      <c r="EY352" s="756"/>
      <c r="EZ352" s="757"/>
      <c r="FA352" s="756"/>
      <c r="FB352" s="756"/>
      <c r="FC352" s="756"/>
      <c r="FD352" s="756"/>
      <c r="FE352" s="757"/>
      <c r="FF352" s="756"/>
      <c r="FG352" s="756"/>
      <c r="FH352" s="756"/>
      <c r="FI352" s="756"/>
      <c r="FJ352" s="757"/>
      <c r="FK352" s="757"/>
      <c r="FL352" s="757"/>
      <c r="FM352" s="757"/>
      <c r="FN352" s="757"/>
      <c r="FO352" s="757"/>
      <c r="FP352" s="757"/>
      <c r="FQ352" s="757"/>
      <c r="FR352" s="757"/>
      <c r="FS352" s="757"/>
      <c r="FT352" s="757"/>
      <c r="FU352" s="757"/>
      <c r="FV352" s="757"/>
      <c r="FW352" s="757"/>
      <c r="FX352" s="757"/>
      <c r="FY352" s="757"/>
      <c r="FZ352" s="757"/>
      <c r="GA352" s="757"/>
      <c r="GB352" s="757"/>
      <c r="GC352" s="757"/>
      <c r="GD352" s="757"/>
      <c r="GE352" s="757"/>
      <c r="GF352" s="757"/>
      <c r="GG352" s="757"/>
      <c r="GH352" s="757"/>
      <c r="GI352" s="757"/>
      <c r="GJ352" s="757"/>
      <c r="GK352" s="757"/>
      <c r="GL352" s="757"/>
      <c r="GM352" s="757"/>
      <c r="GN352" s="757"/>
      <c r="GO352" s="757"/>
      <c r="GP352" s="757"/>
      <c r="GQ352" s="757"/>
      <c r="GR352" s="757"/>
      <c r="GS352" s="757"/>
      <c r="GT352" s="757"/>
      <c r="GU352" s="757"/>
      <c r="GV352" s="757"/>
      <c r="GW352" s="757"/>
      <c r="GX352" s="757"/>
      <c r="GY352" s="757"/>
      <c r="GZ352" s="757"/>
      <c r="HA352" s="757"/>
      <c r="HB352" s="757"/>
      <c r="HC352" s="757"/>
      <c r="HD352" s="757"/>
      <c r="HE352" s="757"/>
      <c r="HF352" s="757"/>
      <c r="HG352" s="757"/>
      <c r="HH352" s="757"/>
      <c r="HI352" s="757"/>
      <c r="HJ352" s="757"/>
      <c r="HK352" s="757"/>
      <c r="HL352" s="757"/>
      <c r="HM352" s="757"/>
      <c r="HN352" s="757"/>
      <c r="HO352" s="757"/>
      <c r="HQ352" s="509"/>
      <c r="HY352" s="509"/>
      <c r="HZ352" s="509"/>
      <c r="IA352" s="509"/>
      <c r="IB352" s="509"/>
    </row>
    <row r="353" spans="1:236" s="563" customFormat="1" hidden="1" outlineLevel="2">
      <c r="A353" s="509" t="s">
        <v>316</v>
      </c>
      <c r="B353" s="752"/>
      <c r="C353" s="752"/>
      <c r="D353" s="752"/>
      <c r="E353" s="752"/>
      <c r="F353" s="752"/>
      <c r="G353" s="752"/>
      <c r="H353" s="752"/>
      <c r="I353" s="752"/>
      <c r="J353" s="752"/>
      <c r="K353" s="752"/>
      <c r="L353" s="752"/>
      <c r="M353" s="752"/>
      <c r="N353" s="752"/>
      <c r="O353" s="752"/>
      <c r="P353" s="752"/>
      <c r="Q353" s="752"/>
      <c r="R353" s="752"/>
      <c r="S353" s="752"/>
      <c r="T353" s="752"/>
      <c r="U353" s="752"/>
      <c r="V353" s="752"/>
      <c r="W353" s="752"/>
      <c r="X353" s="752"/>
      <c r="Y353" s="752"/>
      <c r="Z353" s="752"/>
      <c r="AA353" s="752"/>
      <c r="AB353" s="752"/>
      <c r="AC353" s="752"/>
      <c r="AD353" s="752"/>
      <c r="AE353" s="752"/>
      <c r="AF353" s="752"/>
      <c r="AG353" s="752"/>
      <c r="AH353" s="752"/>
      <c r="AI353" s="752"/>
      <c r="AJ353" s="752"/>
      <c r="AK353" s="752"/>
      <c r="AL353" s="752"/>
      <c r="AM353" s="752"/>
      <c r="AN353" s="752"/>
      <c r="AO353" s="753"/>
      <c r="AP353" s="752"/>
      <c r="AQ353" s="752"/>
      <c r="AR353" s="752"/>
      <c r="AS353" s="752"/>
      <c r="AT353" s="753"/>
      <c r="AU353" s="752"/>
      <c r="AV353" s="752"/>
      <c r="AW353" s="752"/>
      <c r="AX353" s="752"/>
      <c r="AY353" s="753"/>
      <c r="AZ353" s="752"/>
      <c r="BA353" s="752"/>
      <c r="BB353" s="752"/>
      <c r="BC353" s="752"/>
      <c r="BD353" s="753"/>
      <c r="BE353" s="752"/>
      <c r="BF353" s="752"/>
      <c r="BG353" s="752"/>
      <c r="BH353" s="752"/>
      <c r="BI353" s="753"/>
      <c r="BJ353" s="752"/>
      <c r="BK353" s="752"/>
      <c r="BL353" s="752"/>
      <c r="BM353" s="752"/>
      <c r="BN353" s="753"/>
      <c r="BO353" s="754"/>
      <c r="BP353" s="754"/>
      <c r="BQ353" s="754"/>
      <c r="BR353" s="754"/>
      <c r="BS353" s="755"/>
      <c r="BT353" s="754"/>
      <c r="BU353" s="754"/>
      <c r="BV353" s="754"/>
      <c r="BW353" s="754"/>
      <c r="BX353" s="524">
        <v>-135.46600000000001</v>
      </c>
      <c r="BY353" s="754"/>
      <c r="BZ353" s="754"/>
      <c r="CA353" s="754"/>
      <c r="CB353" s="754"/>
      <c r="CC353" s="524">
        <v>-405.20499999999998</v>
      </c>
      <c r="CD353" s="754"/>
      <c r="CE353" s="754"/>
      <c r="CF353" s="754"/>
      <c r="CG353" s="754"/>
      <c r="CH353" s="524">
        <v>-20.638000000000002</v>
      </c>
      <c r="CI353" s="754"/>
      <c r="CJ353" s="754"/>
      <c r="CK353" s="754"/>
      <c r="CL353" s="754"/>
      <c r="CM353" s="524">
        <v>-39</v>
      </c>
      <c r="CN353" s="754"/>
      <c r="CO353" s="754"/>
      <c r="CP353" s="754"/>
      <c r="CQ353" s="754"/>
      <c r="CR353" s="524">
        <v>-43</v>
      </c>
      <c r="CS353" s="523">
        <v>-53</v>
      </c>
      <c r="CT353" s="523">
        <v>-34</v>
      </c>
      <c r="CU353" s="523">
        <v>-46</v>
      </c>
      <c r="CV353" s="523">
        <f>CW353-SUM(CS353:CU353)</f>
        <v>-587</v>
      </c>
      <c r="CW353" s="524">
        <v>-720</v>
      </c>
      <c r="CX353" s="523">
        <v>-144</v>
      </c>
      <c r="CY353" s="523">
        <v>-127</v>
      </c>
      <c r="CZ353" s="523">
        <v>-108</v>
      </c>
      <c r="DA353" s="523">
        <f>DB353-SUM(CX353:CZ353)</f>
        <v>-1699</v>
      </c>
      <c r="DB353" s="524">
        <v>-2078</v>
      </c>
      <c r="DC353" s="523">
        <v>-85</v>
      </c>
      <c r="DD353" s="523">
        <v>-96</v>
      </c>
      <c r="DE353" s="523">
        <v>-59</v>
      </c>
      <c r="DF353" s="523">
        <v>-833</v>
      </c>
      <c r="DG353" s="524">
        <f>SUM(DC353:DF353)</f>
        <v>-1073</v>
      </c>
      <c r="DH353" s="523">
        <v>-124</v>
      </c>
      <c r="DI353" s="523">
        <v>-41</v>
      </c>
      <c r="DJ353" s="523">
        <v>-49</v>
      </c>
      <c r="DK353" s="523">
        <v>1182</v>
      </c>
      <c r="DL353" s="524">
        <f>SUM(DH353:DK353)</f>
        <v>968</v>
      </c>
      <c r="DM353" s="523">
        <v>-11</v>
      </c>
      <c r="DN353" s="523">
        <v>-36</v>
      </c>
      <c r="DO353" s="523">
        <v>-36</v>
      </c>
      <c r="DP353" s="523">
        <v>254</v>
      </c>
      <c r="DQ353" s="524">
        <f>SUM(DM353:DP353)</f>
        <v>171</v>
      </c>
      <c r="DR353" s="523">
        <v>-65</v>
      </c>
      <c r="DS353" s="523">
        <v>-30</v>
      </c>
      <c r="DT353" s="523">
        <v>-23</v>
      </c>
      <c r="DU353" s="523">
        <v>-121</v>
      </c>
      <c r="DV353" s="524">
        <f>SUM(DR353:DU353)</f>
        <v>-239</v>
      </c>
      <c r="DW353" s="523">
        <v>-738</v>
      </c>
      <c r="DX353" s="523">
        <v>-36</v>
      </c>
      <c r="DY353" s="523">
        <v>-35</v>
      </c>
      <c r="DZ353" s="523">
        <v>-121</v>
      </c>
      <c r="EA353" s="757">
        <f>SUM(DW353:DZ353)</f>
        <v>-930</v>
      </c>
      <c r="EB353" s="523">
        <v>-75</v>
      </c>
      <c r="EC353" s="756">
        <v>-31</v>
      </c>
      <c r="ED353" s="756">
        <v>-6</v>
      </c>
      <c r="EE353" s="756">
        <v>21</v>
      </c>
      <c r="EF353" s="757">
        <f>SUM(EB353:EE353)</f>
        <v>-91</v>
      </c>
      <c r="EG353" s="756">
        <v>-39</v>
      </c>
      <c r="EH353" s="756">
        <v>-28</v>
      </c>
      <c r="EI353" s="756"/>
      <c r="EJ353" s="756"/>
      <c r="EK353" s="757"/>
      <c r="EL353" s="756"/>
      <c r="EM353" s="756"/>
      <c r="EN353" s="756"/>
      <c r="EO353" s="756"/>
      <c r="EP353" s="757"/>
      <c r="EQ353" s="756"/>
      <c r="ER353" s="756"/>
      <c r="ES353" s="756"/>
      <c r="ET353" s="756"/>
      <c r="EU353" s="757"/>
      <c r="EV353" s="756"/>
      <c r="EW353" s="756"/>
      <c r="EX353" s="756"/>
      <c r="EY353" s="756"/>
      <c r="EZ353" s="757"/>
      <c r="FA353" s="756"/>
      <c r="FB353" s="756"/>
      <c r="FC353" s="756"/>
      <c r="FD353" s="756"/>
      <c r="FE353" s="757"/>
      <c r="FF353" s="756"/>
      <c r="FG353" s="756"/>
      <c r="FH353" s="756"/>
      <c r="FI353" s="756"/>
      <c r="FJ353" s="757"/>
      <c r="FK353" s="757"/>
      <c r="FL353" s="757"/>
      <c r="FM353" s="757"/>
      <c r="FN353" s="757"/>
      <c r="FO353" s="757"/>
      <c r="FP353" s="757"/>
      <c r="FQ353" s="757"/>
      <c r="FR353" s="757"/>
      <c r="FS353" s="757"/>
      <c r="FT353" s="757"/>
      <c r="FU353" s="757"/>
      <c r="FV353" s="757"/>
      <c r="FW353" s="757"/>
      <c r="FX353" s="757"/>
      <c r="FY353" s="757"/>
      <c r="FZ353" s="757"/>
      <c r="GA353" s="757"/>
      <c r="GB353" s="757"/>
      <c r="GC353" s="757"/>
      <c r="GD353" s="757"/>
      <c r="GE353" s="757"/>
      <c r="GF353" s="757"/>
      <c r="GG353" s="757"/>
      <c r="GH353" s="757"/>
      <c r="GI353" s="757"/>
      <c r="GJ353" s="757"/>
      <c r="GK353" s="757"/>
      <c r="GL353" s="757"/>
      <c r="GM353" s="757"/>
      <c r="GN353" s="757"/>
      <c r="GO353" s="757"/>
      <c r="GP353" s="757"/>
      <c r="GQ353" s="757"/>
      <c r="GR353" s="757"/>
      <c r="GS353" s="757"/>
      <c r="GT353" s="757"/>
      <c r="GU353" s="757"/>
      <c r="GV353" s="757"/>
      <c r="GW353" s="757"/>
      <c r="GX353" s="757"/>
      <c r="GY353" s="757"/>
      <c r="GZ353" s="757"/>
      <c r="HA353" s="757"/>
      <c r="HB353" s="757"/>
      <c r="HC353" s="757"/>
      <c r="HD353" s="757"/>
      <c r="HE353" s="757"/>
      <c r="HF353" s="757"/>
      <c r="HG353" s="757"/>
      <c r="HH353" s="757"/>
      <c r="HI353" s="757"/>
      <c r="HJ353" s="757"/>
      <c r="HK353" s="757"/>
      <c r="HL353" s="757"/>
      <c r="HM353" s="757"/>
      <c r="HN353" s="757"/>
      <c r="HO353" s="757"/>
      <c r="HQ353" s="509"/>
      <c r="HY353" s="509"/>
      <c r="HZ353" s="509"/>
      <c r="IA353" s="509"/>
      <c r="IB353" s="509"/>
    </row>
    <row r="354" spans="1:236" s="563" customFormat="1" hidden="1" outlineLevel="2">
      <c r="A354" s="509"/>
      <c r="B354" s="752"/>
      <c r="C354" s="752"/>
      <c r="D354" s="752"/>
      <c r="E354" s="752"/>
      <c r="F354" s="752"/>
      <c r="G354" s="752"/>
      <c r="H354" s="752"/>
      <c r="I354" s="752"/>
      <c r="J354" s="752"/>
      <c r="K354" s="752"/>
      <c r="L354" s="752"/>
      <c r="M354" s="752"/>
      <c r="N354" s="752"/>
      <c r="O354" s="752"/>
      <c r="P354" s="752"/>
      <c r="Q354" s="752"/>
      <c r="R354" s="752"/>
      <c r="S354" s="752"/>
      <c r="T354" s="752"/>
      <c r="U354" s="752"/>
      <c r="V354" s="752"/>
      <c r="W354" s="752"/>
      <c r="X354" s="752"/>
      <c r="Y354" s="752"/>
      <c r="Z354" s="752"/>
      <c r="AA354" s="752"/>
      <c r="AB354" s="752"/>
      <c r="AC354" s="752"/>
      <c r="AD354" s="752"/>
      <c r="AE354" s="752"/>
      <c r="AF354" s="752"/>
      <c r="AG354" s="752"/>
      <c r="AH354" s="752"/>
      <c r="AI354" s="752"/>
      <c r="AJ354" s="752"/>
      <c r="AK354" s="752"/>
      <c r="AL354" s="752"/>
      <c r="AM354" s="752"/>
      <c r="AN354" s="752"/>
      <c r="AO354" s="753"/>
      <c r="AP354" s="752"/>
      <c r="AQ354" s="752"/>
      <c r="AR354" s="752"/>
      <c r="AS354" s="752"/>
      <c r="AT354" s="753"/>
      <c r="AU354" s="752"/>
      <c r="AV354" s="752"/>
      <c r="AW354" s="752"/>
      <c r="AX354" s="752"/>
      <c r="AY354" s="753"/>
      <c r="AZ354" s="752"/>
      <c r="BA354" s="752"/>
      <c r="BB354" s="752"/>
      <c r="BC354" s="752"/>
      <c r="BD354" s="753"/>
      <c r="BE354" s="752"/>
      <c r="BF354" s="752"/>
      <c r="BG354" s="752"/>
      <c r="BH354" s="752"/>
      <c r="BI354" s="753"/>
      <c r="BJ354" s="752"/>
      <c r="BK354" s="752"/>
      <c r="BL354" s="752"/>
      <c r="BM354" s="752"/>
      <c r="BN354" s="753"/>
      <c r="BO354" s="754"/>
      <c r="BP354" s="754"/>
      <c r="BQ354" s="754"/>
      <c r="BR354" s="754"/>
      <c r="BS354" s="755"/>
      <c r="BT354" s="754"/>
      <c r="BU354" s="754"/>
      <c r="BV354" s="754"/>
      <c r="BW354" s="754"/>
      <c r="BX354" s="524"/>
      <c r="BY354" s="754"/>
      <c r="BZ354" s="754"/>
      <c r="CA354" s="754"/>
      <c r="CB354" s="754"/>
      <c r="CC354" s="524"/>
      <c r="CD354" s="754"/>
      <c r="CE354" s="754"/>
      <c r="CF354" s="754"/>
      <c r="CG354" s="754"/>
      <c r="CH354" s="524"/>
      <c r="CI354" s="754"/>
      <c r="CJ354" s="754"/>
      <c r="CK354" s="754"/>
      <c r="CL354" s="754"/>
      <c r="CM354" s="524"/>
      <c r="CN354" s="754"/>
      <c r="CO354" s="754"/>
      <c r="CP354" s="754"/>
      <c r="CQ354" s="754"/>
      <c r="CR354" s="524"/>
      <c r="CS354" s="523"/>
      <c r="CT354" s="523"/>
      <c r="CU354" s="523"/>
      <c r="CV354" s="523"/>
      <c r="CW354" s="524"/>
      <c r="CX354" s="523"/>
      <c r="CY354" s="523"/>
      <c r="CZ354" s="523"/>
      <c r="DA354" s="523"/>
      <c r="DB354" s="524"/>
      <c r="DC354" s="523"/>
      <c r="DD354" s="523"/>
      <c r="DE354" s="523"/>
      <c r="DF354" s="523"/>
      <c r="DG354" s="524"/>
      <c r="DH354" s="523"/>
      <c r="DI354" s="754"/>
      <c r="DJ354" s="754"/>
      <c r="DK354" s="754"/>
      <c r="DL354" s="755"/>
      <c r="DM354" s="756"/>
      <c r="DN354" s="756"/>
      <c r="DO354" s="756"/>
      <c r="DP354" s="756"/>
      <c r="DQ354" s="757"/>
      <c r="DR354" s="756"/>
      <c r="DS354" s="756"/>
      <c r="DT354" s="756"/>
      <c r="DU354" s="756"/>
      <c r="DV354" s="757"/>
      <c r="DW354" s="756"/>
      <c r="DX354" s="756"/>
      <c r="DY354" s="756"/>
      <c r="DZ354" s="756"/>
      <c r="EA354" s="757"/>
      <c r="EB354" s="756"/>
      <c r="EC354" s="756"/>
      <c r="ED354" s="756"/>
      <c r="EE354" s="756"/>
      <c r="EF354" s="757"/>
      <c r="EG354" s="756"/>
      <c r="EH354" s="756"/>
      <c r="EI354" s="756"/>
      <c r="EJ354" s="756"/>
      <c r="EK354" s="757"/>
      <c r="EL354" s="756"/>
      <c r="EM354" s="756"/>
      <c r="EN354" s="756"/>
      <c r="EO354" s="756"/>
      <c r="EP354" s="757"/>
      <c r="EQ354" s="756"/>
      <c r="ER354" s="756"/>
      <c r="ES354" s="756"/>
      <c r="ET354" s="756"/>
      <c r="EU354" s="757"/>
      <c r="EV354" s="756"/>
      <c r="EW354" s="756"/>
      <c r="EX354" s="756"/>
      <c r="EY354" s="756"/>
      <c r="EZ354" s="757"/>
      <c r="FA354" s="756"/>
      <c r="FB354" s="756"/>
      <c r="FC354" s="756"/>
      <c r="FD354" s="756"/>
      <c r="FE354" s="757"/>
      <c r="FF354" s="756"/>
      <c r="FG354" s="756"/>
      <c r="FH354" s="756"/>
      <c r="FI354" s="756"/>
      <c r="FJ354" s="757"/>
      <c r="FK354" s="757"/>
      <c r="FL354" s="757"/>
      <c r="FM354" s="757"/>
      <c r="FN354" s="757"/>
      <c r="FO354" s="757"/>
      <c r="FP354" s="757"/>
      <c r="FQ354" s="757"/>
      <c r="FR354" s="757"/>
      <c r="FS354" s="757"/>
      <c r="FT354" s="757"/>
      <c r="FU354" s="757"/>
      <c r="FV354" s="757"/>
      <c r="FW354" s="757"/>
      <c r="FX354" s="757"/>
      <c r="FY354" s="757"/>
      <c r="FZ354" s="757"/>
      <c r="GA354" s="757"/>
      <c r="GB354" s="757"/>
      <c r="GC354" s="757"/>
      <c r="GD354" s="757"/>
      <c r="GE354" s="757"/>
      <c r="GF354" s="757"/>
      <c r="GG354" s="757"/>
      <c r="GH354" s="757"/>
      <c r="GI354" s="757"/>
      <c r="GJ354" s="757"/>
      <c r="GK354" s="757"/>
      <c r="GL354" s="757"/>
      <c r="GM354" s="757"/>
      <c r="GN354" s="757"/>
      <c r="GO354" s="757"/>
      <c r="GP354" s="757"/>
      <c r="GQ354" s="757"/>
      <c r="GR354" s="757"/>
      <c r="GS354" s="757"/>
      <c r="GT354" s="757"/>
      <c r="GU354" s="757"/>
      <c r="GV354" s="757"/>
      <c r="GW354" s="757"/>
      <c r="GX354" s="757"/>
      <c r="GY354" s="757"/>
      <c r="GZ354" s="757"/>
      <c r="HA354" s="757"/>
      <c r="HB354" s="757"/>
      <c r="HC354" s="757"/>
      <c r="HD354" s="757"/>
      <c r="HE354" s="757"/>
      <c r="HF354" s="757"/>
      <c r="HG354" s="757"/>
      <c r="HH354" s="757"/>
      <c r="HI354" s="757"/>
      <c r="HJ354" s="757"/>
      <c r="HK354" s="757"/>
      <c r="HL354" s="757"/>
      <c r="HM354" s="757"/>
      <c r="HN354" s="757"/>
      <c r="HO354" s="757"/>
      <c r="HQ354" s="509"/>
      <c r="HY354" s="509"/>
      <c r="HZ354" s="509"/>
      <c r="IA354" s="509"/>
      <c r="IB354" s="509"/>
    </row>
    <row r="355" spans="1:236" s="563" customFormat="1" hidden="1" outlineLevel="2">
      <c r="A355" s="538" t="s">
        <v>546</v>
      </c>
      <c r="B355" s="752"/>
      <c r="C355" s="752"/>
      <c r="D355" s="752"/>
      <c r="E355" s="752"/>
      <c r="F355" s="752"/>
      <c r="G355" s="752"/>
      <c r="H355" s="752"/>
      <c r="I355" s="752"/>
      <c r="J355" s="752"/>
      <c r="K355" s="752"/>
      <c r="L355" s="752"/>
      <c r="M355" s="752"/>
      <c r="N355" s="752"/>
      <c r="O355" s="752"/>
      <c r="P355" s="752"/>
      <c r="Q355" s="752"/>
      <c r="R355" s="752"/>
      <c r="S355" s="752"/>
      <c r="T355" s="752"/>
      <c r="U355" s="752"/>
      <c r="V355" s="752"/>
      <c r="W355" s="752"/>
      <c r="X355" s="752"/>
      <c r="Y355" s="752"/>
      <c r="Z355" s="752"/>
      <c r="AA355" s="752"/>
      <c r="AB355" s="752"/>
      <c r="AC355" s="752"/>
      <c r="AD355" s="752"/>
      <c r="AE355" s="752"/>
      <c r="AF355" s="752"/>
      <c r="AG355" s="752"/>
      <c r="AH355" s="752"/>
      <c r="AI355" s="752"/>
      <c r="AJ355" s="752"/>
      <c r="AK355" s="752"/>
      <c r="AL355" s="752"/>
      <c r="AM355" s="752"/>
      <c r="AN355" s="752"/>
      <c r="AO355" s="753"/>
      <c r="AP355" s="752"/>
      <c r="AQ355" s="752"/>
      <c r="AR355" s="752"/>
      <c r="AS355" s="752"/>
      <c r="AT355" s="753"/>
      <c r="AU355" s="752"/>
      <c r="AV355" s="752"/>
      <c r="AW355" s="752"/>
      <c r="AX355" s="752"/>
      <c r="AY355" s="753"/>
      <c r="AZ355" s="752"/>
      <c r="BA355" s="752"/>
      <c r="BB355" s="752"/>
      <c r="BC355" s="752"/>
      <c r="BD355" s="753"/>
      <c r="BE355" s="752"/>
      <c r="BF355" s="752"/>
      <c r="BG355" s="752"/>
      <c r="BH355" s="752"/>
      <c r="BI355" s="753"/>
      <c r="BJ355" s="752"/>
      <c r="BK355" s="752"/>
      <c r="BL355" s="752"/>
      <c r="BM355" s="752"/>
      <c r="BN355" s="753"/>
      <c r="BO355" s="754"/>
      <c r="BP355" s="754"/>
      <c r="BQ355" s="754"/>
      <c r="BR355" s="754"/>
      <c r="BS355" s="755"/>
      <c r="BT355" s="754"/>
      <c r="BU355" s="754"/>
      <c r="BV355" s="754"/>
      <c r="BW355" s="754"/>
      <c r="BX355" s="524"/>
      <c r="BY355" s="754"/>
      <c r="BZ355" s="754"/>
      <c r="CA355" s="754"/>
      <c r="CB355" s="754"/>
      <c r="CC355" s="524"/>
      <c r="CD355" s="754"/>
      <c r="CE355" s="754"/>
      <c r="CF355" s="754"/>
      <c r="CG355" s="754"/>
      <c r="CH355" s="524"/>
      <c r="CI355" s="754"/>
      <c r="CJ355" s="754"/>
      <c r="CK355" s="754"/>
      <c r="CL355" s="754"/>
      <c r="CM355" s="524"/>
      <c r="CN355" s="754"/>
      <c r="CO355" s="754"/>
      <c r="CP355" s="754"/>
      <c r="CQ355" s="754"/>
      <c r="CR355" s="524"/>
      <c r="CS355" s="523"/>
      <c r="CT355" s="523"/>
      <c r="CU355" s="523"/>
      <c r="CV355" s="523"/>
      <c r="CW355" s="524"/>
      <c r="CX355" s="523"/>
      <c r="CY355" s="523"/>
      <c r="CZ355" s="523"/>
      <c r="DA355" s="523"/>
      <c r="DB355" s="524"/>
      <c r="DC355" s="523"/>
      <c r="DD355" s="523"/>
      <c r="DE355" s="523"/>
      <c r="DF355" s="523"/>
      <c r="DG355" s="524"/>
      <c r="DH355" s="578"/>
      <c r="DI355" s="754"/>
      <c r="DJ355" s="754"/>
      <c r="DK355" s="754"/>
      <c r="DL355" s="755"/>
      <c r="DM355" s="756"/>
      <c r="DN355" s="756"/>
      <c r="DO355" s="756"/>
      <c r="DP355" s="756"/>
      <c r="DQ355" s="757"/>
      <c r="DR355" s="756"/>
      <c r="DS355" s="756"/>
      <c r="DT355" s="756"/>
      <c r="DU355" s="756"/>
      <c r="DV355" s="757"/>
      <c r="DW355" s="756"/>
      <c r="DX355" s="756"/>
      <c r="DY355" s="756"/>
      <c r="DZ355" s="756"/>
      <c r="EA355" s="757"/>
      <c r="EB355" s="756"/>
      <c r="EC355" s="756"/>
      <c r="ED355" s="756"/>
      <c r="EE355" s="756"/>
      <c r="EF355" s="757"/>
      <c r="EG355" s="756"/>
      <c r="EH355" s="756"/>
      <c r="EI355" s="756"/>
      <c r="EJ355" s="756"/>
      <c r="EK355" s="757"/>
      <c r="EL355" s="756"/>
      <c r="EM355" s="756"/>
      <c r="EN355" s="756"/>
      <c r="EO355" s="756"/>
      <c r="EP355" s="757"/>
      <c r="EQ355" s="756"/>
      <c r="ER355" s="756"/>
      <c r="ES355" s="756"/>
      <c r="ET355" s="756"/>
      <c r="EU355" s="757"/>
      <c r="EV355" s="756"/>
      <c r="EW355" s="756"/>
      <c r="EX355" s="756"/>
      <c r="EY355" s="756"/>
      <c r="EZ355" s="757"/>
      <c r="FA355" s="756"/>
      <c r="FB355" s="756"/>
      <c r="FC355" s="756"/>
      <c r="FD355" s="756"/>
      <c r="FE355" s="757"/>
      <c r="FF355" s="756"/>
      <c r="FG355" s="756"/>
      <c r="FH355" s="756"/>
      <c r="FI355" s="756"/>
      <c r="FJ355" s="757"/>
      <c r="FK355" s="757"/>
      <c r="FL355" s="757"/>
      <c r="FM355" s="757"/>
      <c r="FN355" s="757"/>
      <c r="FO355" s="757"/>
      <c r="FP355" s="757"/>
      <c r="FQ355" s="757"/>
      <c r="FR355" s="757"/>
      <c r="FS355" s="757"/>
      <c r="FT355" s="757"/>
      <c r="FU355" s="757"/>
      <c r="FV355" s="757"/>
      <c r="FW355" s="757"/>
      <c r="FX355" s="757"/>
      <c r="FY355" s="757"/>
      <c r="FZ355" s="757"/>
      <c r="GA355" s="757"/>
      <c r="GB355" s="757"/>
      <c r="GC355" s="757"/>
      <c r="GD355" s="757"/>
      <c r="GE355" s="757"/>
      <c r="GF355" s="757"/>
      <c r="GG355" s="757"/>
      <c r="GH355" s="757"/>
      <c r="GI355" s="757"/>
      <c r="GJ355" s="757"/>
      <c r="GK355" s="757"/>
      <c r="GL355" s="757"/>
      <c r="GM355" s="757"/>
      <c r="GN355" s="757"/>
      <c r="GO355" s="757"/>
      <c r="GP355" s="757"/>
      <c r="GQ355" s="757"/>
      <c r="GR355" s="757"/>
      <c r="GS355" s="757"/>
      <c r="GT355" s="757"/>
      <c r="GU355" s="757"/>
      <c r="GV355" s="757"/>
      <c r="GW355" s="757"/>
      <c r="GX355" s="757"/>
      <c r="GY355" s="757"/>
      <c r="GZ355" s="757"/>
      <c r="HA355" s="757"/>
      <c r="HB355" s="757"/>
      <c r="HC355" s="757"/>
      <c r="HD355" s="757"/>
      <c r="HE355" s="757"/>
      <c r="HF355" s="757"/>
      <c r="HG355" s="757"/>
      <c r="HH355" s="757"/>
      <c r="HI355" s="757"/>
      <c r="HJ355" s="757"/>
      <c r="HK355" s="757"/>
      <c r="HL355" s="757"/>
      <c r="HM355" s="757"/>
      <c r="HN355" s="757"/>
      <c r="HO355" s="757"/>
      <c r="HQ355" s="509"/>
      <c r="HY355" s="509"/>
      <c r="HZ355" s="509"/>
      <c r="IA355" s="509"/>
      <c r="IB355" s="509"/>
    </row>
    <row r="356" spans="1:236" s="563" customFormat="1" hidden="1" outlineLevel="2">
      <c r="A356" s="509" t="s">
        <v>197</v>
      </c>
      <c r="B356" s="752"/>
      <c r="C356" s="752"/>
      <c r="D356" s="752"/>
      <c r="E356" s="752"/>
      <c r="F356" s="752"/>
      <c r="G356" s="752"/>
      <c r="H356" s="752"/>
      <c r="I356" s="752"/>
      <c r="J356" s="752"/>
      <c r="K356" s="752"/>
      <c r="L356" s="752"/>
      <c r="M356" s="752"/>
      <c r="N356" s="752"/>
      <c r="O356" s="752"/>
      <c r="P356" s="752"/>
      <c r="Q356" s="752"/>
      <c r="R356" s="752"/>
      <c r="S356" s="752"/>
      <c r="T356" s="752"/>
      <c r="U356" s="752"/>
      <c r="V356" s="752"/>
      <c r="W356" s="752"/>
      <c r="X356" s="752"/>
      <c r="Y356" s="752"/>
      <c r="Z356" s="752"/>
      <c r="AA356" s="752"/>
      <c r="AB356" s="752"/>
      <c r="AC356" s="752"/>
      <c r="AD356" s="752"/>
      <c r="AE356" s="752"/>
      <c r="AF356" s="752"/>
      <c r="AG356" s="752"/>
      <c r="AH356" s="752"/>
      <c r="AI356" s="752"/>
      <c r="AJ356" s="752"/>
      <c r="AK356" s="752"/>
      <c r="AL356" s="752"/>
      <c r="AM356" s="752"/>
      <c r="AN356" s="752"/>
      <c r="AO356" s="753"/>
      <c r="AP356" s="752"/>
      <c r="AQ356" s="752"/>
      <c r="AR356" s="752"/>
      <c r="AS356" s="752"/>
      <c r="AT356" s="753"/>
      <c r="AU356" s="752"/>
      <c r="AV356" s="752"/>
      <c r="AW356" s="752"/>
      <c r="AX356" s="752"/>
      <c r="AY356" s="753"/>
      <c r="AZ356" s="752"/>
      <c r="BA356" s="752"/>
      <c r="BB356" s="752"/>
      <c r="BC356" s="752"/>
      <c r="BD356" s="753"/>
      <c r="BE356" s="752"/>
      <c r="BF356" s="752"/>
      <c r="BG356" s="752"/>
      <c r="BH356" s="752"/>
      <c r="BI356" s="753"/>
      <c r="BJ356" s="752"/>
      <c r="BK356" s="752"/>
      <c r="BL356" s="752"/>
      <c r="BM356" s="752"/>
      <c r="BN356" s="753"/>
      <c r="BO356" s="754"/>
      <c r="BP356" s="754"/>
      <c r="BQ356" s="754"/>
      <c r="BR356" s="754"/>
      <c r="BS356" s="755"/>
      <c r="BT356" s="754"/>
      <c r="BU356" s="754"/>
      <c r="BV356" s="754"/>
      <c r="BW356" s="754"/>
      <c r="BX356" s="524"/>
      <c r="BY356" s="754"/>
      <c r="BZ356" s="754"/>
      <c r="CA356" s="754"/>
      <c r="CB356" s="754"/>
      <c r="CC356" s="524"/>
      <c r="CD356" s="754"/>
      <c r="CE356" s="754"/>
      <c r="CF356" s="754"/>
      <c r="CG356" s="754"/>
      <c r="CH356" s="524"/>
      <c r="CI356" s="754"/>
      <c r="CJ356" s="754"/>
      <c r="CK356" s="754"/>
      <c r="CL356" s="754"/>
      <c r="CM356" s="524"/>
      <c r="CN356" s="754"/>
      <c r="CO356" s="754"/>
      <c r="CP356" s="754"/>
      <c r="CQ356" s="754"/>
      <c r="CR356" s="524"/>
      <c r="CS356" s="523"/>
      <c r="CT356" s="523"/>
      <c r="CU356" s="523"/>
      <c r="CV356" s="523"/>
      <c r="CW356" s="524"/>
      <c r="CX356" s="523"/>
      <c r="CY356" s="523"/>
      <c r="CZ356" s="523"/>
      <c r="DA356" s="523"/>
      <c r="DB356" s="524"/>
      <c r="DC356" s="523"/>
      <c r="DD356" s="523"/>
      <c r="DE356" s="523"/>
      <c r="DF356" s="523"/>
      <c r="DG356" s="524"/>
      <c r="DH356" s="523">
        <f>DH342</f>
        <v>283</v>
      </c>
      <c r="DI356" s="523">
        <v>253</v>
      </c>
      <c r="DJ356" s="523">
        <v>256</v>
      </c>
      <c r="DK356" s="523">
        <v>309</v>
      </c>
      <c r="DL356" s="755"/>
      <c r="DM356" s="523">
        <f>DM357*DM12</f>
        <v>280.7</v>
      </c>
      <c r="DN356" s="523">
        <f>DN357*DN12</f>
        <v>291.2</v>
      </c>
      <c r="DO356" s="523">
        <f>DO357*DO12</f>
        <v>280</v>
      </c>
      <c r="DP356" s="523">
        <f>DP357*DP12</f>
        <v>289.79999999999995</v>
      </c>
      <c r="DQ356" s="757"/>
      <c r="DR356" s="523"/>
      <c r="DS356" s="523"/>
      <c r="DT356" s="523"/>
      <c r="DU356" s="523"/>
      <c r="DV356" s="757"/>
      <c r="DW356" s="523"/>
      <c r="DX356" s="523"/>
      <c r="DY356" s="523"/>
      <c r="DZ356" s="523"/>
      <c r="EA356" s="757"/>
      <c r="EB356" s="523"/>
      <c r="EC356" s="523"/>
      <c r="ED356" s="523"/>
      <c r="EE356" s="523"/>
      <c r="EF356" s="757"/>
      <c r="EG356" s="523"/>
      <c r="EH356" s="523"/>
      <c r="EI356" s="523"/>
      <c r="EJ356" s="523"/>
      <c r="EK356" s="757"/>
      <c r="EL356" s="523"/>
      <c r="EM356" s="523"/>
      <c r="EN356" s="523"/>
      <c r="EO356" s="523"/>
      <c r="EP356" s="757"/>
      <c r="EQ356" s="523"/>
      <c r="ER356" s="523"/>
      <c r="ES356" s="523"/>
      <c r="ET356" s="523"/>
      <c r="EU356" s="757"/>
      <c r="EV356" s="523"/>
      <c r="EW356" s="523"/>
      <c r="EX356" s="523"/>
      <c r="EY356" s="523"/>
      <c r="EZ356" s="757"/>
      <c r="FA356" s="523"/>
      <c r="FB356" s="523"/>
      <c r="FC356" s="523"/>
      <c r="FD356" s="523"/>
      <c r="FE356" s="757"/>
      <c r="FF356" s="523"/>
      <c r="FG356" s="523"/>
      <c r="FH356" s="523"/>
      <c r="FI356" s="523"/>
      <c r="FJ356" s="757"/>
      <c r="FK356" s="757"/>
      <c r="FL356" s="757"/>
      <c r="FM356" s="757"/>
      <c r="FN356" s="757"/>
      <c r="FO356" s="757"/>
      <c r="FP356" s="757"/>
      <c r="FQ356" s="757"/>
      <c r="FR356" s="757"/>
      <c r="FS356" s="757"/>
      <c r="FT356" s="757"/>
      <c r="FU356" s="757"/>
      <c r="FV356" s="757"/>
      <c r="FW356" s="757"/>
      <c r="FX356" s="757"/>
      <c r="FY356" s="757"/>
      <c r="FZ356" s="757"/>
      <c r="GA356" s="757"/>
      <c r="GB356" s="757"/>
      <c r="GC356" s="757"/>
      <c r="GD356" s="757"/>
      <c r="GE356" s="757"/>
      <c r="GF356" s="757"/>
      <c r="GG356" s="757"/>
      <c r="GH356" s="757"/>
      <c r="GI356" s="757"/>
      <c r="GJ356" s="757"/>
      <c r="GK356" s="757"/>
      <c r="GL356" s="757"/>
      <c r="GM356" s="757"/>
      <c r="GN356" s="757"/>
      <c r="GO356" s="757"/>
      <c r="GP356" s="757"/>
      <c r="GQ356" s="757"/>
      <c r="GR356" s="757"/>
      <c r="GS356" s="757"/>
      <c r="GT356" s="757"/>
      <c r="GU356" s="757"/>
      <c r="GV356" s="757"/>
      <c r="GW356" s="757"/>
      <c r="GX356" s="757"/>
      <c r="GY356" s="757"/>
      <c r="GZ356" s="757"/>
      <c r="HA356" s="757"/>
      <c r="HB356" s="757"/>
      <c r="HC356" s="757"/>
      <c r="HD356" s="757"/>
      <c r="HE356" s="757"/>
      <c r="HF356" s="757"/>
      <c r="HG356" s="757"/>
      <c r="HH356" s="757"/>
      <c r="HI356" s="757"/>
      <c r="HJ356" s="757"/>
      <c r="HK356" s="757"/>
      <c r="HL356" s="757"/>
      <c r="HM356" s="757"/>
      <c r="HN356" s="757"/>
      <c r="HO356" s="757"/>
      <c r="HQ356" s="509"/>
      <c r="HY356" s="509"/>
      <c r="HZ356" s="509"/>
      <c r="IA356" s="509"/>
      <c r="IB356" s="509"/>
    </row>
    <row r="357" spans="1:236" s="563" customFormat="1" hidden="1" outlineLevel="2">
      <c r="A357" s="865" t="s">
        <v>547</v>
      </c>
      <c r="B357" s="752"/>
      <c r="C357" s="752"/>
      <c r="D357" s="752"/>
      <c r="E357" s="752"/>
      <c r="F357" s="752"/>
      <c r="G357" s="752"/>
      <c r="H357" s="752"/>
      <c r="I357" s="752"/>
      <c r="J357" s="752"/>
      <c r="K357" s="752"/>
      <c r="L357" s="752"/>
      <c r="M357" s="752"/>
      <c r="N357" s="752"/>
      <c r="O357" s="752"/>
      <c r="P357" s="752"/>
      <c r="Q357" s="752"/>
      <c r="R357" s="752"/>
      <c r="S357" s="752"/>
      <c r="T357" s="752"/>
      <c r="U357" s="752"/>
      <c r="V357" s="752"/>
      <c r="W357" s="752"/>
      <c r="X357" s="752"/>
      <c r="Y357" s="752"/>
      <c r="Z357" s="752"/>
      <c r="AA357" s="752"/>
      <c r="AB357" s="752"/>
      <c r="AC357" s="752"/>
      <c r="AD357" s="752"/>
      <c r="AE357" s="752"/>
      <c r="AF357" s="752"/>
      <c r="AG357" s="752"/>
      <c r="AH357" s="752"/>
      <c r="AI357" s="752"/>
      <c r="AJ357" s="752"/>
      <c r="AK357" s="752"/>
      <c r="AL357" s="752"/>
      <c r="AM357" s="752"/>
      <c r="AN357" s="752"/>
      <c r="AO357" s="753"/>
      <c r="AP357" s="752"/>
      <c r="AQ357" s="752"/>
      <c r="AR357" s="752"/>
      <c r="AS357" s="752"/>
      <c r="AT357" s="753"/>
      <c r="AU357" s="752"/>
      <c r="AV357" s="752"/>
      <c r="AW357" s="752"/>
      <c r="AX357" s="752"/>
      <c r="AY357" s="753"/>
      <c r="AZ357" s="752"/>
      <c r="BA357" s="752"/>
      <c r="BB357" s="752"/>
      <c r="BC357" s="752"/>
      <c r="BD357" s="753"/>
      <c r="BE357" s="752"/>
      <c r="BF357" s="752"/>
      <c r="BG357" s="752"/>
      <c r="BH357" s="752"/>
      <c r="BI357" s="753"/>
      <c r="BJ357" s="752"/>
      <c r="BK357" s="752"/>
      <c r="BL357" s="752"/>
      <c r="BM357" s="752"/>
      <c r="BN357" s="753"/>
      <c r="BO357" s="754"/>
      <c r="BP357" s="754"/>
      <c r="BQ357" s="754"/>
      <c r="BR357" s="754"/>
      <c r="BS357" s="755"/>
      <c r="BT357" s="754"/>
      <c r="BU357" s="754"/>
      <c r="BV357" s="754"/>
      <c r="BW357" s="754"/>
      <c r="BX357" s="524"/>
      <c r="BY357" s="754"/>
      <c r="BZ357" s="754"/>
      <c r="CA357" s="754"/>
      <c r="CB357" s="754"/>
      <c r="CC357" s="524"/>
      <c r="CD357" s="754"/>
      <c r="CE357" s="754"/>
      <c r="CF357" s="754"/>
      <c r="CG357" s="754"/>
      <c r="CH357" s="524"/>
      <c r="CI357" s="754"/>
      <c r="CJ357" s="754"/>
      <c r="CK357" s="754"/>
      <c r="CL357" s="754"/>
      <c r="CM357" s="524"/>
      <c r="CN357" s="754"/>
      <c r="CO357" s="754"/>
      <c r="CP357" s="754"/>
      <c r="CQ357" s="754"/>
      <c r="CR357" s="524"/>
      <c r="CS357" s="523"/>
      <c r="CT357" s="523"/>
      <c r="CU357" s="523"/>
      <c r="CV357" s="523"/>
      <c r="CW357" s="524"/>
      <c r="CX357" s="523"/>
      <c r="CY357" s="523"/>
      <c r="CZ357" s="523"/>
      <c r="DA357" s="523"/>
      <c r="DB357" s="524"/>
      <c r="DC357" s="523"/>
      <c r="DD357" s="523"/>
      <c r="DE357" s="523"/>
      <c r="DF357" s="523"/>
      <c r="DG357" s="524"/>
      <c r="DH357" s="518">
        <f>DH356/DH12</f>
        <v>0.42878787878787877</v>
      </c>
      <c r="DI357" s="518">
        <f>DI356/DI12</f>
        <v>0.33377308707124009</v>
      </c>
      <c r="DJ357" s="518">
        <f>DJ356/DJ12</f>
        <v>0.33117723156532991</v>
      </c>
      <c r="DK357" s="518">
        <f>DK356/DK12</f>
        <v>0.35435779816513763</v>
      </c>
      <c r="DL357" s="755"/>
      <c r="DM357" s="866">
        <v>0.35</v>
      </c>
      <c r="DN357" s="866">
        <v>0.35</v>
      </c>
      <c r="DO357" s="866">
        <v>0.35</v>
      </c>
      <c r="DP357" s="866">
        <v>0.35</v>
      </c>
      <c r="DQ357" s="757"/>
      <c r="DR357" s="866"/>
      <c r="DS357" s="866"/>
      <c r="DT357" s="866"/>
      <c r="DU357" s="866"/>
      <c r="DV357" s="757"/>
      <c r="DW357" s="866"/>
      <c r="DX357" s="866"/>
      <c r="DY357" s="866"/>
      <c r="DZ357" s="866"/>
      <c r="EA357" s="757"/>
      <c r="EB357" s="866"/>
      <c r="EC357" s="866"/>
      <c r="ED357" s="866"/>
      <c r="EE357" s="866"/>
      <c r="EF357" s="757"/>
      <c r="EG357" s="866"/>
      <c r="EH357" s="866"/>
      <c r="EI357" s="866"/>
      <c r="EJ357" s="866"/>
      <c r="EK357" s="757"/>
      <c r="EL357" s="866"/>
      <c r="EM357" s="866"/>
      <c r="EN357" s="866"/>
      <c r="EO357" s="866"/>
      <c r="EP357" s="757"/>
      <c r="EQ357" s="866"/>
      <c r="ER357" s="866"/>
      <c r="ES357" s="866"/>
      <c r="ET357" s="866"/>
      <c r="EU357" s="757"/>
      <c r="EV357" s="866"/>
      <c r="EW357" s="866"/>
      <c r="EX357" s="866"/>
      <c r="EY357" s="866"/>
      <c r="EZ357" s="757"/>
      <c r="FA357" s="866"/>
      <c r="FB357" s="866"/>
      <c r="FC357" s="866"/>
      <c r="FD357" s="866"/>
      <c r="FE357" s="757"/>
      <c r="FF357" s="866"/>
      <c r="FG357" s="866"/>
      <c r="FH357" s="866"/>
      <c r="FI357" s="866"/>
      <c r="FJ357" s="757"/>
      <c r="FK357" s="757"/>
      <c r="FL357" s="757"/>
      <c r="FM357" s="757"/>
      <c r="FN357" s="757"/>
      <c r="FO357" s="757"/>
      <c r="FP357" s="757"/>
      <c r="FQ357" s="757"/>
      <c r="FR357" s="757"/>
      <c r="FS357" s="757"/>
      <c r="FT357" s="757"/>
      <c r="FU357" s="757"/>
      <c r="FV357" s="757"/>
      <c r="FW357" s="757"/>
      <c r="FX357" s="757"/>
      <c r="FY357" s="757"/>
      <c r="FZ357" s="757"/>
      <c r="GA357" s="757"/>
      <c r="GB357" s="757"/>
      <c r="GC357" s="757"/>
      <c r="GD357" s="757"/>
      <c r="GE357" s="757"/>
      <c r="GF357" s="757"/>
      <c r="GG357" s="757"/>
      <c r="GH357" s="757"/>
      <c r="GI357" s="757"/>
      <c r="GJ357" s="757"/>
      <c r="GK357" s="757"/>
      <c r="GL357" s="757"/>
      <c r="GM357" s="757"/>
      <c r="GN357" s="757"/>
      <c r="GO357" s="757"/>
      <c r="GP357" s="757"/>
      <c r="GQ357" s="757"/>
      <c r="GR357" s="757"/>
      <c r="GS357" s="757"/>
      <c r="GT357" s="757"/>
      <c r="GU357" s="757"/>
      <c r="GV357" s="757"/>
      <c r="GW357" s="757"/>
      <c r="GX357" s="757"/>
      <c r="GY357" s="757"/>
      <c r="GZ357" s="757"/>
      <c r="HA357" s="757"/>
      <c r="HB357" s="757"/>
      <c r="HC357" s="757"/>
      <c r="HD357" s="757"/>
      <c r="HE357" s="757"/>
      <c r="HF357" s="757"/>
      <c r="HG357" s="757"/>
      <c r="HH357" s="757"/>
      <c r="HI357" s="757"/>
      <c r="HJ357" s="757"/>
      <c r="HK357" s="757"/>
      <c r="HL357" s="757"/>
      <c r="HM357" s="757"/>
      <c r="HN357" s="757"/>
      <c r="HO357" s="757"/>
      <c r="HQ357" s="509"/>
      <c r="HY357" s="509"/>
      <c r="HZ357" s="509"/>
      <c r="IA357" s="509"/>
      <c r="IB357" s="509"/>
    </row>
    <row r="358" spans="1:236" s="563" customFormat="1" hidden="1" outlineLevel="2">
      <c r="A358" s="509" t="s">
        <v>305</v>
      </c>
      <c r="B358" s="752"/>
      <c r="C358" s="752"/>
      <c r="D358" s="752"/>
      <c r="E358" s="752"/>
      <c r="F358" s="752"/>
      <c r="G358" s="752"/>
      <c r="H358" s="752"/>
      <c r="I358" s="752"/>
      <c r="J358" s="752"/>
      <c r="K358" s="752"/>
      <c r="L358" s="752"/>
      <c r="M358" s="752"/>
      <c r="N358" s="752"/>
      <c r="O358" s="752"/>
      <c r="P358" s="752"/>
      <c r="Q358" s="752"/>
      <c r="R358" s="752"/>
      <c r="S358" s="752"/>
      <c r="T358" s="752"/>
      <c r="U358" s="752"/>
      <c r="V358" s="752"/>
      <c r="W358" s="752"/>
      <c r="X358" s="752"/>
      <c r="Y358" s="752"/>
      <c r="Z358" s="752"/>
      <c r="AA358" s="752"/>
      <c r="AB358" s="752"/>
      <c r="AC358" s="752"/>
      <c r="AD358" s="752"/>
      <c r="AE358" s="752"/>
      <c r="AF358" s="752"/>
      <c r="AG358" s="752"/>
      <c r="AH358" s="752"/>
      <c r="AI358" s="752"/>
      <c r="AJ358" s="752"/>
      <c r="AK358" s="752"/>
      <c r="AL358" s="752"/>
      <c r="AM358" s="752"/>
      <c r="AN358" s="752"/>
      <c r="AO358" s="753"/>
      <c r="AP358" s="752"/>
      <c r="AQ358" s="752"/>
      <c r="AR358" s="752"/>
      <c r="AS358" s="752"/>
      <c r="AT358" s="753"/>
      <c r="AU358" s="752"/>
      <c r="AV358" s="752"/>
      <c r="AW358" s="752"/>
      <c r="AX358" s="752"/>
      <c r="AY358" s="753"/>
      <c r="AZ358" s="752"/>
      <c r="BA358" s="752"/>
      <c r="BB358" s="752"/>
      <c r="BC358" s="752"/>
      <c r="BD358" s="753"/>
      <c r="BE358" s="752"/>
      <c r="BF358" s="752"/>
      <c r="BG358" s="752"/>
      <c r="BH358" s="752"/>
      <c r="BI358" s="753"/>
      <c r="BJ358" s="752"/>
      <c r="BK358" s="752"/>
      <c r="BL358" s="752"/>
      <c r="BM358" s="752"/>
      <c r="BN358" s="753"/>
      <c r="BO358" s="754"/>
      <c r="BP358" s="754"/>
      <c r="BQ358" s="754"/>
      <c r="BR358" s="754"/>
      <c r="BS358" s="755"/>
      <c r="BT358" s="754"/>
      <c r="BU358" s="754"/>
      <c r="BV358" s="754"/>
      <c r="BW358" s="754"/>
      <c r="BX358" s="524"/>
      <c r="BY358" s="754"/>
      <c r="BZ358" s="754"/>
      <c r="CA358" s="754"/>
      <c r="CB358" s="754"/>
      <c r="CC358" s="524"/>
      <c r="CD358" s="754"/>
      <c r="CE358" s="754"/>
      <c r="CF358" s="754"/>
      <c r="CG358" s="754"/>
      <c r="CH358" s="524"/>
      <c r="CI358" s="754"/>
      <c r="CJ358" s="754"/>
      <c r="CK358" s="754"/>
      <c r="CL358" s="754"/>
      <c r="CM358" s="524"/>
      <c r="CN358" s="754"/>
      <c r="CO358" s="754"/>
      <c r="CP358" s="754"/>
      <c r="CQ358" s="754"/>
      <c r="CR358" s="524"/>
      <c r="CS358" s="523"/>
      <c r="CT358" s="523"/>
      <c r="CU358" s="523"/>
      <c r="CV358" s="523"/>
      <c r="CW358" s="524"/>
      <c r="CX358" s="523"/>
      <c r="CY358" s="523"/>
      <c r="CZ358" s="523"/>
      <c r="DA358" s="523"/>
      <c r="DB358" s="524"/>
      <c r="DC358" s="523"/>
      <c r="DD358" s="523"/>
      <c r="DE358" s="523"/>
      <c r="DF358" s="523"/>
      <c r="DG358" s="524"/>
      <c r="DH358" s="650">
        <v>42</v>
      </c>
      <c r="DI358" s="650">
        <v>43</v>
      </c>
      <c r="DJ358" s="650">
        <v>60</v>
      </c>
      <c r="DK358" s="650">
        <v>56</v>
      </c>
      <c r="DL358" s="755"/>
      <c r="DM358" s="650">
        <f>DM356*DM359</f>
        <v>56.14</v>
      </c>
      <c r="DN358" s="650">
        <f>DN356*DN359</f>
        <v>87.36</v>
      </c>
      <c r="DO358" s="650">
        <f>DO356*DO359</f>
        <v>84</v>
      </c>
      <c r="DP358" s="650">
        <f>DP356*DP359</f>
        <v>86.939999999999984</v>
      </c>
      <c r="DQ358" s="757"/>
      <c r="DR358" s="650"/>
      <c r="DS358" s="650"/>
      <c r="DT358" s="650"/>
      <c r="DU358" s="650"/>
      <c r="DV358" s="757"/>
      <c r="DW358" s="650"/>
      <c r="DX358" s="650"/>
      <c r="DY358" s="650"/>
      <c r="DZ358" s="650"/>
      <c r="EA358" s="757"/>
      <c r="EB358" s="650"/>
      <c r="EC358" s="650"/>
      <c r="ED358" s="650"/>
      <c r="EE358" s="650"/>
      <c r="EF358" s="757"/>
      <c r="EG358" s="650"/>
      <c r="EH358" s="650"/>
      <c r="EI358" s="650"/>
      <c r="EJ358" s="650"/>
      <c r="EK358" s="757"/>
      <c r="EL358" s="650"/>
      <c r="EM358" s="650"/>
      <c r="EN358" s="650"/>
      <c r="EO358" s="650"/>
      <c r="EP358" s="757"/>
      <c r="EQ358" s="650"/>
      <c r="ER358" s="650"/>
      <c r="ES358" s="650"/>
      <c r="ET358" s="650"/>
      <c r="EU358" s="757"/>
      <c r="EV358" s="650"/>
      <c r="EW358" s="650"/>
      <c r="EX358" s="650"/>
      <c r="EY358" s="650"/>
      <c r="EZ358" s="757"/>
      <c r="FA358" s="650"/>
      <c r="FB358" s="650"/>
      <c r="FC358" s="650"/>
      <c r="FD358" s="650"/>
      <c r="FE358" s="757"/>
      <c r="FF358" s="650"/>
      <c r="FG358" s="650"/>
      <c r="FH358" s="650"/>
      <c r="FI358" s="650"/>
      <c r="FJ358" s="757"/>
      <c r="FK358" s="757"/>
      <c r="FL358" s="757"/>
      <c r="FM358" s="757"/>
      <c r="FN358" s="757"/>
      <c r="FO358" s="757"/>
      <c r="FP358" s="757"/>
      <c r="FQ358" s="757"/>
      <c r="FR358" s="757"/>
      <c r="FS358" s="757"/>
      <c r="FT358" s="757"/>
      <c r="FU358" s="757"/>
      <c r="FV358" s="757"/>
      <c r="FW358" s="757"/>
      <c r="FX358" s="757"/>
      <c r="FY358" s="757"/>
      <c r="FZ358" s="757"/>
      <c r="GA358" s="757"/>
      <c r="GB358" s="757"/>
      <c r="GC358" s="757"/>
      <c r="GD358" s="757"/>
      <c r="GE358" s="757"/>
      <c r="GF358" s="757"/>
      <c r="GG358" s="757"/>
      <c r="GH358" s="757"/>
      <c r="GI358" s="757"/>
      <c r="GJ358" s="757"/>
      <c r="GK358" s="757"/>
      <c r="GL358" s="757"/>
      <c r="GM358" s="757"/>
      <c r="GN358" s="757"/>
      <c r="GO358" s="757"/>
      <c r="GP358" s="757"/>
      <c r="GQ358" s="757"/>
      <c r="GR358" s="757"/>
      <c r="GS358" s="757"/>
      <c r="GT358" s="757"/>
      <c r="GU358" s="757"/>
      <c r="GV358" s="757"/>
      <c r="GW358" s="757"/>
      <c r="GX358" s="757"/>
      <c r="GY358" s="757"/>
      <c r="GZ358" s="757"/>
      <c r="HA358" s="757"/>
      <c r="HB358" s="757"/>
      <c r="HC358" s="757"/>
      <c r="HD358" s="757"/>
      <c r="HE358" s="757"/>
      <c r="HF358" s="757"/>
      <c r="HG358" s="757"/>
      <c r="HH358" s="757"/>
      <c r="HI358" s="757"/>
      <c r="HJ358" s="757"/>
      <c r="HK358" s="757"/>
      <c r="HL358" s="757"/>
      <c r="HM358" s="757"/>
      <c r="HN358" s="757"/>
      <c r="HO358" s="757"/>
      <c r="HQ358" s="509"/>
      <c r="HY358" s="509"/>
      <c r="HZ358" s="509"/>
      <c r="IA358" s="509"/>
      <c r="IB358" s="509"/>
    </row>
    <row r="359" spans="1:236" s="563" customFormat="1" hidden="1" outlineLevel="2">
      <c r="A359" s="865" t="s">
        <v>548</v>
      </c>
      <c r="B359" s="752"/>
      <c r="C359" s="752"/>
      <c r="D359" s="752"/>
      <c r="E359" s="752"/>
      <c r="F359" s="752"/>
      <c r="G359" s="752"/>
      <c r="H359" s="752"/>
      <c r="I359" s="752"/>
      <c r="J359" s="752"/>
      <c r="K359" s="752"/>
      <c r="L359" s="752"/>
      <c r="M359" s="752"/>
      <c r="N359" s="752"/>
      <c r="O359" s="752"/>
      <c r="P359" s="752"/>
      <c r="Q359" s="752"/>
      <c r="R359" s="752"/>
      <c r="S359" s="752"/>
      <c r="T359" s="752"/>
      <c r="U359" s="752"/>
      <c r="V359" s="752"/>
      <c r="W359" s="752"/>
      <c r="X359" s="752"/>
      <c r="Y359" s="752"/>
      <c r="Z359" s="752"/>
      <c r="AA359" s="752"/>
      <c r="AB359" s="752"/>
      <c r="AC359" s="752"/>
      <c r="AD359" s="752"/>
      <c r="AE359" s="752"/>
      <c r="AF359" s="752"/>
      <c r="AG359" s="752"/>
      <c r="AH359" s="752"/>
      <c r="AI359" s="752"/>
      <c r="AJ359" s="752"/>
      <c r="AK359" s="752"/>
      <c r="AL359" s="752"/>
      <c r="AM359" s="752"/>
      <c r="AN359" s="752"/>
      <c r="AO359" s="753"/>
      <c r="AP359" s="752"/>
      <c r="AQ359" s="752"/>
      <c r="AR359" s="752"/>
      <c r="AS359" s="752"/>
      <c r="AT359" s="753"/>
      <c r="AU359" s="752"/>
      <c r="AV359" s="752"/>
      <c r="AW359" s="752"/>
      <c r="AX359" s="752"/>
      <c r="AY359" s="753"/>
      <c r="AZ359" s="752"/>
      <c r="BA359" s="752"/>
      <c r="BB359" s="752"/>
      <c r="BC359" s="752"/>
      <c r="BD359" s="753"/>
      <c r="BE359" s="752"/>
      <c r="BF359" s="752"/>
      <c r="BG359" s="752"/>
      <c r="BH359" s="752"/>
      <c r="BI359" s="753"/>
      <c r="BJ359" s="752"/>
      <c r="BK359" s="752"/>
      <c r="BL359" s="752"/>
      <c r="BM359" s="752"/>
      <c r="BN359" s="753"/>
      <c r="BO359" s="754"/>
      <c r="BP359" s="754"/>
      <c r="BQ359" s="754"/>
      <c r="BR359" s="754"/>
      <c r="BS359" s="755"/>
      <c r="BT359" s="754"/>
      <c r="BU359" s="754"/>
      <c r="BV359" s="754"/>
      <c r="BW359" s="754"/>
      <c r="BX359" s="524"/>
      <c r="BY359" s="754"/>
      <c r="BZ359" s="754"/>
      <c r="CA359" s="754"/>
      <c r="CB359" s="754"/>
      <c r="CC359" s="524"/>
      <c r="CD359" s="754"/>
      <c r="CE359" s="754"/>
      <c r="CF359" s="754"/>
      <c r="CG359" s="754"/>
      <c r="CH359" s="524"/>
      <c r="CI359" s="754"/>
      <c r="CJ359" s="754"/>
      <c r="CK359" s="754"/>
      <c r="CL359" s="754"/>
      <c r="CM359" s="524"/>
      <c r="CN359" s="754"/>
      <c r="CO359" s="754"/>
      <c r="CP359" s="754"/>
      <c r="CQ359" s="754"/>
      <c r="CR359" s="524"/>
      <c r="CS359" s="523"/>
      <c r="CT359" s="523"/>
      <c r="CU359" s="523"/>
      <c r="CV359" s="523"/>
      <c r="CW359" s="524"/>
      <c r="CX359" s="523"/>
      <c r="CY359" s="523"/>
      <c r="CZ359" s="523"/>
      <c r="DA359" s="523"/>
      <c r="DB359" s="524"/>
      <c r="DC359" s="523"/>
      <c r="DD359" s="523"/>
      <c r="DE359" s="523"/>
      <c r="DF359" s="523"/>
      <c r="DG359" s="524"/>
      <c r="DH359" s="518">
        <f>DH358/DH356</f>
        <v>0.14840989399293286</v>
      </c>
      <c r="DI359" s="518">
        <f>DI358/DI356</f>
        <v>0.16996047430830039</v>
      </c>
      <c r="DJ359" s="518">
        <f>DJ358/DJ356</f>
        <v>0.234375</v>
      </c>
      <c r="DK359" s="518">
        <f>DK358/DK356</f>
        <v>0.18122977346278318</v>
      </c>
      <c r="DL359" s="755"/>
      <c r="DM359" s="866">
        <v>0.2</v>
      </c>
      <c r="DN359" s="866">
        <v>0.3</v>
      </c>
      <c r="DO359" s="866">
        <v>0.3</v>
      </c>
      <c r="DP359" s="866">
        <v>0.3</v>
      </c>
      <c r="DQ359" s="757"/>
      <c r="DR359" s="866"/>
      <c r="DS359" s="866"/>
      <c r="DT359" s="866"/>
      <c r="DU359" s="866"/>
      <c r="DV359" s="757"/>
      <c r="DW359" s="866"/>
      <c r="DX359" s="866"/>
      <c r="DY359" s="866"/>
      <c r="DZ359" s="866"/>
      <c r="EA359" s="757"/>
      <c r="EB359" s="866"/>
      <c r="EC359" s="866"/>
      <c r="ED359" s="866"/>
      <c r="EE359" s="866"/>
      <c r="EF359" s="757"/>
      <c r="EG359" s="866"/>
      <c r="EH359" s="866"/>
      <c r="EI359" s="866"/>
      <c r="EJ359" s="866"/>
      <c r="EK359" s="757"/>
      <c r="EL359" s="866"/>
      <c r="EM359" s="866"/>
      <c r="EN359" s="866"/>
      <c r="EO359" s="866"/>
      <c r="EP359" s="757"/>
      <c r="EQ359" s="866"/>
      <c r="ER359" s="866"/>
      <c r="ES359" s="866"/>
      <c r="ET359" s="866"/>
      <c r="EU359" s="757"/>
      <c r="EV359" s="866"/>
      <c r="EW359" s="866"/>
      <c r="EX359" s="866"/>
      <c r="EY359" s="866"/>
      <c r="EZ359" s="757"/>
      <c r="FA359" s="866"/>
      <c r="FB359" s="866"/>
      <c r="FC359" s="866"/>
      <c r="FD359" s="866"/>
      <c r="FE359" s="757"/>
      <c r="FF359" s="866"/>
      <c r="FG359" s="866"/>
      <c r="FH359" s="866"/>
      <c r="FI359" s="866"/>
      <c r="FJ359" s="757"/>
      <c r="FK359" s="757"/>
      <c r="FL359" s="757"/>
      <c r="FM359" s="757"/>
      <c r="FN359" s="757"/>
      <c r="FO359" s="757"/>
      <c r="FP359" s="757"/>
      <c r="FQ359" s="757"/>
      <c r="FR359" s="757"/>
      <c r="FS359" s="757"/>
      <c r="FT359" s="757"/>
      <c r="FU359" s="757"/>
      <c r="FV359" s="757"/>
      <c r="FW359" s="757"/>
      <c r="FX359" s="757"/>
      <c r="FY359" s="757"/>
      <c r="FZ359" s="757"/>
      <c r="GA359" s="757"/>
      <c r="GB359" s="757"/>
      <c r="GC359" s="757"/>
      <c r="GD359" s="757"/>
      <c r="GE359" s="757"/>
      <c r="GF359" s="757"/>
      <c r="GG359" s="757"/>
      <c r="GH359" s="757"/>
      <c r="GI359" s="757"/>
      <c r="GJ359" s="757"/>
      <c r="GK359" s="757"/>
      <c r="GL359" s="757"/>
      <c r="GM359" s="757"/>
      <c r="GN359" s="757"/>
      <c r="GO359" s="757"/>
      <c r="GP359" s="757"/>
      <c r="GQ359" s="757"/>
      <c r="GR359" s="757"/>
      <c r="GS359" s="757"/>
      <c r="GT359" s="757"/>
      <c r="GU359" s="757"/>
      <c r="GV359" s="757"/>
      <c r="GW359" s="757"/>
      <c r="GX359" s="757"/>
      <c r="GY359" s="757"/>
      <c r="GZ359" s="757"/>
      <c r="HA359" s="757"/>
      <c r="HB359" s="757"/>
      <c r="HC359" s="757"/>
      <c r="HD359" s="757"/>
      <c r="HE359" s="757"/>
      <c r="HF359" s="757"/>
      <c r="HG359" s="757"/>
      <c r="HH359" s="757"/>
      <c r="HI359" s="757"/>
      <c r="HJ359" s="757"/>
      <c r="HK359" s="757"/>
      <c r="HL359" s="757"/>
      <c r="HM359" s="757"/>
      <c r="HN359" s="757"/>
      <c r="HO359" s="757"/>
      <c r="HQ359" s="509"/>
      <c r="HY359" s="509"/>
      <c r="HZ359" s="509"/>
      <c r="IA359" s="509"/>
      <c r="IB359" s="509"/>
    </row>
    <row r="360" spans="1:236" s="563" customFormat="1" hidden="1" outlineLevel="2">
      <c r="A360" s="509" t="s">
        <v>214</v>
      </c>
      <c r="B360" s="752"/>
      <c r="C360" s="752"/>
      <c r="D360" s="752"/>
      <c r="E360" s="752"/>
      <c r="F360" s="752"/>
      <c r="G360" s="752"/>
      <c r="H360" s="752"/>
      <c r="I360" s="752"/>
      <c r="J360" s="752"/>
      <c r="K360" s="752"/>
      <c r="L360" s="752"/>
      <c r="M360" s="752"/>
      <c r="N360" s="752"/>
      <c r="O360" s="752"/>
      <c r="P360" s="752"/>
      <c r="Q360" s="752"/>
      <c r="R360" s="752"/>
      <c r="S360" s="752"/>
      <c r="T360" s="752"/>
      <c r="U360" s="752"/>
      <c r="V360" s="752"/>
      <c r="W360" s="752"/>
      <c r="X360" s="752"/>
      <c r="Y360" s="752"/>
      <c r="Z360" s="752"/>
      <c r="AA360" s="752"/>
      <c r="AB360" s="752"/>
      <c r="AC360" s="752"/>
      <c r="AD360" s="752"/>
      <c r="AE360" s="752"/>
      <c r="AF360" s="752"/>
      <c r="AG360" s="752"/>
      <c r="AH360" s="752"/>
      <c r="AI360" s="752"/>
      <c r="AJ360" s="752"/>
      <c r="AK360" s="752"/>
      <c r="AL360" s="752"/>
      <c r="AM360" s="752"/>
      <c r="AN360" s="752"/>
      <c r="AO360" s="753"/>
      <c r="AP360" s="752"/>
      <c r="AQ360" s="752"/>
      <c r="AR360" s="752"/>
      <c r="AS360" s="752"/>
      <c r="AT360" s="753"/>
      <c r="AU360" s="752"/>
      <c r="AV360" s="752"/>
      <c r="AW360" s="752"/>
      <c r="AX360" s="752"/>
      <c r="AY360" s="753"/>
      <c r="AZ360" s="752"/>
      <c r="BA360" s="752"/>
      <c r="BB360" s="752"/>
      <c r="BC360" s="752"/>
      <c r="BD360" s="753"/>
      <c r="BE360" s="752"/>
      <c r="BF360" s="752"/>
      <c r="BG360" s="752"/>
      <c r="BH360" s="752"/>
      <c r="BI360" s="753"/>
      <c r="BJ360" s="752"/>
      <c r="BK360" s="752"/>
      <c r="BL360" s="752"/>
      <c r="BM360" s="752"/>
      <c r="BN360" s="753"/>
      <c r="BO360" s="754"/>
      <c r="BP360" s="754"/>
      <c r="BQ360" s="754"/>
      <c r="BR360" s="754"/>
      <c r="BS360" s="755"/>
      <c r="BT360" s="754"/>
      <c r="BU360" s="754"/>
      <c r="BV360" s="754"/>
      <c r="BW360" s="754"/>
      <c r="BX360" s="524"/>
      <c r="BY360" s="754"/>
      <c r="BZ360" s="754"/>
      <c r="CA360" s="754"/>
      <c r="CB360" s="754"/>
      <c r="CC360" s="524"/>
      <c r="CD360" s="754"/>
      <c r="CE360" s="754"/>
      <c r="CF360" s="754"/>
      <c r="CG360" s="754"/>
      <c r="CH360" s="524"/>
      <c r="CI360" s="754"/>
      <c r="CJ360" s="754"/>
      <c r="CK360" s="754"/>
      <c r="CL360" s="754"/>
      <c r="CM360" s="524"/>
      <c r="CN360" s="754"/>
      <c r="CO360" s="754"/>
      <c r="CP360" s="754"/>
      <c r="CQ360" s="754"/>
      <c r="CR360" s="524"/>
      <c r="CS360" s="523"/>
      <c r="CT360" s="523"/>
      <c r="CU360" s="523"/>
      <c r="CV360" s="523"/>
      <c r="CW360" s="524"/>
      <c r="CX360" s="523"/>
      <c r="CY360" s="523"/>
      <c r="CZ360" s="523"/>
      <c r="DA360" s="523"/>
      <c r="DB360" s="524"/>
      <c r="DC360" s="523"/>
      <c r="DD360" s="523"/>
      <c r="DE360" s="523"/>
      <c r="DF360" s="523"/>
      <c r="DG360" s="524"/>
      <c r="DH360" s="523">
        <v>139</v>
      </c>
      <c r="DI360" s="523">
        <v>119</v>
      </c>
      <c r="DJ360" s="523">
        <v>135</v>
      </c>
      <c r="DK360" s="523">
        <v>131</v>
      </c>
      <c r="DL360" s="755"/>
      <c r="DM360" s="609">
        <v>130</v>
      </c>
      <c r="DN360" s="609">
        <v>130</v>
      </c>
      <c r="DO360" s="609">
        <v>130</v>
      </c>
      <c r="DP360" s="609">
        <v>130</v>
      </c>
      <c r="DQ360" s="757"/>
      <c r="DR360" s="609"/>
      <c r="DS360" s="609"/>
      <c r="DT360" s="609"/>
      <c r="DU360" s="609"/>
      <c r="DV360" s="757"/>
      <c r="DW360" s="609"/>
      <c r="DX360" s="609"/>
      <c r="DY360" s="609"/>
      <c r="DZ360" s="609"/>
      <c r="EA360" s="757"/>
      <c r="EB360" s="609"/>
      <c r="EC360" s="609"/>
      <c r="ED360" s="609"/>
      <c r="EE360" s="609"/>
      <c r="EF360" s="757"/>
      <c r="EG360" s="609"/>
      <c r="EH360" s="609"/>
      <c r="EI360" s="609"/>
      <c r="EJ360" s="609"/>
      <c r="EK360" s="757"/>
      <c r="EL360" s="609"/>
      <c r="EM360" s="609"/>
      <c r="EN360" s="609"/>
      <c r="EO360" s="609"/>
      <c r="EP360" s="757"/>
      <c r="EQ360" s="609"/>
      <c r="ER360" s="609"/>
      <c r="ES360" s="609"/>
      <c r="ET360" s="609"/>
      <c r="EU360" s="757"/>
      <c r="EV360" s="609"/>
      <c r="EW360" s="609"/>
      <c r="EX360" s="609"/>
      <c r="EY360" s="609"/>
      <c r="EZ360" s="757"/>
      <c r="FA360" s="609"/>
      <c r="FB360" s="609"/>
      <c r="FC360" s="609"/>
      <c r="FD360" s="609"/>
      <c r="FE360" s="757"/>
      <c r="FF360" s="609"/>
      <c r="FG360" s="609"/>
      <c r="FH360" s="609"/>
      <c r="FI360" s="609"/>
      <c r="FJ360" s="757"/>
      <c r="FK360" s="757"/>
      <c r="FL360" s="757"/>
      <c r="FM360" s="757"/>
      <c r="FN360" s="757"/>
      <c r="FO360" s="757"/>
      <c r="FP360" s="757"/>
      <c r="FQ360" s="757"/>
      <c r="FR360" s="757"/>
      <c r="FS360" s="757"/>
      <c r="FT360" s="757"/>
      <c r="FU360" s="757"/>
      <c r="FV360" s="757"/>
      <c r="FW360" s="757"/>
      <c r="FX360" s="757"/>
      <c r="FY360" s="757"/>
      <c r="FZ360" s="757"/>
      <c r="GA360" s="757"/>
      <c r="GB360" s="757"/>
      <c r="GC360" s="757"/>
      <c r="GD360" s="757"/>
      <c r="GE360" s="757"/>
      <c r="GF360" s="757"/>
      <c r="GG360" s="757"/>
      <c r="GH360" s="757"/>
      <c r="GI360" s="757"/>
      <c r="GJ360" s="757"/>
      <c r="GK360" s="757"/>
      <c r="GL360" s="757"/>
      <c r="GM360" s="757"/>
      <c r="GN360" s="757"/>
      <c r="GO360" s="757"/>
      <c r="GP360" s="757"/>
      <c r="GQ360" s="757"/>
      <c r="GR360" s="757"/>
      <c r="GS360" s="757"/>
      <c r="GT360" s="757"/>
      <c r="GU360" s="757"/>
      <c r="GV360" s="757"/>
      <c r="GW360" s="757"/>
      <c r="GX360" s="757"/>
      <c r="GY360" s="757"/>
      <c r="GZ360" s="757"/>
      <c r="HA360" s="757"/>
      <c r="HB360" s="757"/>
      <c r="HC360" s="757"/>
      <c r="HD360" s="757"/>
      <c r="HE360" s="757"/>
      <c r="HF360" s="757"/>
      <c r="HG360" s="757"/>
      <c r="HH360" s="757"/>
      <c r="HI360" s="757"/>
      <c r="HJ360" s="757"/>
      <c r="HK360" s="757"/>
      <c r="HL360" s="757"/>
      <c r="HM360" s="757"/>
      <c r="HN360" s="757"/>
      <c r="HO360" s="757"/>
      <c r="HQ360" s="509"/>
      <c r="HY360" s="509"/>
      <c r="HZ360" s="509"/>
      <c r="IA360" s="509"/>
      <c r="IB360" s="509"/>
    </row>
    <row r="361" spans="1:236" s="563" customFormat="1" hidden="1" outlineLevel="2">
      <c r="A361" s="509" t="s">
        <v>215</v>
      </c>
      <c r="B361" s="752"/>
      <c r="C361" s="752"/>
      <c r="D361" s="752"/>
      <c r="E361" s="752"/>
      <c r="F361" s="752"/>
      <c r="G361" s="752"/>
      <c r="H361" s="752"/>
      <c r="I361" s="752"/>
      <c r="J361" s="752"/>
      <c r="K361" s="752"/>
      <c r="L361" s="752"/>
      <c r="M361" s="752"/>
      <c r="N361" s="752"/>
      <c r="O361" s="752"/>
      <c r="P361" s="752"/>
      <c r="Q361" s="752"/>
      <c r="R361" s="752"/>
      <c r="S361" s="752"/>
      <c r="T361" s="752"/>
      <c r="U361" s="752"/>
      <c r="V361" s="752"/>
      <c r="W361" s="752"/>
      <c r="X361" s="752"/>
      <c r="Y361" s="752"/>
      <c r="Z361" s="752"/>
      <c r="AA361" s="752"/>
      <c r="AB361" s="752"/>
      <c r="AC361" s="752"/>
      <c r="AD361" s="752"/>
      <c r="AE361" s="752"/>
      <c r="AF361" s="752"/>
      <c r="AG361" s="752"/>
      <c r="AH361" s="752"/>
      <c r="AI361" s="752"/>
      <c r="AJ361" s="752"/>
      <c r="AK361" s="752"/>
      <c r="AL361" s="752"/>
      <c r="AM361" s="752"/>
      <c r="AN361" s="752"/>
      <c r="AO361" s="753"/>
      <c r="AP361" s="752"/>
      <c r="AQ361" s="752"/>
      <c r="AR361" s="752"/>
      <c r="AS361" s="752"/>
      <c r="AT361" s="753"/>
      <c r="AU361" s="752"/>
      <c r="AV361" s="752"/>
      <c r="AW361" s="752"/>
      <c r="AX361" s="752"/>
      <c r="AY361" s="753"/>
      <c r="AZ361" s="752"/>
      <c r="BA361" s="752"/>
      <c r="BB361" s="752"/>
      <c r="BC361" s="752"/>
      <c r="BD361" s="753"/>
      <c r="BE361" s="752"/>
      <c r="BF361" s="752"/>
      <c r="BG361" s="752"/>
      <c r="BH361" s="752"/>
      <c r="BI361" s="753"/>
      <c r="BJ361" s="752"/>
      <c r="BK361" s="752"/>
      <c r="BL361" s="752"/>
      <c r="BM361" s="752"/>
      <c r="BN361" s="753"/>
      <c r="BO361" s="754"/>
      <c r="BP361" s="754"/>
      <c r="BQ361" s="754"/>
      <c r="BR361" s="754"/>
      <c r="BS361" s="755"/>
      <c r="BT361" s="754"/>
      <c r="BU361" s="754"/>
      <c r="BV361" s="754"/>
      <c r="BW361" s="754"/>
      <c r="BX361" s="524"/>
      <c r="BY361" s="754"/>
      <c r="BZ361" s="754"/>
      <c r="CA361" s="754"/>
      <c r="CB361" s="754"/>
      <c r="CC361" s="524"/>
      <c r="CD361" s="754"/>
      <c r="CE361" s="754"/>
      <c r="CF361" s="754"/>
      <c r="CG361" s="754"/>
      <c r="CH361" s="524"/>
      <c r="CI361" s="754"/>
      <c r="CJ361" s="754"/>
      <c r="CK361" s="754"/>
      <c r="CL361" s="754"/>
      <c r="CM361" s="524"/>
      <c r="CN361" s="754"/>
      <c r="CO361" s="754"/>
      <c r="CP361" s="754"/>
      <c r="CQ361" s="754"/>
      <c r="CR361" s="524"/>
      <c r="CS361" s="523"/>
      <c r="CT361" s="523"/>
      <c r="CU361" s="523"/>
      <c r="CV361" s="523"/>
      <c r="CW361" s="524"/>
      <c r="CX361" s="523"/>
      <c r="CY361" s="523"/>
      <c r="CZ361" s="523"/>
      <c r="DA361" s="523"/>
      <c r="DB361" s="524"/>
      <c r="DC361" s="523"/>
      <c r="DD361" s="523"/>
      <c r="DE361" s="523"/>
      <c r="DF361" s="523"/>
      <c r="DG361" s="524"/>
      <c r="DH361" s="523">
        <v>35</v>
      </c>
      <c r="DI361" s="523">
        <v>25</v>
      </c>
      <c r="DJ361" s="523">
        <v>26</v>
      </c>
      <c r="DK361" s="523">
        <v>30</v>
      </c>
      <c r="DL361" s="755"/>
      <c r="DM361" s="609">
        <v>30</v>
      </c>
      <c r="DN361" s="609">
        <v>30</v>
      </c>
      <c r="DO361" s="609">
        <v>30</v>
      </c>
      <c r="DP361" s="609">
        <v>30</v>
      </c>
      <c r="DQ361" s="757"/>
      <c r="DR361" s="609"/>
      <c r="DS361" s="609"/>
      <c r="DT361" s="609"/>
      <c r="DU361" s="609"/>
      <c r="DV361" s="757"/>
      <c r="DW361" s="609"/>
      <c r="DX361" s="609"/>
      <c r="DY361" s="609"/>
      <c r="DZ361" s="609"/>
      <c r="EA361" s="757"/>
      <c r="EB361" s="609"/>
      <c r="EC361" s="609"/>
      <c r="ED361" s="609"/>
      <c r="EE361" s="609"/>
      <c r="EF361" s="757"/>
      <c r="EG361" s="609"/>
      <c r="EH361" s="609"/>
      <c r="EI361" s="609"/>
      <c r="EJ361" s="609"/>
      <c r="EK361" s="757"/>
      <c r="EL361" s="609"/>
      <c r="EM361" s="609"/>
      <c r="EN361" s="609"/>
      <c r="EO361" s="609"/>
      <c r="EP361" s="757"/>
      <c r="EQ361" s="609"/>
      <c r="ER361" s="609"/>
      <c r="ES361" s="609"/>
      <c r="ET361" s="609"/>
      <c r="EU361" s="757"/>
      <c r="EV361" s="609"/>
      <c r="EW361" s="609"/>
      <c r="EX361" s="609"/>
      <c r="EY361" s="609"/>
      <c r="EZ361" s="757"/>
      <c r="FA361" s="609"/>
      <c r="FB361" s="609"/>
      <c r="FC361" s="609"/>
      <c r="FD361" s="609"/>
      <c r="FE361" s="757"/>
      <c r="FF361" s="609"/>
      <c r="FG361" s="609"/>
      <c r="FH361" s="609"/>
      <c r="FI361" s="609"/>
      <c r="FJ361" s="757"/>
      <c r="FK361" s="757"/>
      <c r="FL361" s="757"/>
      <c r="FM361" s="757"/>
      <c r="FN361" s="757"/>
      <c r="FO361" s="757"/>
      <c r="FP361" s="757"/>
      <c r="FQ361" s="757"/>
      <c r="FR361" s="757"/>
      <c r="FS361" s="757"/>
      <c r="FT361" s="757"/>
      <c r="FU361" s="757"/>
      <c r="FV361" s="757"/>
      <c r="FW361" s="757"/>
      <c r="FX361" s="757"/>
      <c r="FY361" s="757"/>
      <c r="FZ361" s="757"/>
      <c r="GA361" s="757"/>
      <c r="GB361" s="757"/>
      <c r="GC361" s="757"/>
      <c r="GD361" s="757"/>
      <c r="GE361" s="757"/>
      <c r="GF361" s="757"/>
      <c r="GG361" s="757"/>
      <c r="GH361" s="757"/>
      <c r="GI361" s="757"/>
      <c r="GJ361" s="757"/>
      <c r="GK361" s="757"/>
      <c r="GL361" s="757"/>
      <c r="GM361" s="757"/>
      <c r="GN361" s="757"/>
      <c r="GO361" s="757"/>
      <c r="GP361" s="757"/>
      <c r="GQ361" s="757"/>
      <c r="GR361" s="757"/>
      <c r="GS361" s="757"/>
      <c r="GT361" s="757"/>
      <c r="GU361" s="757"/>
      <c r="GV361" s="757"/>
      <c r="GW361" s="757"/>
      <c r="GX361" s="757"/>
      <c r="GY361" s="757"/>
      <c r="GZ361" s="757"/>
      <c r="HA361" s="757"/>
      <c r="HB361" s="757"/>
      <c r="HC361" s="757"/>
      <c r="HD361" s="757"/>
      <c r="HE361" s="757"/>
      <c r="HF361" s="757"/>
      <c r="HG361" s="757"/>
      <c r="HH361" s="757"/>
      <c r="HI361" s="757"/>
      <c r="HJ361" s="757"/>
      <c r="HK361" s="757"/>
      <c r="HL361" s="757"/>
      <c r="HM361" s="757"/>
      <c r="HN361" s="757"/>
      <c r="HO361" s="757"/>
      <c r="HQ361" s="509"/>
      <c r="HY361" s="509"/>
      <c r="HZ361" s="509"/>
      <c r="IA361" s="509"/>
      <c r="IB361" s="509"/>
    </row>
    <row r="362" spans="1:236" s="563" customFormat="1" hidden="1" outlineLevel="2">
      <c r="A362" s="509" t="s">
        <v>549</v>
      </c>
      <c r="B362" s="752"/>
      <c r="C362" s="752"/>
      <c r="D362" s="752"/>
      <c r="E362" s="752"/>
      <c r="F362" s="752"/>
      <c r="G362" s="752"/>
      <c r="H362" s="752"/>
      <c r="I362" s="752"/>
      <c r="J362" s="752"/>
      <c r="K362" s="752"/>
      <c r="L362" s="752"/>
      <c r="M362" s="752"/>
      <c r="N362" s="752"/>
      <c r="O362" s="752"/>
      <c r="P362" s="752"/>
      <c r="Q362" s="752"/>
      <c r="R362" s="752"/>
      <c r="S362" s="752"/>
      <c r="T362" s="752"/>
      <c r="U362" s="752"/>
      <c r="V362" s="752"/>
      <c r="W362" s="752"/>
      <c r="X362" s="752"/>
      <c r="Y362" s="752"/>
      <c r="Z362" s="752"/>
      <c r="AA362" s="752"/>
      <c r="AB362" s="752"/>
      <c r="AC362" s="752"/>
      <c r="AD362" s="752"/>
      <c r="AE362" s="752"/>
      <c r="AF362" s="752"/>
      <c r="AG362" s="752"/>
      <c r="AH362" s="752"/>
      <c r="AI362" s="752"/>
      <c r="AJ362" s="752"/>
      <c r="AK362" s="752"/>
      <c r="AL362" s="752"/>
      <c r="AM362" s="752"/>
      <c r="AN362" s="752"/>
      <c r="AO362" s="753"/>
      <c r="AP362" s="752"/>
      <c r="AQ362" s="752"/>
      <c r="AR362" s="752"/>
      <c r="AS362" s="752"/>
      <c r="AT362" s="753"/>
      <c r="AU362" s="752"/>
      <c r="AV362" s="752"/>
      <c r="AW362" s="752"/>
      <c r="AX362" s="752"/>
      <c r="AY362" s="753"/>
      <c r="AZ362" s="752"/>
      <c r="BA362" s="752"/>
      <c r="BB362" s="752"/>
      <c r="BC362" s="752"/>
      <c r="BD362" s="753"/>
      <c r="BE362" s="752"/>
      <c r="BF362" s="752"/>
      <c r="BG362" s="752"/>
      <c r="BH362" s="752"/>
      <c r="BI362" s="753"/>
      <c r="BJ362" s="752"/>
      <c r="BK362" s="752"/>
      <c r="BL362" s="752"/>
      <c r="BM362" s="752"/>
      <c r="BN362" s="753"/>
      <c r="BO362" s="754"/>
      <c r="BP362" s="754"/>
      <c r="BQ362" s="754"/>
      <c r="BR362" s="754"/>
      <c r="BS362" s="755"/>
      <c r="BT362" s="754"/>
      <c r="BU362" s="754"/>
      <c r="BV362" s="754"/>
      <c r="BW362" s="754"/>
      <c r="BX362" s="524"/>
      <c r="BY362" s="754"/>
      <c r="BZ362" s="754"/>
      <c r="CA362" s="754"/>
      <c r="CB362" s="754"/>
      <c r="CC362" s="524"/>
      <c r="CD362" s="754"/>
      <c r="CE362" s="754"/>
      <c r="CF362" s="754"/>
      <c r="CG362" s="754"/>
      <c r="CH362" s="524"/>
      <c r="CI362" s="754"/>
      <c r="CJ362" s="754"/>
      <c r="CK362" s="754"/>
      <c r="CL362" s="754"/>
      <c r="CM362" s="524"/>
      <c r="CN362" s="754"/>
      <c r="CO362" s="754"/>
      <c r="CP362" s="754"/>
      <c r="CQ362" s="754"/>
      <c r="CR362" s="524"/>
      <c r="CS362" s="523"/>
      <c r="CT362" s="523"/>
      <c r="CU362" s="523"/>
      <c r="CV362" s="523"/>
      <c r="CW362" s="524"/>
      <c r="CX362" s="523"/>
      <c r="CY362" s="523"/>
      <c r="CZ362" s="523"/>
      <c r="DA362" s="523"/>
      <c r="DB362" s="524"/>
      <c r="DC362" s="523"/>
      <c r="DD362" s="523"/>
      <c r="DE362" s="523"/>
      <c r="DF362" s="523"/>
      <c r="DG362" s="524"/>
      <c r="DH362" s="523">
        <f>DH358-SUM(DH360:DH361)</f>
        <v>-132</v>
      </c>
      <c r="DI362" s="523">
        <f>DI358-SUM(DI360:DI361)</f>
        <v>-101</v>
      </c>
      <c r="DJ362" s="523">
        <f>DJ358-SUM(DJ360:DJ361)</f>
        <v>-101</v>
      </c>
      <c r="DK362" s="523">
        <f>DK358-SUM(DK360:DK361)</f>
        <v>-105</v>
      </c>
      <c r="DL362" s="755"/>
      <c r="DM362" s="523">
        <f>DM358-SUM(DM360:DM361)</f>
        <v>-103.86</v>
      </c>
      <c r="DN362" s="523">
        <f>DN358-SUM(DN360:DN361)</f>
        <v>-72.64</v>
      </c>
      <c r="DO362" s="523">
        <f>DO358-SUM(DO360:DO361)</f>
        <v>-76</v>
      </c>
      <c r="DP362" s="523">
        <f>DP358-SUM(DP360:DP361)</f>
        <v>-73.060000000000016</v>
      </c>
      <c r="DQ362" s="757"/>
      <c r="DR362" s="523"/>
      <c r="DS362" s="523"/>
      <c r="DT362" s="523"/>
      <c r="DU362" s="523"/>
      <c r="DV362" s="757"/>
      <c r="DW362" s="523"/>
      <c r="DX362" s="523"/>
      <c r="DY362" s="523"/>
      <c r="DZ362" s="523"/>
      <c r="EA362" s="757"/>
      <c r="EB362" s="523"/>
      <c r="EC362" s="523"/>
      <c r="ED362" s="523"/>
      <c r="EE362" s="523"/>
      <c r="EF362" s="757"/>
      <c r="EG362" s="523"/>
      <c r="EH362" s="523"/>
      <c r="EI362" s="523"/>
      <c r="EJ362" s="523"/>
      <c r="EK362" s="757"/>
      <c r="EL362" s="523"/>
      <c r="EM362" s="523"/>
      <c r="EN362" s="523"/>
      <c r="EO362" s="523"/>
      <c r="EP362" s="757"/>
      <c r="EQ362" s="523"/>
      <c r="ER362" s="523"/>
      <c r="ES362" s="523"/>
      <c r="ET362" s="523"/>
      <c r="EU362" s="757"/>
      <c r="EV362" s="523"/>
      <c r="EW362" s="523"/>
      <c r="EX362" s="523"/>
      <c r="EY362" s="523"/>
      <c r="EZ362" s="757"/>
      <c r="FA362" s="523"/>
      <c r="FB362" s="523"/>
      <c r="FC362" s="523"/>
      <c r="FD362" s="523"/>
      <c r="FE362" s="757"/>
      <c r="FF362" s="523"/>
      <c r="FG362" s="523"/>
      <c r="FH362" s="523"/>
      <c r="FI362" s="523"/>
      <c r="FJ362" s="757"/>
      <c r="FK362" s="757"/>
      <c r="FL362" s="757"/>
      <c r="FM362" s="757"/>
      <c r="FN362" s="757"/>
      <c r="FO362" s="757"/>
      <c r="FP362" s="757"/>
      <c r="FQ362" s="757"/>
      <c r="FR362" s="757"/>
      <c r="FS362" s="757"/>
      <c r="FT362" s="757"/>
      <c r="FU362" s="757"/>
      <c r="FV362" s="757"/>
      <c r="FW362" s="757"/>
      <c r="FX362" s="757"/>
      <c r="FY362" s="757"/>
      <c r="FZ362" s="757"/>
      <c r="GA362" s="757"/>
      <c r="GB362" s="757"/>
      <c r="GC362" s="757"/>
      <c r="GD362" s="757"/>
      <c r="GE362" s="757"/>
      <c r="GF362" s="757"/>
      <c r="GG362" s="757"/>
      <c r="GH362" s="757"/>
      <c r="GI362" s="757"/>
      <c r="GJ362" s="757"/>
      <c r="GK362" s="757"/>
      <c r="GL362" s="757"/>
      <c r="GM362" s="757"/>
      <c r="GN362" s="757"/>
      <c r="GO362" s="757"/>
      <c r="GP362" s="757"/>
      <c r="GQ362" s="757"/>
      <c r="GR362" s="757"/>
      <c r="GS362" s="757"/>
      <c r="GT362" s="757"/>
      <c r="GU362" s="757"/>
      <c r="GV362" s="757"/>
      <c r="GW362" s="757"/>
      <c r="GX362" s="757"/>
      <c r="GY362" s="757"/>
      <c r="GZ362" s="757"/>
      <c r="HA362" s="757"/>
      <c r="HB362" s="757"/>
      <c r="HC362" s="757"/>
      <c r="HD362" s="757"/>
      <c r="HE362" s="757"/>
      <c r="HF362" s="757"/>
      <c r="HG362" s="757"/>
      <c r="HH362" s="757"/>
      <c r="HI362" s="757"/>
      <c r="HJ362" s="757"/>
      <c r="HK362" s="757"/>
      <c r="HL362" s="757"/>
      <c r="HM362" s="757"/>
      <c r="HN362" s="757"/>
      <c r="HO362" s="757"/>
      <c r="HQ362" s="509"/>
      <c r="HY362" s="509"/>
      <c r="HZ362" s="509"/>
      <c r="IA362" s="509"/>
      <c r="IB362" s="509"/>
    </row>
    <row r="363" spans="1:236" s="563" customFormat="1" hidden="1" outlineLevel="2">
      <c r="A363" s="509" t="s">
        <v>550</v>
      </c>
      <c r="B363" s="752"/>
      <c r="C363" s="752"/>
      <c r="D363" s="752"/>
      <c r="E363" s="752"/>
      <c r="F363" s="752"/>
      <c r="G363" s="752"/>
      <c r="H363" s="752"/>
      <c r="I363" s="752"/>
      <c r="J363" s="752"/>
      <c r="K363" s="752"/>
      <c r="L363" s="752"/>
      <c r="M363" s="752"/>
      <c r="N363" s="752"/>
      <c r="O363" s="752"/>
      <c r="P363" s="752"/>
      <c r="Q363" s="752"/>
      <c r="R363" s="752"/>
      <c r="S363" s="752"/>
      <c r="T363" s="752"/>
      <c r="U363" s="752"/>
      <c r="V363" s="752"/>
      <c r="W363" s="752"/>
      <c r="X363" s="752"/>
      <c r="Y363" s="752"/>
      <c r="Z363" s="752"/>
      <c r="AA363" s="752"/>
      <c r="AB363" s="752"/>
      <c r="AC363" s="752"/>
      <c r="AD363" s="752"/>
      <c r="AE363" s="752"/>
      <c r="AF363" s="752"/>
      <c r="AG363" s="752"/>
      <c r="AH363" s="752"/>
      <c r="AI363" s="752"/>
      <c r="AJ363" s="752"/>
      <c r="AK363" s="752"/>
      <c r="AL363" s="752"/>
      <c r="AM363" s="752"/>
      <c r="AN363" s="752"/>
      <c r="AO363" s="753"/>
      <c r="AP363" s="752"/>
      <c r="AQ363" s="752"/>
      <c r="AR363" s="752"/>
      <c r="AS363" s="752"/>
      <c r="AT363" s="753"/>
      <c r="AU363" s="752"/>
      <c r="AV363" s="752"/>
      <c r="AW363" s="752"/>
      <c r="AX363" s="752"/>
      <c r="AY363" s="753"/>
      <c r="AZ363" s="752"/>
      <c r="BA363" s="752"/>
      <c r="BB363" s="752"/>
      <c r="BC363" s="752"/>
      <c r="BD363" s="753"/>
      <c r="BE363" s="752"/>
      <c r="BF363" s="752"/>
      <c r="BG363" s="752"/>
      <c r="BH363" s="752"/>
      <c r="BI363" s="753"/>
      <c r="BJ363" s="752"/>
      <c r="BK363" s="752"/>
      <c r="BL363" s="752"/>
      <c r="BM363" s="752"/>
      <c r="BN363" s="753"/>
      <c r="BO363" s="754"/>
      <c r="BP363" s="754"/>
      <c r="BQ363" s="754"/>
      <c r="BR363" s="754"/>
      <c r="BS363" s="755"/>
      <c r="BT363" s="754"/>
      <c r="BU363" s="754"/>
      <c r="BV363" s="754"/>
      <c r="BW363" s="754"/>
      <c r="BX363" s="524"/>
      <c r="BY363" s="754"/>
      <c r="BZ363" s="754"/>
      <c r="CA363" s="754"/>
      <c r="CB363" s="754"/>
      <c r="CC363" s="524"/>
      <c r="CD363" s="754"/>
      <c r="CE363" s="754"/>
      <c r="CF363" s="754"/>
      <c r="CG363" s="754"/>
      <c r="CH363" s="524"/>
      <c r="CI363" s="754"/>
      <c r="CJ363" s="754"/>
      <c r="CK363" s="754"/>
      <c r="CL363" s="754"/>
      <c r="CM363" s="524"/>
      <c r="CN363" s="754"/>
      <c r="CO363" s="754"/>
      <c r="CP363" s="754"/>
      <c r="CQ363" s="754"/>
      <c r="CR363" s="524"/>
      <c r="CS363" s="523"/>
      <c r="CT363" s="523"/>
      <c r="CU363" s="523"/>
      <c r="CV363" s="523"/>
      <c r="CW363" s="524"/>
      <c r="CX363" s="523"/>
      <c r="CY363" s="523"/>
      <c r="CZ363" s="523"/>
      <c r="DA363" s="523"/>
      <c r="DB363" s="524"/>
      <c r="DC363" s="523"/>
      <c r="DD363" s="523"/>
      <c r="DE363" s="523"/>
      <c r="DF363" s="523"/>
      <c r="DG363" s="524"/>
      <c r="DH363" s="523">
        <f>3+23+34+8</f>
        <v>68</v>
      </c>
      <c r="DI363" s="523">
        <f>-3+37+10+23</f>
        <v>67</v>
      </c>
      <c r="DJ363" s="523">
        <f>-1+44+17+11</f>
        <v>71</v>
      </c>
      <c r="DK363" s="523">
        <f>48-6</f>
        <v>42</v>
      </c>
      <c r="DL363" s="755"/>
      <c r="DM363" s="609">
        <v>74</v>
      </c>
      <c r="DN363" s="609">
        <v>42</v>
      </c>
      <c r="DO363" s="609">
        <v>40</v>
      </c>
      <c r="DP363" s="609">
        <v>40</v>
      </c>
      <c r="DQ363" s="757"/>
      <c r="DR363" s="609"/>
      <c r="DS363" s="609"/>
      <c r="DT363" s="609"/>
      <c r="DU363" s="609"/>
      <c r="DV363" s="757"/>
      <c r="DW363" s="609"/>
      <c r="DX363" s="609"/>
      <c r="DY363" s="609"/>
      <c r="DZ363" s="609"/>
      <c r="EA363" s="757"/>
      <c r="EB363" s="609"/>
      <c r="EC363" s="609"/>
      <c r="ED363" s="609"/>
      <c r="EE363" s="609"/>
      <c r="EF363" s="757"/>
      <c r="EG363" s="609"/>
      <c r="EH363" s="609"/>
      <c r="EI363" s="609"/>
      <c r="EJ363" s="609"/>
      <c r="EK363" s="757"/>
      <c r="EL363" s="609"/>
      <c r="EM363" s="609"/>
      <c r="EN363" s="609"/>
      <c r="EO363" s="609"/>
      <c r="EP363" s="757"/>
      <c r="EQ363" s="609"/>
      <c r="ER363" s="609"/>
      <c r="ES363" s="609"/>
      <c r="ET363" s="609"/>
      <c r="EU363" s="757"/>
      <c r="EV363" s="609"/>
      <c r="EW363" s="609"/>
      <c r="EX363" s="609"/>
      <c r="EY363" s="609"/>
      <c r="EZ363" s="757"/>
      <c r="FA363" s="609"/>
      <c r="FB363" s="609"/>
      <c r="FC363" s="609"/>
      <c r="FD363" s="609"/>
      <c r="FE363" s="757"/>
      <c r="FF363" s="609"/>
      <c r="FG363" s="609"/>
      <c r="FH363" s="609"/>
      <c r="FI363" s="609"/>
      <c r="FJ363" s="757"/>
      <c r="FK363" s="757"/>
      <c r="FL363" s="757"/>
      <c r="FM363" s="757"/>
      <c r="FN363" s="757"/>
      <c r="FO363" s="757"/>
      <c r="FP363" s="757"/>
      <c r="FQ363" s="757"/>
      <c r="FR363" s="757"/>
      <c r="FS363" s="757"/>
      <c r="FT363" s="757"/>
      <c r="FU363" s="757"/>
      <c r="FV363" s="757"/>
      <c r="FW363" s="757"/>
      <c r="FX363" s="757"/>
      <c r="FY363" s="757"/>
      <c r="FZ363" s="757"/>
      <c r="GA363" s="757"/>
      <c r="GB363" s="757"/>
      <c r="GC363" s="757"/>
      <c r="GD363" s="757"/>
      <c r="GE363" s="757"/>
      <c r="GF363" s="757"/>
      <c r="GG363" s="757"/>
      <c r="GH363" s="757"/>
      <c r="GI363" s="757"/>
      <c r="GJ363" s="757"/>
      <c r="GK363" s="757"/>
      <c r="GL363" s="757"/>
      <c r="GM363" s="757"/>
      <c r="GN363" s="757"/>
      <c r="GO363" s="757"/>
      <c r="GP363" s="757"/>
      <c r="GQ363" s="757"/>
      <c r="GR363" s="757"/>
      <c r="GS363" s="757"/>
      <c r="GT363" s="757"/>
      <c r="GU363" s="757"/>
      <c r="GV363" s="757"/>
      <c r="GW363" s="757"/>
      <c r="GX363" s="757"/>
      <c r="GY363" s="757"/>
      <c r="GZ363" s="757"/>
      <c r="HA363" s="757"/>
      <c r="HB363" s="757"/>
      <c r="HC363" s="757"/>
      <c r="HD363" s="757"/>
      <c r="HE363" s="757"/>
      <c r="HF363" s="757"/>
      <c r="HG363" s="757"/>
      <c r="HH363" s="757"/>
      <c r="HI363" s="757"/>
      <c r="HJ363" s="757"/>
      <c r="HK363" s="757"/>
      <c r="HL363" s="757"/>
      <c r="HM363" s="757"/>
      <c r="HN363" s="757"/>
      <c r="HO363" s="757"/>
      <c r="HQ363" s="509"/>
      <c r="HY363" s="509"/>
      <c r="HZ363" s="509"/>
      <c r="IA363" s="509"/>
      <c r="IB363" s="509"/>
    </row>
    <row r="364" spans="1:236" s="563" customFormat="1" hidden="1" outlineLevel="2">
      <c r="A364" s="509" t="s">
        <v>377</v>
      </c>
      <c r="B364" s="752"/>
      <c r="C364" s="752"/>
      <c r="D364" s="752"/>
      <c r="E364" s="752"/>
      <c r="F364" s="752"/>
      <c r="G364" s="752"/>
      <c r="H364" s="752"/>
      <c r="I364" s="752"/>
      <c r="J364" s="752"/>
      <c r="K364" s="752"/>
      <c r="L364" s="752"/>
      <c r="M364" s="752"/>
      <c r="N364" s="752"/>
      <c r="O364" s="752"/>
      <c r="P364" s="752"/>
      <c r="Q364" s="752"/>
      <c r="R364" s="752"/>
      <c r="S364" s="752"/>
      <c r="T364" s="752"/>
      <c r="U364" s="752"/>
      <c r="V364" s="752"/>
      <c r="W364" s="752"/>
      <c r="X364" s="752"/>
      <c r="Y364" s="752"/>
      <c r="Z364" s="752"/>
      <c r="AA364" s="752"/>
      <c r="AB364" s="752"/>
      <c r="AC364" s="752"/>
      <c r="AD364" s="752"/>
      <c r="AE364" s="752"/>
      <c r="AF364" s="752"/>
      <c r="AG364" s="752"/>
      <c r="AH364" s="752"/>
      <c r="AI364" s="752"/>
      <c r="AJ364" s="752"/>
      <c r="AK364" s="752"/>
      <c r="AL364" s="752"/>
      <c r="AM364" s="752"/>
      <c r="AN364" s="752"/>
      <c r="AO364" s="753"/>
      <c r="AP364" s="752"/>
      <c r="AQ364" s="752"/>
      <c r="AR364" s="752"/>
      <c r="AS364" s="752"/>
      <c r="AT364" s="753"/>
      <c r="AU364" s="752"/>
      <c r="AV364" s="752"/>
      <c r="AW364" s="752"/>
      <c r="AX364" s="752"/>
      <c r="AY364" s="753"/>
      <c r="AZ364" s="752"/>
      <c r="BA364" s="752"/>
      <c r="BB364" s="752"/>
      <c r="BC364" s="752"/>
      <c r="BD364" s="753"/>
      <c r="BE364" s="752"/>
      <c r="BF364" s="752"/>
      <c r="BG364" s="752"/>
      <c r="BH364" s="752"/>
      <c r="BI364" s="753"/>
      <c r="BJ364" s="752"/>
      <c r="BK364" s="752"/>
      <c r="BL364" s="752"/>
      <c r="BM364" s="752"/>
      <c r="BN364" s="753"/>
      <c r="BO364" s="754"/>
      <c r="BP364" s="754"/>
      <c r="BQ364" s="754"/>
      <c r="BR364" s="754"/>
      <c r="BS364" s="755"/>
      <c r="BT364" s="754"/>
      <c r="BU364" s="754"/>
      <c r="BV364" s="754"/>
      <c r="BW364" s="754"/>
      <c r="BX364" s="524"/>
      <c r="BY364" s="754"/>
      <c r="BZ364" s="754"/>
      <c r="CA364" s="754"/>
      <c r="CB364" s="754"/>
      <c r="CC364" s="524"/>
      <c r="CD364" s="754"/>
      <c r="CE364" s="754"/>
      <c r="CF364" s="754"/>
      <c r="CG364" s="754"/>
      <c r="CH364" s="524"/>
      <c r="CI364" s="754"/>
      <c r="CJ364" s="754"/>
      <c r="CK364" s="754"/>
      <c r="CL364" s="754"/>
      <c r="CM364" s="524"/>
      <c r="CN364" s="754"/>
      <c r="CO364" s="754"/>
      <c r="CP364" s="754"/>
      <c r="CQ364" s="754"/>
      <c r="CR364" s="524"/>
      <c r="CS364" s="523"/>
      <c r="CT364" s="523"/>
      <c r="CU364" s="523"/>
      <c r="CV364" s="523"/>
      <c r="CW364" s="524"/>
      <c r="CX364" s="523"/>
      <c r="CY364" s="523"/>
      <c r="CZ364" s="523"/>
      <c r="DA364" s="523"/>
      <c r="DB364" s="524"/>
      <c r="DC364" s="523"/>
      <c r="DD364" s="523"/>
      <c r="DE364" s="523"/>
      <c r="DF364" s="523"/>
      <c r="DG364" s="524"/>
      <c r="DH364" s="650">
        <v>117</v>
      </c>
      <c r="DI364" s="650">
        <v>9</v>
      </c>
      <c r="DJ364" s="650">
        <v>19</v>
      </c>
      <c r="DK364" s="523">
        <v>-9</v>
      </c>
      <c r="DL364" s="755"/>
      <c r="DM364" s="609">
        <v>5</v>
      </c>
      <c r="DN364" s="609">
        <v>5</v>
      </c>
      <c r="DO364" s="609">
        <v>5</v>
      </c>
      <c r="DP364" s="609">
        <v>5</v>
      </c>
      <c r="DQ364" s="757"/>
      <c r="DR364" s="609"/>
      <c r="DS364" s="609"/>
      <c r="DT364" s="609"/>
      <c r="DU364" s="609"/>
      <c r="DV364" s="757"/>
      <c r="DW364" s="609"/>
      <c r="DX364" s="609"/>
      <c r="DY364" s="609"/>
      <c r="DZ364" s="609"/>
      <c r="EA364" s="757"/>
      <c r="EB364" s="609"/>
      <c r="EC364" s="609"/>
      <c r="ED364" s="609"/>
      <c r="EE364" s="609"/>
      <c r="EF364" s="757"/>
      <c r="EG364" s="609"/>
      <c r="EH364" s="609"/>
      <c r="EI364" s="609"/>
      <c r="EJ364" s="609"/>
      <c r="EK364" s="757"/>
      <c r="EL364" s="609"/>
      <c r="EM364" s="609"/>
      <c r="EN364" s="609"/>
      <c r="EO364" s="609"/>
      <c r="EP364" s="757"/>
      <c r="EQ364" s="609"/>
      <c r="ER364" s="609"/>
      <c r="ES364" s="609"/>
      <c r="ET364" s="609"/>
      <c r="EU364" s="757"/>
      <c r="EV364" s="609"/>
      <c r="EW364" s="609"/>
      <c r="EX364" s="609"/>
      <c r="EY364" s="609"/>
      <c r="EZ364" s="757"/>
      <c r="FA364" s="609"/>
      <c r="FB364" s="609"/>
      <c r="FC364" s="609"/>
      <c r="FD364" s="609"/>
      <c r="FE364" s="757"/>
      <c r="FF364" s="609"/>
      <c r="FG364" s="609"/>
      <c r="FH364" s="609"/>
      <c r="FI364" s="609"/>
      <c r="FJ364" s="757"/>
      <c r="FK364" s="757"/>
      <c r="FL364" s="757"/>
      <c r="FM364" s="757"/>
      <c r="FN364" s="757"/>
      <c r="FO364" s="757"/>
      <c r="FP364" s="757"/>
      <c r="FQ364" s="757"/>
      <c r="FR364" s="757"/>
      <c r="FS364" s="757"/>
      <c r="FT364" s="757"/>
      <c r="FU364" s="757"/>
      <c r="FV364" s="757"/>
      <c r="FW364" s="757"/>
      <c r="FX364" s="757"/>
      <c r="FY364" s="757"/>
      <c r="FZ364" s="757"/>
      <c r="GA364" s="757"/>
      <c r="GB364" s="757"/>
      <c r="GC364" s="757"/>
      <c r="GD364" s="757"/>
      <c r="GE364" s="757"/>
      <c r="GF364" s="757"/>
      <c r="GG364" s="757"/>
      <c r="GH364" s="757"/>
      <c r="GI364" s="757"/>
      <c r="GJ364" s="757"/>
      <c r="GK364" s="757"/>
      <c r="GL364" s="757"/>
      <c r="GM364" s="757"/>
      <c r="GN364" s="757"/>
      <c r="GO364" s="757"/>
      <c r="GP364" s="757"/>
      <c r="GQ364" s="757"/>
      <c r="GR364" s="757"/>
      <c r="GS364" s="757"/>
      <c r="GT364" s="757"/>
      <c r="GU364" s="757"/>
      <c r="GV364" s="757"/>
      <c r="GW364" s="757"/>
      <c r="GX364" s="757"/>
      <c r="GY364" s="757"/>
      <c r="GZ364" s="757"/>
      <c r="HA364" s="757"/>
      <c r="HB364" s="757"/>
      <c r="HC364" s="757"/>
      <c r="HD364" s="757"/>
      <c r="HE364" s="757"/>
      <c r="HF364" s="757"/>
      <c r="HG364" s="757"/>
      <c r="HH364" s="757"/>
      <c r="HI364" s="757"/>
      <c r="HJ364" s="757"/>
      <c r="HK364" s="757"/>
      <c r="HL364" s="757"/>
      <c r="HM364" s="757"/>
      <c r="HN364" s="757"/>
      <c r="HO364" s="757"/>
      <c r="HQ364" s="509"/>
      <c r="HY364" s="509"/>
      <c r="HZ364" s="509"/>
      <c r="IA364" s="509"/>
      <c r="IB364" s="509"/>
    </row>
    <row r="365" spans="1:236" s="563" customFormat="1" hidden="1" outlineLevel="2">
      <c r="A365" s="509" t="s">
        <v>551</v>
      </c>
      <c r="B365" s="752"/>
      <c r="C365" s="752"/>
      <c r="D365" s="752"/>
      <c r="E365" s="752"/>
      <c r="F365" s="752"/>
      <c r="G365" s="752"/>
      <c r="H365" s="752"/>
      <c r="I365" s="752"/>
      <c r="J365" s="752"/>
      <c r="K365" s="752"/>
      <c r="L365" s="752"/>
      <c r="M365" s="752"/>
      <c r="N365" s="752"/>
      <c r="O365" s="752"/>
      <c r="P365" s="752"/>
      <c r="Q365" s="752"/>
      <c r="R365" s="752"/>
      <c r="S365" s="752"/>
      <c r="T365" s="752"/>
      <c r="U365" s="752"/>
      <c r="V365" s="752"/>
      <c r="W365" s="752"/>
      <c r="X365" s="752"/>
      <c r="Y365" s="752"/>
      <c r="Z365" s="752"/>
      <c r="AA365" s="752"/>
      <c r="AB365" s="752"/>
      <c r="AC365" s="752"/>
      <c r="AD365" s="752"/>
      <c r="AE365" s="752"/>
      <c r="AF365" s="752"/>
      <c r="AG365" s="752"/>
      <c r="AH365" s="752"/>
      <c r="AI365" s="752"/>
      <c r="AJ365" s="752"/>
      <c r="AK365" s="752"/>
      <c r="AL365" s="752"/>
      <c r="AM365" s="752"/>
      <c r="AN365" s="752"/>
      <c r="AO365" s="753"/>
      <c r="AP365" s="752"/>
      <c r="AQ365" s="752"/>
      <c r="AR365" s="752"/>
      <c r="AS365" s="752"/>
      <c r="AT365" s="753"/>
      <c r="AU365" s="752"/>
      <c r="AV365" s="752"/>
      <c r="AW365" s="752"/>
      <c r="AX365" s="752"/>
      <c r="AY365" s="753"/>
      <c r="AZ365" s="752"/>
      <c r="BA365" s="752"/>
      <c r="BB365" s="752"/>
      <c r="BC365" s="752"/>
      <c r="BD365" s="753"/>
      <c r="BE365" s="752"/>
      <c r="BF365" s="752"/>
      <c r="BG365" s="752"/>
      <c r="BH365" s="752"/>
      <c r="BI365" s="753"/>
      <c r="BJ365" s="752"/>
      <c r="BK365" s="752"/>
      <c r="BL365" s="752"/>
      <c r="BM365" s="752"/>
      <c r="BN365" s="753"/>
      <c r="BO365" s="754"/>
      <c r="BP365" s="754"/>
      <c r="BQ365" s="754"/>
      <c r="BR365" s="754"/>
      <c r="BS365" s="755"/>
      <c r="BT365" s="754"/>
      <c r="BU365" s="754"/>
      <c r="BV365" s="754"/>
      <c r="BW365" s="754"/>
      <c r="BX365" s="524"/>
      <c r="BY365" s="754"/>
      <c r="BZ365" s="754"/>
      <c r="CA365" s="754"/>
      <c r="CB365" s="754"/>
      <c r="CC365" s="524"/>
      <c r="CD365" s="754"/>
      <c r="CE365" s="754"/>
      <c r="CF365" s="754"/>
      <c r="CG365" s="754"/>
      <c r="CH365" s="524"/>
      <c r="CI365" s="754"/>
      <c r="CJ365" s="754"/>
      <c r="CK365" s="754"/>
      <c r="CL365" s="754"/>
      <c r="CM365" s="524"/>
      <c r="CN365" s="754"/>
      <c r="CO365" s="754"/>
      <c r="CP365" s="754"/>
      <c r="CQ365" s="754"/>
      <c r="CR365" s="524"/>
      <c r="CS365" s="523"/>
      <c r="CT365" s="523"/>
      <c r="CU365" s="523"/>
      <c r="CV365" s="523"/>
      <c r="CW365" s="524"/>
      <c r="CX365" s="523"/>
      <c r="CY365" s="523"/>
      <c r="CZ365" s="523"/>
      <c r="DA365" s="523"/>
      <c r="DB365" s="524"/>
      <c r="DC365" s="523"/>
      <c r="DD365" s="523"/>
      <c r="DE365" s="523"/>
      <c r="DF365" s="523"/>
      <c r="DG365" s="524"/>
      <c r="DH365" s="651">
        <f>DH362-DH363-DH364</f>
        <v>-317</v>
      </c>
      <c r="DI365" s="651">
        <f>DI362-DI363-DI364</f>
        <v>-177</v>
      </c>
      <c r="DJ365" s="651">
        <f>DJ362-DJ363-DJ364</f>
        <v>-191</v>
      </c>
      <c r="DK365" s="651">
        <f>DK362-DK363-DK364</f>
        <v>-138</v>
      </c>
      <c r="DL365" s="755"/>
      <c r="DM365" s="651">
        <f>DM362-DM363-DM364</f>
        <v>-182.86</v>
      </c>
      <c r="DN365" s="651">
        <f>DN362-DN363-DN364</f>
        <v>-119.64</v>
      </c>
      <c r="DO365" s="651">
        <f>DO362-DO363-DO364</f>
        <v>-121</v>
      </c>
      <c r="DP365" s="651">
        <f>DP362-DP363-DP364</f>
        <v>-118.06000000000002</v>
      </c>
      <c r="DQ365" s="757"/>
      <c r="DR365" s="651"/>
      <c r="DS365" s="651"/>
      <c r="DT365" s="651"/>
      <c r="DU365" s="651"/>
      <c r="DV365" s="757"/>
      <c r="DW365" s="651"/>
      <c r="DX365" s="651"/>
      <c r="DY365" s="651"/>
      <c r="DZ365" s="651"/>
      <c r="EA365" s="757"/>
      <c r="EB365" s="651"/>
      <c r="EC365" s="651"/>
      <c r="ED365" s="651"/>
      <c r="EE365" s="651"/>
      <c r="EF365" s="757"/>
      <c r="EG365" s="651"/>
      <c r="EH365" s="651"/>
      <c r="EI365" s="651"/>
      <c r="EJ365" s="651"/>
      <c r="EK365" s="757"/>
      <c r="EL365" s="651"/>
      <c r="EM365" s="651"/>
      <c r="EN365" s="651"/>
      <c r="EO365" s="651"/>
      <c r="EP365" s="757"/>
      <c r="EQ365" s="651"/>
      <c r="ER365" s="651"/>
      <c r="ES365" s="651"/>
      <c r="ET365" s="651"/>
      <c r="EU365" s="757"/>
      <c r="EV365" s="651"/>
      <c r="EW365" s="651"/>
      <c r="EX365" s="651"/>
      <c r="EY365" s="651"/>
      <c r="EZ365" s="757"/>
      <c r="FA365" s="651"/>
      <c r="FB365" s="651"/>
      <c r="FC365" s="651"/>
      <c r="FD365" s="651"/>
      <c r="FE365" s="757"/>
      <c r="FF365" s="651"/>
      <c r="FG365" s="651"/>
      <c r="FH365" s="651"/>
      <c r="FI365" s="651"/>
      <c r="FJ365" s="757"/>
      <c r="FK365" s="757"/>
      <c r="FL365" s="757"/>
      <c r="FM365" s="757"/>
      <c r="FN365" s="757"/>
      <c r="FO365" s="757"/>
      <c r="FP365" s="757"/>
      <c r="FQ365" s="757"/>
      <c r="FR365" s="757"/>
      <c r="FS365" s="757"/>
      <c r="FT365" s="757"/>
      <c r="FU365" s="757"/>
      <c r="FV365" s="757"/>
      <c r="FW365" s="757"/>
      <c r="FX365" s="757"/>
      <c r="FY365" s="757"/>
      <c r="FZ365" s="757"/>
      <c r="GA365" s="757"/>
      <c r="GB365" s="757"/>
      <c r="GC365" s="757"/>
      <c r="GD365" s="757"/>
      <c r="GE365" s="757"/>
      <c r="GF365" s="757"/>
      <c r="GG365" s="757"/>
      <c r="GH365" s="757"/>
      <c r="GI365" s="757"/>
      <c r="GJ365" s="757"/>
      <c r="GK365" s="757"/>
      <c r="GL365" s="757"/>
      <c r="GM365" s="757"/>
      <c r="GN365" s="757"/>
      <c r="GO365" s="757"/>
      <c r="GP365" s="757"/>
      <c r="GQ365" s="757"/>
      <c r="GR365" s="757"/>
      <c r="GS365" s="757"/>
      <c r="GT365" s="757"/>
      <c r="GU365" s="757"/>
      <c r="GV365" s="757"/>
      <c r="GW365" s="757"/>
      <c r="GX365" s="757"/>
      <c r="GY365" s="757"/>
      <c r="GZ365" s="757"/>
      <c r="HA365" s="757"/>
      <c r="HB365" s="757"/>
      <c r="HC365" s="757"/>
      <c r="HD365" s="757"/>
      <c r="HE365" s="757"/>
      <c r="HF365" s="757"/>
      <c r="HG365" s="757"/>
      <c r="HH365" s="757"/>
      <c r="HI365" s="757"/>
      <c r="HJ365" s="757"/>
      <c r="HK365" s="757"/>
      <c r="HL365" s="757"/>
      <c r="HM365" s="757"/>
      <c r="HN365" s="757"/>
      <c r="HO365" s="757"/>
      <c r="HQ365" s="509"/>
      <c r="HY365" s="509"/>
      <c r="HZ365" s="509"/>
      <c r="IA365" s="509"/>
      <c r="IB365" s="509"/>
    </row>
    <row r="366" spans="1:236" s="563" customFormat="1" hidden="1" outlineLevel="2">
      <c r="A366" s="509"/>
      <c r="B366" s="752"/>
      <c r="C366" s="752"/>
      <c r="D366" s="752"/>
      <c r="E366" s="752"/>
      <c r="F366" s="752"/>
      <c r="G366" s="752"/>
      <c r="H366" s="752"/>
      <c r="I366" s="752"/>
      <c r="J366" s="752"/>
      <c r="K366" s="752"/>
      <c r="L366" s="752"/>
      <c r="M366" s="752"/>
      <c r="N366" s="752"/>
      <c r="O366" s="752"/>
      <c r="P366" s="752"/>
      <c r="Q366" s="752"/>
      <c r="R366" s="752"/>
      <c r="S366" s="752"/>
      <c r="T366" s="752"/>
      <c r="U366" s="752"/>
      <c r="V366" s="752"/>
      <c r="W366" s="752"/>
      <c r="X366" s="752"/>
      <c r="Y366" s="752"/>
      <c r="Z366" s="752"/>
      <c r="AA366" s="752"/>
      <c r="AB366" s="752"/>
      <c r="AC366" s="752"/>
      <c r="AD366" s="752"/>
      <c r="AE366" s="752"/>
      <c r="AF366" s="752"/>
      <c r="AG366" s="752"/>
      <c r="AH366" s="752"/>
      <c r="AI366" s="752"/>
      <c r="AJ366" s="752"/>
      <c r="AK366" s="752"/>
      <c r="AL366" s="752"/>
      <c r="AM366" s="752"/>
      <c r="AN366" s="752"/>
      <c r="AO366" s="753"/>
      <c r="AP366" s="752"/>
      <c r="AQ366" s="752"/>
      <c r="AR366" s="752"/>
      <c r="AS366" s="752"/>
      <c r="AT366" s="753"/>
      <c r="AU366" s="752"/>
      <c r="AV366" s="752"/>
      <c r="AW366" s="752"/>
      <c r="AX366" s="752"/>
      <c r="AY366" s="753"/>
      <c r="AZ366" s="752"/>
      <c r="BA366" s="752"/>
      <c r="BB366" s="752"/>
      <c r="BC366" s="752"/>
      <c r="BD366" s="753"/>
      <c r="BE366" s="752"/>
      <c r="BF366" s="752"/>
      <c r="BG366" s="752"/>
      <c r="BH366" s="752"/>
      <c r="BI366" s="753"/>
      <c r="BJ366" s="752"/>
      <c r="BK366" s="752"/>
      <c r="BL366" s="752"/>
      <c r="BM366" s="752"/>
      <c r="BN366" s="753"/>
      <c r="BO366" s="754"/>
      <c r="BP366" s="754"/>
      <c r="BQ366" s="754"/>
      <c r="BR366" s="754"/>
      <c r="BS366" s="755"/>
      <c r="BT366" s="754"/>
      <c r="BU366" s="754"/>
      <c r="BV366" s="754"/>
      <c r="BW366" s="754"/>
      <c r="BX366" s="524"/>
      <c r="BY366" s="754"/>
      <c r="BZ366" s="754"/>
      <c r="CA366" s="754"/>
      <c r="CB366" s="754"/>
      <c r="CC366" s="524"/>
      <c r="CD366" s="754"/>
      <c r="CE366" s="754"/>
      <c r="CF366" s="754"/>
      <c r="CG366" s="754"/>
      <c r="CH366" s="524"/>
      <c r="CI366" s="754"/>
      <c r="CJ366" s="754"/>
      <c r="CK366" s="754"/>
      <c r="CL366" s="754"/>
      <c r="CM366" s="524"/>
      <c r="CN366" s="754"/>
      <c r="CO366" s="754"/>
      <c r="CP366" s="754"/>
      <c r="CQ366" s="754"/>
      <c r="CR366" s="524"/>
      <c r="CS366" s="523"/>
      <c r="CT366" s="523"/>
      <c r="CU366" s="523"/>
      <c r="CV366" s="523"/>
      <c r="CW366" s="524"/>
      <c r="CX366" s="523"/>
      <c r="CY366" s="523"/>
      <c r="CZ366" s="523"/>
      <c r="DA366" s="523"/>
      <c r="DB366" s="524"/>
      <c r="DC366" s="523"/>
      <c r="DD366" s="523"/>
      <c r="DE366" s="523"/>
      <c r="DF366" s="523"/>
      <c r="DG366" s="524"/>
      <c r="DH366" s="651"/>
      <c r="DI366" s="651"/>
      <c r="DJ366" s="651"/>
      <c r="DK366" s="651"/>
      <c r="DL366" s="755"/>
      <c r="DM366" s="651"/>
      <c r="DN366" s="651"/>
      <c r="DO366" s="651"/>
      <c r="DP366" s="651"/>
      <c r="DQ366" s="757"/>
      <c r="DR366" s="756"/>
      <c r="DS366" s="756"/>
      <c r="DT366" s="756"/>
      <c r="DU366" s="756"/>
      <c r="DV366" s="757"/>
      <c r="DW366" s="756"/>
      <c r="DX366" s="756"/>
      <c r="DY366" s="756"/>
      <c r="DZ366" s="756"/>
      <c r="EA366" s="757"/>
      <c r="EB366" s="756"/>
      <c r="EC366" s="756"/>
      <c r="ED366" s="756"/>
      <c r="EE366" s="756"/>
      <c r="EF366" s="757"/>
      <c r="EG366" s="756"/>
      <c r="EH366" s="756"/>
      <c r="EI366" s="756"/>
      <c r="EJ366" s="756"/>
      <c r="EK366" s="757"/>
      <c r="EL366" s="756"/>
      <c r="EM366" s="756"/>
      <c r="EN366" s="756"/>
      <c r="EO366" s="756"/>
      <c r="EP366" s="757"/>
      <c r="EQ366" s="756"/>
      <c r="ER366" s="756"/>
      <c r="ES366" s="756"/>
      <c r="ET366" s="756"/>
      <c r="EU366" s="757"/>
      <c r="EV366" s="756"/>
      <c r="EW366" s="756"/>
      <c r="EX366" s="756"/>
      <c r="EY366" s="756"/>
      <c r="EZ366" s="757"/>
      <c r="FA366" s="756"/>
      <c r="FB366" s="756"/>
      <c r="FC366" s="756"/>
      <c r="FD366" s="756"/>
      <c r="FE366" s="757"/>
      <c r="FF366" s="756"/>
      <c r="FG366" s="756"/>
      <c r="FH366" s="756"/>
      <c r="FI366" s="756"/>
      <c r="FJ366" s="757"/>
      <c r="FK366" s="757"/>
      <c r="FL366" s="757"/>
      <c r="FM366" s="757"/>
      <c r="FN366" s="757"/>
      <c r="FO366" s="757"/>
      <c r="FP366" s="757"/>
      <c r="FQ366" s="757"/>
      <c r="FR366" s="757"/>
      <c r="FS366" s="757"/>
      <c r="FT366" s="757"/>
      <c r="FU366" s="757"/>
      <c r="FV366" s="757"/>
      <c r="FW366" s="757"/>
      <c r="FX366" s="757"/>
      <c r="FY366" s="757"/>
      <c r="FZ366" s="757"/>
      <c r="GA366" s="757"/>
      <c r="GB366" s="757"/>
      <c r="GC366" s="757"/>
      <c r="GD366" s="757"/>
      <c r="GE366" s="757"/>
      <c r="GF366" s="757"/>
      <c r="GG366" s="757"/>
      <c r="GH366" s="757"/>
      <c r="GI366" s="757"/>
      <c r="GJ366" s="757"/>
      <c r="GK366" s="757"/>
      <c r="GL366" s="757"/>
      <c r="GM366" s="757"/>
      <c r="GN366" s="757"/>
      <c r="GO366" s="757"/>
      <c r="GP366" s="757"/>
      <c r="GQ366" s="757"/>
      <c r="GR366" s="757"/>
      <c r="GS366" s="757"/>
      <c r="GT366" s="757"/>
      <c r="GU366" s="757"/>
      <c r="GV366" s="757"/>
      <c r="GW366" s="757"/>
      <c r="GX366" s="757"/>
      <c r="GY366" s="757"/>
      <c r="GZ366" s="757"/>
      <c r="HA366" s="757"/>
      <c r="HB366" s="757"/>
      <c r="HC366" s="757"/>
      <c r="HD366" s="757"/>
      <c r="HE366" s="757"/>
      <c r="HF366" s="757"/>
      <c r="HG366" s="757"/>
      <c r="HH366" s="757"/>
      <c r="HI366" s="757"/>
      <c r="HJ366" s="757"/>
      <c r="HK366" s="757"/>
      <c r="HL366" s="757"/>
      <c r="HM366" s="757"/>
      <c r="HN366" s="757"/>
      <c r="HO366" s="757"/>
      <c r="HQ366" s="509"/>
      <c r="HY366" s="509"/>
      <c r="HZ366" s="509"/>
      <c r="IA366" s="509"/>
      <c r="IB366" s="509"/>
    </row>
    <row r="367" spans="1:236" s="563" customFormat="1" hidden="1" outlineLevel="2">
      <c r="A367" s="538" t="s">
        <v>552</v>
      </c>
      <c r="B367" s="752"/>
      <c r="C367" s="752"/>
      <c r="D367" s="752"/>
      <c r="E367" s="752"/>
      <c r="F367" s="752"/>
      <c r="G367" s="752"/>
      <c r="H367" s="752"/>
      <c r="I367" s="752"/>
      <c r="J367" s="752"/>
      <c r="K367" s="752"/>
      <c r="L367" s="752"/>
      <c r="M367" s="752"/>
      <c r="N367" s="752"/>
      <c r="O367" s="752"/>
      <c r="P367" s="752"/>
      <c r="Q367" s="752"/>
      <c r="R367" s="752"/>
      <c r="S367" s="752"/>
      <c r="T367" s="752"/>
      <c r="U367" s="752"/>
      <c r="V367" s="752"/>
      <c r="W367" s="752"/>
      <c r="X367" s="752"/>
      <c r="Y367" s="752"/>
      <c r="Z367" s="752"/>
      <c r="AA367" s="752"/>
      <c r="AB367" s="752"/>
      <c r="AC367" s="752"/>
      <c r="AD367" s="752"/>
      <c r="AE367" s="752"/>
      <c r="AF367" s="752"/>
      <c r="AG367" s="752"/>
      <c r="AH367" s="752"/>
      <c r="AI367" s="752"/>
      <c r="AJ367" s="752"/>
      <c r="AK367" s="752"/>
      <c r="AL367" s="752"/>
      <c r="AM367" s="752"/>
      <c r="AN367" s="752"/>
      <c r="AO367" s="753"/>
      <c r="AP367" s="752"/>
      <c r="AQ367" s="752"/>
      <c r="AR367" s="752"/>
      <c r="AS367" s="752"/>
      <c r="AT367" s="753"/>
      <c r="AU367" s="752"/>
      <c r="AV367" s="752"/>
      <c r="AW367" s="752"/>
      <c r="AX367" s="752"/>
      <c r="AY367" s="753"/>
      <c r="AZ367" s="752"/>
      <c r="BA367" s="752"/>
      <c r="BB367" s="752"/>
      <c r="BC367" s="752"/>
      <c r="BD367" s="753"/>
      <c r="BE367" s="752"/>
      <c r="BF367" s="752"/>
      <c r="BG367" s="752"/>
      <c r="BH367" s="752"/>
      <c r="BI367" s="753"/>
      <c r="BJ367" s="752"/>
      <c r="BK367" s="752"/>
      <c r="BL367" s="752"/>
      <c r="BM367" s="752"/>
      <c r="BN367" s="753"/>
      <c r="BO367" s="754"/>
      <c r="BP367" s="754"/>
      <c r="BQ367" s="754"/>
      <c r="BR367" s="754"/>
      <c r="BS367" s="755"/>
      <c r="BT367" s="754"/>
      <c r="BU367" s="754"/>
      <c r="BV367" s="754"/>
      <c r="BW367" s="754"/>
      <c r="BX367" s="524"/>
      <c r="BY367" s="754"/>
      <c r="BZ367" s="754"/>
      <c r="CA367" s="754"/>
      <c r="CB367" s="754"/>
      <c r="CC367" s="524"/>
      <c r="CD367" s="754"/>
      <c r="CE367" s="754"/>
      <c r="CF367" s="754"/>
      <c r="CG367" s="754"/>
      <c r="CH367" s="524"/>
      <c r="CI367" s="754"/>
      <c r="CJ367" s="754"/>
      <c r="CK367" s="754"/>
      <c r="CL367" s="754"/>
      <c r="CM367" s="524"/>
      <c r="CN367" s="754"/>
      <c r="CO367" s="754"/>
      <c r="CP367" s="754"/>
      <c r="CQ367" s="754"/>
      <c r="CR367" s="524"/>
      <c r="CS367" s="523"/>
      <c r="CT367" s="523"/>
      <c r="CU367" s="523"/>
      <c r="CV367" s="523"/>
      <c r="CW367" s="524"/>
      <c r="CX367" s="523"/>
      <c r="CY367" s="523"/>
      <c r="CZ367" s="523"/>
      <c r="DA367" s="523"/>
      <c r="DB367" s="524"/>
      <c r="DC367" s="523"/>
      <c r="DD367" s="523"/>
      <c r="DE367" s="523"/>
      <c r="DF367" s="523"/>
      <c r="DG367" s="524"/>
      <c r="DH367" s="651"/>
      <c r="DI367" s="651"/>
      <c r="DJ367" s="651"/>
      <c r="DK367" s="651"/>
      <c r="DL367" s="755"/>
      <c r="DM367" s="651"/>
      <c r="DN367" s="651"/>
      <c r="DO367" s="651"/>
      <c r="DP367" s="651"/>
      <c r="DQ367" s="757"/>
      <c r="DR367" s="756"/>
      <c r="DS367" s="756"/>
      <c r="DT367" s="756"/>
      <c r="DU367" s="756"/>
      <c r="DV367" s="757"/>
      <c r="DW367" s="756"/>
      <c r="DX367" s="756"/>
      <c r="DY367" s="756"/>
      <c r="DZ367" s="756"/>
      <c r="EA367" s="757"/>
      <c r="EB367" s="756"/>
      <c r="EC367" s="756"/>
      <c r="ED367" s="756"/>
      <c r="EE367" s="756"/>
      <c r="EF367" s="757"/>
      <c r="EG367" s="756"/>
      <c r="EH367" s="756"/>
      <c r="EI367" s="756"/>
      <c r="EJ367" s="756"/>
      <c r="EK367" s="757"/>
      <c r="EL367" s="756"/>
      <c r="EM367" s="756"/>
      <c r="EN367" s="756"/>
      <c r="EO367" s="756"/>
      <c r="EP367" s="757"/>
      <c r="EQ367" s="756"/>
      <c r="ER367" s="756"/>
      <c r="ES367" s="756"/>
      <c r="ET367" s="756"/>
      <c r="EU367" s="757"/>
      <c r="EV367" s="756"/>
      <c r="EW367" s="756"/>
      <c r="EX367" s="756"/>
      <c r="EY367" s="756"/>
      <c r="EZ367" s="757"/>
      <c r="FA367" s="756"/>
      <c r="FB367" s="756"/>
      <c r="FC367" s="756"/>
      <c r="FD367" s="756"/>
      <c r="FE367" s="757"/>
      <c r="FF367" s="756"/>
      <c r="FG367" s="756"/>
      <c r="FH367" s="756"/>
      <c r="FI367" s="756"/>
      <c r="FJ367" s="757"/>
      <c r="FK367" s="757"/>
      <c r="FL367" s="757"/>
      <c r="FM367" s="757"/>
      <c r="FN367" s="757"/>
      <c r="FO367" s="757"/>
      <c r="FP367" s="757"/>
      <c r="FQ367" s="757"/>
      <c r="FR367" s="757"/>
      <c r="FS367" s="757"/>
      <c r="FT367" s="757"/>
      <c r="FU367" s="757"/>
      <c r="FV367" s="757"/>
      <c r="FW367" s="757"/>
      <c r="FX367" s="757"/>
      <c r="FY367" s="757"/>
      <c r="FZ367" s="757"/>
      <c r="GA367" s="757"/>
      <c r="GB367" s="757"/>
      <c r="GC367" s="757"/>
      <c r="GD367" s="757"/>
      <c r="GE367" s="757"/>
      <c r="GF367" s="757"/>
      <c r="GG367" s="757"/>
      <c r="GH367" s="757"/>
      <c r="GI367" s="757"/>
      <c r="GJ367" s="757"/>
      <c r="GK367" s="757"/>
      <c r="GL367" s="757"/>
      <c r="GM367" s="757"/>
      <c r="GN367" s="757"/>
      <c r="GO367" s="757"/>
      <c r="GP367" s="757"/>
      <c r="GQ367" s="757"/>
      <c r="GR367" s="757"/>
      <c r="GS367" s="757"/>
      <c r="GT367" s="757"/>
      <c r="GU367" s="757"/>
      <c r="GV367" s="757"/>
      <c r="GW367" s="757"/>
      <c r="GX367" s="757"/>
      <c r="GY367" s="757"/>
      <c r="GZ367" s="757"/>
      <c r="HA367" s="757"/>
      <c r="HB367" s="757"/>
      <c r="HC367" s="757"/>
      <c r="HD367" s="757"/>
      <c r="HE367" s="757"/>
      <c r="HF367" s="757"/>
      <c r="HG367" s="757"/>
      <c r="HH367" s="757"/>
      <c r="HI367" s="757"/>
      <c r="HJ367" s="757"/>
      <c r="HK367" s="757"/>
      <c r="HL367" s="757"/>
      <c r="HM367" s="757"/>
      <c r="HN367" s="757"/>
      <c r="HO367" s="757"/>
      <c r="HQ367" s="509"/>
      <c r="HY367" s="509"/>
      <c r="HZ367" s="509"/>
      <c r="IA367" s="509"/>
      <c r="IB367" s="509"/>
    </row>
    <row r="368" spans="1:236" s="563" customFormat="1" hidden="1" outlineLevel="2">
      <c r="A368" s="509" t="s">
        <v>538</v>
      </c>
      <c r="B368" s="752"/>
      <c r="C368" s="752"/>
      <c r="D368" s="752"/>
      <c r="E368" s="752"/>
      <c r="F368" s="752"/>
      <c r="G368" s="752"/>
      <c r="H368" s="752"/>
      <c r="I368" s="752"/>
      <c r="J368" s="752"/>
      <c r="K368" s="752"/>
      <c r="L368" s="752"/>
      <c r="M368" s="752"/>
      <c r="N368" s="752"/>
      <c r="O368" s="752"/>
      <c r="P368" s="752"/>
      <c r="Q368" s="752"/>
      <c r="R368" s="752"/>
      <c r="S368" s="752"/>
      <c r="T368" s="752"/>
      <c r="U368" s="752"/>
      <c r="V368" s="752"/>
      <c r="W368" s="752"/>
      <c r="X368" s="752"/>
      <c r="Y368" s="752"/>
      <c r="Z368" s="752"/>
      <c r="AA368" s="752"/>
      <c r="AB368" s="752"/>
      <c r="AC368" s="752"/>
      <c r="AD368" s="752"/>
      <c r="AE368" s="752"/>
      <c r="AF368" s="752"/>
      <c r="AG368" s="752"/>
      <c r="AH368" s="752"/>
      <c r="AI368" s="752"/>
      <c r="AJ368" s="752"/>
      <c r="AK368" s="752"/>
      <c r="AL368" s="752"/>
      <c r="AM368" s="752"/>
      <c r="AN368" s="752"/>
      <c r="AO368" s="753"/>
      <c r="AP368" s="752"/>
      <c r="AQ368" s="752"/>
      <c r="AR368" s="752"/>
      <c r="AS368" s="752"/>
      <c r="AT368" s="753"/>
      <c r="AU368" s="752"/>
      <c r="AV368" s="752"/>
      <c r="AW368" s="752"/>
      <c r="AX368" s="752"/>
      <c r="AY368" s="753"/>
      <c r="AZ368" s="752"/>
      <c r="BA368" s="752"/>
      <c r="BB368" s="752"/>
      <c r="BC368" s="752"/>
      <c r="BD368" s="753"/>
      <c r="BE368" s="752"/>
      <c r="BF368" s="752"/>
      <c r="BG368" s="752"/>
      <c r="BH368" s="752"/>
      <c r="BI368" s="753"/>
      <c r="BJ368" s="752"/>
      <c r="BK368" s="752"/>
      <c r="BL368" s="752"/>
      <c r="BM368" s="752"/>
      <c r="BN368" s="753"/>
      <c r="BO368" s="754"/>
      <c r="BP368" s="754"/>
      <c r="BQ368" s="754"/>
      <c r="BR368" s="754"/>
      <c r="BS368" s="755"/>
      <c r="BT368" s="754"/>
      <c r="BU368" s="754"/>
      <c r="BV368" s="754"/>
      <c r="BW368" s="754"/>
      <c r="BX368" s="524"/>
      <c r="BY368" s="754"/>
      <c r="BZ368" s="754"/>
      <c r="CA368" s="754"/>
      <c r="CB368" s="754"/>
      <c r="CC368" s="524"/>
      <c r="CD368" s="754"/>
      <c r="CE368" s="754"/>
      <c r="CF368" s="754"/>
      <c r="CG368" s="754"/>
      <c r="CH368" s="524"/>
      <c r="CI368" s="754"/>
      <c r="CJ368" s="754"/>
      <c r="CK368" s="754"/>
      <c r="CL368" s="754"/>
      <c r="CM368" s="524"/>
      <c r="CN368" s="754"/>
      <c r="CO368" s="754"/>
      <c r="CP368" s="754"/>
      <c r="CQ368" s="754"/>
      <c r="CR368" s="758">
        <f t="shared" ref="CR368:EG369" si="292">CR347/CR336</f>
        <v>0.14914736574191906</v>
      </c>
      <c r="CS368" s="336">
        <f t="shared" si="292"/>
        <v>0.23335826477187735</v>
      </c>
      <c r="CT368" s="336">
        <f t="shared" si="292"/>
        <v>0.1118421052631579</v>
      </c>
      <c r="CU368" s="336">
        <f t="shared" si="292"/>
        <v>0.12575301204819278</v>
      </c>
      <c r="CV368" s="336">
        <f t="shared" si="292"/>
        <v>4.374158815612382E-2</v>
      </c>
      <c r="CW368" s="758">
        <f t="shared" si="292"/>
        <v>0.1267002049562139</v>
      </c>
      <c r="CX368" s="336">
        <f t="shared" si="292"/>
        <v>-0.34967320261437906</v>
      </c>
      <c r="CY368" s="336">
        <f t="shared" si="292"/>
        <v>-0.23497267759562843</v>
      </c>
      <c r="CZ368" s="336">
        <f t="shared" si="292"/>
        <v>-8.7295401402961811E-2</v>
      </c>
      <c r="DA368" s="336">
        <f t="shared" si="292"/>
        <v>1.496792587312901E-2</v>
      </c>
      <c r="DB368" s="758">
        <f t="shared" si="292"/>
        <v>-0.14249255635899616</v>
      </c>
      <c r="DC368" s="336">
        <f t="shared" si="292"/>
        <v>-0.13400335008375208</v>
      </c>
      <c r="DD368" s="336">
        <f t="shared" si="292"/>
        <v>-8.1743869209809257E-3</v>
      </c>
      <c r="DE368" s="336">
        <f t="shared" si="292"/>
        <v>0.10280373831775701</v>
      </c>
      <c r="DF368" s="336">
        <f t="shared" si="292"/>
        <v>-0.49369988545246279</v>
      </c>
      <c r="DG368" s="758">
        <f t="shared" si="292"/>
        <v>-0.10024128098267164</v>
      </c>
      <c r="DH368" s="336">
        <f t="shared" si="292"/>
        <v>-3.7313432835820892E-2</v>
      </c>
      <c r="DI368" s="336">
        <f t="shared" si="292"/>
        <v>-7.9120879120879117E-2</v>
      </c>
      <c r="DJ368" s="336">
        <f t="shared" si="292"/>
        <v>7.1094480823199246E-2</v>
      </c>
      <c r="DK368" s="336">
        <f t="shared" si="292"/>
        <v>0.13014827018121911</v>
      </c>
      <c r="DL368" s="758">
        <f t="shared" si="292"/>
        <v>3.0743161462115712E-2</v>
      </c>
      <c r="DM368" s="336">
        <f t="shared" si="292"/>
        <v>0.12586206896551724</v>
      </c>
      <c r="DN368" s="336">
        <f t="shared" si="292"/>
        <v>0.10561056105610561</v>
      </c>
      <c r="DO368" s="336">
        <f t="shared" si="292"/>
        <v>0.10440456769983687</v>
      </c>
      <c r="DP368" s="336">
        <f t="shared" si="292"/>
        <v>7.4651353568498766E-2</v>
      </c>
      <c r="DQ368" s="758">
        <f t="shared" si="292"/>
        <v>0.10234585841810255</v>
      </c>
      <c r="DR368" s="336">
        <f t="shared" si="292"/>
        <v>8.3333333333333329E-2</v>
      </c>
      <c r="DS368" s="336">
        <f t="shared" si="292"/>
        <v>0.11764705882352941</v>
      </c>
      <c r="DT368" s="336">
        <f t="shared" si="292"/>
        <v>0.11586314152410575</v>
      </c>
      <c r="DU368" s="336">
        <f t="shared" si="292"/>
        <v>0.12605042016806722</v>
      </c>
      <c r="DV368" s="758">
        <f t="shared" si="292"/>
        <v>0.11115553778488604</v>
      </c>
      <c r="DW368" s="336">
        <f t="shared" si="292"/>
        <v>0.10307564422277639</v>
      </c>
      <c r="DX368" s="336">
        <f t="shared" si="292"/>
        <v>7.8468899521531105E-2</v>
      </c>
      <c r="DY368" s="336">
        <f t="shared" si="292"/>
        <v>-0.12297734627831715</v>
      </c>
      <c r="DZ368" s="336">
        <f t="shared" si="292"/>
        <v>-0.3896260554885404</v>
      </c>
      <c r="EA368" s="758">
        <f t="shared" si="292"/>
        <v>-5.7692307692307696E-2</v>
      </c>
      <c r="EB368" s="336">
        <f t="shared" si="292"/>
        <v>-5.1930758988015982E-2</v>
      </c>
      <c r="EC368" s="336">
        <f t="shared" si="292"/>
        <v>2.3781212841854932E-3</v>
      </c>
      <c r="ED368" s="336">
        <f t="shared" si="292"/>
        <v>2.7848101265822784E-2</v>
      </c>
      <c r="EE368" s="336">
        <f t="shared" si="292"/>
        <v>-9.6952908587257611E-3</v>
      </c>
      <c r="EF368" s="758">
        <f t="shared" si="292"/>
        <v>-7.0876288659793814E-3</v>
      </c>
      <c r="EG368" s="336">
        <f t="shared" si="292"/>
        <v>-4.5248868778280547E-3</v>
      </c>
      <c r="EH368" s="337">
        <f>EH347/EH336</f>
        <v>1.3452914798206279E-2</v>
      </c>
      <c r="EI368" s="756"/>
      <c r="EJ368" s="756"/>
      <c r="EK368" s="757"/>
      <c r="EL368" s="756"/>
      <c r="EM368" s="756"/>
      <c r="EN368" s="756"/>
      <c r="EO368" s="756"/>
      <c r="EP368" s="757"/>
      <c r="EQ368" s="756"/>
      <c r="ER368" s="756"/>
      <c r="ES368" s="756"/>
      <c r="ET368" s="756"/>
      <c r="EU368" s="757"/>
      <c r="EV368" s="756"/>
      <c r="EW368" s="756"/>
      <c r="EX368" s="756"/>
      <c r="EY368" s="756"/>
      <c r="EZ368" s="757"/>
      <c r="FA368" s="756"/>
      <c r="FB368" s="756"/>
      <c r="FC368" s="756"/>
      <c r="FD368" s="756"/>
      <c r="FE368" s="757"/>
      <c r="FF368" s="756"/>
      <c r="FG368" s="756"/>
      <c r="FH368" s="756"/>
      <c r="FI368" s="756"/>
      <c r="FJ368" s="757"/>
      <c r="FK368" s="757"/>
      <c r="FL368" s="757"/>
      <c r="FM368" s="757"/>
      <c r="FN368" s="757"/>
      <c r="FO368" s="757"/>
      <c r="FP368" s="757"/>
      <c r="FQ368" s="757"/>
      <c r="FR368" s="757"/>
      <c r="FS368" s="757"/>
      <c r="FT368" s="757"/>
      <c r="FU368" s="757"/>
      <c r="FV368" s="757"/>
      <c r="FW368" s="757"/>
      <c r="FX368" s="757"/>
      <c r="FY368" s="757"/>
      <c r="FZ368" s="757"/>
      <c r="GA368" s="757"/>
      <c r="GB368" s="757"/>
      <c r="GC368" s="757"/>
      <c r="GD368" s="757"/>
      <c r="GE368" s="757"/>
      <c r="GF368" s="757"/>
      <c r="GG368" s="757"/>
      <c r="GH368" s="757"/>
      <c r="GI368" s="757"/>
      <c r="GJ368" s="757"/>
      <c r="GK368" s="757"/>
      <c r="GL368" s="757"/>
      <c r="GM368" s="757"/>
      <c r="GN368" s="757"/>
      <c r="GO368" s="757"/>
      <c r="GP368" s="757"/>
      <c r="GQ368" s="757"/>
      <c r="GR368" s="757"/>
      <c r="GS368" s="757"/>
      <c r="GT368" s="757"/>
      <c r="GU368" s="757"/>
      <c r="GV368" s="757"/>
      <c r="GW368" s="757"/>
      <c r="GX368" s="757"/>
      <c r="GY368" s="757"/>
      <c r="GZ368" s="757"/>
      <c r="HA368" s="757"/>
      <c r="HB368" s="757"/>
      <c r="HC368" s="757"/>
      <c r="HD368" s="757"/>
      <c r="HE368" s="757"/>
      <c r="HF368" s="757"/>
      <c r="HG368" s="757"/>
      <c r="HH368" s="757"/>
      <c r="HI368" s="757"/>
      <c r="HJ368" s="757"/>
      <c r="HK368" s="757"/>
      <c r="HL368" s="757"/>
      <c r="HM368" s="757"/>
      <c r="HN368" s="757"/>
      <c r="HO368" s="757"/>
      <c r="HQ368" s="509"/>
      <c r="HY368" s="509"/>
      <c r="HZ368" s="509"/>
      <c r="IA368" s="509"/>
      <c r="IB368" s="509"/>
    </row>
    <row r="369" spans="1:236" s="563" customFormat="1" hidden="1" outlineLevel="2">
      <c r="A369" s="509" t="s">
        <v>292</v>
      </c>
      <c r="B369" s="752"/>
      <c r="C369" s="752"/>
      <c r="D369" s="752"/>
      <c r="E369" s="752"/>
      <c r="F369" s="752"/>
      <c r="G369" s="752"/>
      <c r="H369" s="752"/>
      <c r="I369" s="752"/>
      <c r="J369" s="752"/>
      <c r="K369" s="752"/>
      <c r="L369" s="752"/>
      <c r="M369" s="752"/>
      <c r="N369" s="752"/>
      <c r="O369" s="752"/>
      <c r="P369" s="752"/>
      <c r="Q369" s="752"/>
      <c r="R369" s="752"/>
      <c r="S369" s="752"/>
      <c r="T369" s="752"/>
      <c r="U369" s="752"/>
      <c r="V369" s="752"/>
      <c r="W369" s="752"/>
      <c r="X369" s="752"/>
      <c r="Y369" s="752"/>
      <c r="Z369" s="752"/>
      <c r="AA369" s="752"/>
      <c r="AB369" s="752"/>
      <c r="AC369" s="752"/>
      <c r="AD369" s="752"/>
      <c r="AE369" s="752"/>
      <c r="AF369" s="752"/>
      <c r="AG369" s="752"/>
      <c r="AH369" s="752"/>
      <c r="AI369" s="752"/>
      <c r="AJ369" s="752"/>
      <c r="AK369" s="752"/>
      <c r="AL369" s="752"/>
      <c r="AM369" s="752"/>
      <c r="AN369" s="752"/>
      <c r="AO369" s="753"/>
      <c r="AP369" s="752"/>
      <c r="AQ369" s="752"/>
      <c r="AR369" s="752"/>
      <c r="AS369" s="752"/>
      <c r="AT369" s="753"/>
      <c r="AU369" s="752"/>
      <c r="AV369" s="752"/>
      <c r="AW369" s="752"/>
      <c r="AX369" s="752"/>
      <c r="AY369" s="753"/>
      <c r="AZ369" s="752"/>
      <c r="BA369" s="752"/>
      <c r="BB369" s="752"/>
      <c r="BC369" s="752"/>
      <c r="BD369" s="753"/>
      <c r="BE369" s="752"/>
      <c r="BF369" s="752"/>
      <c r="BG369" s="752"/>
      <c r="BH369" s="752"/>
      <c r="BI369" s="753"/>
      <c r="BJ369" s="752"/>
      <c r="BK369" s="752"/>
      <c r="BL369" s="752"/>
      <c r="BM369" s="752"/>
      <c r="BN369" s="753"/>
      <c r="BO369" s="754"/>
      <c r="BP369" s="754"/>
      <c r="BQ369" s="754"/>
      <c r="BR369" s="754"/>
      <c r="BS369" s="755"/>
      <c r="BT369" s="754"/>
      <c r="BU369" s="754"/>
      <c r="BV369" s="754"/>
      <c r="BW369" s="754"/>
      <c r="BX369" s="524"/>
      <c r="BY369" s="754"/>
      <c r="BZ369" s="754"/>
      <c r="CA369" s="754"/>
      <c r="CB369" s="754"/>
      <c r="CC369" s="524"/>
      <c r="CD369" s="754"/>
      <c r="CE369" s="754"/>
      <c r="CF369" s="754"/>
      <c r="CG369" s="754"/>
      <c r="CH369" s="524"/>
      <c r="CI369" s="754"/>
      <c r="CJ369" s="754"/>
      <c r="CK369" s="754"/>
      <c r="CL369" s="754"/>
      <c r="CM369" s="524"/>
      <c r="CN369" s="754"/>
      <c r="CO369" s="754"/>
      <c r="CP369" s="754"/>
      <c r="CQ369" s="754"/>
      <c r="CR369" s="336"/>
      <c r="CS369" s="336"/>
      <c r="CT369" s="336"/>
      <c r="CU369" s="336"/>
      <c r="CV369" s="336">
        <f t="shared" si="292"/>
        <v>-0.16265060240963855</v>
      </c>
      <c r="CW369" s="758">
        <f t="shared" si="292"/>
        <v>-0.16265060240963855</v>
      </c>
      <c r="CX369" s="336">
        <f t="shared" si="292"/>
        <v>-0.17766497461928935</v>
      </c>
      <c r="CY369" s="336">
        <f t="shared" si="292"/>
        <v>-0.25641025641025639</v>
      </c>
      <c r="CZ369" s="336">
        <f t="shared" si="292"/>
        <v>-1.1904761904761904E-2</v>
      </c>
      <c r="DA369" s="336">
        <f t="shared" si="292"/>
        <v>-4.633204633204633E-2</v>
      </c>
      <c r="DB369" s="758">
        <f t="shared" si="292"/>
        <v>-0.11074197120708748</v>
      </c>
      <c r="DC369" s="336">
        <f t="shared" si="292"/>
        <v>-4.7826086956521741E-2</v>
      </c>
      <c r="DD369" s="336">
        <f t="shared" si="292"/>
        <v>-0.15322580645161291</v>
      </c>
      <c r="DE369" s="336">
        <f t="shared" si="292"/>
        <v>0.12207792207792208</v>
      </c>
      <c r="DF369" s="336">
        <f t="shared" si="292"/>
        <v>-3.7037037037037035E-2</v>
      </c>
      <c r="DG369" s="758">
        <f t="shared" si="292"/>
        <v>-1.0591350397175641E-2</v>
      </c>
      <c r="DH369" s="336">
        <f t="shared" si="292"/>
        <v>4.5045045045045045E-3</v>
      </c>
      <c r="DI369" s="336">
        <f t="shared" si="292"/>
        <v>-4.7808764940239043E-2</v>
      </c>
      <c r="DJ369" s="336">
        <f t="shared" si="292"/>
        <v>2.6143790849673203E-2</v>
      </c>
      <c r="DK369" s="336">
        <f t="shared" si="292"/>
        <v>0.12412177985948478</v>
      </c>
      <c r="DL369" s="758">
        <f t="shared" si="292"/>
        <v>4.1459369817578771E-2</v>
      </c>
      <c r="DM369" s="336">
        <f t="shared" si="292"/>
        <v>0.11491442542787286</v>
      </c>
      <c r="DN369" s="336">
        <f t="shared" si="292"/>
        <v>7.4999999999999997E-2</v>
      </c>
      <c r="DO369" s="336">
        <f t="shared" si="292"/>
        <v>8.461538461538462E-2</v>
      </c>
      <c r="DP369" s="336">
        <f t="shared" si="292"/>
        <v>0.16037735849056603</v>
      </c>
      <c r="DQ369" s="758">
        <f t="shared" si="292"/>
        <v>0.10883944678292243</v>
      </c>
      <c r="DR369" s="336">
        <f t="shared" si="292"/>
        <v>4.6004842615012108E-2</v>
      </c>
      <c r="DS369" s="336">
        <f t="shared" si="292"/>
        <v>-1.9073569482288829E-2</v>
      </c>
      <c r="DT369" s="336">
        <f t="shared" si="292"/>
        <v>2.9776674937965261E-2</v>
      </c>
      <c r="DU369" s="336">
        <f t="shared" si="292"/>
        <v>7.0680628272251314E-2</v>
      </c>
      <c r="DV369" s="758">
        <f t="shared" si="292"/>
        <v>3.2587859424920131E-2</v>
      </c>
      <c r="DW369" s="336">
        <f t="shared" si="292"/>
        <v>8.9005235602094238E-2</v>
      </c>
      <c r="DX369" s="336">
        <f t="shared" si="292"/>
        <v>8.4468664850136238E-2</v>
      </c>
      <c r="DY369" s="336">
        <f t="shared" si="292"/>
        <v>5.2631578947368418E-2</v>
      </c>
      <c r="DZ369" s="336">
        <f t="shared" si="292"/>
        <v>6.7484662576687116E-2</v>
      </c>
      <c r="EA369" s="758">
        <f t="shared" si="292"/>
        <v>7.4100211714890618E-2</v>
      </c>
      <c r="EB369" s="336">
        <f t="shared" si="292"/>
        <v>4.7477744807121663E-2</v>
      </c>
      <c r="EC369" s="336">
        <f t="shared" si="292"/>
        <v>0</v>
      </c>
      <c r="ED369" s="336">
        <f t="shared" si="292"/>
        <v>0.11773472429210134</v>
      </c>
      <c r="EE369" s="336">
        <f t="shared" si="292"/>
        <v>0.13988439306358383</v>
      </c>
      <c r="EF369" s="758">
        <f t="shared" si="292"/>
        <v>9.8495212038303692E-2</v>
      </c>
      <c r="EG369" s="336">
        <f t="shared" si="292"/>
        <v>0.12397820163487738</v>
      </c>
      <c r="EH369" s="337">
        <f>EH348/EH337</f>
        <v>0.10621761658031088</v>
      </c>
      <c r="EI369" s="756"/>
      <c r="EJ369" s="756"/>
      <c r="EK369" s="757"/>
      <c r="EL369" s="756"/>
      <c r="EM369" s="756"/>
      <c r="EN369" s="756"/>
      <c r="EO369" s="756"/>
      <c r="EP369" s="757"/>
      <c r="EQ369" s="756"/>
      <c r="ER369" s="756"/>
      <c r="ES369" s="756"/>
      <c r="ET369" s="756"/>
      <c r="EU369" s="757"/>
      <c r="EV369" s="756"/>
      <c r="EW369" s="756"/>
      <c r="EX369" s="756"/>
      <c r="EY369" s="756"/>
      <c r="EZ369" s="757"/>
      <c r="FA369" s="756"/>
      <c r="FB369" s="756"/>
      <c r="FC369" s="756"/>
      <c r="FD369" s="756"/>
      <c r="FE369" s="757"/>
      <c r="FF369" s="756"/>
      <c r="FG369" s="756"/>
      <c r="FH369" s="756"/>
      <c r="FI369" s="756"/>
      <c r="FJ369" s="757"/>
      <c r="FK369" s="757"/>
      <c r="FL369" s="757"/>
      <c r="FM369" s="757"/>
      <c r="FN369" s="757"/>
      <c r="FO369" s="757"/>
      <c r="FP369" s="757"/>
      <c r="FQ369" s="757"/>
      <c r="FR369" s="757"/>
      <c r="FS369" s="757"/>
      <c r="FT369" s="757"/>
      <c r="FU369" s="757"/>
      <c r="FV369" s="757"/>
      <c r="FW369" s="757"/>
      <c r="FX369" s="757"/>
      <c r="FY369" s="757"/>
      <c r="FZ369" s="757"/>
      <c r="GA369" s="757"/>
      <c r="GB369" s="757"/>
      <c r="GC369" s="757"/>
      <c r="GD369" s="757"/>
      <c r="GE369" s="757"/>
      <c r="GF369" s="757"/>
      <c r="GG369" s="757"/>
      <c r="GH369" s="757"/>
      <c r="GI369" s="757"/>
      <c r="GJ369" s="757"/>
      <c r="GK369" s="757"/>
      <c r="GL369" s="757"/>
      <c r="GM369" s="757"/>
      <c r="GN369" s="757"/>
      <c r="GO369" s="757"/>
      <c r="GP369" s="757"/>
      <c r="GQ369" s="757"/>
      <c r="GR369" s="757"/>
      <c r="GS369" s="757"/>
      <c r="GT369" s="757"/>
      <c r="GU369" s="757"/>
      <c r="GV369" s="757"/>
      <c r="GW369" s="757"/>
      <c r="GX369" s="757"/>
      <c r="GY369" s="757"/>
      <c r="GZ369" s="757"/>
      <c r="HA369" s="757"/>
      <c r="HB369" s="757"/>
      <c r="HC369" s="757"/>
      <c r="HD369" s="757"/>
      <c r="HE369" s="757"/>
      <c r="HF369" s="757"/>
      <c r="HG369" s="757"/>
      <c r="HH369" s="757"/>
      <c r="HI369" s="757"/>
      <c r="HJ369" s="757"/>
      <c r="HK369" s="757"/>
      <c r="HL369" s="757"/>
      <c r="HM369" s="757"/>
      <c r="HN369" s="757"/>
      <c r="HO369" s="757"/>
      <c r="HQ369" s="509"/>
      <c r="HY369" s="509"/>
      <c r="HZ369" s="509"/>
      <c r="IA369" s="509"/>
      <c r="IB369" s="509"/>
    </row>
    <row r="370" spans="1:236" s="563" customFormat="1" hidden="1" outlineLevel="2">
      <c r="A370" s="509"/>
      <c r="B370" s="509"/>
      <c r="C370" s="509"/>
      <c r="D370" s="509"/>
      <c r="E370" s="509"/>
      <c r="F370" s="509"/>
      <c r="G370" s="509"/>
      <c r="H370" s="509"/>
      <c r="I370" s="509"/>
      <c r="J370" s="509"/>
      <c r="K370" s="509"/>
      <c r="L370" s="509"/>
      <c r="M370" s="509"/>
      <c r="N370" s="509"/>
      <c r="O370" s="509"/>
      <c r="P370" s="509"/>
      <c r="Q370" s="509"/>
      <c r="R370" s="509"/>
      <c r="S370" s="509"/>
      <c r="T370" s="509"/>
      <c r="U370" s="509"/>
      <c r="V370" s="509"/>
      <c r="W370" s="509"/>
      <c r="X370" s="509"/>
      <c r="Y370" s="509"/>
      <c r="Z370" s="509"/>
      <c r="AA370" s="509"/>
      <c r="AB370" s="509"/>
      <c r="AC370" s="509"/>
      <c r="AD370" s="509"/>
      <c r="AE370" s="509"/>
      <c r="AF370" s="509"/>
      <c r="AG370" s="509"/>
      <c r="AH370" s="509"/>
      <c r="AI370" s="509"/>
      <c r="AJ370" s="509"/>
      <c r="AK370" s="509"/>
      <c r="AL370" s="509"/>
      <c r="AM370" s="509"/>
      <c r="AN370" s="509"/>
      <c r="AO370" s="538"/>
      <c r="AP370" s="509"/>
      <c r="AQ370" s="509"/>
      <c r="AR370" s="509"/>
      <c r="AS370" s="509"/>
      <c r="AT370" s="538"/>
      <c r="AU370" s="509"/>
      <c r="AV370" s="509"/>
      <c r="AW370" s="509"/>
      <c r="AX370" s="509"/>
      <c r="AY370" s="538"/>
      <c r="AZ370" s="509"/>
      <c r="BA370" s="509"/>
      <c r="BB370" s="509"/>
      <c r="BC370" s="509"/>
      <c r="BD370" s="538"/>
      <c r="BE370" s="509"/>
      <c r="BF370" s="509"/>
      <c r="BG370" s="509"/>
      <c r="BH370" s="509"/>
      <c r="BI370" s="538"/>
      <c r="BJ370" s="509"/>
      <c r="BK370" s="509"/>
      <c r="BL370" s="509"/>
      <c r="BM370" s="509"/>
      <c r="BN370" s="538"/>
      <c r="BO370" s="509"/>
      <c r="BP370" s="509"/>
      <c r="BQ370" s="509"/>
      <c r="BR370" s="509"/>
      <c r="BS370" s="538"/>
      <c r="BT370" s="509"/>
      <c r="BU370" s="509"/>
      <c r="BV370" s="509"/>
      <c r="BW370" s="509"/>
      <c r="BX370" s="538"/>
      <c r="BY370" s="509"/>
      <c r="BZ370" s="509"/>
      <c r="CA370" s="509"/>
      <c r="CB370" s="509"/>
      <c r="CC370" s="538"/>
      <c r="CD370" s="509"/>
      <c r="CE370" s="509"/>
      <c r="CF370" s="509"/>
      <c r="CG370" s="509"/>
      <c r="CH370" s="538"/>
      <c r="CI370" s="509"/>
      <c r="CJ370" s="509"/>
      <c r="CK370" s="509"/>
      <c r="CL370" s="509"/>
      <c r="CM370" s="538"/>
      <c r="CN370" s="509"/>
      <c r="CO370" s="509"/>
      <c r="CP370" s="509"/>
      <c r="CQ370" s="509"/>
      <c r="CR370" s="509"/>
      <c r="CS370" s="509"/>
      <c r="CT370" s="509"/>
      <c r="CU370" s="509"/>
      <c r="CV370" s="509"/>
      <c r="CW370" s="509"/>
      <c r="CX370" s="509"/>
      <c r="CY370" s="509"/>
      <c r="CZ370" s="509"/>
      <c r="DA370" s="509"/>
      <c r="DB370" s="538"/>
      <c r="DC370" s="509"/>
      <c r="DD370" s="509"/>
      <c r="DE370" s="509"/>
      <c r="DF370" s="509"/>
      <c r="DG370" s="538"/>
      <c r="DH370" s="509"/>
      <c r="DI370" s="509"/>
      <c r="DJ370" s="509"/>
      <c r="DK370" s="509"/>
      <c r="DL370" s="538"/>
      <c r="DM370" s="509"/>
      <c r="DN370" s="509"/>
      <c r="DO370" s="509"/>
      <c r="DP370" s="509"/>
      <c r="DQ370" s="538"/>
      <c r="DR370" s="509"/>
      <c r="DS370" s="509"/>
      <c r="DT370" s="509"/>
      <c r="DU370" s="509"/>
      <c r="DV370" s="538"/>
      <c r="DW370" s="509"/>
      <c r="DX370" s="509"/>
      <c r="DY370" s="509"/>
      <c r="DZ370" s="509"/>
      <c r="EA370" s="538"/>
      <c r="EB370" s="509"/>
      <c r="EC370" s="509"/>
      <c r="ED370" s="509"/>
      <c r="EE370" s="509"/>
      <c r="EF370" s="538"/>
      <c r="EG370" s="509"/>
      <c r="EH370" s="509"/>
      <c r="EI370" s="509"/>
      <c r="EJ370" s="509"/>
      <c r="EK370" s="538"/>
      <c r="EL370" s="509"/>
      <c r="EM370" s="509"/>
      <c r="EN370" s="509"/>
      <c r="EO370" s="509"/>
      <c r="EP370" s="538"/>
      <c r="EQ370" s="538"/>
      <c r="ER370" s="538"/>
      <c r="ES370" s="538"/>
      <c r="ET370" s="538"/>
      <c r="EU370" s="538"/>
      <c r="EV370" s="538"/>
      <c r="EW370" s="538"/>
      <c r="EX370" s="538"/>
      <c r="EY370" s="538"/>
      <c r="EZ370" s="538"/>
      <c r="FA370" s="538"/>
      <c r="FB370" s="538"/>
      <c r="FC370" s="538"/>
      <c r="FD370" s="538"/>
      <c r="FE370" s="538"/>
      <c r="FF370" s="538"/>
      <c r="FG370" s="538"/>
      <c r="FH370" s="538"/>
      <c r="FI370" s="538"/>
      <c r="FJ370" s="538"/>
      <c r="FK370" s="538"/>
      <c r="FL370" s="538"/>
      <c r="FM370" s="538"/>
      <c r="FN370" s="538"/>
      <c r="FO370" s="538"/>
      <c r="FP370" s="538"/>
      <c r="FQ370" s="538"/>
      <c r="FR370" s="538"/>
      <c r="FS370" s="538"/>
      <c r="FT370" s="538"/>
      <c r="FU370" s="538"/>
      <c r="FV370" s="538"/>
      <c r="FW370" s="538"/>
      <c r="FX370" s="538"/>
      <c r="FY370" s="538"/>
      <c r="FZ370" s="538"/>
      <c r="GA370" s="538"/>
      <c r="GB370" s="538"/>
      <c r="GC370" s="538"/>
      <c r="GD370" s="538"/>
      <c r="GE370" s="538"/>
      <c r="GF370" s="538"/>
      <c r="GG370" s="538"/>
      <c r="GH370" s="538"/>
      <c r="GI370" s="538"/>
      <c r="GJ370" s="538"/>
      <c r="GK370" s="538"/>
      <c r="GL370" s="538"/>
      <c r="GM370" s="538"/>
      <c r="GN370" s="538"/>
      <c r="GO370" s="538"/>
      <c r="GP370" s="538"/>
      <c r="GQ370" s="538"/>
      <c r="GR370" s="538"/>
      <c r="GS370" s="538"/>
      <c r="GT370" s="538"/>
      <c r="GU370" s="538"/>
      <c r="GV370" s="538"/>
      <c r="GW370" s="538"/>
      <c r="GX370" s="538"/>
      <c r="GY370" s="538"/>
      <c r="GZ370" s="538"/>
      <c r="HA370" s="538"/>
      <c r="HB370" s="538"/>
      <c r="HC370" s="538"/>
      <c r="HD370" s="538"/>
      <c r="HE370" s="538"/>
      <c r="HF370" s="538"/>
      <c r="HG370" s="538"/>
      <c r="HH370" s="538"/>
      <c r="HI370" s="538"/>
      <c r="HJ370" s="538"/>
      <c r="HK370" s="538"/>
      <c r="HL370" s="538"/>
      <c r="HM370" s="538"/>
      <c r="HN370" s="538"/>
      <c r="HO370" s="538"/>
      <c r="HQ370" s="509"/>
      <c r="HY370" s="509"/>
      <c r="HZ370" s="509"/>
      <c r="IA370" s="509"/>
      <c r="IB370" s="509"/>
    </row>
    <row r="371" spans="1:236" s="563" customFormat="1" hidden="1" outlineLevel="2">
      <c r="A371" s="509"/>
      <c r="B371" s="509"/>
      <c r="C371" s="509"/>
      <c r="D371" s="509"/>
      <c r="E371" s="509"/>
      <c r="F371" s="509"/>
      <c r="G371" s="509"/>
      <c r="H371" s="509"/>
      <c r="I371" s="509"/>
      <c r="J371" s="509"/>
      <c r="K371" s="509"/>
      <c r="L371" s="509"/>
      <c r="M371" s="509"/>
      <c r="N371" s="509"/>
      <c r="O371" s="509"/>
      <c r="P371" s="509"/>
      <c r="Q371" s="509"/>
      <c r="R371" s="509"/>
      <c r="S371" s="509"/>
      <c r="T371" s="509"/>
      <c r="U371" s="509"/>
      <c r="V371" s="509"/>
      <c r="W371" s="509"/>
      <c r="X371" s="509"/>
      <c r="Y371" s="509"/>
      <c r="Z371" s="509"/>
      <c r="AA371" s="509"/>
      <c r="AB371" s="509"/>
      <c r="AC371" s="509"/>
      <c r="AD371" s="509"/>
      <c r="AE371" s="509"/>
      <c r="AF371" s="509"/>
      <c r="AG371" s="509"/>
      <c r="AH371" s="509"/>
      <c r="AI371" s="509"/>
      <c r="AJ371" s="509"/>
      <c r="AK371" s="509"/>
      <c r="AL371" s="509"/>
      <c r="AM371" s="509"/>
      <c r="AN371" s="509"/>
      <c r="AO371" s="538"/>
      <c r="AP371" s="509"/>
      <c r="AQ371" s="509"/>
      <c r="AR371" s="509"/>
      <c r="AS371" s="509"/>
      <c r="AT371" s="538"/>
      <c r="AU371" s="509"/>
      <c r="AV371" s="509"/>
      <c r="AW371" s="509"/>
      <c r="AX371" s="509"/>
      <c r="AY371" s="538"/>
      <c r="AZ371" s="509"/>
      <c r="BA371" s="509"/>
      <c r="BB371" s="509"/>
      <c r="BC371" s="509"/>
      <c r="BD371" s="538"/>
      <c r="BE371" s="509"/>
      <c r="BF371" s="509"/>
      <c r="BG371" s="509"/>
      <c r="BH371" s="509"/>
      <c r="BI371" s="538"/>
      <c r="BJ371" s="509"/>
      <c r="BK371" s="509"/>
      <c r="BL371" s="509"/>
      <c r="BM371" s="509"/>
      <c r="BN371" s="538"/>
      <c r="BO371" s="509"/>
      <c r="BP371" s="509"/>
      <c r="BQ371" s="509"/>
      <c r="BR371" s="509"/>
      <c r="BS371" s="538"/>
      <c r="BT371" s="509"/>
      <c r="BU371" s="509"/>
      <c r="BV371" s="509"/>
      <c r="BW371" s="509"/>
      <c r="BX371" s="538"/>
      <c r="BY371" s="509"/>
      <c r="BZ371" s="509"/>
      <c r="CA371" s="509"/>
      <c r="CB371" s="509"/>
      <c r="CC371" s="538"/>
      <c r="CD371" s="509"/>
      <c r="CE371" s="509"/>
      <c r="CF371" s="509"/>
      <c r="CG371" s="509"/>
      <c r="CH371" s="538"/>
      <c r="CI371" s="509"/>
      <c r="CJ371" s="509"/>
      <c r="CK371" s="509"/>
      <c r="CL371" s="509"/>
      <c r="CM371" s="538"/>
      <c r="CN371" s="509"/>
      <c r="CO371" s="509"/>
      <c r="CP371" s="509"/>
      <c r="CQ371" s="509"/>
      <c r="CR371" s="509"/>
      <c r="CS371" s="509"/>
      <c r="CT371" s="509"/>
      <c r="CU371" s="509"/>
      <c r="CV371" s="509"/>
      <c r="CW371" s="509"/>
      <c r="CX371" s="509"/>
      <c r="CY371" s="509"/>
      <c r="CZ371" s="509"/>
      <c r="DA371" s="509"/>
      <c r="DB371" s="538"/>
      <c r="DC371" s="509"/>
      <c r="DD371" s="509"/>
      <c r="DE371" s="509"/>
      <c r="DF371" s="509"/>
      <c r="DG371" s="538"/>
      <c r="DH371" s="509"/>
      <c r="DI371" s="509"/>
      <c r="DJ371" s="509"/>
      <c r="DK371" s="509"/>
      <c r="DL371" s="538"/>
      <c r="DM371" s="509"/>
      <c r="DN371" s="509"/>
      <c r="DO371" s="509"/>
      <c r="DP371" s="509"/>
      <c r="DQ371" s="538"/>
      <c r="DR371" s="509"/>
      <c r="DS371" s="509"/>
      <c r="DT371" s="509"/>
      <c r="DU371" s="509"/>
      <c r="DV371" s="538"/>
      <c r="DW371" s="509"/>
      <c r="DX371" s="509"/>
      <c r="DY371" s="509"/>
      <c r="DZ371" s="509"/>
      <c r="EA371" s="538"/>
      <c r="EB371" s="509"/>
      <c r="EC371" s="509"/>
      <c r="ED371" s="509"/>
      <c r="EE371" s="509"/>
      <c r="EF371" s="538"/>
      <c r="EG371" s="509"/>
      <c r="EH371" s="509"/>
      <c r="EI371" s="509"/>
      <c r="EJ371" s="509"/>
      <c r="EK371" s="538"/>
      <c r="EL371" s="509"/>
      <c r="EM371" s="509"/>
      <c r="EN371" s="509"/>
      <c r="EO371" s="509"/>
      <c r="EP371" s="538"/>
      <c r="EQ371" s="538"/>
      <c r="ER371" s="538"/>
      <c r="ES371" s="538"/>
      <c r="ET371" s="538"/>
      <c r="EU371" s="538"/>
      <c r="EV371" s="538"/>
      <c r="EW371" s="538"/>
      <c r="EX371" s="538"/>
      <c r="EY371" s="538"/>
      <c r="EZ371" s="538"/>
      <c r="FA371" s="538"/>
      <c r="FB371" s="538"/>
      <c r="FC371" s="538"/>
      <c r="FD371" s="538"/>
      <c r="FE371" s="538"/>
      <c r="FF371" s="538"/>
      <c r="FG371" s="538"/>
      <c r="FH371" s="538"/>
      <c r="FI371" s="538"/>
      <c r="FJ371" s="538"/>
      <c r="FK371" s="538"/>
      <c r="FL371" s="538"/>
      <c r="FM371" s="538"/>
      <c r="FN371" s="538"/>
      <c r="FO371" s="538"/>
      <c r="FP371" s="538"/>
      <c r="FQ371" s="538"/>
      <c r="FR371" s="538"/>
      <c r="FS371" s="538"/>
      <c r="FT371" s="538"/>
      <c r="FU371" s="538"/>
      <c r="FV371" s="538"/>
      <c r="FW371" s="538"/>
      <c r="FX371" s="538"/>
      <c r="FY371" s="538"/>
      <c r="FZ371" s="538"/>
      <c r="GA371" s="538"/>
      <c r="GB371" s="538"/>
      <c r="GC371" s="538"/>
      <c r="GD371" s="538"/>
      <c r="GE371" s="538"/>
      <c r="GF371" s="538"/>
      <c r="GG371" s="538"/>
      <c r="GH371" s="538"/>
      <c r="GI371" s="538"/>
      <c r="GJ371" s="538"/>
      <c r="GK371" s="538"/>
      <c r="GL371" s="538"/>
      <c r="GM371" s="538"/>
      <c r="GN371" s="538"/>
      <c r="GO371" s="538"/>
      <c r="GP371" s="538"/>
      <c r="GQ371" s="538"/>
      <c r="GR371" s="538"/>
      <c r="GS371" s="538"/>
      <c r="GT371" s="538"/>
      <c r="GU371" s="538"/>
      <c r="GV371" s="538"/>
      <c r="GW371" s="538"/>
      <c r="GX371" s="538"/>
      <c r="GY371" s="538"/>
      <c r="GZ371" s="538"/>
      <c r="HA371" s="538"/>
      <c r="HB371" s="538"/>
      <c r="HC371" s="538"/>
      <c r="HD371" s="538"/>
      <c r="HE371" s="538"/>
      <c r="HF371" s="538"/>
      <c r="HG371" s="538"/>
      <c r="HH371" s="538"/>
      <c r="HI371" s="538"/>
      <c r="HJ371" s="538"/>
      <c r="HK371" s="538"/>
      <c r="HL371" s="538"/>
      <c r="HM371" s="538"/>
      <c r="HN371" s="538"/>
      <c r="HO371" s="538"/>
      <c r="HQ371" s="509"/>
      <c r="HY371" s="509"/>
      <c r="HZ371" s="509"/>
      <c r="IA371" s="509"/>
      <c r="IB371" s="509"/>
    </row>
    <row r="372" spans="1:236" s="563" customFormat="1" hidden="1" outlineLevel="3">
      <c r="A372" s="538" t="s">
        <v>553</v>
      </c>
      <c r="B372" s="509"/>
      <c r="C372" s="509"/>
      <c r="D372" s="509"/>
      <c r="E372" s="509"/>
      <c r="F372" s="509"/>
      <c r="G372" s="509"/>
      <c r="H372" s="509"/>
      <c r="I372" s="509"/>
      <c r="J372" s="509"/>
      <c r="K372" s="509"/>
      <c r="L372" s="523"/>
      <c r="M372" s="523"/>
      <c r="N372" s="523"/>
      <c r="O372" s="523"/>
      <c r="P372" s="524"/>
      <c r="Q372" s="619"/>
      <c r="R372" s="619"/>
      <c r="S372" s="619"/>
      <c r="T372" s="619"/>
      <c r="U372" s="541"/>
      <c r="V372" s="619"/>
      <c r="W372" s="619"/>
      <c r="X372" s="619"/>
      <c r="Y372" s="619"/>
      <c r="Z372" s="541"/>
      <c r="AA372" s="619"/>
      <c r="AB372" s="619"/>
      <c r="AC372" s="619"/>
      <c r="AD372" s="619"/>
      <c r="AE372" s="541"/>
      <c r="AF372" s="523"/>
      <c r="AG372" s="523"/>
      <c r="AH372" s="523"/>
      <c r="AI372" s="523"/>
      <c r="AJ372" s="541"/>
      <c r="AK372" s="523"/>
      <c r="AL372" s="523"/>
      <c r="AM372" s="523"/>
      <c r="AN372" s="523"/>
      <c r="AO372" s="541"/>
      <c r="AP372" s="523"/>
      <c r="AQ372" s="523"/>
      <c r="AR372" s="523"/>
      <c r="AS372" s="523"/>
      <c r="AT372" s="541"/>
      <c r="AU372" s="523"/>
      <c r="AV372" s="523"/>
      <c r="AW372" s="523"/>
      <c r="AX372" s="523"/>
      <c r="AY372" s="541"/>
      <c r="AZ372" s="523"/>
      <c r="BA372" s="523"/>
      <c r="BB372" s="523"/>
      <c r="BC372" s="523"/>
      <c r="BD372" s="541"/>
      <c r="BE372" s="523"/>
      <c r="BF372" s="523"/>
      <c r="BG372" s="523"/>
      <c r="BH372" s="523"/>
      <c r="BI372" s="541"/>
      <c r="BJ372" s="523"/>
      <c r="BK372" s="523"/>
      <c r="BL372" s="523"/>
      <c r="BM372" s="523"/>
      <c r="BN372" s="541"/>
      <c r="BO372" s="523"/>
      <c r="BP372" s="523"/>
      <c r="BQ372" s="523"/>
      <c r="BR372" s="523"/>
      <c r="BS372" s="541"/>
      <c r="BT372" s="648"/>
      <c r="BU372" s="648"/>
      <c r="BV372" s="648"/>
      <c r="BW372" s="648"/>
      <c r="BX372" s="648"/>
      <c r="BY372" s="340"/>
      <c r="BZ372" s="340"/>
      <c r="CA372" s="340"/>
      <c r="CB372" s="340"/>
      <c r="CC372" s="321"/>
      <c r="CD372" s="340"/>
      <c r="CE372" s="340"/>
      <c r="CF372" s="340"/>
      <c r="CG372" s="340"/>
      <c r="CH372" s="321"/>
      <c r="CI372" s="340"/>
      <c r="CJ372" s="340"/>
      <c r="CK372" s="340"/>
      <c r="CL372" s="340"/>
      <c r="CM372" s="321"/>
      <c r="CN372" s="340"/>
      <c r="CO372" s="340"/>
      <c r="CP372" s="340"/>
      <c r="CQ372" s="340"/>
      <c r="CR372" s="321"/>
      <c r="CS372" s="340"/>
      <c r="CT372" s="340"/>
      <c r="CU372" s="340"/>
      <c r="CV372" s="340"/>
      <c r="CW372" s="321"/>
      <c r="CX372" s="340"/>
      <c r="CY372" s="340"/>
      <c r="CZ372" s="340"/>
      <c r="DA372" s="340"/>
      <c r="DB372" s="321"/>
      <c r="DC372" s="340"/>
      <c r="DD372" s="340"/>
      <c r="DE372" s="340"/>
      <c r="DF372" s="340"/>
      <c r="DG372" s="321"/>
      <c r="DH372" s="340"/>
      <c r="DI372" s="340"/>
      <c r="DJ372" s="340"/>
      <c r="DK372" s="340"/>
      <c r="DL372" s="321"/>
      <c r="DM372" s="340"/>
      <c r="DN372" s="340"/>
      <c r="DO372" s="340"/>
      <c r="DP372" s="648"/>
      <c r="DQ372" s="648"/>
      <c r="DR372" s="648"/>
      <c r="DS372" s="867"/>
      <c r="DT372" s="648"/>
      <c r="DU372" s="340"/>
      <c r="DV372" s="321"/>
      <c r="DW372" s="648"/>
      <c r="DX372" s="648"/>
      <c r="DY372" s="648"/>
      <c r="DZ372" s="340"/>
      <c r="EA372" s="321"/>
      <c r="EB372" s="648"/>
      <c r="EC372" s="648"/>
      <c r="ED372" s="648"/>
      <c r="EE372" s="340"/>
      <c r="EF372" s="321"/>
      <c r="EG372" s="648"/>
      <c r="EH372" s="648"/>
      <c r="EI372" s="648"/>
      <c r="EJ372" s="340"/>
      <c r="EK372" s="321"/>
      <c r="EL372" s="648"/>
      <c r="EM372" s="648"/>
      <c r="EN372" s="648"/>
      <c r="EO372" s="340"/>
      <c r="EP372" s="321"/>
      <c r="EQ372" s="648"/>
      <c r="ER372" s="648"/>
      <c r="ES372" s="648"/>
      <c r="ET372" s="340"/>
      <c r="EU372" s="321"/>
      <c r="EV372" s="648"/>
      <c r="EW372" s="648"/>
      <c r="EX372" s="648"/>
      <c r="EY372" s="340"/>
      <c r="EZ372" s="321"/>
      <c r="FA372" s="648"/>
      <c r="FB372" s="648"/>
      <c r="FC372" s="648"/>
      <c r="FD372" s="340"/>
      <c r="FE372" s="321"/>
      <c r="FF372" s="648"/>
      <c r="FG372" s="648"/>
      <c r="FH372" s="648"/>
      <c r="FI372" s="340"/>
      <c r="FJ372" s="321"/>
      <c r="FK372" s="321"/>
      <c r="FL372" s="321"/>
      <c r="FM372" s="321"/>
      <c r="FN372" s="321"/>
      <c r="FO372" s="321"/>
      <c r="FP372" s="321"/>
      <c r="FQ372" s="321"/>
      <c r="FR372" s="321"/>
      <c r="FS372" s="712"/>
      <c r="FT372" s="321"/>
      <c r="FU372" s="321"/>
      <c r="FV372" s="321"/>
      <c r="FW372" s="321"/>
      <c r="FX372" s="321"/>
      <c r="FY372" s="321"/>
      <c r="FZ372" s="321"/>
      <c r="GA372" s="321"/>
      <c r="GB372" s="321"/>
      <c r="GC372" s="321"/>
      <c r="GD372" s="321"/>
      <c r="GE372" s="321"/>
      <c r="GF372" s="321"/>
      <c r="GG372" s="321"/>
      <c r="GH372" s="321"/>
      <c r="GI372" s="321"/>
      <c r="GJ372" s="321"/>
      <c r="GK372" s="321"/>
      <c r="GL372" s="321"/>
      <c r="GM372" s="321"/>
      <c r="GN372" s="321"/>
      <c r="GO372" s="321"/>
      <c r="GP372" s="321"/>
      <c r="GQ372" s="321"/>
      <c r="GR372" s="321"/>
      <c r="GS372" s="321"/>
      <c r="GT372" s="321"/>
      <c r="GU372" s="321"/>
      <c r="GV372" s="321"/>
      <c r="GW372" s="321"/>
      <c r="GX372" s="321"/>
      <c r="GY372" s="321"/>
      <c r="GZ372" s="321"/>
      <c r="HA372" s="321"/>
      <c r="HB372" s="321"/>
      <c r="HC372" s="321"/>
      <c r="HD372" s="321"/>
      <c r="HE372" s="321"/>
      <c r="HF372" s="321"/>
      <c r="HG372" s="321"/>
      <c r="HH372" s="321"/>
      <c r="HI372" s="321"/>
      <c r="HJ372" s="321"/>
      <c r="HK372" s="321"/>
      <c r="HL372" s="321"/>
      <c r="HM372" s="321"/>
      <c r="HN372" s="321"/>
      <c r="HO372" s="344"/>
      <c r="HP372" s="293"/>
      <c r="HQ372" s="342"/>
      <c r="HR372" s="293"/>
      <c r="HS372" s="343"/>
      <c r="HY372" s="509"/>
      <c r="HZ372" s="509"/>
      <c r="IA372" s="509"/>
      <c r="IB372" s="509"/>
    </row>
    <row r="373" spans="1:236" s="563" customFormat="1" hidden="1" outlineLevel="3">
      <c r="A373" s="509" t="s">
        <v>487</v>
      </c>
      <c r="B373" s="509"/>
      <c r="C373" s="509"/>
      <c r="D373" s="509"/>
      <c r="E373" s="509"/>
      <c r="F373" s="509"/>
      <c r="G373" s="509"/>
      <c r="H373" s="509"/>
      <c r="I373" s="509"/>
      <c r="J373" s="509"/>
      <c r="K373" s="509"/>
      <c r="L373" s="523"/>
      <c r="M373" s="523"/>
      <c r="N373" s="523"/>
      <c r="O373" s="523"/>
      <c r="P373" s="524"/>
      <c r="Q373" s="619"/>
      <c r="R373" s="619"/>
      <c r="S373" s="619"/>
      <c r="T373" s="619"/>
      <c r="U373" s="541"/>
      <c r="V373" s="619"/>
      <c r="W373" s="619"/>
      <c r="X373" s="619"/>
      <c r="Y373" s="619"/>
      <c r="Z373" s="541"/>
      <c r="AA373" s="619"/>
      <c r="AB373" s="619"/>
      <c r="AC373" s="619"/>
      <c r="AD373" s="619"/>
      <c r="AE373" s="541"/>
      <c r="AF373" s="523"/>
      <c r="AG373" s="523"/>
      <c r="AH373" s="523"/>
      <c r="AI373" s="523"/>
      <c r="AJ373" s="541"/>
      <c r="AK373" s="523"/>
      <c r="AL373" s="523"/>
      <c r="AM373" s="523"/>
      <c r="AN373" s="523"/>
      <c r="AO373" s="541"/>
      <c r="AP373" s="523"/>
      <c r="AQ373" s="523"/>
      <c r="AR373" s="523"/>
      <c r="AS373" s="523"/>
      <c r="AT373" s="541"/>
      <c r="AU373" s="523"/>
      <c r="AV373" s="523"/>
      <c r="AW373" s="523"/>
      <c r="AX373" s="523"/>
      <c r="AY373" s="541"/>
      <c r="AZ373" s="523"/>
      <c r="BA373" s="523"/>
      <c r="BB373" s="523"/>
      <c r="BC373" s="523"/>
      <c r="BD373" s="541"/>
      <c r="BE373" s="523"/>
      <c r="BF373" s="523"/>
      <c r="BG373" s="523"/>
      <c r="BH373" s="523"/>
      <c r="BI373" s="541"/>
      <c r="BJ373" s="523"/>
      <c r="BK373" s="523"/>
      <c r="BL373" s="523"/>
      <c r="BM373" s="523"/>
      <c r="BN373" s="541"/>
      <c r="BO373" s="523"/>
      <c r="BP373" s="523"/>
      <c r="BQ373" s="523"/>
      <c r="BR373" s="523"/>
      <c r="BS373" s="541"/>
      <c r="BT373" s="523">
        <f>SUM(BT181,BT191)</f>
        <v>6495</v>
      </c>
      <c r="BU373" s="523">
        <f>SUM(BU181,BU191)</f>
        <v>7629</v>
      </c>
      <c r="BV373" s="523">
        <f>SUM(BV181,BV191)</f>
        <v>7748</v>
      </c>
      <c r="BW373" s="523">
        <f>SUM(BW181,BW191)</f>
        <v>7761</v>
      </c>
      <c r="BX373" s="542">
        <f>SUM(BT373:BW373)</f>
        <v>29633</v>
      </c>
      <c r="BY373" s="523">
        <f>SUM(BY181,BY191)</f>
        <v>7883</v>
      </c>
      <c r="BZ373" s="523">
        <f>SUM(BZ181,BZ191)</f>
        <v>6054</v>
      </c>
      <c r="CA373" s="523">
        <f>SUM(CA181,CA191)</f>
        <v>4584</v>
      </c>
      <c r="CB373" s="523">
        <f>SUM(CB181,CB191)</f>
        <v>6207</v>
      </c>
      <c r="CC373" s="542">
        <f>SUM(BY373:CB373)</f>
        <v>24728</v>
      </c>
      <c r="CD373" s="523">
        <f>SUM(CD181,CD191)</f>
        <v>7199</v>
      </c>
      <c r="CE373" s="523">
        <f>SUM(CE181,CE191)</f>
        <v>6653</v>
      </c>
      <c r="CF373" s="523">
        <f>SUM(CF181,CF191)</f>
        <v>7258</v>
      </c>
      <c r="CG373" s="523">
        <f>SUM(CG181,CG191)</f>
        <v>7730</v>
      </c>
      <c r="CH373" s="542">
        <f>SUM(CD373:CG373)</f>
        <v>28840</v>
      </c>
      <c r="CI373" s="523">
        <f>SUM(CI181,CI191)</f>
        <v>7168</v>
      </c>
      <c r="CJ373" s="523">
        <f>SUM(CJ181,CJ191)</f>
        <v>7175</v>
      </c>
      <c r="CK373" s="523">
        <f>SUM(CK181,CK191)</f>
        <v>7695</v>
      </c>
      <c r="CL373" s="523">
        <f>SUM(CL181,CL191)</f>
        <v>9030</v>
      </c>
      <c r="CM373" s="542">
        <f>SUM(CI373:CL373)</f>
        <v>31068</v>
      </c>
      <c r="CN373" s="523">
        <f>SUM(CN181,CN191)</f>
        <v>9095</v>
      </c>
      <c r="CO373" s="523">
        <f>SUM(CO181,CO191)</f>
        <v>8620</v>
      </c>
      <c r="CP373" s="523">
        <f>SUM(CP181,CP191)</f>
        <v>10594.98344370861</v>
      </c>
      <c r="CQ373" s="523">
        <f>SUM(CQ181,CQ191)</f>
        <v>13535</v>
      </c>
      <c r="CR373" s="542">
        <f>SUM(CN373:CQ373)</f>
        <v>41844.98344370861</v>
      </c>
      <c r="CS373" s="523">
        <f>SUM(CS181,CS191)</f>
        <v>12530</v>
      </c>
      <c r="CT373" s="523">
        <f>SUM(CT181,CT191)</f>
        <v>11765</v>
      </c>
      <c r="CU373" s="523">
        <f>SUM(CU181,CU191)</f>
        <v>14025.014999999999</v>
      </c>
      <c r="CV373" s="523">
        <f>SUM(CV181,CV191)</f>
        <v>16817.223149999998</v>
      </c>
      <c r="CW373" s="542">
        <f>SUM(CS373:CV373)</f>
        <v>55137.238149999997</v>
      </c>
      <c r="CX373" s="523">
        <f>SUM(CX181,CX191)</f>
        <v>10670</v>
      </c>
      <c r="CY373" s="523">
        <f>SUM(CY181,CY191)</f>
        <v>14875</v>
      </c>
      <c r="CZ373" s="523">
        <f>SUM(CZ181,CZ191)</f>
        <v>17331</v>
      </c>
      <c r="DA373" s="523">
        <f>SUM(DA181,DA191)</f>
        <v>18448</v>
      </c>
      <c r="DB373" s="542">
        <f>SUM(CX373:DA373)</f>
        <v>61324</v>
      </c>
      <c r="DC373" s="523">
        <f>SUM(DC181,DC191)</f>
        <v>15177</v>
      </c>
      <c r="DD373" s="523">
        <f>SUM(DD181,DD191)</f>
        <v>14723</v>
      </c>
      <c r="DE373" s="523">
        <f>SUM(DE181,DE191)</f>
        <v>15798</v>
      </c>
      <c r="DF373" s="523">
        <f>SUM(DF181,DF191)</f>
        <v>12505</v>
      </c>
      <c r="DG373" s="542">
        <f>SUM(DC373:DF373)</f>
        <v>58203</v>
      </c>
      <c r="DH373" s="523">
        <f>SUM(DH181,DH191)</f>
        <v>14222</v>
      </c>
      <c r="DI373" s="523">
        <f>SUM(DI181,DI191)</f>
        <v>14440</v>
      </c>
      <c r="DJ373" s="523">
        <f>SUM(DJ181,DJ191)</f>
        <v>16200</v>
      </c>
      <c r="DK373" s="523">
        <f>SUM(DK181,DK191)</f>
        <v>18140</v>
      </c>
      <c r="DL373" s="542">
        <f>SUM(DH373:DK373)</f>
        <v>63002</v>
      </c>
      <c r="DM373" s="523">
        <f>SUM(DM181,DM191)</f>
        <v>16662</v>
      </c>
      <c r="DN373" s="523">
        <f>SUM(DN181,DN191)</f>
        <v>17265</v>
      </c>
      <c r="DO373" s="523">
        <f>SUM(DO181,DO191)</f>
        <v>18072</v>
      </c>
      <c r="DP373" s="523">
        <f>SUM(DP181,DP191)</f>
        <v>17867</v>
      </c>
      <c r="DQ373" s="542">
        <f>SUM(DM373:DP373)</f>
        <v>69866</v>
      </c>
      <c r="DR373" s="523">
        <f>SUM(DR181,DR191)</f>
        <v>18072</v>
      </c>
      <c r="DS373" s="523">
        <f>SUM(DS181,DS191)</f>
        <v>18957</v>
      </c>
      <c r="DT373" s="523">
        <f>SUM(DT181,DT191)</f>
        <v>19592</v>
      </c>
      <c r="DU373" s="523">
        <f>SUM(DU181,DU191)</f>
        <v>18776</v>
      </c>
      <c r="DV373" s="542">
        <f>SUM(DR373:DU373)</f>
        <v>75397</v>
      </c>
      <c r="DW373" s="523">
        <f>SUM(DW181,DW191)</f>
        <v>18582</v>
      </c>
      <c r="DX373" s="523">
        <f>SUM(DX181,DX191)</f>
        <v>17126</v>
      </c>
      <c r="DY373" s="523">
        <f>SUM(DY181,DY191)</f>
        <v>15191</v>
      </c>
      <c r="DZ373" s="523">
        <f>SUM(DZ181,DZ191)</f>
        <v>12981</v>
      </c>
      <c r="EA373" s="542">
        <f>SUM(DW373:DZ373)</f>
        <v>63880</v>
      </c>
      <c r="EB373" s="523">
        <f>SUM(EB181,EB191)</f>
        <v>11606</v>
      </c>
      <c r="EC373" s="523">
        <f>SUM(EC181,EC191)</f>
        <v>14683</v>
      </c>
      <c r="ED373" s="523">
        <f>SUM(ED181,ED191)</f>
        <v>14626</v>
      </c>
      <c r="EE373" s="523">
        <f>SUM(EE181,EE191)</f>
        <v>12565</v>
      </c>
      <c r="EF373" s="542">
        <f>SUM(EB373:EE373)</f>
        <v>53480</v>
      </c>
      <c r="EG373" s="523">
        <f>SUM(EG181,EG191)</f>
        <v>10860</v>
      </c>
      <c r="EH373" s="523">
        <f>SUM(EH181,EH191)</f>
        <v>11307</v>
      </c>
      <c r="EI373" s="523">
        <f>SUM(EI181,EI191)</f>
        <v>11330</v>
      </c>
      <c r="EJ373" s="523">
        <f>SUM(EJ181,EJ191)</f>
        <v>9279</v>
      </c>
      <c r="EK373" s="542">
        <f>SUM(EG373:EJ373)</f>
        <v>42776</v>
      </c>
      <c r="EL373" s="523">
        <f>SUM(EL181,EL191)</f>
        <v>7421</v>
      </c>
      <c r="EM373" s="523">
        <f>SUM(EM181,EM191)</f>
        <v>4877</v>
      </c>
      <c r="EN373" s="523">
        <f>SUM(EN181,EN191)</f>
        <v>5190</v>
      </c>
      <c r="EO373" s="523">
        <f>SUM(EO181,EO191)</f>
        <v>5377.96</v>
      </c>
      <c r="EP373" s="542">
        <f>SUM(EL373:EO373)</f>
        <v>22865.96</v>
      </c>
      <c r="EQ373" s="523">
        <f>SUM(EQ181,EQ191)</f>
        <v>5216.6211999999996</v>
      </c>
      <c r="ER373" s="523">
        <f>SUM(ER181,ER191)</f>
        <v>5477.45226</v>
      </c>
      <c r="ES373" s="523">
        <f>SUM(ES181,ES191)</f>
        <v>5806.0993956000002</v>
      </c>
      <c r="ET373" s="523">
        <f>SUM(ET181,ET191)</f>
        <v>5980.282377468</v>
      </c>
      <c r="EU373" s="542">
        <f>SUM(EQ373:ET373)</f>
        <v>22480.455233068002</v>
      </c>
      <c r="EV373" s="668"/>
      <c r="EW373" s="668"/>
      <c r="EX373" s="668"/>
      <c r="EY373" s="668"/>
      <c r="EZ373" s="668"/>
      <c r="FA373" s="668"/>
      <c r="FB373" s="668"/>
      <c r="FC373" s="668"/>
      <c r="FD373" s="668"/>
      <c r="FE373" s="668"/>
      <c r="FF373" s="668"/>
      <c r="FG373" s="668"/>
      <c r="FH373" s="668"/>
      <c r="FI373" s="668"/>
      <c r="FJ373" s="668"/>
      <c r="FK373" s="668"/>
      <c r="FL373" s="668"/>
      <c r="FM373" s="668"/>
      <c r="FN373" s="668"/>
      <c r="FO373" s="668"/>
      <c r="FP373" s="668"/>
      <c r="FQ373" s="668"/>
      <c r="FR373" s="668"/>
      <c r="FS373" s="668"/>
      <c r="FT373" s="668"/>
      <c r="FU373" s="668"/>
      <c r="FV373" s="668"/>
      <c r="FW373" s="668"/>
      <c r="FX373" s="668"/>
      <c r="FY373" s="668"/>
      <c r="FZ373" s="668"/>
      <c r="GA373" s="668"/>
      <c r="GB373" s="668"/>
      <c r="GC373" s="668"/>
      <c r="GD373" s="668"/>
      <c r="GE373" s="668"/>
      <c r="GF373" s="668"/>
      <c r="GG373" s="668"/>
      <c r="GH373" s="668"/>
      <c r="GI373" s="668"/>
      <c r="GJ373" s="668"/>
      <c r="GK373" s="668"/>
      <c r="GL373" s="668"/>
      <c r="GM373" s="668"/>
      <c r="GN373" s="668"/>
      <c r="GO373" s="668"/>
      <c r="GP373" s="668"/>
      <c r="GQ373" s="668"/>
      <c r="GR373" s="668"/>
      <c r="GS373" s="668"/>
      <c r="GT373" s="668"/>
      <c r="GU373" s="668"/>
      <c r="GV373" s="668"/>
      <c r="GW373" s="668"/>
      <c r="GX373" s="668"/>
      <c r="GY373" s="668"/>
      <c r="GZ373" s="668"/>
      <c r="HA373" s="668"/>
      <c r="HB373" s="668"/>
      <c r="HC373" s="668"/>
      <c r="HD373" s="668"/>
      <c r="HE373" s="668"/>
      <c r="HF373" s="668"/>
      <c r="HG373" s="668"/>
      <c r="HH373" s="668"/>
      <c r="HI373" s="668"/>
      <c r="HJ373" s="668"/>
      <c r="HK373" s="668"/>
      <c r="HL373" s="668"/>
      <c r="HM373" s="668"/>
      <c r="HN373" s="668"/>
      <c r="HO373" s="542"/>
      <c r="HP373" s="293"/>
      <c r="HQ373" s="342"/>
      <c r="HR373" s="293"/>
      <c r="HS373" s="343"/>
      <c r="HY373" s="509"/>
      <c r="HZ373" s="509"/>
      <c r="IA373" s="509"/>
      <c r="IB373" s="509"/>
    </row>
    <row r="374" spans="1:236" s="563" customFormat="1" hidden="1" outlineLevel="3">
      <c r="A374" s="509" t="s">
        <v>488</v>
      </c>
      <c r="B374" s="509"/>
      <c r="C374" s="509"/>
      <c r="D374" s="509"/>
      <c r="E374" s="509"/>
      <c r="F374" s="509"/>
      <c r="G374" s="509"/>
      <c r="H374" s="509"/>
      <c r="I374" s="509"/>
      <c r="J374" s="509"/>
      <c r="K374" s="509"/>
      <c r="L374" s="523"/>
      <c r="M374" s="523"/>
      <c r="N374" s="523"/>
      <c r="O374" s="523"/>
      <c r="P374" s="524"/>
      <c r="Q374" s="619"/>
      <c r="R374" s="619"/>
      <c r="S374" s="619"/>
      <c r="T374" s="619"/>
      <c r="U374" s="541"/>
      <c r="V374" s="619"/>
      <c r="W374" s="619"/>
      <c r="X374" s="619"/>
      <c r="Y374" s="619"/>
      <c r="Z374" s="541"/>
      <c r="AA374" s="619"/>
      <c r="AB374" s="619"/>
      <c r="AC374" s="619"/>
      <c r="AD374" s="619"/>
      <c r="AE374" s="541"/>
      <c r="AF374" s="523"/>
      <c r="AG374" s="523"/>
      <c r="AH374" s="523"/>
      <c r="AI374" s="523"/>
      <c r="AJ374" s="541"/>
      <c r="AK374" s="523"/>
      <c r="AL374" s="523"/>
      <c r="AM374" s="523"/>
      <c r="AN374" s="523"/>
      <c r="AO374" s="541"/>
      <c r="AP374" s="523"/>
      <c r="AQ374" s="523"/>
      <c r="AR374" s="523"/>
      <c r="AS374" s="523"/>
      <c r="AT374" s="541"/>
      <c r="AU374" s="523"/>
      <c r="AV374" s="523"/>
      <c r="AW374" s="523"/>
      <c r="AX374" s="523"/>
      <c r="AY374" s="541"/>
      <c r="AZ374" s="523"/>
      <c r="BA374" s="523"/>
      <c r="BB374" s="523"/>
      <c r="BC374" s="523"/>
      <c r="BD374" s="541"/>
      <c r="BE374" s="523"/>
      <c r="BF374" s="523"/>
      <c r="BG374" s="523"/>
      <c r="BH374" s="523"/>
      <c r="BI374" s="541"/>
      <c r="BJ374" s="523"/>
      <c r="BK374" s="523"/>
      <c r="BL374" s="523"/>
      <c r="BM374" s="523"/>
      <c r="BN374" s="541"/>
      <c r="BO374" s="523"/>
      <c r="BP374" s="523"/>
      <c r="BQ374" s="523"/>
      <c r="BR374" s="523"/>
      <c r="BS374" s="541"/>
      <c r="BT374" s="672"/>
      <c r="BU374" s="340">
        <f>(BU373/BT373)-1</f>
        <v>0.17459584295612007</v>
      </c>
      <c r="BV374" s="340">
        <f>(BV373/BU373)-1</f>
        <v>1.5598374623148503E-2</v>
      </c>
      <c r="BW374" s="340">
        <f>(BW373/BV373)-1</f>
        <v>1.6778523489933139E-3</v>
      </c>
      <c r="BX374" s="648" t="s">
        <v>199</v>
      </c>
      <c r="BY374" s="672">
        <f>(BY373-BW373)/BW373</f>
        <v>1.5719623759824764E-2</v>
      </c>
      <c r="BZ374" s="340">
        <f>(BZ373/BY373)-1</f>
        <v>-0.23201826715717366</v>
      </c>
      <c r="CA374" s="340">
        <f>(CA373/BZ373)-1</f>
        <v>-0.24281466798810702</v>
      </c>
      <c r="CB374" s="340">
        <f>(CB373/CA373)-1</f>
        <v>0.35405759162303663</v>
      </c>
      <c r="CC374" s="648" t="s">
        <v>199</v>
      </c>
      <c r="CD374" s="672">
        <f>(CD373-CB373)/CB373</f>
        <v>0.15981955856291283</v>
      </c>
      <c r="CE374" s="340">
        <f>(CE373/CD373)-1</f>
        <v>-7.5843867203778337E-2</v>
      </c>
      <c r="CF374" s="340">
        <f>(CF373/CE373)-1</f>
        <v>9.0936419660303525E-2</v>
      </c>
      <c r="CG374" s="340">
        <f>(CG373/CF373)-1</f>
        <v>6.503168917057045E-2</v>
      </c>
      <c r="CH374" s="648" t="s">
        <v>199</v>
      </c>
      <c r="CI374" s="672">
        <f>(CI373-CG373)/CG373</f>
        <v>-7.2703751617076331E-2</v>
      </c>
      <c r="CJ374" s="340">
        <f>(CJ373/CI373)-1</f>
        <v>9.765625E-4</v>
      </c>
      <c r="CK374" s="340">
        <f>(CK373/CJ373)-1</f>
        <v>7.2473867595818753E-2</v>
      </c>
      <c r="CL374" s="340">
        <f>(CL373/CK373)-1</f>
        <v>0.17348927875243669</v>
      </c>
      <c r="CM374" s="648" t="s">
        <v>199</v>
      </c>
      <c r="CN374" s="672">
        <f>(CN373-CL373)/CL373</f>
        <v>7.1982281284606866E-3</v>
      </c>
      <c r="CO374" s="340">
        <f>(CO373/CN373)-1</f>
        <v>-5.2226498075865879E-2</v>
      </c>
      <c r="CP374" s="340">
        <f>(CP373/CO373)-1</f>
        <v>0.2291164087829014</v>
      </c>
      <c r="CQ374" s="340">
        <f>(CQ373/CP373)-1</f>
        <v>0.27749137805752744</v>
      </c>
      <c r="CR374" s="648" t="s">
        <v>199</v>
      </c>
      <c r="CS374" s="672">
        <f>(CS373-CQ373)/CQ373</f>
        <v>-7.4251939416328044E-2</v>
      </c>
      <c r="CT374" s="340">
        <f>(CT373/CS373)-1</f>
        <v>-6.1053471667996795E-2</v>
      </c>
      <c r="CU374" s="340">
        <f>(CU373/CT373)-1</f>
        <v>0.1920964725881853</v>
      </c>
      <c r="CV374" s="340">
        <f>(CV373/CU373)-1</f>
        <v>0.19908771220565535</v>
      </c>
      <c r="CW374" s="648" t="s">
        <v>199</v>
      </c>
      <c r="CX374" s="672">
        <f>(CX373-CV373)/CV373</f>
        <v>-0.36553140165711595</v>
      </c>
      <c r="CY374" s="340">
        <f>(CY373/CX373)-1</f>
        <v>0.39409559512652304</v>
      </c>
      <c r="CZ374" s="340">
        <f>(CZ373/CY373)-1</f>
        <v>0.16510924369747904</v>
      </c>
      <c r="DA374" s="340">
        <f>(DA373/CZ373)-1</f>
        <v>6.4450983786279004E-2</v>
      </c>
      <c r="DB374" s="648" t="s">
        <v>199</v>
      </c>
      <c r="DC374" s="672">
        <f>(DC373-DA373)/DA373</f>
        <v>-0.17730919340849957</v>
      </c>
      <c r="DD374" s="340">
        <f>(DD373/DC373)-1</f>
        <v>-2.9913685181524707E-2</v>
      </c>
      <c r="DE374" s="340">
        <f>(DE373/DD373)-1</f>
        <v>7.3015010527745616E-2</v>
      </c>
      <c r="DF374" s="340">
        <f>(DF373/DE373)-1</f>
        <v>-0.20844410684896819</v>
      </c>
      <c r="DG374" s="648" t="s">
        <v>199</v>
      </c>
      <c r="DH374" s="672">
        <f>(DH373-DF373)/DF373</f>
        <v>0.13730507796881247</v>
      </c>
      <c r="DI374" s="340">
        <f>(DI373/DH373)-1</f>
        <v>1.5328364505695413E-2</v>
      </c>
      <c r="DJ374" s="340">
        <f>(DJ373/DI373)-1</f>
        <v>0.12188365650969524</v>
      </c>
      <c r="DK374" s="340">
        <f>(DK373/DJ373)-1</f>
        <v>0.11975308641975313</v>
      </c>
      <c r="DL374" s="648" t="s">
        <v>199</v>
      </c>
      <c r="DM374" s="672">
        <f>(DM373-DK373)/DK373</f>
        <v>-8.1477398015435507E-2</v>
      </c>
      <c r="DN374" s="340">
        <f>(DN373/DM373)-1</f>
        <v>3.6190133237306465E-2</v>
      </c>
      <c r="DO374" s="340">
        <f>(DO373/DN373)-1</f>
        <v>4.6741963509991269E-2</v>
      </c>
      <c r="DP374" s="340">
        <f>(DP373/DO373)-1</f>
        <v>-1.1343514829570633E-2</v>
      </c>
      <c r="DQ374" s="648" t="s">
        <v>199</v>
      </c>
      <c r="DR374" s="672">
        <f>(DR373-DP373)/DP373</f>
        <v>1.1473666536072088E-2</v>
      </c>
      <c r="DS374" s="340">
        <f>(DS373/DR373)-1</f>
        <v>4.8970783532536588E-2</v>
      </c>
      <c r="DT374" s="340">
        <f>(DT373/DS373)-1</f>
        <v>3.3496861317719118E-2</v>
      </c>
      <c r="DU374" s="340">
        <f>(DU373/DT373)-1</f>
        <v>-4.1649652919559021E-2</v>
      </c>
      <c r="DV374" s="648" t="s">
        <v>199</v>
      </c>
      <c r="DW374" s="672">
        <f>(DW373-DU373)/DU373</f>
        <v>-1.0332339156369833E-2</v>
      </c>
      <c r="DX374" s="672">
        <f>(DX373/DW373)-1</f>
        <v>-7.835539769669575E-2</v>
      </c>
      <c r="DY374" s="340">
        <f>(DY373/DX373)-1</f>
        <v>-0.11298610300128464</v>
      </c>
      <c r="DZ374" s="340">
        <f>(DZ373/DY373)-1</f>
        <v>-0.14548087683496802</v>
      </c>
      <c r="EA374" s="648" t="s">
        <v>199</v>
      </c>
      <c r="EB374" s="672">
        <f>(EB373-DZ373)/DZ373</f>
        <v>-0.10592404283183114</v>
      </c>
      <c r="EC374" s="340">
        <f>(EC373/EB373)-1</f>
        <v>0.26512148888505949</v>
      </c>
      <c r="ED374" s="340">
        <f>(ED373/EC373)-1</f>
        <v>-3.8820404549478882E-3</v>
      </c>
      <c r="EE374" s="340">
        <f>(EE373/ED373)-1</f>
        <v>-0.14091344181594423</v>
      </c>
      <c r="EF374" s="648" t="s">
        <v>199</v>
      </c>
      <c r="EG374" s="672">
        <f>(EG373-EE373)/EE373</f>
        <v>-0.13569438917628332</v>
      </c>
      <c r="EH374" s="340">
        <f>(EH373/EG373)-1</f>
        <v>4.1160220994475027E-2</v>
      </c>
      <c r="EI374" s="342">
        <f>(EI373/EH373)-1</f>
        <v>2.0341381445121431E-3</v>
      </c>
      <c r="EJ374" s="340">
        <f>(EJ373/EI373)-1</f>
        <v>-0.18102383053839366</v>
      </c>
      <c r="EK374" s="648" t="s">
        <v>199</v>
      </c>
      <c r="EL374" s="672">
        <f>(EL373-EJ373)/EJ373</f>
        <v>-0.20023709451449509</v>
      </c>
      <c r="EM374" s="340">
        <f>(EM373/EL373)-1</f>
        <v>-0.34281094192157391</v>
      </c>
      <c r="EN374" s="340">
        <f>(EN373/EM373)-1</f>
        <v>6.4178798441664853E-2</v>
      </c>
      <c r="EO374" s="340">
        <f>(EO373/EN373)-1</f>
        <v>3.6215799614643496E-2</v>
      </c>
      <c r="EP374" s="648" t="s">
        <v>199</v>
      </c>
      <c r="EQ374" s="672">
        <f>(EQ373-EO373)/EO373</f>
        <v>-3.0000000000000082E-2</v>
      </c>
      <c r="ER374" s="340">
        <f>(ER373/EQ373)-1</f>
        <v>5.0000000000000044E-2</v>
      </c>
      <c r="ES374" s="340">
        <f>(ES373/ER373)-1</f>
        <v>6.0000000000000053E-2</v>
      </c>
      <c r="ET374" s="340">
        <f>(ET373/ES373)-1</f>
        <v>3.0000000000000027E-2</v>
      </c>
      <c r="EU374" s="648" t="s">
        <v>199</v>
      </c>
      <c r="EV374" s="668"/>
      <c r="EW374" s="668"/>
      <c r="EX374" s="668"/>
      <c r="EY374" s="668"/>
      <c r="EZ374" s="668"/>
      <c r="FA374" s="668"/>
      <c r="FB374" s="668"/>
      <c r="FC374" s="668"/>
      <c r="FD374" s="668"/>
      <c r="FE374" s="668"/>
      <c r="FF374" s="668"/>
      <c r="FG374" s="668"/>
      <c r="FH374" s="668"/>
      <c r="FI374" s="668"/>
      <c r="FJ374" s="668"/>
      <c r="FK374" s="668"/>
      <c r="FL374" s="668"/>
      <c r="FM374" s="668"/>
      <c r="FN374" s="668"/>
      <c r="FO374" s="668"/>
      <c r="FP374" s="668"/>
      <c r="FQ374" s="668"/>
      <c r="FR374" s="668"/>
      <c r="FS374" s="668"/>
      <c r="FT374" s="668"/>
      <c r="FU374" s="668"/>
      <c r="FV374" s="668"/>
      <c r="FW374" s="668"/>
      <c r="FX374" s="668"/>
      <c r="FY374" s="668"/>
      <c r="FZ374" s="668"/>
      <c r="GA374" s="668"/>
      <c r="GB374" s="668"/>
      <c r="GC374" s="668"/>
      <c r="GD374" s="668"/>
      <c r="GE374" s="668"/>
      <c r="GF374" s="668"/>
      <c r="GG374" s="668"/>
      <c r="GH374" s="668"/>
      <c r="GI374" s="668"/>
      <c r="GJ374" s="668"/>
      <c r="GK374" s="668"/>
      <c r="GL374" s="668"/>
      <c r="GM374" s="668"/>
      <c r="GN374" s="668"/>
      <c r="GO374" s="668"/>
      <c r="GP374" s="668"/>
      <c r="GQ374" s="668"/>
      <c r="GR374" s="668"/>
      <c r="GS374" s="668"/>
      <c r="GT374" s="668"/>
      <c r="GU374" s="668"/>
      <c r="GV374" s="668"/>
      <c r="GW374" s="668"/>
      <c r="GX374" s="668"/>
      <c r="GY374" s="668"/>
      <c r="GZ374" s="668"/>
      <c r="HA374" s="668"/>
      <c r="HB374" s="668"/>
      <c r="HC374" s="668"/>
      <c r="HD374" s="668"/>
      <c r="HE374" s="668"/>
      <c r="HF374" s="668"/>
      <c r="HG374" s="668"/>
      <c r="HH374" s="668"/>
      <c r="HI374" s="668"/>
      <c r="HJ374" s="668"/>
      <c r="HK374" s="668"/>
      <c r="HL374" s="668"/>
      <c r="HM374" s="668"/>
      <c r="HN374" s="668"/>
      <c r="HO374" s="648"/>
      <c r="HP374" s="293"/>
      <c r="HQ374" s="342"/>
      <c r="HR374" s="293"/>
      <c r="HS374" s="343"/>
      <c r="HY374" s="509"/>
      <c r="HZ374" s="509"/>
      <c r="IA374" s="509"/>
      <c r="IB374" s="509"/>
    </row>
    <row r="375" spans="1:236" s="563" customFormat="1" hidden="1" outlineLevel="3">
      <c r="A375" s="509" t="s">
        <v>489</v>
      </c>
      <c r="B375" s="509"/>
      <c r="C375" s="509"/>
      <c r="D375" s="509"/>
      <c r="E375" s="509"/>
      <c r="F375" s="509"/>
      <c r="G375" s="509"/>
      <c r="H375" s="509"/>
      <c r="I375" s="509"/>
      <c r="J375" s="509"/>
      <c r="K375" s="509"/>
      <c r="L375" s="523"/>
      <c r="M375" s="523"/>
      <c r="N375" s="523"/>
      <c r="O375" s="523"/>
      <c r="P375" s="524"/>
      <c r="Q375" s="619"/>
      <c r="R375" s="619"/>
      <c r="S375" s="619"/>
      <c r="T375" s="619"/>
      <c r="U375" s="541"/>
      <c r="V375" s="619"/>
      <c r="W375" s="619"/>
      <c r="X375" s="619"/>
      <c r="Y375" s="619"/>
      <c r="Z375" s="541"/>
      <c r="AA375" s="619"/>
      <c r="AB375" s="619"/>
      <c r="AC375" s="619"/>
      <c r="AD375" s="619"/>
      <c r="AE375" s="541"/>
      <c r="AF375" s="523"/>
      <c r="AG375" s="523"/>
      <c r="AH375" s="523"/>
      <c r="AI375" s="523"/>
      <c r="AJ375" s="541"/>
      <c r="AK375" s="523"/>
      <c r="AL375" s="523"/>
      <c r="AM375" s="523"/>
      <c r="AN375" s="523"/>
      <c r="AO375" s="541"/>
      <c r="AP375" s="523"/>
      <c r="AQ375" s="523"/>
      <c r="AR375" s="523"/>
      <c r="AS375" s="523"/>
      <c r="AT375" s="541"/>
      <c r="AU375" s="523"/>
      <c r="AV375" s="523"/>
      <c r="AW375" s="523"/>
      <c r="AX375" s="523"/>
      <c r="AY375" s="541"/>
      <c r="AZ375" s="523"/>
      <c r="BA375" s="523"/>
      <c r="BB375" s="523"/>
      <c r="BC375" s="523"/>
      <c r="BD375" s="541"/>
      <c r="BE375" s="523"/>
      <c r="BF375" s="523"/>
      <c r="BG375" s="523"/>
      <c r="BH375" s="523"/>
      <c r="BI375" s="541"/>
      <c r="BJ375" s="523"/>
      <c r="BK375" s="523"/>
      <c r="BL375" s="523"/>
      <c r="BM375" s="523"/>
      <c r="BN375" s="541"/>
      <c r="BO375" s="523"/>
      <c r="BP375" s="523"/>
      <c r="BQ375" s="523"/>
      <c r="BR375" s="523"/>
      <c r="BS375" s="541"/>
      <c r="BT375" s="340"/>
      <c r="BU375" s="340"/>
      <c r="BV375" s="340"/>
      <c r="BW375" s="340"/>
      <c r="BX375" s="321"/>
      <c r="BY375" s="340">
        <f t="shared" ref="BY375:EJ375" si="293">(BY373/BT373)-1</f>
        <v>0.21370284834488062</v>
      </c>
      <c r="BZ375" s="340">
        <f t="shared" si="293"/>
        <v>-0.2064490758946127</v>
      </c>
      <c r="CA375" s="340">
        <f t="shared" si="293"/>
        <v>-0.40836344863190499</v>
      </c>
      <c r="CB375" s="340">
        <f t="shared" si="293"/>
        <v>-0.20023192887514496</v>
      </c>
      <c r="CC375" s="321">
        <f t="shared" si="293"/>
        <v>-0.16552492154017484</v>
      </c>
      <c r="CD375" s="340">
        <f t="shared" si="293"/>
        <v>-8.6768996574907997E-2</v>
      </c>
      <c r="CE375" s="340">
        <f t="shared" si="293"/>
        <v>9.8942847703997305E-2</v>
      </c>
      <c r="CF375" s="340">
        <f t="shared" si="293"/>
        <v>0.58333333333333326</v>
      </c>
      <c r="CG375" s="340">
        <f t="shared" si="293"/>
        <v>0.24536813275334302</v>
      </c>
      <c r="CH375" s="321">
        <f t="shared" si="293"/>
        <v>0.1662892267874474</v>
      </c>
      <c r="CI375" s="340">
        <f t="shared" si="293"/>
        <v>-4.3061536324489058E-3</v>
      </c>
      <c r="CJ375" s="340">
        <f t="shared" si="293"/>
        <v>7.8460844731699897E-2</v>
      </c>
      <c r="CK375" s="340">
        <f t="shared" si="293"/>
        <v>6.0209424083769614E-2</v>
      </c>
      <c r="CL375" s="340">
        <f t="shared" si="293"/>
        <v>0.1681759379042691</v>
      </c>
      <c r="CM375" s="321">
        <f t="shared" si="293"/>
        <v>7.7253814147018041E-2</v>
      </c>
      <c r="CN375" s="340">
        <f t="shared" si="293"/>
        <v>0.26883370535714279</v>
      </c>
      <c r="CO375" s="340">
        <f t="shared" si="293"/>
        <v>0.2013937282229965</v>
      </c>
      <c r="CP375" s="340">
        <f t="shared" si="293"/>
        <v>0.3768659446015088</v>
      </c>
      <c r="CQ375" s="340">
        <f t="shared" si="293"/>
        <v>0.49889258028792915</v>
      </c>
      <c r="CR375" s="321">
        <f t="shared" si="293"/>
        <v>0.34688372098971976</v>
      </c>
      <c r="CS375" s="340">
        <f t="shared" si="293"/>
        <v>0.37768004398020882</v>
      </c>
      <c r="CT375" s="340">
        <f t="shared" si="293"/>
        <v>0.36484918793503485</v>
      </c>
      <c r="CU375" s="340">
        <f t="shared" si="293"/>
        <v>0.32374109638917559</v>
      </c>
      <c r="CV375" s="340">
        <f t="shared" si="293"/>
        <v>0.24249893978574044</v>
      </c>
      <c r="CW375" s="321">
        <f t="shared" si="293"/>
        <v>0.31765467715317919</v>
      </c>
      <c r="CX375" s="340">
        <f t="shared" si="293"/>
        <v>-0.14844373503591379</v>
      </c>
      <c r="CY375" s="340">
        <f t="shared" si="293"/>
        <v>0.26434339141521468</v>
      </c>
      <c r="CZ375" s="340">
        <f t="shared" si="293"/>
        <v>0.235720603507376</v>
      </c>
      <c r="DA375" s="340">
        <f t="shared" si="293"/>
        <v>9.6970637509796065E-2</v>
      </c>
      <c r="DB375" s="321">
        <f t="shared" si="293"/>
        <v>0.11220659680430511</v>
      </c>
      <c r="DC375" s="340">
        <f t="shared" si="293"/>
        <v>0.42239925023430169</v>
      </c>
      <c r="DD375" s="340">
        <f t="shared" si="293"/>
        <v>-1.0218487394958009E-2</v>
      </c>
      <c r="DE375" s="340">
        <f t="shared" si="293"/>
        <v>-8.8454214990479452E-2</v>
      </c>
      <c r="DF375" s="340">
        <f t="shared" si="293"/>
        <v>-0.32214874241110147</v>
      </c>
      <c r="DG375" s="321">
        <f t="shared" si="293"/>
        <v>-5.089361424564609E-2</v>
      </c>
      <c r="DH375" s="340">
        <f t="shared" si="293"/>
        <v>-6.2924161560255598E-2</v>
      </c>
      <c r="DI375" s="340">
        <f t="shared" si="293"/>
        <v>-1.9221626027304262E-2</v>
      </c>
      <c r="DJ375" s="340">
        <f t="shared" si="293"/>
        <v>2.5446259020129203E-2</v>
      </c>
      <c r="DK375" s="340">
        <f t="shared" si="293"/>
        <v>0.45061975209916039</v>
      </c>
      <c r="DL375" s="321">
        <f t="shared" si="293"/>
        <v>8.2452794529491502E-2</v>
      </c>
      <c r="DM375" s="340">
        <f t="shared" si="293"/>
        <v>0.17156518070594862</v>
      </c>
      <c r="DN375" s="340">
        <f t="shared" si="293"/>
        <v>0.19563711911357351</v>
      </c>
      <c r="DO375" s="340">
        <f t="shared" si="293"/>
        <v>0.11555555555555563</v>
      </c>
      <c r="DP375" s="340">
        <f t="shared" si="293"/>
        <v>-1.5049614112458642E-2</v>
      </c>
      <c r="DQ375" s="321">
        <f t="shared" si="293"/>
        <v>0.10894892225643638</v>
      </c>
      <c r="DR375" s="340">
        <f t="shared" si="293"/>
        <v>8.4623694634497593E-2</v>
      </c>
      <c r="DS375" s="340">
        <f t="shared" si="293"/>
        <v>9.8001737619461293E-2</v>
      </c>
      <c r="DT375" s="340">
        <f t="shared" si="293"/>
        <v>8.4108012394864984E-2</v>
      </c>
      <c r="DU375" s="340">
        <f t="shared" si="293"/>
        <v>5.0875916494095286E-2</v>
      </c>
      <c r="DV375" s="321">
        <f t="shared" si="293"/>
        <v>7.9165831735035663E-2</v>
      </c>
      <c r="DW375" s="340">
        <f t="shared" si="293"/>
        <v>2.8220451527224411E-2</v>
      </c>
      <c r="DX375" s="340">
        <f t="shared" si="293"/>
        <v>-9.6587012712981979E-2</v>
      </c>
      <c r="DY375" s="340">
        <f t="shared" si="293"/>
        <v>-0.22463250306247451</v>
      </c>
      <c r="DZ375" s="340">
        <f t="shared" si="293"/>
        <v>-0.30863868768640823</v>
      </c>
      <c r="EA375" s="321">
        <f t="shared" si="293"/>
        <v>-0.15275143573351724</v>
      </c>
      <c r="EB375" s="340">
        <f t="shared" si="293"/>
        <v>-0.37541707028306959</v>
      </c>
      <c r="EC375" s="340">
        <f t="shared" si="293"/>
        <v>-0.14264860446105332</v>
      </c>
      <c r="ED375" s="340">
        <f t="shared" si="293"/>
        <v>-3.7193074846948893E-2</v>
      </c>
      <c r="EE375" s="340">
        <f t="shared" si="293"/>
        <v>-3.2046837685848595E-2</v>
      </c>
      <c r="EF375" s="321">
        <f t="shared" si="293"/>
        <v>-0.1628052598622417</v>
      </c>
      <c r="EG375" s="340">
        <f t="shared" si="293"/>
        <v>-6.4277098052731296E-2</v>
      </c>
      <c r="EH375" s="340">
        <f t="shared" si="293"/>
        <v>-0.22992576448954571</v>
      </c>
      <c r="EI375" s="342">
        <f t="shared" si="293"/>
        <v>-0.22535211267605637</v>
      </c>
      <c r="EJ375" s="340">
        <f t="shared" si="293"/>
        <v>-0.2615200955033824</v>
      </c>
      <c r="EK375" s="321">
        <f t="shared" ref="EK375:EU375" si="294">(EK373/EF373)-1</f>
        <v>-0.20014958863126397</v>
      </c>
      <c r="EL375" s="340">
        <f t="shared" si="294"/>
        <v>-0.31666666666666665</v>
      </c>
      <c r="EM375" s="340">
        <f t="shared" si="294"/>
        <v>-0.56867427257451131</v>
      </c>
      <c r="EN375" s="340">
        <f t="shared" si="294"/>
        <v>-0.54192409532215358</v>
      </c>
      <c r="EO375" s="340">
        <f t="shared" si="294"/>
        <v>-0.42041599310270505</v>
      </c>
      <c r="EP375" s="321">
        <f t="shared" si="294"/>
        <v>-0.46544884982233026</v>
      </c>
      <c r="EQ375" s="340">
        <f t="shared" si="294"/>
        <v>-0.29704605848268428</v>
      </c>
      <c r="ER375" s="340">
        <f t="shared" si="294"/>
        <v>0.1231191839245438</v>
      </c>
      <c r="ES375" s="340">
        <f t="shared" si="294"/>
        <v>0.11870893942196536</v>
      </c>
      <c r="ET375" s="340">
        <f t="shared" si="294"/>
        <v>0.1119983</v>
      </c>
      <c r="EU375" s="321">
        <f t="shared" si="294"/>
        <v>-1.6859330066701705E-2</v>
      </c>
      <c r="EV375" s="668"/>
      <c r="EW375" s="668"/>
      <c r="EX375" s="668"/>
      <c r="EY375" s="668"/>
      <c r="EZ375" s="668"/>
      <c r="FA375" s="668"/>
      <c r="FB375" s="668"/>
      <c r="FC375" s="668"/>
      <c r="FD375" s="668"/>
      <c r="FE375" s="668"/>
      <c r="FF375" s="668"/>
      <c r="FG375" s="668"/>
      <c r="FH375" s="668"/>
      <c r="FI375" s="668"/>
      <c r="FJ375" s="668"/>
      <c r="FK375" s="668"/>
      <c r="FL375" s="668"/>
      <c r="FM375" s="668"/>
      <c r="FN375" s="668"/>
      <c r="FO375" s="668"/>
      <c r="FP375" s="668"/>
      <c r="FQ375" s="668"/>
      <c r="FR375" s="668"/>
      <c r="FS375" s="668"/>
      <c r="FT375" s="668"/>
      <c r="FU375" s="668"/>
      <c r="FV375" s="668"/>
      <c r="FW375" s="668"/>
      <c r="FX375" s="668"/>
      <c r="FY375" s="668"/>
      <c r="FZ375" s="668"/>
      <c r="GA375" s="668"/>
      <c r="GB375" s="668"/>
      <c r="GC375" s="668"/>
      <c r="GD375" s="668"/>
      <c r="GE375" s="668"/>
      <c r="GF375" s="668"/>
      <c r="GG375" s="668"/>
      <c r="GH375" s="668"/>
      <c r="GI375" s="668"/>
      <c r="GJ375" s="668"/>
      <c r="GK375" s="668"/>
      <c r="GL375" s="668"/>
      <c r="GM375" s="668"/>
      <c r="GN375" s="668"/>
      <c r="GO375" s="668"/>
      <c r="GP375" s="668"/>
      <c r="GQ375" s="668"/>
      <c r="GR375" s="668"/>
      <c r="GS375" s="668"/>
      <c r="GT375" s="668"/>
      <c r="GU375" s="668"/>
      <c r="GV375" s="668"/>
      <c r="GW375" s="668"/>
      <c r="GX375" s="668"/>
      <c r="GY375" s="668"/>
      <c r="GZ375" s="668"/>
      <c r="HA375" s="668"/>
      <c r="HB375" s="668"/>
      <c r="HC375" s="668"/>
      <c r="HD375" s="668"/>
      <c r="HE375" s="668"/>
      <c r="HF375" s="668"/>
      <c r="HG375" s="668"/>
      <c r="HH375" s="668"/>
      <c r="HI375" s="668"/>
      <c r="HJ375" s="668"/>
      <c r="HK375" s="668"/>
      <c r="HL375" s="668"/>
      <c r="HM375" s="668"/>
      <c r="HN375" s="668"/>
      <c r="HO375" s="344"/>
      <c r="HP375" s="293"/>
      <c r="HQ375" s="342"/>
      <c r="HR375" s="293"/>
      <c r="HS375" s="343"/>
      <c r="HY375" s="509"/>
      <c r="HZ375" s="509"/>
      <c r="IA375" s="509"/>
      <c r="IB375" s="509"/>
    </row>
    <row r="376" spans="1:236" s="563" customFormat="1" hidden="1" outlineLevel="3">
      <c r="A376" s="509" t="s">
        <v>490</v>
      </c>
      <c r="B376" s="509"/>
      <c r="C376" s="509"/>
      <c r="D376" s="509"/>
      <c r="E376" s="509"/>
      <c r="F376" s="509"/>
      <c r="G376" s="509"/>
      <c r="H376" s="509"/>
      <c r="I376" s="509"/>
      <c r="J376" s="509"/>
      <c r="K376" s="509"/>
      <c r="L376" s="523"/>
      <c r="M376" s="523"/>
      <c r="N376" s="523"/>
      <c r="O376" s="523"/>
      <c r="P376" s="524"/>
      <c r="Q376" s="619"/>
      <c r="R376" s="619"/>
      <c r="S376" s="619"/>
      <c r="T376" s="619"/>
      <c r="U376" s="541"/>
      <c r="V376" s="619"/>
      <c r="W376" s="619"/>
      <c r="X376" s="619"/>
      <c r="Y376" s="619"/>
      <c r="Z376" s="541"/>
      <c r="AA376" s="619"/>
      <c r="AB376" s="619"/>
      <c r="AC376" s="619"/>
      <c r="AD376" s="619"/>
      <c r="AE376" s="541"/>
      <c r="AF376" s="523"/>
      <c r="AG376" s="523"/>
      <c r="AH376" s="523"/>
      <c r="AI376" s="523"/>
      <c r="AJ376" s="541"/>
      <c r="AK376" s="523"/>
      <c r="AL376" s="523"/>
      <c r="AM376" s="523"/>
      <c r="AN376" s="523"/>
      <c r="AO376" s="541"/>
      <c r="AP376" s="523"/>
      <c r="AQ376" s="523"/>
      <c r="AR376" s="523"/>
      <c r="AS376" s="523"/>
      <c r="AT376" s="541"/>
      <c r="AU376" s="523"/>
      <c r="AV376" s="523"/>
      <c r="AW376" s="523"/>
      <c r="AX376" s="523"/>
      <c r="AY376" s="541"/>
      <c r="AZ376" s="523"/>
      <c r="BA376" s="523"/>
      <c r="BB376" s="523"/>
      <c r="BC376" s="523"/>
      <c r="BD376" s="541"/>
      <c r="BE376" s="523"/>
      <c r="BF376" s="523"/>
      <c r="BG376" s="523"/>
      <c r="BH376" s="523"/>
      <c r="BI376" s="541"/>
      <c r="BJ376" s="523"/>
      <c r="BK376" s="523"/>
      <c r="BL376" s="523"/>
      <c r="BM376" s="523"/>
      <c r="BN376" s="541"/>
      <c r="BO376" s="523"/>
      <c r="BP376" s="523"/>
      <c r="BQ376" s="523"/>
      <c r="BR376" s="523"/>
      <c r="BS376" s="541"/>
      <c r="BT376" s="523">
        <f t="shared" ref="BT376:EE376" si="295">BT379/BT373*1000</f>
        <v>101.77059276366437</v>
      </c>
      <c r="BU376" s="523">
        <f t="shared" si="295"/>
        <v>76.991742036964212</v>
      </c>
      <c r="BV376" s="523">
        <f t="shared" si="295"/>
        <v>59.437532266391329</v>
      </c>
      <c r="BW376" s="523">
        <f t="shared" si="295"/>
        <v>89.204914315165567</v>
      </c>
      <c r="BX376" s="524">
        <f t="shared" si="295"/>
        <v>81.031665373063802</v>
      </c>
      <c r="BY376" s="523">
        <f t="shared" si="295"/>
        <v>84.561715083090206</v>
      </c>
      <c r="BZ376" s="523">
        <f t="shared" si="295"/>
        <v>61.311034027089534</v>
      </c>
      <c r="CA376" s="523">
        <f t="shared" si="295"/>
        <v>55.225785340314133</v>
      </c>
      <c r="CB376" s="523">
        <f t="shared" si="295"/>
        <v>66.207185435798294</v>
      </c>
      <c r="CC376" s="524">
        <f t="shared" si="295"/>
        <v>68.824005176318337</v>
      </c>
      <c r="CD376" s="523">
        <f t="shared" si="295"/>
        <v>63.72635088206696</v>
      </c>
      <c r="CE376" s="523">
        <f t="shared" si="295"/>
        <v>59.632646926198703</v>
      </c>
      <c r="CF376" s="523">
        <f t="shared" si="295"/>
        <v>67.1902728024249</v>
      </c>
      <c r="CG376" s="523">
        <f t="shared" si="295"/>
        <v>72.306597671410074</v>
      </c>
      <c r="CH376" s="524">
        <f t="shared" si="295"/>
        <v>65.953502080443812</v>
      </c>
      <c r="CI376" s="523">
        <f t="shared" si="295"/>
        <v>73.625697544642861</v>
      </c>
      <c r="CJ376" s="523">
        <f t="shared" si="295"/>
        <v>68.283763066202098</v>
      </c>
      <c r="CK376" s="523">
        <f t="shared" si="295"/>
        <v>79.575178687459385</v>
      </c>
      <c r="CL376" s="523">
        <f t="shared" si="295"/>
        <v>71.972868217054256</v>
      </c>
      <c r="CM376" s="524">
        <f t="shared" si="295"/>
        <v>73.385187331015842</v>
      </c>
      <c r="CN376" s="523">
        <f t="shared" si="295"/>
        <v>73.005277625068729</v>
      </c>
      <c r="CO376" s="523">
        <f t="shared" si="295"/>
        <v>69.660672853828302</v>
      </c>
      <c r="CP376" s="523">
        <f t="shared" si="295"/>
        <v>74.326897647737198</v>
      </c>
      <c r="CQ376" s="523">
        <f t="shared" si="295"/>
        <v>77.760990025858874</v>
      </c>
      <c r="CR376" s="524">
        <f t="shared" si="295"/>
        <v>74.189185764076413</v>
      </c>
      <c r="CS376" s="523">
        <f t="shared" si="295"/>
        <v>81.743814844373503</v>
      </c>
      <c r="CT376" s="523">
        <f t="shared" si="295"/>
        <v>71.367289417764553</v>
      </c>
      <c r="CU376" s="523">
        <f t="shared" si="295"/>
        <v>65.851978226654296</v>
      </c>
      <c r="CV376" s="523">
        <f t="shared" si="295"/>
        <v>65.002086481934967</v>
      </c>
      <c r="CW376" s="524">
        <f t="shared" si="295"/>
        <v>70.381032242377529</v>
      </c>
      <c r="CX376" s="523">
        <f t="shared" si="295"/>
        <v>58.053291940018745</v>
      </c>
      <c r="CY376" s="523">
        <f t="shared" si="295"/>
        <v>52.600401344537808</v>
      </c>
      <c r="CZ376" s="523">
        <f t="shared" si="295"/>
        <v>55.736843805896946</v>
      </c>
      <c r="DA376" s="523">
        <f t="shared" si="295"/>
        <v>58.603751084128355</v>
      </c>
      <c r="DB376" s="524">
        <f t="shared" si="295"/>
        <v>56.241550371795697</v>
      </c>
      <c r="DC376" s="523">
        <f t="shared" si="295"/>
        <v>58.938625551821843</v>
      </c>
      <c r="DD376" s="523">
        <f t="shared" si="295"/>
        <v>55.011509203287375</v>
      </c>
      <c r="DE376" s="523">
        <f t="shared" si="295"/>
        <v>54.032723762501583</v>
      </c>
      <c r="DF376" s="523">
        <f t="shared" si="295"/>
        <v>50.736309476209513</v>
      </c>
      <c r="DG376" s="524">
        <f t="shared" si="295"/>
        <v>54.851339106231642</v>
      </c>
      <c r="DH376" s="523">
        <f t="shared" si="295"/>
        <v>49.679074673041775</v>
      </c>
      <c r="DI376" s="523">
        <f t="shared" si="295"/>
        <v>46.374979224376737</v>
      </c>
      <c r="DJ376" s="523">
        <f t="shared" si="295"/>
        <v>46.334610493827157</v>
      </c>
      <c r="DK376" s="523">
        <f t="shared" si="295"/>
        <v>46.019932469680256</v>
      </c>
      <c r="DL376" s="524">
        <f t="shared" si="295"/>
        <v>47.008234103679257</v>
      </c>
      <c r="DM376" s="523">
        <f t="shared" si="295"/>
        <v>47.794679510262867</v>
      </c>
      <c r="DN376" s="523">
        <f t="shared" si="295"/>
        <v>48.197225600926728</v>
      </c>
      <c r="DO376" s="523">
        <f t="shared" si="295"/>
        <v>47.163714586100049</v>
      </c>
      <c r="DP376" s="523">
        <f t="shared" si="295"/>
        <v>48.68378435103822</v>
      </c>
      <c r="DQ376" s="524">
        <f t="shared" si="295"/>
        <v>47.958318423839913</v>
      </c>
      <c r="DR376" s="523">
        <f t="shared" si="295"/>
        <v>47.486985391766275</v>
      </c>
      <c r="DS376" s="523">
        <f t="shared" si="295"/>
        <v>46.623827082344256</v>
      </c>
      <c r="DT376" s="523">
        <f t="shared" si="295"/>
        <v>48.134263985300116</v>
      </c>
      <c r="DU376" s="523">
        <f t="shared" si="295"/>
        <v>48.814819450362158</v>
      </c>
      <c r="DV376" s="524">
        <f t="shared" si="295"/>
        <v>47.768826876400908</v>
      </c>
      <c r="DW376" s="523">
        <f t="shared" si="295"/>
        <v>46.486341082768263</v>
      </c>
      <c r="DX376" s="523">
        <f t="shared" si="295"/>
        <v>43.878551325470049</v>
      </c>
      <c r="DY376" s="523">
        <f t="shared" si="295"/>
        <v>42.909627410967019</v>
      </c>
      <c r="DZ376" s="523">
        <f t="shared" si="295"/>
        <v>45.185829288960782</v>
      </c>
      <c r="EA376" s="524">
        <f t="shared" si="295"/>
        <v>44.672364746399495</v>
      </c>
      <c r="EB376" s="523">
        <f t="shared" si="295"/>
        <v>45.566112355678094</v>
      </c>
      <c r="EC376" s="523">
        <f t="shared" si="295"/>
        <v>42.41418647415378</v>
      </c>
      <c r="ED376" s="523">
        <f t="shared" si="295"/>
        <v>41.649712840147679</v>
      </c>
      <c r="EE376" s="523">
        <f t="shared" si="295"/>
        <v>43.887493036211694</v>
      </c>
      <c r="EF376" s="524">
        <f t="shared" ref="EF376:EU376" si="296">EF379/EF373*1000</f>
        <v>43.235281413612562</v>
      </c>
      <c r="EG376" s="523">
        <f t="shared" si="296"/>
        <v>48.390989871086546</v>
      </c>
      <c r="EH376" s="523">
        <f t="shared" si="296"/>
        <v>50.476651631732544</v>
      </c>
      <c r="EI376" s="523">
        <f t="shared" si="296"/>
        <v>52.230949249779336</v>
      </c>
      <c r="EJ376" s="523">
        <f t="shared" si="296"/>
        <v>55.149298594393962</v>
      </c>
      <c r="EK376" s="524">
        <f t="shared" si="296"/>
        <v>51.425393834331899</v>
      </c>
      <c r="EL376" s="523">
        <f t="shared" si="296"/>
        <v>52.262621614337689</v>
      </c>
      <c r="EM376" s="523">
        <f t="shared" si="296"/>
        <v>52.688746155423424</v>
      </c>
      <c r="EN376" s="523">
        <f t="shared" si="296"/>
        <v>51.639838040333345</v>
      </c>
      <c r="EO376" s="523">
        <f t="shared" si="296"/>
        <v>50.684306828365408</v>
      </c>
      <c r="EP376" s="524">
        <f t="shared" si="296"/>
        <v>51.840940165206547</v>
      </c>
      <c r="EQ376" s="523">
        <f t="shared" si="296"/>
        <v>52.204836033216381</v>
      </c>
      <c r="ER376" s="523">
        <f t="shared" si="296"/>
        <v>53.770981114212873</v>
      </c>
      <c r="ES376" s="523">
        <f t="shared" si="296"/>
        <v>54.308690925354995</v>
      </c>
      <c r="ET376" s="523">
        <f t="shared" si="296"/>
        <v>54.308690925354988</v>
      </c>
      <c r="EU376" s="524">
        <f t="shared" si="296"/>
        <v>53.689473311298741</v>
      </c>
      <c r="EV376" s="668"/>
      <c r="EW376" s="668"/>
      <c r="EX376" s="668"/>
      <c r="EY376" s="668"/>
      <c r="EZ376" s="668"/>
      <c r="FA376" s="668"/>
      <c r="FB376" s="668"/>
      <c r="FC376" s="668"/>
      <c r="FD376" s="668"/>
      <c r="FE376" s="668"/>
      <c r="FF376" s="668"/>
      <c r="FG376" s="668"/>
      <c r="FH376" s="668"/>
      <c r="FI376" s="668"/>
      <c r="FJ376" s="668"/>
      <c r="FK376" s="668"/>
      <c r="FL376" s="668"/>
      <c r="FM376" s="668"/>
      <c r="FN376" s="668"/>
      <c r="FO376" s="668"/>
      <c r="FP376" s="668"/>
      <c r="FQ376" s="668"/>
      <c r="FR376" s="668"/>
      <c r="FS376" s="668"/>
      <c r="FT376" s="668"/>
      <c r="FU376" s="668"/>
      <c r="FV376" s="668"/>
      <c r="FW376" s="668"/>
      <c r="FX376" s="668"/>
      <c r="FY376" s="668"/>
      <c r="FZ376" s="668"/>
      <c r="GA376" s="668"/>
      <c r="GB376" s="668"/>
      <c r="GC376" s="668"/>
      <c r="GD376" s="668"/>
      <c r="GE376" s="668"/>
      <c r="GF376" s="668"/>
      <c r="GG376" s="668"/>
      <c r="GH376" s="668"/>
      <c r="GI376" s="668"/>
      <c r="GJ376" s="668"/>
      <c r="GK376" s="668"/>
      <c r="GL376" s="668"/>
      <c r="GM376" s="668"/>
      <c r="GN376" s="668"/>
      <c r="GO376" s="668"/>
      <c r="GP376" s="668"/>
      <c r="GQ376" s="668"/>
      <c r="GR376" s="668"/>
      <c r="GS376" s="668"/>
      <c r="GT376" s="668"/>
      <c r="GU376" s="668"/>
      <c r="GV376" s="668"/>
      <c r="GW376" s="668"/>
      <c r="GX376" s="668"/>
      <c r="GY376" s="668"/>
      <c r="GZ376" s="668"/>
      <c r="HA376" s="668"/>
      <c r="HB376" s="668"/>
      <c r="HC376" s="668"/>
      <c r="HD376" s="668"/>
      <c r="HE376" s="668"/>
      <c r="HF376" s="668"/>
      <c r="HG376" s="668"/>
      <c r="HH376" s="668"/>
      <c r="HI376" s="668"/>
      <c r="HJ376" s="668"/>
      <c r="HK376" s="668"/>
      <c r="HL376" s="668"/>
      <c r="HM376" s="668"/>
      <c r="HN376" s="668"/>
      <c r="HO376" s="524"/>
      <c r="HP376" s="293"/>
      <c r="HQ376" s="342"/>
      <c r="HR376" s="293"/>
      <c r="HS376" s="343"/>
      <c r="HY376" s="509"/>
      <c r="HZ376" s="509"/>
      <c r="IA376" s="509"/>
      <c r="IB376" s="509"/>
    </row>
    <row r="377" spans="1:236" s="563" customFormat="1" hidden="1" outlineLevel="3">
      <c r="A377" s="509" t="s">
        <v>488</v>
      </c>
      <c r="B377" s="509"/>
      <c r="C377" s="509"/>
      <c r="D377" s="509"/>
      <c r="E377" s="509"/>
      <c r="F377" s="509"/>
      <c r="G377" s="509"/>
      <c r="H377" s="509"/>
      <c r="I377" s="509"/>
      <c r="J377" s="509"/>
      <c r="K377" s="509"/>
      <c r="L377" s="523"/>
      <c r="M377" s="523"/>
      <c r="N377" s="523"/>
      <c r="O377" s="523"/>
      <c r="P377" s="524"/>
      <c r="Q377" s="619"/>
      <c r="R377" s="619"/>
      <c r="S377" s="619"/>
      <c r="T377" s="619"/>
      <c r="U377" s="541"/>
      <c r="V377" s="619"/>
      <c r="W377" s="619"/>
      <c r="X377" s="619"/>
      <c r="Y377" s="619"/>
      <c r="Z377" s="541"/>
      <c r="AA377" s="619"/>
      <c r="AB377" s="619"/>
      <c r="AC377" s="619"/>
      <c r="AD377" s="619"/>
      <c r="AE377" s="541"/>
      <c r="AF377" s="523"/>
      <c r="AG377" s="523"/>
      <c r="AH377" s="523"/>
      <c r="AI377" s="523"/>
      <c r="AJ377" s="541"/>
      <c r="AK377" s="523"/>
      <c r="AL377" s="523"/>
      <c r="AM377" s="523"/>
      <c r="AN377" s="523"/>
      <c r="AO377" s="541"/>
      <c r="AP377" s="523"/>
      <c r="AQ377" s="523"/>
      <c r="AR377" s="523"/>
      <c r="AS377" s="523"/>
      <c r="AT377" s="541"/>
      <c r="AU377" s="523"/>
      <c r="AV377" s="523"/>
      <c r="AW377" s="523"/>
      <c r="AX377" s="523"/>
      <c r="AY377" s="541"/>
      <c r="AZ377" s="523"/>
      <c r="BA377" s="523"/>
      <c r="BB377" s="523"/>
      <c r="BC377" s="523"/>
      <c r="BD377" s="541"/>
      <c r="BE377" s="523"/>
      <c r="BF377" s="523"/>
      <c r="BG377" s="523"/>
      <c r="BH377" s="523"/>
      <c r="BI377" s="541"/>
      <c r="BJ377" s="523"/>
      <c r="BK377" s="523"/>
      <c r="BL377" s="523"/>
      <c r="BM377" s="523"/>
      <c r="BN377" s="541"/>
      <c r="BO377" s="523"/>
      <c r="BP377" s="523"/>
      <c r="BQ377" s="523"/>
      <c r="BR377" s="523"/>
      <c r="BS377" s="541"/>
      <c r="BT377" s="672"/>
      <c r="BU377" s="340">
        <f>(BU376/BT376)-1</f>
        <v>-0.24347751205736379</v>
      </c>
      <c r="BV377" s="340">
        <f>(BV376/BU376)-1</f>
        <v>-0.22800120254643674</v>
      </c>
      <c r="BW377" s="340">
        <f>(BW376/BV376)-1</f>
        <v>0.50081793294110333</v>
      </c>
      <c r="BX377" s="648" t="s">
        <v>199</v>
      </c>
      <c r="BY377" s="672">
        <f>(BY376-BW376)/BW376</f>
        <v>-5.2050935396571296E-2</v>
      </c>
      <c r="BZ377" s="340">
        <f>(BZ376/BY376)-1</f>
        <v>-0.27495517366404632</v>
      </c>
      <c r="CA377" s="340">
        <f>(CA376/BZ376)-1</f>
        <v>-9.9252096842579851E-2</v>
      </c>
      <c r="CB377" s="340">
        <f>(CB376/CA376)-1</f>
        <v>0.19884552166735547</v>
      </c>
      <c r="CC377" s="648" t="s">
        <v>199</v>
      </c>
      <c r="CD377" s="672">
        <f>(CD376-CB376)/CB376</f>
        <v>-3.7470775073757241E-2</v>
      </c>
      <c r="CE377" s="340">
        <f>(CE376/CD376)-1</f>
        <v>-6.4238794457949333E-2</v>
      </c>
      <c r="CF377" s="340">
        <f>(CF376/CE376)-1</f>
        <v>0.12673638125739251</v>
      </c>
      <c r="CG377" s="340">
        <f>(CG376/CF376)-1</f>
        <v>7.6146808988704073E-2</v>
      </c>
      <c r="CH377" s="648" t="s">
        <v>199</v>
      </c>
      <c r="CI377" s="672">
        <f>(CI376-CG376)/CG376</f>
        <v>1.8243146762724215E-2</v>
      </c>
      <c r="CJ377" s="340">
        <f>(CJ376/CI376)-1</f>
        <v>-7.2555298714850003E-2</v>
      </c>
      <c r="CK377" s="340">
        <f>(CK376/CJ376)-1</f>
        <v>0.16536018394753804</v>
      </c>
      <c r="CL377" s="340">
        <f>(CL376/CK376)-1</f>
        <v>-9.5536203572524458E-2</v>
      </c>
      <c r="CM377" s="648" t="s">
        <v>199</v>
      </c>
      <c r="CN377" s="672">
        <f>(CN376-CL376)/CL376</f>
        <v>1.4344424969989451E-2</v>
      </c>
      <c r="CO377" s="340">
        <f>(CO376/CN376)-1</f>
        <v>-4.5813191594410774E-2</v>
      </c>
      <c r="CP377" s="340">
        <f>(CP376/CO376)-1</f>
        <v>6.6985066361621604E-2</v>
      </c>
      <c r="CQ377" s="340">
        <f>(CQ376/CP376)-1</f>
        <v>4.620255233034376E-2</v>
      </c>
      <c r="CR377" s="648" t="s">
        <v>199</v>
      </c>
      <c r="CS377" s="672">
        <f>(CS376-CQ376)/CQ376</f>
        <v>5.1218802862337126E-2</v>
      </c>
      <c r="CT377" s="340">
        <f>(CT376/CS376)-1</f>
        <v>-0.12693957880928497</v>
      </c>
      <c r="CU377" s="340">
        <f>(CU376/CT376)-1</f>
        <v>-7.7280659474470714E-2</v>
      </c>
      <c r="CV377" s="340">
        <f>(CV376/CU376)-1</f>
        <v>-1.2906092840432315E-2</v>
      </c>
      <c r="CW377" s="648" t="s">
        <v>199</v>
      </c>
      <c r="CX377" s="672">
        <f>(CX376-CV376)/CV376</f>
        <v>-0.10690109991849867</v>
      </c>
      <c r="CY377" s="340">
        <f>(CY376/CX376)-1</f>
        <v>-9.3929050588809293E-2</v>
      </c>
      <c r="CZ377" s="340">
        <f>(CZ376/CY376)-1</f>
        <v>5.9627728709047867E-2</v>
      </c>
      <c r="DA377" s="340">
        <f>(DA376/CZ376)-1</f>
        <v>5.1436484064569354E-2</v>
      </c>
      <c r="DB377" s="648" t="s">
        <v>199</v>
      </c>
      <c r="DC377" s="672">
        <f>(DC376-DA376)/DA376</f>
        <v>5.7142155834489323E-3</v>
      </c>
      <c r="DD377" s="340">
        <f>(DD376/DC376)-1</f>
        <v>-6.6630606190189234E-2</v>
      </c>
      <c r="DE377" s="340">
        <f>(DE376/DD376)-1</f>
        <v>-1.7792375722120779E-2</v>
      </c>
      <c r="DF377" s="340">
        <f>(DF376/DE376)-1</f>
        <v>-6.1007738584145987E-2</v>
      </c>
      <c r="DG377" s="648" t="s">
        <v>199</v>
      </c>
      <c r="DH377" s="672">
        <f>(DH376-DF376)/DF376</f>
        <v>-2.0837834168121357E-2</v>
      </c>
      <c r="DI377" s="340">
        <f>(DI376/DH376)-1</f>
        <v>-6.6508796116083846E-2</v>
      </c>
      <c r="DJ377" s="340">
        <f>(DJ376/DI376)-1</f>
        <v>-8.7048514575638336E-4</v>
      </c>
      <c r="DK377" s="340">
        <f>(DK376/DJ376)-1</f>
        <v>-6.7914248289369095E-3</v>
      </c>
      <c r="DL377" s="648" t="s">
        <v>199</v>
      </c>
      <c r="DM377" s="672">
        <f>(DM376-DK376)/DK376</f>
        <v>3.8564746737772465E-2</v>
      </c>
      <c r="DN377" s="340">
        <f>(DN376/DM376)-1</f>
        <v>8.4224038070477292E-3</v>
      </c>
      <c r="DO377" s="340">
        <f>(DO376/DN376)-1</f>
        <v>-2.1443371520679544E-2</v>
      </c>
      <c r="DP377" s="340">
        <f>(DP376/DO376)-1</f>
        <v>3.2229644723237305E-2</v>
      </c>
      <c r="DQ377" s="648" t="s">
        <v>199</v>
      </c>
      <c r="DR377" s="672">
        <f>(DR376-DP376)/DP376</f>
        <v>-2.4583112739189145E-2</v>
      </c>
      <c r="DS377" s="340">
        <f>(DS376/DR376)-1</f>
        <v>-1.8176734157811625E-2</v>
      </c>
      <c r="DT377" s="340">
        <f>(DT376/DS376)-1</f>
        <v>3.2396244527250317E-2</v>
      </c>
      <c r="DU377" s="340">
        <f>(DU376/DT376)-1</f>
        <v>1.4138690585772329E-2</v>
      </c>
      <c r="DV377" s="648" t="s">
        <v>199</v>
      </c>
      <c r="DW377" s="672">
        <f>(DW376-DU376)/DU376</f>
        <v>-4.7700235170625431E-2</v>
      </c>
      <c r="DX377" s="672">
        <f>(DX376/DW376)-1</f>
        <v>-5.6097978385846292E-2</v>
      </c>
      <c r="DY377" s="340">
        <f>(DY376/DX376)-1</f>
        <v>-2.2081948588412059E-2</v>
      </c>
      <c r="DZ377" s="340">
        <f>(DZ376/DY376)-1</f>
        <v>5.3046414414029686E-2</v>
      </c>
      <c r="EA377" s="648" t="s">
        <v>199</v>
      </c>
      <c r="EB377" s="672">
        <f>(EB376-DZ376)/DZ376</f>
        <v>8.415980689109915E-3</v>
      </c>
      <c r="EC377" s="340">
        <f>(EC376/EB376)-1</f>
        <v>-6.9172587227129267E-2</v>
      </c>
      <c r="ED377" s="340">
        <f>(ED376/EC376)-1</f>
        <v>-1.802400794535941E-2</v>
      </c>
      <c r="EE377" s="340">
        <f>(EE376/ED376)-1</f>
        <v>5.3728586428738456E-2</v>
      </c>
      <c r="EF377" s="648" t="s">
        <v>199</v>
      </c>
      <c r="EG377" s="672">
        <f>(EG376-EE376)/EE376</f>
        <v>0.10261458386695736</v>
      </c>
      <c r="EH377" s="340">
        <f>(EH376/EG376)-1</f>
        <v>4.3100208658723327E-2</v>
      </c>
      <c r="EI377" s="342">
        <f>(EI376/EH376)-1</f>
        <v>3.4754635288524849E-2</v>
      </c>
      <c r="EJ377" s="340">
        <f>(EJ376/EI376)-1</f>
        <v>5.5873948042921118E-2</v>
      </c>
      <c r="EK377" s="648" t="s">
        <v>199</v>
      </c>
      <c r="EL377" s="672">
        <f>(EL376-EJ376)/EJ376</f>
        <v>-5.234295002166553E-2</v>
      </c>
      <c r="EM377" s="340">
        <f>(EM376/EL376)-1</f>
        <v>8.1535240277503807E-3</v>
      </c>
      <c r="EN377" s="340">
        <f>(EN376/EM376)-1</f>
        <v>-1.9907630976754853E-2</v>
      </c>
      <c r="EO377" s="340">
        <f>(EO376/EN376)-1</f>
        <v>-1.8503760821666715E-2</v>
      </c>
      <c r="EP377" s="648" t="s">
        <v>199</v>
      </c>
      <c r="EQ377" s="672">
        <f>(EQ376-EO376)/EO376</f>
        <v>3.0000000000000217E-2</v>
      </c>
      <c r="ER377" s="340">
        <f>(ER376/EQ376)-1</f>
        <v>3.0000000000000027E-2</v>
      </c>
      <c r="ES377" s="340">
        <f>(ES376/ER376)-1</f>
        <v>9.9999999999997868E-3</v>
      </c>
      <c r="ET377" s="340">
        <f>(ET376/ES376)-1</f>
        <v>0</v>
      </c>
      <c r="EU377" s="648" t="s">
        <v>199</v>
      </c>
      <c r="EV377" s="668"/>
      <c r="EW377" s="668"/>
      <c r="EX377" s="668"/>
      <c r="EY377" s="668"/>
      <c r="EZ377" s="668"/>
      <c r="FA377" s="668"/>
      <c r="FB377" s="668"/>
      <c r="FC377" s="668"/>
      <c r="FD377" s="668"/>
      <c r="FE377" s="668"/>
      <c r="FF377" s="668"/>
      <c r="FG377" s="668"/>
      <c r="FH377" s="668"/>
      <c r="FI377" s="668"/>
      <c r="FJ377" s="668"/>
      <c r="FK377" s="668"/>
      <c r="FL377" s="668"/>
      <c r="FM377" s="668"/>
      <c r="FN377" s="668"/>
      <c r="FO377" s="668"/>
      <c r="FP377" s="668"/>
      <c r="FQ377" s="668"/>
      <c r="FR377" s="668"/>
      <c r="FS377" s="668"/>
      <c r="FT377" s="668"/>
      <c r="FU377" s="668"/>
      <c r="FV377" s="668"/>
      <c r="FW377" s="668"/>
      <c r="FX377" s="668"/>
      <c r="FY377" s="668"/>
      <c r="FZ377" s="668"/>
      <c r="GA377" s="668"/>
      <c r="GB377" s="668"/>
      <c r="GC377" s="668"/>
      <c r="GD377" s="668"/>
      <c r="GE377" s="668"/>
      <c r="GF377" s="668"/>
      <c r="GG377" s="668"/>
      <c r="GH377" s="668"/>
      <c r="GI377" s="668"/>
      <c r="GJ377" s="668"/>
      <c r="GK377" s="668"/>
      <c r="GL377" s="668"/>
      <c r="GM377" s="668"/>
      <c r="GN377" s="668"/>
      <c r="GO377" s="668"/>
      <c r="GP377" s="668"/>
      <c r="GQ377" s="668"/>
      <c r="GR377" s="668"/>
      <c r="GS377" s="668"/>
      <c r="GT377" s="668"/>
      <c r="GU377" s="668"/>
      <c r="GV377" s="668"/>
      <c r="GW377" s="668"/>
      <c r="GX377" s="668"/>
      <c r="GY377" s="668"/>
      <c r="GZ377" s="668"/>
      <c r="HA377" s="668"/>
      <c r="HB377" s="668"/>
      <c r="HC377" s="668"/>
      <c r="HD377" s="668"/>
      <c r="HE377" s="668"/>
      <c r="HF377" s="668"/>
      <c r="HG377" s="668"/>
      <c r="HH377" s="668"/>
      <c r="HI377" s="668"/>
      <c r="HJ377" s="668"/>
      <c r="HK377" s="668"/>
      <c r="HL377" s="668"/>
      <c r="HM377" s="668"/>
      <c r="HN377" s="668"/>
      <c r="HO377" s="648"/>
      <c r="HP377" s="293"/>
      <c r="HQ377" s="342"/>
      <c r="HR377" s="293"/>
      <c r="HS377" s="343"/>
      <c r="HY377" s="509"/>
      <c r="HZ377" s="509"/>
      <c r="IA377" s="509"/>
      <c r="IB377" s="509"/>
    </row>
    <row r="378" spans="1:236" s="563" customFormat="1" hidden="1" outlineLevel="3">
      <c r="A378" s="509" t="s">
        <v>489</v>
      </c>
      <c r="B378" s="509"/>
      <c r="C378" s="509"/>
      <c r="D378" s="509"/>
      <c r="E378" s="509"/>
      <c r="F378" s="509"/>
      <c r="G378" s="509"/>
      <c r="H378" s="509"/>
      <c r="I378" s="509"/>
      <c r="J378" s="509"/>
      <c r="K378" s="509"/>
      <c r="L378" s="523"/>
      <c r="M378" s="523"/>
      <c r="N378" s="523"/>
      <c r="O378" s="523"/>
      <c r="P378" s="524"/>
      <c r="Q378" s="619"/>
      <c r="R378" s="619"/>
      <c r="S378" s="619"/>
      <c r="T378" s="619"/>
      <c r="U378" s="541"/>
      <c r="V378" s="619"/>
      <c r="W378" s="619"/>
      <c r="X378" s="619"/>
      <c r="Y378" s="619"/>
      <c r="Z378" s="541"/>
      <c r="AA378" s="619"/>
      <c r="AB378" s="619"/>
      <c r="AC378" s="619"/>
      <c r="AD378" s="619"/>
      <c r="AE378" s="541"/>
      <c r="AF378" s="523"/>
      <c r="AG378" s="523"/>
      <c r="AH378" s="523"/>
      <c r="AI378" s="523"/>
      <c r="AJ378" s="541"/>
      <c r="AK378" s="523"/>
      <c r="AL378" s="523"/>
      <c r="AM378" s="523"/>
      <c r="AN378" s="523"/>
      <c r="AO378" s="541"/>
      <c r="AP378" s="523"/>
      <c r="AQ378" s="523"/>
      <c r="AR378" s="523"/>
      <c r="AS378" s="523"/>
      <c r="AT378" s="541"/>
      <c r="AU378" s="523"/>
      <c r="AV378" s="523"/>
      <c r="AW378" s="523"/>
      <c r="AX378" s="523"/>
      <c r="AY378" s="541"/>
      <c r="AZ378" s="523"/>
      <c r="BA378" s="523"/>
      <c r="BB378" s="523"/>
      <c r="BC378" s="523"/>
      <c r="BD378" s="541"/>
      <c r="BE378" s="523"/>
      <c r="BF378" s="523"/>
      <c r="BG378" s="523"/>
      <c r="BH378" s="523"/>
      <c r="BI378" s="541"/>
      <c r="BJ378" s="523"/>
      <c r="BK378" s="523"/>
      <c r="BL378" s="523"/>
      <c r="BM378" s="523"/>
      <c r="BN378" s="541"/>
      <c r="BO378" s="523"/>
      <c r="BP378" s="523"/>
      <c r="BQ378" s="523"/>
      <c r="BR378" s="523"/>
      <c r="BS378" s="541"/>
      <c r="BT378" s="340"/>
      <c r="BU378" s="340"/>
      <c r="BV378" s="340"/>
      <c r="BW378" s="340"/>
      <c r="BX378" s="321"/>
      <c r="BY378" s="340">
        <f t="shared" ref="BY378:EJ378" si="297">(BY376/BT376)-1</f>
        <v>-0.16909479657387161</v>
      </c>
      <c r="BZ378" s="340">
        <f t="shared" si="297"/>
        <v>-0.20366740113954396</v>
      </c>
      <c r="CA378" s="340">
        <f t="shared" si="297"/>
        <v>-7.086005702929743E-2</v>
      </c>
      <c r="CB378" s="340">
        <f t="shared" si="297"/>
        <v>-0.25780786917316134</v>
      </c>
      <c r="CC378" s="321">
        <f t="shared" si="297"/>
        <v>-0.1506529594392797</v>
      </c>
      <c r="CD378" s="340">
        <f t="shared" si="297"/>
        <v>-0.24639240323532285</v>
      </c>
      <c r="CE378" s="340">
        <f t="shared" si="297"/>
        <v>-2.7374959948469613E-2</v>
      </c>
      <c r="CF378" s="340">
        <f t="shared" si="297"/>
        <v>0.21664675999413707</v>
      </c>
      <c r="CG378" s="340">
        <f t="shared" si="297"/>
        <v>9.2126136996511176E-2</v>
      </c>
      <c r="CH378" s="321">
        <f t="shared" si="297"/>
        <v>-4.1707876321941173E-2</v>
      </c>
      <c r="CI378" s="340">
        <f t="shared" si="297"/>
        <v>0.15534149571651756</v>
      </c>
      <c r="CJ378" s="340">
        <f t="shared" si="297"/>
        <v>0.14507348886776739</v>
      </c>
      <c r="CK378" s="340">
        <f t="shared" si="297"/>
        <v>0.1843258758816575</v>
      </c>
      <c r="CL378" s="340">
        <f t="shared" si="297"/>
        <v>-4.6154772192770199E-3</v>
      </c>
      <c r="CM378" s="321">
        <f t="shared" si="297"/>
        <v>0.11268067678206939</v>
      </c>
      <c r="CN378" s="340">
        <f t="shared" si="297"/>
        <v>-8.4266762864683153E-3</v>
      </c>
      <c r="CO378" s="340">
        <f t="shared" si="297"/>
        <v>2.0164527052958015E-2</v>
      </c>
      <c r="CP378" s="340">
        <f t="shared" si="297"/>
        <v>-6.5953744952749749E-2</v>
      </c>
      <c r="CQ378" s="340">
        <f t="shared" si="297"/>
        <v>8.0420885705831946E-2</v>
      </c>
      <c r="CR378" s="321">
        <f t="shared" si="297"/>
        <v>1.0955868102291655E-2</v>
      </c>
      <c r="CS378" s="340">
        <f t="shared" si="297"/>
        <v>0.11969733563898011</v>
      </c>
      <c r="CT378" s="340">
        <f t="shared" si="297"/>
        <v>2.4498996263175865E-2</v>
      </c>
      <c r="CU378" s="340">
        <f t="shared" si="297"/>
        <v>-0.11402224079429091</v>
      </c>
      <c r="CV378" s="340">
        <f t="shared" si="297"/>
        <v>-0.16407846067393206</v>
      </c>
      <c r="CW378" s="321">
        <f t="shared" si="297"/>
        <v>-5.1330304848053121E-2</v>
      </c>
      <c r="CX378" s="340">
        <f t="shared" si="297"/>
        <v>-0.28981425627685142</v>
      </c>
      <c r="CY378" s="340">
        <f t="shared" si="297"/>
        <v>-0.26296204082195873</v>
      </c>
      <c r="CZ378" s="340">
        <f t="shared" si="297"/>
        <v>-0.15360410868664143</v>
      </c>
      <c r="DA378" s="340">
        <f t="shared" si="297"/>
        <v>-9.8432769532479591E-2</v>
      </c>
      <c r="DB378" s="321">
        <f t="shared" si="297"/>
        <v>-0.20089904083657684</v>
      </c>
      <c r="DC378" s="340">
        <f t="shared" si="297"/>
        <v>1.5250360181431777E-2</v>
      </c>
      <c r="DD378" s="340">
        <f t="shared" si="297"/>
        <v>4.5838202696526498E-2</v>
      </c>
      <c r="DE378" s="340">
        <f t="shared" si="297"/>
        <v>-3.057439078053914E-2</v>
      </c>
      <c r="DF378" s="340">
        <f t="shared" si="297"/>
        <v>-0.1342480892839909</v>
      </c>
      <c r="DG378" s="321">
        <f t="shared" si="297"/>
        <v>-2.471858006000538E-2</v>
      </c>
      <c r="DH378" s="340">
        <f t="shared" si="297"/>
        <v>-0.15710496795753404</v>
      </c>
      <c r="DI378" s="340">
        <f t="shared" si="297"/>
        <v>-0.15699496530799661</v>
      </c>
      <c r="DJ378" s="340">
        <f t="shared" si="297"/>
        <v>-0.14247131613262987</v>
      </c>
      <c r="DK378" s="340">
        <f t="shared" si="297"/>
        <v>-9.2958613963453285E-2</v>
      </c>
      <c r="DL378" s="321">
        <f t="shared" si="297"/>
        <v>-0.14298839609662939</v>
      </c>
      <c r="DM378" s="340">
        <f t="shared" si="297"/>
        <v>-3.7931365976135445E-2</v>
      </c>
      <c r="DN378" s="340">
        <f t="shared" si="297"/>
        <v>3.9293740008667033E-2</v>
      </c>
      <c r="DO378" s="340">
        <f t="shared" si="297"/>
        <v>1.7893839689951507E-2</v>
      </c>
      <c r="DP378" s="340">
        <f t="shared" si="297"/>
        <v>5.7884741206715384E-2</v>
      </c>
      <c r="DQ378" s="321">
        <f t="shared" si="297"/>
        <v>2.0211019160285559E-2</v>
      </c>
      <c r="DR378" s="340">
        <f t="shared" si="297"/>
        <v>-6.437832027527679E-3</v>
      </c>
      <c r="DS378" s="340">
        <f t="shared" si="297"/>
        <v>-3.2645001843264132E-2</v>
      </c>
      <c r="DT378" s="340">
        <f t="shared" si="297"/>
        <v>2.0578307025165943E-2</v>
      </c>
      <c r="DU378" s="340">
        <f t="shared" si="297"/>
        <v>2.691555331424178E-3</v>
      </c>
      <c r="DV378" s="321">
        <f t="shared" si="297"/>
        <v>-3.9511716354260207E-3</v>
      </c>
      <c r="DW378" s="340">
        <f t="shared" si="297"/>
        <v>-2.1071969524759759E-2</v>
      </c>
      <c r="DX378" s="340">
        <f t="shared" si="297"/>
        <v>-5.8881390239065134E-2</v>
      </c>
      <c r="DY378" s="340">
        <f t="shared" si="297"/>
        <v>-0.10854298251924377</v>
      </c>
      <c r="DZ378" s="340">
        <f t="shared" si="297"/>
        <v>-7.4341976519887609E-2</v>
      </c>
      <c r="EA378" s="321">
        <f t="shared" si="297"/>
        <v>-6.4821816495793994E-2</v>
      </c>
      <c r="EB378" s="340">
        <f t="shared" si="297"/>
        <v>-1.9795679884801354E-2</v>
      </c>
      <c r="EC378" s="340">
        <f t="shared" si="297"/>
        <v>-3.3373135782316821E-2</v>
      </c>
      <c r="ED378" s="340">
        <f t="shared" si="297"/>
        <v>-2.9362048725161571E-2</v>
      </c>
      <c r="EE378" s="340">
        <f t="shared" si="297"/>
        <v>-2.8733261581773806E-2</v>
      </c>
      <c r="EF378" s="321">
        <f t="shared" si="297"/>
        <v>-3.2169403633434457E-2</v>
      </c>
      <c r="EG378" s="340">
        <f t="shared" si="297"/>
        <v>6.199514001453843E-2</v>
      </c>
      <c r="EH378" s="340">
        <f t="shared" si="297"/>
        <v>0.19008887892950255</v>
      </c>
      <c r="EI378" s="342">
        <f t="shared" si="297"/>
        <v>0.25405304594158018</v>
      </c>
      <c r="EJ378" s="340">
        <f t="shared" si="297"/>
        <v>0.25660626249237151</v>
      </c>
      <c r="EK378" s="321">
        <f t="shared" ref="EK378:EU378" si="298">(EK376/EF376)-1</f>
        <v>0.18943122729717432</v>
      </c>
      <c r="EL378" s="340">
        <f t="shared" si="298"/>
        <v>8.0007285520820259E-2</v>
      </c>
      <c r="EM378" s="340">
        <f t="shared" si="298"/>
        <v>4.3824113767091166E-2</v>
      </c>
      <c r="EN378" s="340">
        <f t="shared" si="298"/>
        <v>-1.1317259554659342E-2</v>
      </c>
      <c r="EO378" s="340">
        <f t="shared" si="298"/>
        <v>-8.096189579612223E-2</v>
      </c>
      <c r="EP378" s="321">
        <f t="shared" si="298"/>
        <v>8.0805668151679999E-3</v>
      </c>
      <c r="EQ378" s="340">
        <f t="shared" si="298"/>
        <v>-1.1056770467376964E-3</v>
      </c>
      <c r="ER378" s="340">
        <f t="shared" si="298"/>
        <v>2.0540153975139752E-2</v>
      </c>
      <c r="ES378" s="340">
        <f t="shared" si="298"/>
        <v>5.1682053745736756E-2</v>
      </c>
      <c r="ET378" s="340">
        <f t="shared" si="298"/>
        <v>7.1509000000000045E-2</v>
      </c>
      <c r="EU378" s="321">
        <f t="shared" si="298"/>
        <v>3.5657785915943929E-2</v>
      </c>
      <c r="EV378" s="668"/>
      <c r="EW378" s="668"/>
      <c r="EX378" s="668"/>
      <c r="EY378" s="668"/>
      <c r="EZ378" s="668"/>
      <c r="FA378" s="668"/>
      <c r="FB378" s="668"/>
      <c r="FC378" s="668"/>
      <c r="FD378" s="668"/>
      <c r="FE378" s="668"/>
      <c r="FF378" s="668"/>
      <c r="FG378" s="668"/>
      <c r="FH378" s="668"/>
      <c r="FI378" s="668"/>
      <c r="FJ378" s="668"/>
      <c r="FK378" s="668"/>
      <c r="FL378" s="668"/>
      <c r="FM378" s="668"/>
      <c r="FN378" s="668"/>
      <c r="FO378" s="668"/>
      <c r="FP378" s="668"/>
      <c r="FQ378" s="668"/>
      <c r="FR378" s="668"/>
      <c r="FS378" s="668"/>
      <c r="FT378" s="668"/>
      <c r="FU378" s="668"/>
      <c r="FV378" s="668"/>
      <c r="FW378" s="668"/>
      <c r="FX378" s="668"/>
      <c r="FY378" s="668"/>
      <c r="FZ378" s="668"/>
      <c r="GA378" s="668"/>
      <c r="GB378" s="668"/>
      <c r="GC378" s="668"/>
      <c r="GD378" s="668"/>
      <c r="GE378" s="668"/>
      <c r="GF378" s="668"/>
      <c r="GG378" s="668"/>
      <c r="GH378" s="668"/>
      <c r="GI378" s="668"/>
      <c r="GJ378" s="668"/>
      <c r="GK378" s="668"/>
      <c r="GL378" s="668"/>
      <c r="GM378" s="668"/>
      <c r="GN378" s="668"/>
      <c r="GO378" s="668"/>
      <c r="GP378" s="668"/>
      <c r="GQ378" s="668"/>
      <c r="GR378" s="668"/>
      <c r="GS378" s="668"/>
      <c r="GT378" s="668"/>
      <c r="GU378" s="668"/>
      <c r="GV378" s="668"/>
      <c r="GW378" s="668"/>
      <c r="GX378" s="668"/>
      <c r="GY378" s="668"/>
      <c r="GZ378" s="668"/>
      <c r="HA378" s="668"/>
      <c r="HB378" s="668"/>
      <c r="HC378" s="668"/>
      <c r="HD378" s="668"/>
      <c r="HE378" s="668"/>
      <c r="HF378" s="668"/>
      <c r="HG378" s="668"/>
      <c r="HH378" s="668"/>
      <c r="HI378" s="668"/>
      <c r="HJ378" s="668"/>
      <c r="HK378" s="668"/>
      <c r="HL378" s="668"/>
      <c r="HM378" s="668"/>
      <c r="HN378" s="668"/>
      <c r="HO378" s="344"/>
      <c r="HP378" s="293"/>
      <c r="HQ378" s="342"/>
      <c r="HR378" s="293"/>
      <c r="HS378" s="343"/>
      <c r="HY378" s="509"/>
      <c r="HZ378" s="509"/>
      <c r="IA378" s="509"/>
      <c r="IB378" s="509"/>
    </row>
    <row r="379" spans="1:236" s="563" customFormat="1" hidden="1" outlineLevel="3">
      <c r="A379" s="868" t="s">
        <v>554</v>
      </c>
      <c r="B379" s="509"/>
      <c r="C379" s="509"/>
      <c r="D379" s="509"/>
      <c r="E379" s="509"/>
      <c r="F379" s="509"/>
      <c r="G379" s="509"/>
      <c r="H379" s="509"/>
      <c r="I379" s="509"/>
      <c r="J379" s="509"/>
      <c r="K379" s="509"/>
      <c r="L379" s="523"/>
      <c r="M379" s="523"/>
      <c r="N379" s="523"/>
      <c r="O379" s="523"/>
      <c r="P379" s="524"/>
      <c r="Q379" s="619"/>
      <c r="R379" s="619"/>
      <c r="S379" s="619"/>
      <c r="T379" s="619"/>
      <c r="U379" s="541"/>
      <c r="V379" s="619"/>
      <c r="W379" s="619"/>
      <c r="X379" s="619"/>
      <c r="Y379" s="619"/>
      <c r="Z379" s="541"/>
      <c r="AA379" s="619"/>
      <c r="AB379" s="619"/>
      <c r="AC379" s="619"/>
      <c r="AD379" s="619"/>
      <c r="AE379" s="541"/>
      <c r="AF379" s="523"/>
      <c r="AG379" s="523"/>
      <c r="AH379" s="523"/>
      <c r="AI379" s="523"/>
      <c r="AJ379" s="541"/>
      <c r="AK379" s="523"/>
      <c r="AL379" s="523"/>
      <c r="AM379" s="523"/>
      <c r="AN379" s="523"/>
      <c r="AO379" s="541"/>
      <c r="AP379" s="523"/>
      <c r="AQ379" s="523"/>
      <c r="AR379" s="523"/>
      <c r="AS379" s="523"/>
      <c r="AT379" s="541"/>
      <c r="AU379" s="523"/>
      <c r="AV379" s="523"/>
      <c r="AW379" s="523"/>
      <c r="AX379" s="523"/>
      <c r="AY379" s="541"/>
      <c r="AZ379" s="523"/>
      <c r="BA379" s="523"/>
      <c r="BB379" s="523"/>
      <c r="BC379" s="523"/>
      <c r="BD379" s="541"/>
      <c r="BE379" s="523"/>
      <c r="BF379" s="523"/>
      <c r="BG379" s="523"/>
      <c r="BH379" s="523"/>
      <c r="BI379" s="541"/>
      <c r="BJ379" s="523"/>
      <c r="BK379" s="523"/>
      <c r="BL379" s="523"/>
      <c r="BM379" s="523"/>
      <c r="BN379" s="541"/>
      <c r="BO379" s="523"/>
      <c r="BP379" s="523"/>
      <c r="BQ379" s="523"/>
      <c r="BR379" s="523"/>
      <c r="BS379" s="541"/>
      <c r="BT379" s="523">
        <f>SUM(BT197,BT187)</f>
        <v>661</v>
      </c>
      <c r="BU379" s="523">
        <f>SUM(BU197,BU187)</f>
        <v>587.37</v>
      </c>
      <c r="BV379" s="523">
        <f>SUM(BV197,BV187)</f>
        <v>460.52199999999999</v>
      </c>
      <c r="BW379" s="523">
        <f>SUM(BW197,BW187)</f>
        <v>692.31934000000001</v>
      </c>
      <c r="BX379" s="542">
        <f>SUM(BT379:BW379)</f>
        <v>2401.2113399999998</v>
      </c>
      <c r="BY379" s="523">
        <f>SUM(BY197,BY187)</f>
        <v>666.60000000000014</v>
      </c>
      <c r="BZ379" s="523">
        <f>SUM(BZ197,BZ187)</f>
        <v>371.17700000000002</v>
      </c>
      <c r="CA379" s="523">
        <f>SUM(CA197,CA187)</f>
        <v>253.15499999999997</v>
      </c>
      <c r="CB379" s="523">
        <f>SUM(CB197,CB187)</f>
        <v>410.94799999999998</v>
      </c>
      <c r="CC379" s="542">
        <f>SUM(BY379:CB379)</f>
        <v>1701.88</v>
      </c>
      <c r="CD379" s="523">
        <f>SUM(CD197,CD187)</f>
        <v>458.76600000000002</v>
      </c>
      <c r="CE379" s="523">
        <f>SUM(CE197,CE187)</f>
        <v>396.73599999999999</v>
      </c>
      <c r="CF379" s="523">
        <f>SUM(CF197,CF187)</f>
        <v>487.66699999999992</v>
      </c>
      <c r="CG379" s="523">
        <f>SUM(CG197,CG187)</f>
        <v>558.92999999999995</v>
      </c>
      <c r="CH379" s="542">
        <f>SUM(CD379:CG379)</f>
        <v>1902.0989999999997</v>
      </c>
      <c r="CI379" s="523">
        <f>SUM(CI197,CI187)</f>
        <v>527.74900000000002</v>
      </c>
      <c r="CJ379" s="523">
        <f>SUM(CJ197,CJ187)</f>
        <v>489.93600000000004</v>
      </c>
      <c r="CK379" s="523">
        <f>SUM(CK197,CK187)</f>
        <v>612.33100000000002</v>
      </c>
      <c r="CL379" s="523">
        <f>SUM(CL197,CL187)</f>
        <v>649.91499999999996</v>
      </c>
      <c r="CM379" s="542">
        <f>SUM(CI379:CL379)</f>
        <v>2279.931</v>
      </c>
      <c r="CN379" s="523">
        <f>SUM(CN197,CN187)</f>
        <v>663.98300000000006</v>
      </c>
      <c r="CO379" s="523">
        <f>SUM(CO197,CO187)</f>
        <v>600.47500000000002</v>
      </c>
      <c r="CP379" s="523">
        <f>SUM(CP197,CP187)</f>
        <v>787.49225000000013</v>
      </c>
      <c r="CQ379" s="523">
        <f>SUM(CQ197,CQ187)</f>
        <v>1052.4949999999999</v>
      </c>
      <c r="CR379" s="542">
        <f>SUM(CN379:CQ379)</f>
        <v>3104.4452500000002</v>
      </c>
      <c r="CS379" s="523">
        <f>SUM(CS197,CS187)</f>
        <v>1024.25</v>
      </c>
      <c r="CT379" s="523">
        <f>SUM(CT197,CT187)</f>
        <v>839.63616000000002</v>
      </c>
      <c r="CU379" s="523">
        <f>SUM(CU197,CU187)</f>
        <v>923.57498240849986</v>
      </c>
      <c r="CV379" s="523">
        <f>SUM(CV197,CV187)</f>
        <v>1093.1545935822987</v>
      </c>
      <c r="CW379" s="542">
        <f>SUM(CS379:CV379)</f>
        <v>3880.6157359907984</v>
      </c>
      <c r="CX379" s="523">
        <f>SUM(CX197,CX187)</f>
        <v>619.42862500000001</v>
      </c>
      <c r="CY379" s="523">
        <f>SUM(CY197,CY187)</f>
        <v>782.43096999999989</v>
      </c>
      <c r="CZ379" s="523">
        <f>SUM(CZ197,CZ187)</f>
        <v>965.97523999999999</v>
      </c>
      <c r="DA379" s="523">
        <f>SUM(DA197,DA187)</f>
        <v>1081.1219999999998</v>
      </c>
      <c r="DB379" s="542">
        <f>SUM(CX379:DA379)</f>
        <v>3448.9568349999995</v>
      </c>
      <c r="DC379" s="523">
        <f>SUM(DC197,DC187)</f>
        <v>894.51152000000013</v>
      </c>
      <c r="DD379" s="523">
        <f>SUM(DD197,DD187)</f>
        <v>809.93444999999997</v>
      </c>
      <c r="DE379" s="523">
        <f>SUM(DE197,DE187)</f>
        <v>853.60897</v>
      </c>
      <c r="DF379" s="523">
        <f>SUM(DF197,DF187)</f>
        <v>634.45754999999997</v>
      </c>
      <c r="DG379" s="542">
        <f>SUM(DC379:DF379)</f>
        <v>3192.5124900000001</v>
      </c>
      <c r="DH379" s="523">
        <f>SUM(DH197,DH187)</f>
        <v>706.53580000000011</v>
      </c>
      <c r="DI379" s="523">
        <f>SUM(DI197,DI187)</f>
        <v>669.65470000000005</v>
      </c>
      <c r="DJ379" s="523">
        <f>SUM(DJ197,DJ187)</f>
        <v>750.62068999999997</v>
      </c>
      <c r="DK379" s="523">
        <f>SUM(DK197,DK187)</f>
        <v>834.80157499999996</v>
      </c>
      <c r="DL379" s="542">
        <f>SUM(DH379:DK379)</f>
        <v>2961.6127650000003</v>
      </c>
      <c r="DM379" s="523">
        <f>SUM(DM197,DM187)</f>
        <v>796.35494999999992</v>
      </c>
      <c r="DN379" s="523">
        <f>SUM(DN197,DN187)</f>
        <v>832.12509999999997</v>
      </c>
      <c r="DO379" s="523">
        <f>SUM(DO197,DO187)</f>
        <v>852.34265000000005</v>
      </c>
      <c r="DP379" s="523">
        <f>SUM(DP197,DP187)</f>
        <v>869.83317499999987</v>
      </c>
      <c r="DQ379" s="542">
        <f>SUM(DM379:DP379)</f>
        <v>3350.6558749999995</v>
      </c>
      <c r="DR379" s="523">
        <f>SUM(DR197,DR187)</f>
        <v>858.18480000000011</v>
      </c>
      <c r="DS379" s="523">
        <f>SUM(DS197,DS187)</f>
        <v>883.84789000000001</v>
      </c>
      <c r="DT379" s="523">
        <f>SUM(DT197,DT187)</f>
        <v>943.04649999999992</v>
      </c>
      <c r="DU379" s="523">
        <f>SUM(DU197,DU187)</f>
        <v>916.5470499999999</v>
      </c>
      <c r="DV379" s="542">
        <f>SUM(DR379:DU379)</f>
        <v>3601.6262399999996</v>
      </c>
      <c r="DW379" s="523">
        <f>SUM(DW197,DW187)</f>
        <v>863.80918999999994</v>
      </c>
      <c r="DX379" s="523">
        <f>SUM(DX197,DX187)</f>
        <v>751.46407000000011</v>
      </c>
      <c r="DY379" s="523">
        <f>SUM(DY197,DY187)</f>
        <v>651.84014999999999</v>
      </c>
      <c r="DZ379" s="523">
        <f>SUM(DZ197,DZ187)</f>
        <v>586.55724999999995</v>
      </c>
      <c r="EA379" s="542">
        <f>SUM(DW379:DZ379)</f>
        <v>2853.6706599999998</v>
      </c>
      <c r="EB379" s="523">
        <f>SUM(EB197,EB187)</f>
        <v>528.84029999999996</v>
      </c>
      <c r="EC379" s="523">
        <f>SUM(EC197,EC187)</f>
        <v>622.76749999999993</v>
      </c>
      <c r="ED379" s="523">
        <f>SUM(ED197,ED187)</f>
        <v>609.16869999999994</v>
      </c>
      <c r="EE379" s="523">
        <f>SUM(EE197,EE187)</f>
        <v>551.44634999999994</v>
      </c>
      <c r="EF379" s="542">
        <f>SUM(EB379:EE379)</f>
        <v>2312.2228499999997</v>
      </c>
      <c r="EG379" s="523">
        <f>SUM(EG197,EG187)</f>
        <v>525.52614999999992</v>
      </c>
      <c r="EH379" s="523">
        <f>SUM(EH197,EH187)</f>
        <v>570.73949999999991</v>
      </c>
      <c r="EI379" s="523">
        <f>SUM(EI197,EI187)</f>
        <v>591.77665499999989</v>
      </c>
      <c r="EJ379" s="523">
        <f>SUM(EJ197,EJ187)</f>
        <v>511.73034165738159</v>
      </c>
      <c r="EK379" s="542">
        <f>SUM(EG379:EJ379)</f>
        <v>2199.7726466573813</v>
      </c>
      <c r="EL379" s="523">
        <f>SUM(EL197,EL187)</f>
        <v>387.840915</v>
      </c>
      <c r="EM379" s="523">
        <f>SUM(EM197,EM187)</f>
        <v>256.96301500000004</v>
      </c>
      <c r="EN379" s="523">
        <f>SUM(EN197,EN187)</f>
        <v>268.01075942933005</v>
      </c>
      <c r="EO379" s="523">
        <f>SUM(EO197,EO187)</f>
        <v>272.57817475067606</v>
      </c>
      <c r="EP379" s="542">
        <f>SUM(EL379:EO379)</f>
        <v>1185.3928641800062</v>
      </c>
      <c r="EQ379" s="523">
        <f>SUM(EQ197,EQ187)</f>
        <v>272.33285439340045</v>
      </c>
      <c r="ER379" s="523">
        <f>SUM(ER197,ER187)</f>
        <v>294.52798202646261</v>
      </c>
      <c r="ES379" s="523">
        <f>SUM(ES197,ES187)</f>
        <v>315.32165755753084</v>
      </c>
      <c r="ET379" s="523">
        <f>SUM(ET197,ET187)</f>
        <v>324.78130728425674</v>
      </c>
      <c r="EU379" s="542">
        <f>SUM(EQ379:ET379)</f>
        <v>1206.9638012616506</v>
      </c>
      <c r="EV379" s="668"/>
      <c r="EW379" s="668"/>
      <c r="EX379" s="668"/>
      <c r="EY379" s="668"/>
      <c r="EZ379" s="668"/>
      <c r="FA379" s="668"/>
      <c r="FB379" s="668"/>
      <c r="FC379" s="668"/>
      <c r="FD379" s="668"/>
      <c r="FE379" s="668"/>
      <c r="FF379" s="668"/>
      <c r="FG379" s="668"/>
      <c r="FH379" s="668"/>
      <c r="FI379" s="668"/>
      <c r="FJ379" s="668"/>
      <c r="FK379" s="668"/>
      <c r="FL379" s="668"/>
      <c r="FM379" s="668"/>
      <c r="FN379" s="668"/>
      <c r="FO379" s="668"/>
      <c r="FP379" s="668"/>
      <c r="FQ379" s="668"/>
      <c r="FR379" s="668"/>
      <c r="FS379" s="668"/>
      <c r="FT379" s="668"/>
      <c r="FU379" s="668"/>
      <c r="FV379" s="668"/>
      <c r="FW379" s="668"/>
      <c r="FX379" s="668"/>
      <c r="FY379" s="668"/>
      <c r="FZ379" s="668"/>
      <c r="GA379" s="668"/>
      <c r="GB379" s="668"/>
      <c r="GC379" s="668"/>
      <c r="GD379" s="668"/>
      <c r="GE379" s="668"/>
      <c r="GF379" s="668"/>
      <c r="GG379" s="668"/>
      <c r="GH379" s="668"/>
      <c r="GI379" s="668"/>
      <c r="GJ379" s="668"/>
      <c r="GK379" s="668"/>
      <c r="GL379" s="668"/>
      <c r="GM379" s="668"/>
      <c r="GN379" s="668"/>
      <c r="GO379" s="668"/>
      <c r="GP379" s="668"/>
      <c r="GQ379" s="668"/>
      <c r="GR379" s="668"/>
      <c r="GS379" s="668"/>
      <c r="GT379" s="668"/>
      <c r="GU379" s="668"/>
      <c r="GV379" s="668"/>
      <c r="GW379" s="668"/>
      <c r="GX379" s="668"/>
      <c r="GY379" s="668"/>
      <c r="GZ379" s="668"/>
      <c r="HA379" s="668"/>
      <c r="HB379" s="668"/>
      <c r="HC379" s="668"/>
      <c r="HD379" s="668"/>
      <c r="HE379" s="668"/>
      <c r="HF379" s="668"/>
      <c r="HG379" s="668"/>
      <c r="HH379" s="668"/>
      <c r="HI379" s="668"/>
      <c r="HJ379" s="668"/>
      <c r="HK379" s="668"/>
      <c r="HL379" s="668"/>
      <c r="HM379" s="668"/>
      <c r="HN379" s="668"/>
      <c r="HO379" s="542"/>
      <c r="HP379" s="293"/>
      <c r="HQ379" s="342"/>
      <c r="HR379" s="293"/>
      <c r="HS379" s="343"/>
      <c r="HY379" s="509"/>
      <c r="HZ379" s="509"/>
      <c r="IA379" s="509"/>
      <c r="IB379" s="509"/>
    </row>
    <row r="380" spans="1:236" s="563" customFormat="1" hidden="1" outlineLevel="3">
      <c r="A380" s="509" t="s">
        <v>488</v>
      </c>
      <c r="B380" s="509"/>
      <c r="C380" s="509"/>
      <c r="D380" s="509"/>
      <c r="E380" s="509"/>
      <c r="F380" s="509"/>
      <c r="G380" s="509"/>
      <c r="H380" s="509"/>
      <c r="I380" s="509"/>
      <c r="J380" s="509"/>
      <c r="K380" s="509"/>
      <c r="L380" s="523"/>
      <c r="M380" s="523"/>
      <c r="N380" s="523"/>
      <c r="O380" s="523"/>
      <c r="P380" s="524"/>
      <c r="Q380" s="619"/>
      <c r="R380" s="619"/>
      <c r="S380" s="619"/>
      <c r="T380" s="619"/>
      <c r="U380" s="541"/>
      <c r="V380" s="619"/>
      <c r="W380" s="619"/>
      <c r="X380" s="619"/>
      <c r="Y380" s="619"/>
      <c r="Z380" s="541"/>
      <c r="AA380" s="619"/>
      <c r="AB380" s="619"/>
      <c r="AC380" s="619"/>
      <c r="AD380" s="619"/>
      <c r="AE380" s="541"/>
      <c r="AF380" s="523"/>
      <c r="AG380" s="523"/>
      <c r="AH380" s="523"/>
      <c r="AI380" s="523"/>
      <c r="AJ380" s="541"/>
      <c r="AK380" s="523"/>
      <c r="AL380" s="523"/>
      <c r="AM380" s="523"/>
      <c r="AN380" s="523"/>
      <c r="AO380" s="541"/>
      <c r="AP380" s="523"/>
      <c r="AQ380" s="523"/>
      <c r="AR380" s="523"/>
      <c r="AS380" s="523"/>
      <c r="AT380" s="541"/>
      <c r="AU380" s="523"/>
      <c r="AV380" s="523"/>
      <c r="AW380" s="523"/>
      <c r="AX380" s="523"/>
      <c r="AY380" s="541"/>
      <c r="AZ380" s="523"/>
      <c r="BA380" s="523"/>
      <c r="BB380" s="523"/>
      <c r="BC380" s="523"/>
      <c r="BD380" s="541"/>
      <c r="BE380" s="523"/>
      <c r="BF380" s="523"/>
      <c r="BG380" s="523"/>
      <c r="BH380" s="523"/>
      <c r="BI380" s="541"/>
      <c r="BJ380" s="523"/>
      <c r="BK380" s="523"/>
      <c r="BL380" s="523"/>
      <c r="BM380" s="523"/>
      <c r="BN380" s="541"/>
      <c r="BO380" s="523"/>
      <c r="BP380" s="523"/>
      <c r="BQ380" s="523"/>
      <c r="BR380" s="523"/>
      <c r="BS380" s="541"/>
      <c r="BT380" s="648"/>
      <c r="BU380" s="648"/>
      <c r="BV380" s="648"/>
      <c r="BW380" s="648"/>
      <c r="BX380" s="648"/>
      <c r="BY380" s="672">
        <f>(BY379-BW379)/BW379</f>
        <v>-3.7149532757527581E-2</v>
      </c>
      <c r="BZ380" s="340">
        <f>(BZ379/BY379)-1</f>
        <v>-0.44317881788178826</v>
      </c>
      <c r="CA380" s="340">
        <f>(CA379/BZ379)-1</f>
        <v>-0.31796689988873239</v>
      </c>
      <c r="CB380" s="340">
        <f>(CB379/CA379)-1</f>
        <v>0.62330587979696239</v>
      </c>
      <c r="CC380" s="648" t="s">
        <v>199</v>
      </c>
      <c r="CD380" s="672">
        <f>(CD379-CB379)/CB379</f>
        <v>0.11636022075785754</v>
      </c>
      <c r="CE380" s="340">
        <f>(CE379/CD379)-1</f>
        <v>-0.13521054306552804</v>
      </c>
      <c r="CF380" s="340">
        <f>(CF379/CE379)-1</f>
        <v>0.22919775366994655</v>
      </c>
      <c r="CG380" s="340">
        <f>(CG379/CF379)-1</f>
        <v>0.14613045377275902</v>
      </c>
      <c r="CH380" s="648" t="s">
        <v>199</v>
      </c>
      <c r="CI380" s="672">
        <f>(CI379-CG379)/CG379</f>
        <v>-5.5786950065303223E-2</v>
      </c>
      <c r="CJ380" s="340">
        <f>(CJ379/CI379)-1</f>
        <v>-7.1649590998751234E-2</v>
      </c>
      <c r="CK380" s="340">
        <f>(CK379/CJ379)-1</f>
        <v>0.24981834362039113</v>
      </c>
      <c r="CL380" s="340">
        <f>(CL379/CK379)-1</f>
        <v>6.137856812736886E-2</v>
      </c>
      <c r="CM380" s="648" t="s">
        <v>199</v>
      </c>
      <c r="CN380" s="672">
        <f>(CN379-CL379)/CL379</f>
        <v>2.1645907541755612E-2</v>
      </c>
      <c r="CO380" s="340">
        <f>(CO379/CN379)-1</f>
        <v>-9.564702710762174E-2</v>
      </c>
      <c r="CP380" s="340">
        <f>(CP379/CO379)-1</f>
        <v>0.31144885299138192</v>
      </c>
      <c r="CQ380" s="340">
        <f>(CQ379/CP379)-1</f>
        <v>0.33651474030379314</v>
      </c>
      <c r="CR380" s="648" t="s">
        <v>199</v>
      </c>
      <c r="CS380" s="672">
        <f>(CS379-CQ379)/CQ379</f>
        <v>-2.6836232001102044E-2</v>
      </c>
      <c r="CT380" s="340">
        <f>(CT379/CS379)-1</f>
        <v>-0.18024294849890166</v>
      </c>
      <c r="CU380" s="340">
        <f>(CU379/CT379)-1</f>
        <v>9.9970471029380059E-2</v>
      </c>
      <c r="CV380" s="340">
        <f>(CV379/CU379)-1</f>
        <v>0.18361217486810766</v>
      </c>
      <c r="CW380" s="648" t="s">
        <v>199</v>
      </c>
      <c r="CX380" s="672">
        <f>(CX379-CV379)/CV379</f>
        <v>-0.43335679268371846</v>
      </c>
      <c r="CY380" s="340">
        <f>(CY379/CX379)-1</f>
        <v>0.26314951944624765</v>
      </c>
      <c r="CZ380" s="340">
        <f>(CZ379/CY379)-1</f>
        <v>0.23458206159707617</v>
      </c>
      <c r="DA380" s="340">
        <f>(DA379/CZ379)-1</f>
        <v>0.11920259985131687</v>
      </c>
      <c r="DB380" s="648" t="s">
        <v>199</v>
      </c>
      <c r="DC380" s="672">
        <f>(DC379-DA379)/DA379</f>
        <v>-0.17260816078111418</v>
      </c>
      <c r="DD380" s="340">
        <f>(DD379/DC379)-1</f>
        <v>-9.4551124394686603E-2</v>
      </c>
      <c r="DE380" s="340">
        <f>(DE379/DD379)-1</f>
        <v>5.3923524304960724E-2</v>
      </c>
      <c r="DF380" s="340">
        <f>(DF379/DE379)-1</f>
        <v>-0.25673514185306656</v>
      </c>
      <c r="DG380" s="648" t="s">
        <v>199</v>
      </c>
      <c r="DH380" s="672">
        <f>(DH379-DF379)/DF379</f>
        <v>0.11360610335553599</v>
      </c>
      <c r="DI380" s="340">
        <f>(DI379/DH379)-1</f>
        <v>-5.2199902680090782E-2</v>
      </c>
      <c r="DJ380" s="340">
        <f>(DJ379/DI379)-1</f>
        <v>0.12090707345143681</v>
      </c>
      <c r="DK380" s="340">
        <f>(DK379/DJ379)-1</f>
        <v>0.11214836750636326</v>
      </c>
      <c r="DL380" s="648" t="s">
        <v>199</v>
      </c>
      <c r="DM380" s="672">
        <f>(DM379-DK379)/DK379</f>
        <v>-4.6054806496981085E-2</v>
      </c>
      <c r="DN380" s="340">
        <f>(DN379/DM379)-1</f>
        <v>4.4917344960309524E-2</v>
      </c>
      <c r="DO380" s="340">
        <f>(DO379/DN379)-1</f>
        <v>2.4296286700160818E-2</v>
      </c>
      <c r="DP380" s="340">
        <f>(DP379/DO379)-1</f>
        <v>2.0520532440796879E-2</v>
      </c>
      <c r="DQ380" s="648" t="s">
        <v>199</v>
      </c>
      <c r="DR380" s="672">
        <f>(DR379-DP379)/DP379</f>
        <v>-1.3391504641105188E-2</v>
      </c>
      <c r="DS380" s="340">
        <f>(DS379/DR379)-1</f>
        <v>2.9903920460954136E-2</v>
      </c>
      <c r="DT380" s="340">
        <f>(DT379/DS379)-1</f>
        <v>6.6978278355113607E-2</v>
      </c>
      <c r="DU380" s="340">
        <f>(DU379/DT379)-1</f>
        <v>-2.8099833889421166E-2</v>
      </c>
      <c r="DV380" s="648" t="s">
        <v>199</v>
      </c>
      <c r="DW380" s="672">
        <f>(DW379-DU379)/DU379</f>
        <v>-5.753971931937369E-2</v>
      </c>
      <c r="DX380" s="672">
        <f>(DX379/DW379)-1</f>
        <v>-0.13005779667613848</v>
      </c>
      <c r="DY380" s="340">
        <f>(DY379/DX379)-1</f>
        <v>-0.13257309827201735</v>
      </c>
      <c r="DZ380" s="340">
        <f>(DZ379/DY379)-1</f>
        <v>-0.10015170130284246</v>
      </c>
      <c r="EA380" s="648" t="s">
        <v>199</v>
      </c>
      <c r="EB380" s="672">
        <f>(EB379-DZ379)/DZ379</f>
        <v>-9.8399516841706419E-2</v>
      </c>
      <c r="EC380" s="340">
        <f>(EC379/EB379)-1</f>
        <v>0.17760976234224213</v>
      </c>
      <c r="ED380" s="340">
        <f>(ED379/EC379)-1</f>
        <v>-2.1836078472303067E-2</v>
      </c>
      <c r="EE380" s="340">
        <f>(EE379/ED379)-1</f>
        <v>-9.4755935424784665E-2</v>
      </c>
      <c r="EF380" s="648" t="s">
        <v>199</v>
      </c>
      <c r="EG380" s="672">
        <f>(EG379-EE379)/EE379</f>
        <v>-4.70040285877312E-2</v>
      </c>
      <c r="EH380" s="340">
        <f>(EH379/EG379)-1</f>
        <v>8.6034443766499491E-2</v>
      </c>
      <c r="EI380" s="342">
        <f>(EI379/EH379)-1</f>
        <v>3.6859469162376257E-2</v>
      </c>
      <c r="EJ380" s="340">
        <f>(EJ379/EI379)-1</f>
        <v>-0.13526439859750516</v>
      </c>
      <c r="EK380" s="648" t="s">
        <v>199</v>
      </c>
      <c r="EL380" s="672">
        <f>(EL379-EJ379)/EJ379</f>
        <v>-0.24209904430550491</v>
      </c>
      <c r="EM380" s="340">
        <f>(EM379/EL379)-1</f>
        <v>-0.33745253514575679</v>
      </c>
      <c r="EN380" s="340">
        <f>(EN379/EM379)-1</f>
        <v>4.2993519629001886E-2</v>
      </c>
      <c r="EO380" s="340">
        <f>(EO379/EN379)-1</f>
        <v>1.7041910298942087E-2</v>
      </c>
      <c r="EP380" s="648" t="s">
        <v>199</v>
      </c>
      <c r="EQ380" s="672">
        <f>(EQ379-EO379)/EO379</f>
        <v>-8.9999999999997786E-4</v>
      </c>
      <c r="ER380" s="340">
        <f>(ER379/EQ379)-1</f>
        <v>8.1500000000000128E-2</v>
      </c>
      <c r="ES380" s="340">
        <f>(ES379/ER379)-1</f>
        <v>7.0599999999999996E-2</v>
      </c>
      <c r="ET380" s="340">
        <f>(ET379/ES379)-1</f>
        <v>3.0000000000000027E-2</v>
      </c>
      <c r="EU380" s="648" t="s">
        <v>199</v>
      </c>
      <c r="EV380" s="668"/>
      <c r="EW380" s="668"/>
      <c r="EX380" s="668"/>
      <c r="EY380" s="668"/>
      <c r="EZ380" s="668"/>
      <c r="FA380" s="668"/>
      <c r="FB380" s="668"/>
      <c r="FC380" s="668"/>
      <c r="FD380" s="668"/>
      <c r="FE380" s="668"/>
      <c r="FF380" s="668"/>
      <c r="FG380" s="668"/>
      <c r="FH380" s="668"/>
      <c r="FI380" s="668"/>
      <c r="FJ380" s="668"/>
      <c r="FK380" s="668"/>
      <c r="FL380" s="668"/>
      <c r="FM380" s="668"/>
      <c r="FN380" s="668"/>
      <c r="FO380" s="668"/>
      <c r="FP380" s="668"/>
      <c r="FQ380" s="668"/>
      <c r="FR380" s="668"/>
      <c r="FS380" s="668"/>
      <c r="FT380" s="668"/>
      <c r="FU380" s="668"/>
      <c r="FV380" s="668"/>
      <c r="FW380" s="668"/>
      <c r="FX380" s="668"/>
      <c r="FY380" s="668"/>
      <c r="FZ380" s="668"/>
      <c r="GA380" s="668"/>
      <c r="GB380" s="668"/>
      <c r="GC380" s="668"/>
      <c r="GD380" s="668"/>
      <c r="GE380" s="668"/>
      <c r="GF380" s="668"/>
      <c r="GG380" s="668"/>
      <c r="GH380" s="668"/>
      <c r="GI380" s="668"/>
      <c r="GJ380" s="668"/>
      <c r="GK380" s="668"/>
      <c r="GL380" s="668"/>
      <c r="GM380" s="668"/>
      <c r="GN380" s="668"/>
      <c r="GO380" s="668"/>
      <c r="GP380" s="668"/>
      <c r="GQ380" s="668"/>
      <c r="GR380" s="668"/>
      <c r="GS380" s="668"/>
      <c r="GT380" s="668"/>
      <c r="GU380" s="668"/>
      <c r="GV380" s="668"/>
      <c r="GW380" s="668"/>
      <c r="GX380" s="668"/>
      <c r="GY380" s="668"/>
      <c r="GZ380" s="668"/>
      <c r="HA380" s="668"/>
      <c r="HB380" s="668"/>
      <c r="HC380" s="668"/>
      <c r="HD380" s="668"/>
      <c r="HE380" s="668"/>
      <c r="HF380" s="668"/>
      <c r="HG380" s="668"/>
      <c r="HH380" s="668"/>
      <c r="HI380" s="668"/>
      <c r="HJ380" s="668"/>
      <c r="HK380" s="668"/>
      <c r="HL380" s="668"/>
      <c r="HM380" s="668"/>
      <c r="HN380" s="668"/>
      <c r="HO380" s="648"/>
      <c r="HP380" s="293"/>
      <c r="HQ380" s="342"/>
      <c r="HR380" s="293"/>
      <c r="HS380" s="343"/>
      <c r="HY380" s="509"/>
      <c r="HZ380" s="509"/>
      <c r="IA380" s="509"/>
      <c r="IB380" s="509"/>
    </row>
    <row r="381" spans="1:236" s="563" customFormat="1" hidden="1" outlineLevel="3">
      <c r="A381" s="509" t="s">
        <v>489</v>
      </c>
      <c r="B381" s="509"/>
      <c r="C381" s="509"/>
      <c r="D381" s="509"/>
      <c r="E381" s="509"/>
      <c r="F381" s="509"/>
      <c r="G381" s="509"/>
      <c r="H381" s="509"/>
      <c r="I381" s="509"/>
      <c r="J381" s="509"/>
      <c r="K381" s="509"/>
      <c r="L381" s="523"/>
      <c r="M381" s="523"/>
      <c r="N381" s="523"/>
      <c r="O381" s="523"/>
      <c r="P381" s="524"/>
      <c r="Q381" s="619"/>
      <c r="R381" s="619"/>
      <c r="S381" s="619"/>
      <c r="T381" s="619"/>
      <c r="U381" s="541"/>
      <c r="V381" s="619"/>
      <c r="W381" s="619"/>
      <c r="X381" s="619"/>
      <c r="Y381" s="619"/>
      <c r="Z381" s="541"/>
      <c r="AA381" s="619"/>
      <c r="AB381" s="619"/>
      <c r="AC381" s="619"/>
      <c r="AD381" s="619"/>
      <c r="AE381" s="541"/>
      <c r="AF381" s="523"/>
      <c r="AG381" s="523"/>
      <c r="AH381" s="523"/>
      <c r="AI381" s="523"/>
      <c r="AJ381" s="541"/>
      <c r="AK381" s="523"/>
      <c r="AL381" s="523"/>
      <c r="AM381" s="523"/>
      <c r="AN381" s="523"/>
      <c r="AO381" s="541"/>
      <c r="AP381" s="523"/>
      <c r="AQ381" s="523"/>
      <c r="AR381" s="523"/>
      <c r="AS381" s="523"/>
      <c r="AT381" s="541"/>
      <c r="AU381" s="523"/>
      <c r="AV381" s="523"/>
      <c r="AW381" s="523"/>
      <c r="AX381" s="523"/>
      <c r="AY381" s="541"/>
      <c r="AZ381" s="523"/>
      <c r="BA381" s="523"/>
      <c r="BB381" s="523"/>
      <c r="BC381" s="523"/>
      <c r="BD381" s="541"/>
      <c r="BE381" s="523"/>
      <c r="BF381" s="523"/>
      <c r="BG381" s="523"/>
      <c r="BH381" s="523"/>
      <c r="BI381" s="541"/>
      <c r="BJ381" s="523"/>
      <c r="BK381" s="523"/>
      <c r="BL381" s="523"/>
      <c r="BM381" s="523"/>
      <c r="BN381" s="541"/>
      <c r="BO381" s="523"/>
      <c r="BP381" s="523"/>
      <c r="BQ381" s="523"/>
      <c r="BR381" s="523"/>
      <c r="BS381" s="541"/>
      <c r="BT381" s="648"/>
      <c r="BU381" s="648"/>
      <c r="BV381" s="648"/>
      <c r="BW381" s="648"/>
      <c r="BX381" s="648"/>
      <c r="BY381" s="340">
        <f t="shared" ref="BY381:EJ381" si="299">(BY379/BT379)-1</f>
        <v>8.4720121028747375E-3</v>
      </c>
      <c r="BZ381" s="340">
        <f t="shared" si="299"/>
        <v>-0.36806953027904044</v>
      </c>
      <c r="CA381" s="340">
        <f t="shared" si="299"/>
        <v>-0.45028684840246502</v>
      </c>
      <c r="CB381" s="340">
        <f t="shared" si="299"/>
        <v>-0.40641843112457332</v>
      </c>
      <c r="CC381" s="321">
        <f t="shared" si="299"/>
        <v>-0.29124106168847252</v>
      </c>
      <c r="CD381" s="340">
        <f t="shared" si="299"/>
        <v>-0.31178217821782195</v>
      </c>
      <c r="CE381" s="340">
        <f t="shared" si="299"/>
        <v>6.8859331262443479E-2</v>
      </c>
      <c r="CF381" s="340">
        <f t="shared" si="299"/>
        <v>0.92635736999071705</v>
      </c>
      <c r="CG381" s="340">
        <f t="shared" si="299"/>
        <v>0.36009908796246726</v>
      </c>
      <c r="CH381" s="321">
        <f t="shared" si="299"/>
        <v>0.11764577996098402</v>
      </c>
      <c r="CI381" s="340">
        <f t="shared" si="299"/>
        <v>0.15036641773801884</v>
      </c>
      <c r="CJ381" s="340">
        <f t="shared" si="299"/>
        <v>0.23491692208420734</v>
      </c>
      <c r="CK381" s="340">
        <f t="shared" si="299"/>
        <v>0.25563345479599842</v>
      </c>
      <c r="CL381" s="340">
        <f t="shared" si="299"/>
        <v>0.16278424847476436</v>
      </c>
      <c r="CM381" s="321">
        <f t="shared" si="299"/>
        <v>0.19863950299116939</v>
      </c>
      <c r="CN381" s="340">
        <f t="shared" si="299"/>
        <v>0.258141654460738</v>
      </c>
      <c r="CO381" s="340">
        <f t="shared" si="299"/>
        <v>0.22561926455700343</v>
      </c>
      <c r="CP381" s="340">
        <f t="shared" si="299"/>
        <v>0.28605647925713407</v>
      </c>
      <c r="CQ381" s="340">
        <f t="shared" si="299"/>
        <v>0.61943484917258407</v>
      </c>
      <c r="CR381" s="321">
        <f t="shared" si="299"/>
        <v>0.36164000138600683</v>
      </c>
      <c r="CS381" s="340">
        <f t="shared" si="299"/>
        <v>0.54258467460763282</v>
      </c>
      <c r="CT381" s="340">
        <f t="shared" si="299"/>
        <v>0.39828662309005369</v>
      </c>
      <c r="CU381" s="340">
        <f t="shared" si="299"/>
        <v>0.17280517034739029</v>
      </c>
      <c r="CV381" s="340">
        <f t="shared" si="299"/>
        <v>3.8631626356703697E-2</v>
      </c>
      <c r="CW381" s="321">
        <f t="shared" si="299"/>
        <v>0.25001906089044357</v>
      </c>
      <c r="CX381" s="340">
        <f t="shared" si="299"/>
        <v>-0.3952368806443739</v>
      </c>
      <c r="CY381" s="340">
        <f t="shared" si="299"/>
        <v>-6.8130927091086813E-2</v>
      </c>
      <c r="CZ381" s="340">
        <f t="shared" si="299"/>
        <v>4.5908841619906937E-2</v>
      </c>
      <c r="DA381" s="340">
        <f t="shared" si="299"/>
        <v>-1.1007220436102916E-2</v>
      </c>
      <c r="DB381" s="321">
        <f t="shared" si="299"/>
        <v>-0.111234641705793</v>
      </c>
      <c r="DC381" s="340">
        <f t="shared" si="299"/>
        <v>0.44409135112217357</v>
      </c>
      <c r="DD381" s="340">
        <f t="shared" si="299"/>
        <v>3.5151318205106419E-2</v>
      </c>
      <c r="DE381" s="340">
        <f t="shared" si="299"/>
        <v>-0.11632417203571388</v>
      </c>
      <c r="DF381" s="340">
        <f t="shared" si="299"/>
        <v>-0.4131489785611614</v>
      </c>
      <c r="DG381" s="321">
        <f t="shared" si="299"/>
        <v>-7.4354176427377516E-2</v>
      </c>
      <c r="DH381" s="340">
        <f t="shared" si="299"/>
        <v>-0.21014343113211109</v>
      </c>
      <c r="DI381" s="340">
        <f t="shared" si="299"/>
        <v>-0.17319889282398093</v>
      </c>
      <c r="DJ381" s="340">
        <f t="shared" si="299"/>
        <v>-0.12065041912575036</v>
      </c>
      <c r="DK381" s="340">
        <f t="shared" si="299"/>
        <v>0.31577215055601426</v>
      </c>
      <c r="DL381" s="321">
        <f t="shared" si="299"/>
        <v>-7.2325394410594712E-2</v>
      </c>
      <c r="DM381" s="340">
        <f t="shared" si="299"/>
        <v>0.12712611307169408</v>
      </c>
      <c r="DN381" s="340">
        <f t="shared" si="299"/>
        <v>0.24261817321673385</v>
      </c>
      <c r="DO381" s="340">
        <f t="shared" si="299"/>
        <v>0.1355171278319014</v>
      </c>
      <c r="DP381" s="340">
        <f t="shared" si="299"/>
        <v>4.1963984076096139E-2</v>
      </c>
      <c r="DQ381" s="321">
        <f t="shared" si="299"/>
        <v>0.13136191017193943</v>
      </c>
      <c r="DR381" s="340">
        <f t="shared" si="299"/>
        <v>7.7641069475364199E-2</v>
      </c>
      <c r="DS381" s="340">
        <f t="shared" si="299"/>
        <v>6.2157468870966737E-2</v>
      </c>
      <c r="DT381" s="340">
        <f t="shared" si="299"/>
        <v>0.10641711992236913</v>
      </c>
      <c r="DU381" s="340">
        <f t="shared" si="299"/>
        <v>5.3704407169800072E-2</v>
      </c>
      <c r="DV381" s="321">
        <f t="shared" si="299"/>
        <v>7.4901862310763345E-2</v>
      </c>
      <c r="DW381" s="340">
        <f t="shared" si="299"/>
        <v>6.5538215079081752E-3</v>
      </c>
      <c r="DX381" s="340">
        <f t="shared" si="299"/>
        <v>-0.14978122536446847</v>
      </c>
      <c r="DY381" s="340">
        <f t="shared" si="299"/>
        <v>-0.30879320372855412</v>
      </c>
      <c r="DZ381" s="340">
        <f t="shared" si="299"/>
        <v>-0.36003585413318384</v>
      </c>
      <c r="EA381" s="321">
        <f t="shared" si="299"/>
        <v>-0.20767162669272421</v>
      </c>
      <c r="EB381" s="340">
        <f t="shared" si="299"/>
        <v>-0.38778111402125737</v>
      </c>
      <c r="EC381" s="340">
        <f t="shared" si="299"/>
        <v>-0.17126110899753355</v>
      </c>
      <c r="ED381" s="340">
        <f t="shared" si="299"/>
        <v>-6.5463058696215715E-2</v>
      </c>
      <c r="EE381" s="340">
        <f t="shared" si="299"/>
        <v>-5.9859289097526358E-2</v>
      </c>
      <c r="EF381" s="321">
        <f t="shared" si="299"/>
        <v>-0.18973731537752159</v>
      </c>
      <c r="EG381" s="340">
        <f t="shared" si="299"/>
        <v>-6.2668257317002318E-3</v>
      </c>
      <c r="EH381" s="340">
        <f t="shared" si="299"/>
        <v>-8.3543216368869633E-2</v>
      </c>
      <c r="EI381" s="342">
        <f t="shared" si="299"/>
        <v>-2.8550457369198479E-2</v>
      </c>
      <c r="EJ381" s="340">
        <f t="shared" si="299"/>
        <v>-7.2021527284781839E-2</v>
      </c>
      <c r="EK381" s="321">
        <f t="shared" ref="EK381:EU381" si="300">(EK379/EF379)-1</f>
        <v>-4.863294355153458E-2</v>
      </c>
      <c r="EL381" s="340">
        <f t="shared" si="300"/>
        <v>-0.26199502156077281</v>
      </c>
      <c r="EM381" s="340">
        <f t="shared" si="300"/>
        <v>-0.54977180482514343</v>
      </c>
      <c r="EN381" s="340">
        <f t="shared" si="300"/>
        <v>-0.54710825923112816</v>
      </c>
      <c r="EO381" s="340">
        <f t="shared" si="300"/>
        <v>-0.4673402130742228</v>
      </c>
      <c r="EP381" s="321">
        <f t="shared" si="300"/>
        <v>-0.46112937353719474</v>
      </c>
      <c r="EQ381" s="340">
        <f t="shared" si="300"/>
        <v>-0.29782329852073375</v>
      </c>
      <c r="ER381" s="340">
        <f t="shared" si="300"/>
        <v>0.14618822489478722</v>
      </c>
      <c r="ES381" s="340">
        <f t="shared" si="300"/>
        <v>0.17652611495500747</v>
      </c>
      <c r="ET381" s="340">
        <f t="shared" si="300"/>
        <v>0.19151618643469992</v>
      </c>
      <c r="EU381" s="321">
        <f t="shared" si="300"/>
        <v>1.8197289467037692E-2</v>
      </c>
      <c r="EV381" s="668"/>
      <c r="EW381" s="668"/>
      <c r="EX381" s="668"/>
      <c r="EY381" s="668"/>
      <c r="EZ381" s="668"/>
      <c r="FA381" s="668"/>
      <c r="FB381" s="668"/>
      <c r="FC381" s="668"/>
      <c r="FD381" s="668"/>
      <c r="FE381" s="668"/>
      <c r="FF381" s="668"/>
      <c r="FG381" s="668"/>
      <c r="FH381" s="668"/>
      <c r="FI381" s="668"/>
      <c r="FJ381" s="668"/>
      <c r="FK381" s="668"/>
      <c r="FL381" s="668"/>
      <c r="FM381" s="668"/>
      <c r="FN381" s="668"/>
      <c r="FO381" s="668"/>
      <c r="FP381" s="668"/>
      <c r="FQ381" s="668"/>
      <c r="FR381" s="668"/>
      <c r="FS381" s="668"/>
      <c r="FT381" s="668"/>
      <c r="FU381" s="668"/>
      <c r="FV381" s="668"/>
      <c r="FW381" s="668"/>
      <c r="FX381" s="668"/>
      <c r="FY381" s="668"/>
      <c r="FZ381" s="668"/>
      <c r="GA381" s="668"/>
      <c r="GB381" s="668"/>
      <c r="GC381" s="668"/>
      <c r="GD381" s="668"/>
      <c r="GE381" s="668"/>
      <c r="GF381" s="668"/>
      <c r="GG381" s="668"/>
      <c r="GH381" s="668"/>
      <c r="GI381" s="668"/>
      <c r="GJ381" s="668"/>
      <c r="GK381" s="668"/>
      <c r="GL381" s="668"/>
      <c r="GM381" s="668"/>
      <c r="GN381" s="668"/>
      <c r="GO381" s="668"/>
      <c r="GP381" s="668"/>
      <c r="GQ381" s="668"/>
      <c r="GR381" s="668"/>
      <c r="GS381" s="668"/>
      <c r="GT381" s="668"/>
      <c r="GU381" s="668"/>
      <c r="GV381" s="668"/>
      <c r="GW381" s="668"/>
      <c r="GX381" s="668"/>
      <c r="GY381" s="668"/>
      <c r="GZ381" s="668"/>
      <c r="HA381" s="668"/>
      <c r="HB381" s="668"/>
      <c r="HC381" s="668"/>
      <c r="HD381" s="668"/>
      <c r="HE381" s="668"/>
      <c r="HF381" s="668"/>
      <c r="HG381" s="668"/>
      <c r="HH381" s="668"/>
      <c r="HI381" s="668"/>
      <c r="HJ381" s="668"/>
      <c r="HK381" s="668"/>
      <c r="HL381" s="668"/>
      <c r="HM381" s="668"/>
      <c r="HN381" s="668"/>
      <c r="HO381" s="344"/>
      <c r="HP381" s="293"/>
      <c r="HQ381" s="342"/>
      <c r="HR381" s="293"/>
      <c r="HS381" s="343"/>
      <c r="HY381" s="509"/>
      <c r="HZ381" s="509"/>
      <c r="IA381" s="509"/>
      <c r="IB381" s="509"/>
    </row>
    <row r="382" spans="1:236" s="563" customFormat="1" hidden="1" outlineLevel="2">
      <c r="A382" s="509"/>
      <c r="B382" s="509"/>
      <c r="C382" s="509"/>
      <c r="D382" s="509"/>
      <c r="E382" s="509"/>
      <c r="F382" s="509"/>
      <c r="G382" s="509"/>
      <c r="H382" s="509"/>
      <c r="I382" s="509"/>
      <c r="J382" s="509"/>
      <c r="K382" s="509"/>
      <c r="L382" s="523"/>
      <c r="M382" s="523"/>
      <c r="N382" s="523"/>
      <c r="O382" s="523"/>
      <c r="P382" s="524"/>
      <c r="Q382" s="619"/>
      <c r="R382" s="619"/>
      <c r="S382" s="619"/>
      <c r="T382" s="619"/>
      <c r="U382" s="541"/>
      <c r="V382" s="619"/>
      <c r="W382" s="619"/>
      <c r="X382" s="619"/>
      <c r="Y382" s="619"/>
      <c r="Z382" s="541"/>
      <c r="AA382" s="619"/>
      <c r="AB382" s="619"/>
      <c r="AC382" s="619"/>
      <c r="AD382" s="619"/>
      <c r="AE382" s="541"/>
      <c r="AF382" s="523"/>
      <c r="AG382" s="523"/>
      <c r="AH382" s="523"/>
      <c r="AI382" s="523"/>
      <c r="AJ382" s="541"/>
      <c r="AK382" s="523"/>
      <c r="AL382" s="523"/>
      <c r="AM382" s="523"/>
      <c r="AN382" s="523"/>
      <c r="AO382" s="541"/>
      <c r="AP382" s="523"/>
      <c r="AQ382" s="523"/>
      <c r="AR382" s="523"/>
      <c r="AS382" s="523"/>
      <c r="AT382" s="541"/>
      <c r="AU382" s="523"/>
      <c r="AV382" s="523"/>
      <c r="AW382" s="523"/>
      <c r="AX382" s="523"/>
      <c r="AY382" s="541"/>
      <c r="AZ382" s="523"/>
      <c r="BA382" s="523"/>
      <c r="BB382" s="523"/>
      <c r="BC382" s="523"/>
      <c r="BD382" s="541"/>
      <c r="BE382" s="523"/>
      <c r="BF382" s="523"/>
      <c r="BG382" s="523"/>
      <c r="BH382" s="523"/>
      <c r="BI382" s="541"/>
      <c r="BJ382" s="523"/>
      <c r="BK382" s="523"/>
      <c r="BL382" s="523"/>
      <c r="BM382" s="523"/>
      <c r="BN382" s="541"/>
      <c r="BO382" s="523"/>
      <c r="BP382" s="523"/>
      <c r="BQ382" s="523"/>
      <c r="BR382" s="523"/>
      <c r="BS382" s="541"/>
      <c r="BT382" s="648"/>
      <c r="BU382" s="648"/>
      <c r="BV382" s="648"/>
      <c r="BW382" s="648"/>
      <c r="BX382" s="648"/>
      <c r="BY382" s="340"/>
      <c r="BZ382" s="340"/>
      <c r="CA382" s="340"/>
      <c r="CB382" s="340"/>
      <c r="CC382" s="321"/>
      <c r="CD382" s="340"/>
      <c r="CE382" s="340"/>
      <c r="CF382" s="340"/>
      <c r="CG382" s="340"/>
      <c r="CH382" s="321"/>
      <c r="CI382" s="340"/>
      <c r="CJ382" s="340"/>
      <c r="CK382" s="340"/>
      <c r="CL382" s="340"/>
      <c r="CM382" s="321"/>
      <c r="CN382" s="340"/>
      <c r="CO382" s="340"/>
      <c r="CP382" s="340"/>
      <c r="CQ382" s="340"/>
      <c r="CR382" s="321"/>
      <c r="CS382" s="340"/>
      <c r="CT382" s="340"/>
      <c r="CU382" s="340"/>
      <c r="CV382" s="340"/>
      <c r="CW382" s="321"/>
      <c r="CX382" s="340"/>
      <c r="CY382" s="340"/>
      <c r="CZ382" s="340"/>
      <c r="DA382" s="340"/>
      <c r="DB382" s="321"/>
      <c r="DC382" s="340"/>
      <c r="DD382" s="340"/>
      <c r="DE382" s="340"/>
      <c r="DF382" s="340"/>
      <c r="DG382" s="321"/>
      <c r="DH382" s="340"/>
      <c r="DI382" s="340"/>
      <c r="DJ382" s="340"/>
      <c r="DK382" s="340"/>
      <c r="DL382" s="321"/>
      <c r="DM382" s="340"/>
      <c r="DN382" s="340"/>
      <c r="DO382" s="340"/>
      <c r="DP382" s="648"/>
      <c r="DQ382" s="648"/>
      <c r="DR382" s="648"/>
      <c r="DS382" s="867"/>
      <c r="DT382" s="648"/>
      <c r="DU382" s="340"/>
      <c r="DV382" s="321"/>
      <c r="DW382" s="648"/>
      <c r="DX382" s="648"/>
      <c r="DY382" s="648"/>
      <c r="DZ382" s="340"/>
      <c r="EA382" s="321"/>
      <c r="EB382" s="648"/>
      <c r="EC382" s="648"/>
      <c r="ED382" s="648"/>
      <c r="EE382" s="340"/>
      <c r="EF382" s="321"/>
      <c r="EG382" s="648"/>
      <c r="EH382" s="648"/>
      <c r="EI382" s="648"/>
      <c r="EJ382" s="340"/>
      <c r="EK382" s="321"/>
      <c r="EL382" s="648"/>
      <c r="EM382" s="648"/>
      <c r="EN382" s="648"/>
      <c r="EO382" s="340"/>
      <c r="EP382" s="321"/>
      <c r="EQ382" s="648"/>
      <c r="ER382" s="648"/>
      <c r="ES382" s="648"/>
      <c r="ET382" s="340"/>
      <c r="EU382" s="321"/>
      <c r="EV382" s="668"/>
      <c r="EW382" s="668"/>
      <c r="EX382" s="668"/>
      <c r="EY382" s="668"/>
      <c r="EZ382" s="668"/>
      <c r="FA382" s="668"/>
      <c r="FB382" s="668"/>
      <c r="FC382" s="668"/>
      <c r="FD382" s="668"/>
      <c r="FE382" s="668"/>
      <c r="FF382" s="668"/>
      <c r="FG382" s="668"/>
      <c r="FH382" s="668"/>
      <c r="FI382" s="668"/>
      <c r="FJ382" s="668"/>
      <c r="FK382" s="668"/>
      <c r="FL382" s="668"/>
      <c r="FM382" s="668"/>
      <c r="FN382" s="668"/>
      <c r="FO382" s="668"/>
      <c r="FP382" s="668"/>
      <c r="FQ382" s="668"/>
      <c r="FR382" s="668"/>
      <c r="FS382" s="668"/>
      <c r="FT382" s="668"/>
      <c r="FU382" s="668"/>
      <c r="FV382" s="668"/>
      <c r="FW382" s="668"/>
      <c r="FX382" s="668"/>
      <c r="FY382" s="668"/>
      <c r="FZ382" s="668"/>
      <c r="GA382" s="668"/>
      <c r="GB382" s="668"/>
      <c r="GC382" s="668"/>
      <c r="GD382" s="668"/>
      <c r="GE382" s="668"/>
      <c r="GF382" s="668"/>
      <c r="GG382" s="668"/>
      <c r="GH382" s="668"/>
      <c r="GI382" s="668"/>
      <c r="GJ382" s="668"/>
      <c r="GK382" s="668"/>
      <c r="GL382" s="668"/>
      <c r="GM382" s="668"/>
      <c r="GN382" s="668"/>
      <c r="GO382" s="668"/>
      <c r="GP382" s="668"/>
      <c r="GQ382" s="668"/>
      <c r="GR382" s="668"/>
      <c r="GS382" s="668"/>
      <c r="GT382" s="668"/>
      <c r="GU382" s="668"/>
      <c r="GV382" s="668"/>
      <c r="GW382" s="668"/>
      <c r="GX382" s="668"/>
      <c r="GY382" s="668"/>
      <c r="GZ382" s="668"/>
      <c r="HA382" s="668"/>
      <c r="HB382" s="668"/>
      <c r="HC382" s="668"/>
      <c r="HD382" s="668"/>
      <c r="HE382" s="668"/>
      <c r="HF382" s="668"/>
      <c r="HG382" s="668"/>
      <c r="HH382" s="668"/>
      <c r="HI382" s="668"/>
      <c r="HJ382" s="668"/>
      <c r="HK382" s="668"/>
      <c r="HL382" s="668"/>
      <c r="HM382" s="668"/>
      <c r="HN382" s="668"/>
      <c r="HO382" s="344"/>
      <c r="HP382" s="293"/>
      <c r="HQ382" s="342"/>
      <c r="HR382" s="293"/>
      <c r="HS382" s="343"/>
      <c r="HY382" s="509"/>
      <c r="HZ382" s="509"/>
      <c r="IA382" s="509"/>
      <c r="IB382" s="509"/>
    </row>
    <row r="383" spans="1:236" s="563" customFormat="1" hidden="1" outlineLevel="2">
      <c r="A383" s="509"/>
      <c r="B383" s="509"/>
      <c r="C383" s="509"/>
      <c r="D383" s="509"/>
      <c r="E383" s="509"/>
      <c r="F383" s="509"/>
      <c r="G383" s="509"/>
      <c r="H383" s="509"/>
      <c r="I383" s="509"/>
      <c r="J383" s="509"/>
      <c r="K383" s="509"/>
      <c r="L383" s="523"/>
      <c r="M383" s="523"/>
      <c r="N383" s="523"/>
      <c r="O383" s="523"/>
      <c r="P383" s="524"/>
      <c r="Q383" s="619"/>
      <c r="R383" s="619"/>
      <c r="S383" s="619"/>
      <c r="T383" s="619"/>
      <c r="U383" s="541"/>
      <c r="V383" s="619"/>
      <c r="W383" s="619"/>
      <c r="X383" s="619"/>
      <c r="Y383" s="619"/>
      <c r="Z383" s="541"/>
      <c r="AA383" s="619"/>
      <c r="AB383" s="619"/>
      <c r="AC383" s="619"/>
      <c r="AD383" s="619"/>
      <c r="AE383" s="541"/>
      <c r="AF383" s="523"/>
      <c r="AG383" s="523"/>
      <c r="AH383" s="523"/>
      <c r="AI383" s="523"/>
      <c r="AJ383" s="541"/>
      <c r="AK383" s="523"/>
      <c r="AL383" s="523"/>
      <c r="AM383" s="523"/>
      <c r="AN383" s="523"/>
      <c r="AO383" s="541"/>
      <c r="AP383" s="523"/>
      <c r="AQ383" s="523"/>
      <c r="AR383" s="523"/>
      <c r="AS383" s="523"/>
      <c r="AT383" s="541"/>
      <c r="AU383" s="523"/>
      <c r="AV383" s="523"/>
      <c r="AW383" s="523"/>
      <c r="AX383" s="523"/>
      <c r="AY383" s="541"/>
      <c r="AZ383" s="523"/>
      <c r="BA383" s="523"/>
      <c r="BB383" s="523"/>
      <c r="BC383" s="523"/>
      <c r="BD383" s="541"/>
      <c r="BE383" s="523"/>
      <c r="BF383" s="523"/>
      <c r="BG383" s="523"/>
      <c r="BH383" s="523"/>
      <c r="BI383" s="541"/>
      <c r="BJ383" s="523"/>
      <c r="BK383" s="523"/>
      <c r="BL383" s="523"/>
      <c r="BM383" s="523"/>
      <c r="BN383" s="541"/>
      <c r="BO383" s="523"/>
      <c r="BP383" s="523"/>
      <c r="BQ383" s="523"/>
      <c r="BR383" s="523"/>
      <c r="BS383" s="541"/>
      <c r="BT383" s="523"/>
      <c r="BU383" s="523"/>
      <c r="BV383" s="523"/>
      <c r="BW383" s="523"/>
      <c r="BX383" s="591"/>
      <c r="BY383" s="523"/>
      <c r="BZ383" s="523"/>
      <c r="CA383" s="523"/>
      <c r="CB383" s="523"/>
      <c r="CC383" s="591"/>
      <c r="CD383" s="523"/>
      <c r="CE383" s="523"/>
      <c r="CF383" s="523"/>
      <c r="CG383" s="523"/>
      <c r="CH383" s="591"/>
      <c r="CI383" s="523"/>
      <c r="CJ383" s="523"/>
      <c r="CK383" s="523"/>
      <c r="CL383" s="523"/>
      <c r="CM383" s="542"/>
      <c r="CN383" s="539"/>
      <c r="CO383" s="523"/>
      <c r="CP383" s="523"/>
      <c r="CQ383" s="523"/>
      <c r="CR383" s="542"/>
      <c r="CS383" s="539"/>
      <c r="CT383" s="523"/>
      <c r="CU383" s="523"/>
      <c r="CV383" s="523"/>
      <c r="CW383" s="542"/>
      <c r="CX383" s="539"/>
      <c r="CY383" s="523"/>
      <c r="CZ383" s="523"/>
      <c r="DA383" s="523"/>
      <c r="DB383" s="542"/>
      <c r="DC383" s="539"/>
      <c r="DD383" s="523"/>
      <c r="DE383" s="523"/>
      <c r="DF383" s="523"/>
      <c r="DG383" s="542"/>
      <c r="DH383" s="539"/>
      <c r="DI383" s="523"/>
      <c r="DJ383" s="523"/>
      <c r="DK383" s="523"/>
      <c r="DL383" s="542"/>
      <c r="DM383" s="539"/>
      <c r="DN383" s="523"/>
      <c r="DO383" s="523"/>
      <c r="DP383" s="523"/>
      <c r="DQ383" s="542"/>
      <c r="DR383" s="539"/>
      <c r="DS383" s="523"/>
      <c r="DT383" s="523"/>
      <c r="DU383" s="523"/>
      <c r="DV383" s="542"/>
      <c r="DW383" s="539"/>
      <c r="DX383" s="523"/>
      <c r="DY383" s="523"/>
      <c r="DZ383" s="523"/>
      <c r="EA383" s="542"/>
      <c r="EB383" s="539"/>
      <c r="EC383" s="523"/>
      <c r="ED383" s="523"/>
      <c r="EE383" s="523"/>
      <c r="EF383" s="542"/>
      <c r="EG383" s="539"/>
      <c r="EH383" s="523"/>
      <c r="EI383" s="523"/>
      <c r="EJ383" s="523"/>
      <c r="EK383" s="542"/>
      <c r="EL383" s="539"/>
      <c r="EM383" s="523"/>
      <c r="EN383" s="523"/>
      <c r="EO383" s="523"/>
      <c r="EP383" s="542"/>
      <c r="EQ383" s="539"/>
      <c r="ER383" s="523"/>
      <c r="ES383" s="523"/>
      <c r="ET383" s="523"/>
      <c r="EU383" s="542"/>
      <c r="EV383" s="668"/>
      <c r="EW383" s="668"/>
      <c r="EX383" s="668"/>
      <c r="EY383" s="668"/>
      <c r="EZ383" s="668"/>
      <c r="FA383" s="668"/>
      <c r="FB383" s="668"/>
      <c r="FC383" s="668"/>
      <c r="FD383" s="668"/>
      <c r="FE383" s="668"/>
      <c r="FF383" s="668"/>
      <c r="FG383" s="668"/>
      <c r="FH383" s="668"/>
      <c r="FI383" s="668"/>
      <c r="FJ383" s="668"/>
      <c r="FK383" s="668"/>
      <c r="FL383" s="668"/>
      <c r="FM383" s="668"/>
      <c r="FN383" s="668"/>
      <c r="FO383" s="668"/>
      <c r="FP383" s="668"/>
      <c r="FQ383" s="668"/>
      <c r="FR383" s="668"/>
      <c r="FS383" s="668"/>
      <c r="FT383" s="668"/>
      <c r="FU383" s="668"/>
      <c r="FV383" s="668"/>
      <c r="FW383" s="668"/>
      <c r="FX383" s="668"/>
      <c r="FY383" s="668"/>
      <c r="FZ383" s="668"/>
      <c r="GA383" s="668"/>
      <c r="GB383" s="668"/>
      <c r="GC383" s="668"/>
      <c r="GD383" s="668"/>
      <c r="GE383" s="668"/>
      <c r="GF383" s="668"/>
      <c r="GG383" s="668"/>
      <c r="GH383" s="668"/>
      <c r="GI383" s="668"/>
      <c r="GJ383" s="668"/>
      <c r="GK383" s="668"/>
      <c r="GL383" s="668"/>
      <c r="GM383" s="668"/>
      <c r="GN383" s="668"/>
      <c r="GO383" s="668"/>
      <c r="GP383" s="668"/>
      <c r="GQ383" s="668"/>
      <c r="GR383" s="668"/>
      <c r="GS383" s="668"/>
      <c r="GT383" s="668"/>
      <c r="GU383" s="668"/>
      <c r="GV383" s="668"/>
      <c r="GW383" s="668"/>
      <c r="GX383" s="668"/>
      <c r="GY383" s="668"/>
      <c r="GZ383" s="668"/>
      <c r="HA383" s="668"/>
      <c r="HB383" s="668"/>
      <c r="HC383" s="668"/>
      <c r="HD383" s="668"/>
      <c r="HE383" s="668"/>
      <c r="HF383" s="668"/>
      <c r="HG383" s="668"/>
      <c r="HH383" s="668"/>
      <c r="HI383" s="668"/>
      <c r="HJ383" s="668"/>
      <c r="HK383" s="668"/>
      <c r="HL383" s="668"/>
      <c r="HM383" s="668"/>
      <c r="HN383" s="668"/>
      <c r="HO383" s="542"/>
      <c r="HP383" s="606"/>
      <c r="HQ383" s="523"/>
      <c r="HR383" s="606"/>
      <c r="HS383" s="671"/>
      <c r="HY383" s="509"/>
      <c r="HZ383" s="509"/>
      <c r="IA383" s="509"/>
      <c r="IB383" s="509"/>
    </row>
    <row r="384" spans="1:236" s="563" customFormat="1" hidden="1" outlineLevel="3">
      <c r="A384" s="538" t="s">
        <v>555</v>
      </c>
      <c r="B384" s="509"/>
      <c r="C384" s="509"/>
      <c r="D384" s="509"/>
      <c r="E384" s="509"/>
      <c r="F384" s="509"/>
      <c r="G384" s="509"/>
      <c r="H384" s="509"/>
      <c r="I384" s="509"/>
      <c r="J384" s="509"/>
      <c r="K384" s="509"/>
      <c r="L384" s="523"/>
      <c r="M384" s="523"/>
      <c r="N384" s="523"/>
      <c r="O384" s="523"/>
      <c r="P384" s="524"/>
      <c r="Q384" s="619"/>
      <c r="R384" s="619"/>
      <c r="S384" s="619"/>
      <c r="T384" s="619"/>
      <c r="U384" s="541"/>
      <c r="V384" s="619"/>
      <c r="W384" s="619"/>
      <c r="X384" s="619"/>
      <c r="Y384" s="619"/>
      <c r="Z384" s="541"/>
      <c r="AA384" s="619"/>
      <c r="AB384" s="619"/>
      <c r="AC384" s="619"/>
      <c r="AD384" s="619"/>
      <c r="AE384" s="541"/>
      <c r="AF384" s="523"/>
      <c r="AG384" s="523"/>
      <c r="AH384" s="523"/>
      <c r="AI384" s="523"/>
      <c r="AJ384" s="541"/>
      <c r="AK384" s="523"/>
      <c r="AL384" s="523"/>
      <c r="AM384" s="523"/>
      <c r="AN384" s="523"/>
      <c r="AO384" s="541"/>
      <c r="AP384" s="523"/>
      <c r="AQ384" s="523"/>
      <c r="AR384" s="523"/>
      <c r="AS384" s="523"/>
      <c r="AT384" s="541"/>
      <c r="AU384" s="523"/>
      <c r="AV384" s="523"/>
      <c r="AW384" s="523"/>
      <c r="AX384" s="523"/>
      <c r="AY384" s="541"/>
      <c r="AZ384" s="523"/>
      <c r="BA384" s="523"/>
      <c r="BB384" s="523"/>
      <c r="BC384" s="523"/>
      <c r="BD384" s="541"/>
      <c r="BE384" s="523"/>
      <c r="BF384" s="523"/>
      <c r="BG384" s="523"/>
      <c r="BH384" s="523"/>
      <c r="BI384" s="541"/>
      <c r="BJ384" s="523"/>
      <c r="BK384" s="523"/>
      <c r="BL384" s="523"/>
      <c r="BM384" s="523"/>
      <c r="BN384" s="541"/>
      <c r="BO384" s="523"/>
      <c r="BP384" s="523"/>
      <c r="BQ384" s="523"/>
      <c r="BR384" s="523"/>
      <c r="BS384" s="541"/>
      <c r="BT384" s="523"/>
      <c r="BU384" s="523"/>
      <c r="BV384" s="523"/>
      <c r="BW384" s="523"/>
      <c r="BX384" s="591"/>
      <c r="BY384" s="523"/>
      <c r="BZ384" s="523"/>
      <c r="CA384" s="523"/>
      <c r="CB384" s="523"/>
      <c r="CC384" s="591"/>
      <c r="CD384" s="523"/>
      <c r="CE384" s="523"/>
      <c r="CF384" s="523"/>
      <c r="CG384" s="523"/>
      <c r="CH384" s="591"/>
      <c r="CI384" s="523"/>
      <c r="CJ384" s="523"/>
      <c r="CK384" s="523"/>
      <c r="CL384" s="523"/>
      <c r="CM384" s="542"/>
      <c r="CN384" s="539"/>
      <c r="CO384" s="523"/>
      <c r="CP384" s="523"/>
      <c r="CQ384" s="523"/>
      <c r="CR384" s="542"/>
      <c r="CS384" s="539"/>
      <c r="CT384" s="523"/>
      <c r="CU384" s="523"/>
      <c r="CV384" s="523"/>
      <c r="CW384" s="542"/>
      <c r="CX384" s="539"/>
      <c r="CY384" s="523"/>
      <c r="CZ384" s="523"/>
      <c r="DA384" s="523"/>
      <c r="DB384" s="542"/>
      <c r="DC384" s="539"/>
      <c r="DD384" s="523"/>
      <c r="DE384" s="523"/>
      <c r="DF384" s="523"/>
      <c r="DG384" s="542"/>
      <c r="DH384" s="539"/>
      <c r="DI384" s="523"/>
      <c r="DJ384" s="523"/>
      <c r="DK384" s="523"/>
      <c r="DL384" s="542"/>
      <c r="DM384" s="869"/>
      <c r="DN384" s="869"/>
      <c r="DO384" s="523"/>
      <c r="DP384" s="523"/>
      <c r="DQ384" s="542"/>
      <c r="DR384" s="869"/>
      <c r="DS384" s="869"/>
      <c r="DT384" s="869"/>
      <c r="DU384" s="523"/>
      <c r="DV384" s="542"/>
      <c r="DW384" s="869"/>
      <c r="DX384" s="869"/>
      <c r="DY384" s="523"/>
      <c r="DZ384" s="523"/>
      <c r="EA384" s="542"/>
      <c r="EB384" s="869"/>
      <c r="EC384" s="365"/>
      <c r="ED384" s="365"/>
      <c r="EE384" s="869"/>
      <c r="EF384" s="321"/>
      <c r="EG384" s="869"/>
      <c r="EH384" s="869"/>
      <c r="EI384" s="523"/>
      <c r="EJ384" s="523"/>
      <c r="EK384" s="542"/>
      <c r="EL384" s="869"/>
      <c r="EM384" s="869"/>
      <c r="EN384" s="523"/>
      <c r="EO384" s="523"/>
      <c r="EP384" s="542"/>
      <c r="EQ384" s="869"/>
      <c r="ER384" s="869"/>
      <c r="ES384" s="523"/>
      <c r="ET384" s="523"/>
      <c r="EU384" s="542"/>
      <c r="EV384" s="668"/>
      <c r="EW384" s="668"/>
      <c r="EX384" s="668"/>
      <c r="EY384" s="668"/>
      <c r="EZ384" s="668"/>
      <c r="FA384" s="668"/>
      <c r="FB384" s="668"/>
      <c r="FC384" s="668"/>
      <c r="FD384" s="668"/>
      <c r="FE384" s="668"/>
      <c r="FF384" s="668"/>
      <c r="FG384" s="668"/>
      <c r="FH384" s="668"/>
      <c r="FI384" s="668"/>
      <c r="FJ384" s="668"/>
      <c r="FK384" s="668"/>
      <c r="FL384" s="668"/>
      <c r="FM384" s="668"/>
      <c r="FN384" s="668"/>
      <c r="FO384" s="668"/>
      <c r="FP384" s="668"/>
      <c r="FQ384" s="668"/>
      <c r="FR384" s="668"/>
      <c r="FS384" s="668"/>
      <c r="FT384" s="668"/>
      <c r="FU384" s="668"/>
      <c r="FV384" s="668"/>
      <c r="FW384" s="668"/>
      <c r="FX384" s="668"/>
      <c r="FY384" s="668"/>
      <c r="FZ384" s="668"/>
      <c r="GA384" s="668"/>
      <c r="GB384" s="668"/>
      <c r="GC384" s="668"/>
      <c r="GD384" s="668"/>
      <c r="GE384" s="668"/>
      <c r="GF384" s="668"/>
      <c r="GG384" s="668"/>
      <c r="GH384" s="668"/>
      <c r="GI384" s="668"/>
      <c r="GJ384" s="668"/>
      <c r="GK384" s="668"/>
      <c r="GL384" s="668"/>
      <c r="GM384" s="668"/>
      <c r="GN384" s="668"/>
      <c r="GO384" s="668"/>
      <c r="GP384" s="668"/>
      <c r="GQ384" s="668"/>
      <c r="GR384" s="668"/>
      <c r="GS384" s="668"/>
      <c r="GT384" s="668"/>
      <c r="GU384" s="668"/>
      <c r="GV384" s="668"/>
      <c r="GW384" s="668"/>
      <c r="GX384" s="668"/>
      <c r="GY384" s="668"/>
      <c r="GZ384" s="668"/>
      <c r="HA384" s="668"/>
      <c r="HB384" s="668"/>
      <c r="HC384" s="668"/>
      <c r="HD384" s="668"/>
      <c r="HE384" s="668"/>
      <c r="HF384" s="668"/>
      <c r="HG384" s="668"/>
      <c r="HH384" s="668"/>
      <c r="HI384" s="668"/>
      <c r="HJ384" s="668"/>
      <c r="HK384" s="668"/>
      <c r="HL384" s="668"/>
      <c r="HM384" s="668"/>
      <c r="HN384" s="668"/>
      <c r="HO384" s="542"/>
      <c r="HP384" s="606"/>
      <c r="HQ384" s="523"/>
      <c r="HR384" s="606"/>
      <c r="HS384" s="671"/>
      <c r="HY384" s="509"/>
      <c r="HZ384" s="509"/>
      <c r="IA384" s="509"/>
      <c r="IB384" s="509"/>
    </row>
    <row r="385" spans="1:236" s="563" customFormat="1" hidden="1" outlineLevel="3">
      <c r="A385" s="509" t="s">
        <v>487</v>
      </c>
      <c r="B385" s="509"/>
      <c r="C385" s="509"/>
      <c r="D385" s="509"/>
      <c r="E385" s="509"/>
      <c r="F385" s="509"/>
      <c r="G385" s="509"/>
      <c r="H385" s="509"/>
      <c r="I385" s="509"/>
      <c r="J385" s="509"/>
      <c r="K385" s="509"/>
      <c r="L385" s="523"/>
      <c r="M385" s="523"/>
      <c r="N385" s="523"/>
      <c r="O385" s="523"/>
      <c r="P385" s="524"/>
      <c r="Q385" s="619"/>
      <c r="R385" s="619"/>
      <c r="S385" s="619"/>
      <c r="T385" s="619"/>
      <c r="U385" s="541"/>
      <c r="V385" s="619"/>
      <c r="W385" s="619"/>
      <c r="X385" s="619"/>
      <c r="Y385" s="619"/>
      <c r="Z385" s="541"/>
      <c r="AA385" s="619"/>
      <c r="AB385" s="619"/>
      <c r="AC385" s="619"/>
      <c r="AD385" s="619"/>
      <c r="AE385" s="541"/>
      <c r="AF385" s="523"/>
      <c r="AG385" s="523"/>
      <c r="AH385" s="523"/>
      <c r="AI385" s="523"/>
      <c r="AJ385" s="541"/>
      <c r="AK385" s="523"/>
      <c r="AL385" s="523"/>
      <c r="AM385" s="523"/>
      <c r="AN385" s="523"/>
      <c r="AO385" s="541"/>
      <c r="AP385" s="523"/>
      <c r="AQ385" s="523"/>
      <c r="AR385" s="523"/>
      <c r="AS385" s="523"/>
      <c r="AT385" s="541"/>
      <c r="AU385" s="523"/>
      <c r="AV385" s="523"/>
      <c r="AW385" s="523"/>
      <c r="AX385" s="523"/>
      <c r="AY385" s="541"/>
      <c r="AZ385" s="523"/>
      <c r="BA385" s="523"/>
      <c r="BB385" s="523"/>
      <c r="BC385" s="523"/>
      <c r="BD385" s="541"/>
      <c r="BE385" s="523"/>
      <c r="BF385" s="523"/>
      <c r="BG385" s="523"/>
      <c r="BH385" s="523"/>
      <c r="BI385" s="541"/>
      <c r="BJ385" s="523"/>
      <c r="BK385" s="523"/>
      <c r="BL385" s="523"/>
      <c r="BM385" s="523"/>
      <c r="BN385" s="541"/>
      <c r="BO385" s="523"/>
      <c r="BP385" s="523"/>
      <c r="BQ385" s="523"/>
      <c r="BR385" s="523"/>
      <c r="BS385" s="541"/>
      <c r="BT385" s="523"/>
      <c r="BU385" s="523"/>
      <c r="BV385" s="523"/>
      <c r="BW385" s="523"/>
      <c r="BX385" s="591"/>
      <c r="BY385" s="523">
        <f>SUM(BY278,BY191,BY181)</f>
        <v>7970</v>
      </c>
      <c r="BZ385" s="523">
        <f>SUM(BZ278,BZ191,BZ181)</f>
        <v>6115</v>
      </c>
      <c r="CA385" s="523">
        <f>SUM(CA278,CA191,CA181)</f>
        <v>4653</v>
      </c>
      <c r="CB385" s="523">
        <f>SUM(CB278,CB191,CB181)</f>
        <v>6269</v>
      </c>
      <c r="CC385" s="524">
        <f>SUM(CC278,CC191,CC181)</f>
        <v>25007</v>
      </c>
      <c r="CD385" s="523">
        <f>SUM(CD278,CD191,CD181)</f>
        <v>7253</v>
      </c>
      <c r="CE385" s="523">
        <f>SUM(CE278,CE191,CE181)</f>
        <v>6693</v>
      </c>
      <c r="CF385" s="523">
        <f>SUM(CF278,CF191,CF181)</f>
        <v>7305</v>
      </c>
      <c r="CG385" s="523">
        <f>SUM(CG278,CG191,CG181)</f>
        <v>7790</v>
      </c>
      <c r="CH385" s="524">
        <f>SUM(CH278,CH191,CH181)</f>
        <v>29041</v>
      </c>
      <c r="CI385" s="523">
        <f>SUM(CI278,CI191,CI181)</f>
        <v>7255</v>
      </c>
      <c r="CJ385" s="523">
        <f>SUM(CJ278,CJ191,CJ181)</f>
        <v>7302</v>
      </c>
      <c r="CK385" s="523">
        <f>SUM(CK278,CK191,CK181)</f>
        <v>7832</v>
      </c>
      <c r="CL385" s="523">
        <f>SUM(CL278,CL191,CL181)</f>
        <v>9195</v>
      </c>
      <c r="CM385" s="524">
        <f>SUM(CM278,CM191,CM181)</f>
        <v>31584</v>
      </c>
      <c r="CN385" s="523">
        <f>SUM(CN278,CN191,CN181)</f>
        <v>9280</v>
      </c>
      <c r="CO385" s="523">
        <f>SUM(CO278,CO191,CO181)</f>
        <v>8918.5</v>
      </c>
      <c r="CP385" s="523">
        <f>SUM(CP278,CP191,CP181)</f>
        <v>10954.48344370861</v>
      </c>
      <c r="CQ385" s="523">
        <f>SUM(CQ278,CQ191,CQ181)</f>
        <v>14055</v>
      </c>
      <c r="CR385" s="524">
        <f>SUM(CR278,CR191,CR181)</f>
        <v>43207.98344370861</v>
      </c>
      <c r="CS385" s="523">
        <f>SUM(CS278,CS191,CS181)</f>
        <v>13192.048192771084</v>
      </c>
      <c r="CT385" s="523">
        <f>SUM(CT278,CT191,CT181)</f>
        <v>12546.216867469881</v>
      </c>
      <c r="CU385" s="523">
        <f>SUM(CU278,CU191,CU181)</f>
        <v>14835.918108433736</v>
      </c>
      <c r="CV385" s="523">
        <f>SUM(CV278,CV191,CV181)</f>
        <v>17615.962711807228</v>
      </c>
      <c r="CW385" s="524">
        <f>SUM(CW278,CW191,CW181)</f>
        <v>58190.145880481927</v>
      </c>
      <c r="CX385" s="523">
        <f>SUM(CX278,CX191,CX181)</f>
        <v>11113</v>
      </c>
      <c r="CY385" s="523">
        <f>SUM(CY278,CY191,CY181)</f>
        <v>15298</v>
      </c>
      <c r="CZ385" s="523">
        <f>SUM(CZ278,CZ191,CZ181)</f>
        <v>17801</v>
      </c>
      <c r="DA385" s="523">
        <f>SUM(DA278,DA191,DA181)</f>
        <v>19020</v>
      </c>
      <c r="DB385" s="524">
        <f>SUM(DB278,DB191,DB181)</f>
        <v>63232</v>
      </c>
      <c r="DC385" s="523">
        <f>SUM(DC278,DC191,DC181)</f>
        <v>15657</v>
      </c>
      <c r="DD385" s="523">
        <f>SUM(DD278,DD191,DD181)</f>
        <v>15228</v>
      </c>
      <c r="DE385" s="523">
        <f>SUM(DE278,DE191,DE181)</f>
        <v>16308</v>
      </c>
      <c r="DF385" s="523">
        <f>SUM(DF278,DF191,DF181)</f>
        <v>12817</v>
      </c>
      <c r="DG385" s="524">
        <f>SUM(DG278,DG191,DG181)</f>
        <v>60010</v>
      </c>
      <c r="DH385" s="523">
        <f>SUM(DH278,DH191,DH181)</f>
        <v>14497</v>
      </c>
      <c r="DI385" s="523">
        <f>SUM(DI278,DI191,DI181)</f>
        <v>14725</v>
      </c>
      <c r="DJ385" s="523">
        <f>SUM(DJ278,DJ191,DJ181)</f>
        <v>16508</v>
      </c>
      <c r="DK385" s="523">
        <f>SUM(DK278,DK191,DK181)</f>
        <v>18510</v>
      </c>
      <c r="DL385" s="524">
        <f>SUM(DL278,DL191,DL181)</f>
        <v>64240</v>
      </c>
      <c r="DM385" s="523">
        <f>SUM(DM278,DM191,DM181)</f>
        <v>17012</v>
      </c>
      <c r="DN385" s="523">
        <f>SUM(DN278,DN191,DN181)</f>
        <v>17539</v>
      </c>
      <c r="DO385" s="523">
        <f>SUM(DO278,DO191,DO181)</f>
        <v>18347</v>
      </c>
      <c r="DP385" s="523">
        <f>SUM(DP278,DP191,DP181)</f>
        <v>18155</v>
      </c>
      <c r="DQ385" s="524">
        <f>SUM(DQ278,DQ191,DQ181)</f>
        <v>71053</v>
      </c>
      <c r="DR385" s="523">
        <f>SUM(DR278,DR191,DR181)</f>
        <v>18360</v>
      </c>
      <c r="DS385" s="523">
        <f>SUM(DS278,DS191,DS181)</f>
        <v>19201</v>
      </c>
      <c r="DT385" s="523">
        <f>SUM(DT278,DT191,DT181)</f>
        <v>19810</v>
      </c>
      <c r="DU385" s="523">
        <f>SUM(DU278,DU191,DU181)</f>
        <v>19042</v>
      </c>
      <c r="DV385" s="524">
        <f>SUM(DV278,DV191,DV181)</f>
        <v>76413</v>
      </c>
      <c r="DW385" s="523">
        <f>SUM(DW278,DW191,DW181)</f>
        <v>18868</v>
      </c>
      <c r="DX385" s="523">
        <f>SUM(DX278,DX191,DX181)</f>
        <v>17366</v>
      </c>
      <c r="DY385" s="523">
        <f>SUM(DY278,DY191,DY181)</f>
        <v>15391</v>
      </c>
      <c r="DZ385" s="523">
        <f>SUM(DZ278,DZ191,DZ181)</f>
        <v>13177</v>
      </c>
      <c r="EA385" s="524">
        <f>SUM(EA278,EA191,EA181)</f>
        <v>64802</v>
      </c>
      <c r="EB385" s="523">
        <f>SUM(EB278,EB191,EB181)</f>
        <v>11816</v>
      </c>
      <c r="EC385" s="523">
        <f>SUM(EC278,EC191,EC181)</f>
        <v>14919</v>
      </c>
      <c r="ED385" s="523">
        <f>SUM(ED278,ED191,ED181)</f>
        <v>14791</v>
      </c>
      <c r="EE385" s="523">
        <f>SUM(EE278,EE191,EE181)</f>
        <v>12718</v>
      </c>
      <c r="EF385" s="524">
        <f>SUM(EF278,EF191,EF181)</f>
        <v>54244</v>
      </c>
      <c r="EG385" s="523">
        <f>SUM(EG278,EG191,EG181)</f>
        <v>10982</v>
      </c>
      <c r="EH385" s="523">
        <f>SUM(EH278,EH191,EH181)</f>
        <v>11418</v>
      </c>
      <c r="EI385" s="523">
        <f>SUM(EI278,EI191,EI181)</f>
        <v>11424</v>
      </c>
      <c r="EJ385" s="523">
        <f>SUM(EJ278,EJ191,EJ181)</f>
        <v>9352</v>
      </c>
      <c r="EK385" s="524">
        <f>SUM(EK278,EK191,EK181)</f>
        <v>43176</v>
      </c>
      <c r="EL385" s="523">
        <f>SUM(EL278,EL191,EL181)</f>
        <v>7483</v>
      </c>
      <c r="EM385" s="523">
        <f>SUM(EM278,EM191,EM181)</f>
        <v>4921</v>
      </c>
      <c r="EN385" s="523">
        <f>SUM(EN278,EN191,EN181)</f>
        <v>5220</v>
      </c>
      <c r="EO385" s="523">
        <f>SUM(EO278,EO191,EO181)</f>
        <v>5403.46</v>
      </c>
      <c r="EP385" s="524">
        <f>SUM(EP278,EP191,EP181)</f>
        <v>23027.46</v>
      </c>
      <c r="EQ385" s="523">
        <f>SUM(EQ278,EQ191,EQ181)</f>
        <v>5242.1211999999996</v>
      </c>
      <c r="ER385" s="523">
        <f>SUM(ER278,ER191,ER181)</f>
        <v>5501.6772600000004</v>
      </c>
      <c r="ES385" s="523">
        <f>SUM(ES278,ES191,ES181)</f>
        <v>5830.3243956000006</v>
      </c>
      <c r="ET385" s="523">
        <f>SUM(ET278,ET191,ET181)</f>
        <v>6005.7186274680007</v>
      </c>
      <c r="EU385" s="524">
        <f>SUM(EU278,EU191,EU181)</f>
        <v>22579.841483068001</v>
      </c>
      <c r="EV385" s="668"/>
      <c r="EW385" s="668"/>
      <c r="EX385" s="668"/>
      <c r="EY385" s="668"/>
      <c r="EZ385" s="668"/>
      <c r="FA385" s="668"/>
      <c r="FB385" s="668"/>
      <c r="FC385" s="668"/>
      <c r="FD385" s="668"/>
      <c r="FE385" s="668"/>
      <c r="FF385" s="668"/>
      <c r="FG385" s="668"/>
      <c r="FH385" s="668"/>
      <c r="FI385" s="668"/>
      <c r="FJ385" s="668"/>
      <c r="FK385" s="668"/>
      <c r="FL385" s="668"/>
      <c r="FM385" s="668"/>
      <c r="FN385" s="668"/>
      <c r="FO385" s="668"/>
      <c r="FP385" s="668"/>
      <c r="FQ385" s="668"/>
      <c r="FR385" s="668"/>
      <c r="FS385" s="668"/>
      <c r="FT385" s="668"/>
      <c r="FU385" s="668"/>
      <c r="FV385" s="668"/>
      <c r="FW385" s="668"/>
      <c r="FX385" s="668"/>
      <c r="FY385" s="668"/>
      <c r="FZ385" s="668"/>
      <c r="GA385" s="668"/>
      <c r="GB385" s="668"/>
      <c r="GC385" s="668"/>
      <c r="GD385" s="668"/>
      <c r="GE385" s="668"/>
      <c r="GF385" s="668"/>
      <c r="GG385" s="668"/>
      <c r="GH385" s="668"/>
      <c r="GI385" s="668"/>
      <c r="GJ385" s="668"/>
      <c r="GK385" s="668"/>
      <c r="GL385" s="668"/>
      <c r="GM385" s="668"/>
      <c r="GN385" s="668"/>
      <c r="GO385" s="668"/>
      <c r="GP385" s="668"/>
      <c r="GQ385" s="668"/>
      <c r="GR385" s="668"/>
      <c r="GS385" s="668"/>
      <c r="GT385" s="668"/>
      <c r="GU385" s="668"/>
      <c r="GV385" s="668"/>
      <c r="GW385" s="668"/>
      <c r="GX385" s="668"/>
      <c r="GY385" s="668"/>
      <c r="GZ385" s="668"/>
      <c r="HA385" s="668"/>
      <c r="HB385" s="668"/>
      <c r="HC385" s="668"/>
      <c r="HD385" s="668"/>
      <c r="HE385" s="668"/>
      <c r="HF385" s="668"/>
      <c r="HG385" s="668"/>
      <c r="HH385" s="668"/>
      <c r="HI385" s="668"/>
      <c r="HJ385" s="668"/>
      <c r="HK385" s="668"/>
      <c r="HL385" s="668"/>
      <c r="HM385" s="668"/>
      <c r="HN385" s="668"/>
      <c r="HO385" s="524"/>
      <c r="HP385" s="606"/>
      <c r="HQ385" s="523"/>
      <c r="HR385" s="606"/>
      <c r="HS385" s="671"/>
      <c r="HY385" s="509"/>
      <c r="HZ385" s="509"/>
      <c r="IA385" s="509"/>
      <c r="IB385" s="509"/>
    </row>
    <row r="386" spans="1:236" s="563" customFormat="1" hidden="1" outlineLevel="3">
      <c r="A386" s="509" t="s">
        <v>488</v>
      </c>
      <c r="B386" s="509"/>
      <c r="C386" s="509"/>
      <c r="D386" s="509"/>
      <c r="E386" s="509"/>
      <c r="F386" s="509"/>
      <c r="G386" s="509"/>
      <c r="H386" s="509"/>
      <c r="I386" s="509"/>
      <c r="J386" s="509"/>
      <c r="K386" s="509"/>
      <c r="L386" s="523"/>
      <c r="M386" s="523"/>
      <c r="N386" s="523"/>
      <c r="O386" s="523"/>
      <c r="P386" s="524"/>
      <c r="Q386" s="619"/>
      <c r="R386" s="619"/>
      <c r="S386" s="619"/>
      <c r="T386" s="619"/>
      <c r="U386" s="541"/>
      <c r="V386" s="619"/>
      <c r="W386" s="619"/>
      <c r="X386" s="619"/>
      <c r="Y386" s="619"/>
      <c r="Z386" s="541"/>
      <c r="AA386" s="619"/>
      <c r="AB386" s="619"/>
      <c r="AC386" s="619"/>
      <c r="AD386" s="619"/>
      <c r="AE386" s="541"/>
      <c r="AF386" s="523"/>
      <c r="AG386" s="523"/>
      <c r="AH386" s="523"/>
      <c r="AI386" s="523"/>
      <c r="AJ386" s="541"/>
      <c r="AK386" s="523"/>
      <c r="AL386" s="523"/>
      <c r="AM386" s="523"/>
      <c r="AN386" s="523"/>
      <c r="AO386" s="541"/>
      <c r="AP386" s="523"/>
      <c r="AQ386" s="523"/>
      <c r="AR386" s="523"/>
      <c r="AS386" s="523"/>
      <c r="AT386" s="541"/>
      <c r="AU386" s="523"/>
      <c r="AV386" s="523"/>
      <c r="AW386" s="523"/>
      <c r="AX386" s="523"/>
      <c r="AY386" s="541"/>
      <c r="AZ386" s="523"/>
      <c r="BA386" s="523"/>
      <c r="BB386" s="523"/>
      <c r="BC386" s="523"/>
      <c r="BD386" s="541"/>
      <c r="BE386" s="523"/>
      <c r="BF386" s="523"/>
      <c r="BG386" s="523"/>
      <c r="BH386" s="523"/>
      <c r="BI386" s="541"/>
      <c r="BJ386" s="523"/>
      <c r="BK386" s="523"/>
      <c r="BL386" s="523"/>
      <c r="BM386" s="523"/>
      <c r="BN386" s="541"/>
      <c r="BO386" s="523"/>
      <c r="BP386" s="523"/>
      <c r="BQ386" s="523"/>
      <c r="BR386" s="523"/>
      <c r="BS386" s="541"/>
      <c r="BT386" s="523"/>
      <c r="BU386" s="523"/>
      <c r="BV386" s="523"/>
      <c r="BW386" s="523"/>
      <c r="BX386" s="591"/>
      <c r="BY386" s="648" t="s">
        <v>199</v>
      </c>
      <c r="BZ386" s="340">
        <f>(BZ385/BY385)-1</f>
        <v>-0.2327478042659975</v>
      </c>
      <c r="CA386" s="340">
        <f>(CA385/BZ385)-1</f>
        <v>-0.23908421913327882</v>
      </c>
      <c r="CB386" s="340">
        <f>(CB385/CA385)-1</f>
        <v>0.34730281538792185</v>
      </c>
      <c r="CC386" s="648" t="s">
        <v>199</v>
      </c>
      <c r="CD386" s="340">
        <f>(CD385/CB385)-1</f>
        <v>0.15696283298771729</v>
      </c>
      <c r="CE386" s="340">
        <f>(CE385/CD385)-1</f>
        <v>-7.720943058044949E-2</v>
      </c>
      <c r="CF386" s="340">
        <f>(CF385/CE385)-1</f>
        <v>9.1438816674137113E-2</v>
      </c>
      <c r="CG386" s="340">
        <f>(CG385/CF385)-1</f>
        <v>6.6392881587953534E-2</v>
      </c>
      <c r="CH386" s="648" t="s">
        <v>199</v>
      </c>
      <c r="CI386" s="340">
        <f>(CI385/CG385)-1</f>
        <v>-6.8677792041078267E-2</v>
      </c>
      <c r="CJ386" s="340">
        <f>(CJ385/CI385)-1</f>
        <v>6.4782908339076073E-3</v>
      </c>
      <c r="CK386" s="340">
        <f>(CK385/CJ385)-1</f>
        <v>7.2582854012599229E-2</v>
      </c>
      <c r="CL386" s="340">
        <f>(CL385/CK385)-1</f>
        <v>0.17402962206332995</v>
      </c>
      <c r="CM386" s="648" t="s">
        <v>199</v>
      </c>
      <c r="CN386" s="340">
        <f>(CN385/CL385)-1</f>
        <v>9.2441544317563018E-3</v>
      </c>
      <c r="CO386" s="340">
        <f>(CO385/CN385)-1</f>
        <v>-3.895474137931032E-2</v>
      </c>
      <c r="CP386" s="340">
        <f>(CP385/CO385)-1</f>
        <v>0.22828765416926733</v>
      </c>
      <c r="CQ386" s="340">
        <f>(CQ385/CP385)-1</f>
        <v>0.28303630857848261</v>
      </c>
      <c r="CR386" s="648" t="s">
        <v>199</v>
      </c>
      <c r="CS386" s="340">
        <f>(CS385/CQ385)-1</f>
        <v>-6.1398207558087226E-2</v>
      </c>
      <c r="CT386" s="340">
        <f>(CT385/CS385)-1</f>
        <v>-4.8956107183955155E-2</v>
      </c>
      <c r="CU386" s="340">
        <f>(CU385/CT385)-1</f>
        <v>0.18250132810159259</v>
      </c>
      <c r="CV386" s="340">
        <f>(CV385/CU385)-1</f>
        <v>0.18738608443741178</v>
      </c>
      <c r="CW386" s="648" t="s">
        <v>199</v>
      </c>
      <c r="CX386" s="340">
        <f>(CX385/CV385)-1</f>
        <v>-0.36915170735736003</v>
      </c>
      <c r="CY386" s="340">
        <f>(CY385/CX385)-1</f>
        <v>0.37658598038333491</v>
      </c>
      <c r="CZ386" s="340">
        <f>(CZ385/CY385)-1</f>
        <v>0.16361615897502935</v>
      </c>
      <c r="DA386" s="340">
        <f>(DA385/CZ385)-1</f>
        <v>6.8479298915791187E-2</v>
      </c>
      <c r="DB386" s="648" t="s">
        <v>199</v>
      </c>
      <c r="DC386" s="340">
        <f>(DC385/DA385)-1</f>
        <v>-0.17681388012618293</v>
      </c>
      <c r="DD386" s="340">
        <f>(DD385/DC385)-1</f>
        <v>-2.7399885035447435E-2</v>
      </c>
      <c r="DE386" s="340">
        <f>(DE385/DD385)-1</f>
        <v>7.0921985815602939E-2</v>
      </c>
      <c r="DF386" s="340">
        <f>(DF385/DE385)-1</f>
        <v>-0.21406671572234481</v>
      </c>
      <c r="DG386" s="648" t="s">
        <v>199</v>
      </c>
      <c r="DH386" s="340">
        <f>(DH385/DF385)-1</f>
        <v>0.13107591480065528</v>
      </c>
      <c r="DI386" s="340">
        <f>(DI385/DH385)-1</f>
        <v>1.5727391874180929E-2</v>
      </c>
      <c r="DJ386" s="340">
        <f>(DJ385/DI385)-1</f>
        <v>0.12108658743633272</v>
      </c>
      <c r="DK386" s="340">
        <f>(DK385/DJ385)-1</f>
        <v>0.12127453355948625</v>
      </c>
      <c r="DL386" s="648" t="s">
        <v>199</v>
      </c>
      <c r="DM386" s="340">
        <f>(DM385/DK385)-1</f>
        <v>-8.0929227444624496E-2</v>
      </c>
      <c r="DN386" s="340">
        <f>(DN385/DM385)-1</f>
        <v>3.0978133082530057E-2</v>
      </c>
      <c r="DO386" s="340">
        <f>(DO385/DN385)-1</f>
        <v>4.6068761046810014E-2</v>
      </c>
      <c r="DP386" s="340">
        <f>(DP385/DO385)-1</f>
        <v>-1.0464926145963949E-2</v>
      </c>
      <c r="DQ386" s="648" t="s">
        <v>199</v>
      </c>
      <c r="DR386" s="340">
        <f>(DR385/DP385)-1</f>
        <v>1.129165519140729E-2</v>
      </c>
      <c r="DS386" s="870">
        <f>(DS385/DR385)-1</f>
        <v>4.5806100217864909E-2</v>
      </c>
      <c r="DT386" s="340">
        <f>(DT385/DS385)-1</f>
        <v>3.171709806780898E-2</v>
      </c>
      <c r="DU386" s="340">
        <f>(DU385/DT385)-1</f>
        <v>-3.8768298838970261E-2</v>
      </c>
      <c r="DV386" s="648" t="s">
        <v>199</v>
      </c>
      <c r="DW386" s="340">
        <f>(DW385/DU385)-1</f>
        <v>-9.1376956202079418E-3</v>
      </c>
      <c r="DX386" s="340">
        <f>(DX385/DW385)-1</f>
        <v>-7.9605681577273657E-2</v>
      </c>
      <c r="DY386" s="340">
        <f>(DY385/DX385)-1</f>
        <v>-0.11372797420246461</v>
      </c>
      <c r="DZ386" s="340">
        <f>(DZ385/DY385)-1</f>
        <v>-0.14385030212461825</v>
      </c>
      <c r="EA386" s="648" t="s">
        <v>199</v>
      </c>
      <c r="EB386" s="340">
        <f>(EB385/DZ385)-1</f>
        <v>-0.1032860286863474</v>
      </c>
      <c r="EC386" s="340">
        <f>(EC385/EB385)-1</f>
        <v>0.26261002031144209</v>
      </c>
      <c r="ED386" s="340">
        <f>(ED385/EC385)-1</f>
        <v>-8.5796635163214452E-3</v>
      </c>
      <c r="EE386" s="340">
        <f>(EE385/ED385)-1</f>
        <v>-0.14015279561895744</v>
      </c>
      <c r="EF386" s="648" t="s">
        <v>199</v>
      </c>
      <c r="EG386" s="340">
        <f>(EG385/EE385)-1</f>
        <v>-0.13649944959899352</v>
      </c>
      <c r="EH386" s="340">
        <f>(EH385/EG385)-1</f>
        <v>3.970132944818805E-2</v>
      </c>
      <c r="EI386" s="342">
        <f>(EI385/EH385)-1</f>
        <v>5.2548607461910812E-4</v>
      </c>
      <c r="EJ386" s="340">
        <f>(EJ385/EI385)-1</f>
        <v>-0.18137254901960786</v>
      </c>
      <c r="EK386" s="648" t="s">
        <v>199</v>
      </c>
      <c r="EL386" s="340">
        <f>(EL385/EJ385)-1</f>
        <v>-0.19985029940119758</v>
      </c>
      <c r="EM386" s="340">
        <f>(EM385/EL385)-1</f>
        <v>-0.34237605238540691</v>
      </c>
      <c r="EN386" s="340">
        <f>(EN385/EM385)-1</f>
        <v>6.0760008128429188E-2</v>
      </c>
      <c r="EO386" s="340">
        <f>(EO385/EN385)-1</f>
        <v>3.5145593869731817E-2</v>
      </c>
      <c r="EP386" s="648" t="s">
        <v>199</v>
      </c>
      <c r="EQ386" s="340">
        <f>(EQ385/EO385)-1</f>
        <v>-2.9858424046814491E-2</v>
      </c>
      <c r="ER386" s="340">
        <f>(ER385/EQ385)-1</f>
        <v>4.9513555695736455E-2</v>
      </c>
      <c r="ES386" s="340">
        <f>(ES385/ER385)-1</f>
        <v>5.9735807839807809E-2</v>
      </c>
      <c r="ET386" s="340">
        <f>(ET385/ES385)-1</f>
        <v>3.0083100007328278E-2</v>
      </c>
      <c r="EU386" s="648" t="s">
        <v>199</v>
      </c>
      <c r="EV386" s="668"/>
      <c r="EW386" s="668"/>
      <c r="EX386" s="668"/>
      <c r="EY386" s="668"/>
      <c r="EZ386" s="668"/>
      <c r="FA386" s="668"/>
      <c r="FB386" s="668"/>
      <c r="FC386" s="668"/>
      <c r="FD386" s="668"/>
      <c r="FE386" s="668"/>
      <c r="FF386" s="668"/>
      <c r="FG386" s="668"/>
      <c r="FH386" s="668"/>
      <c r="FI386" s="668"/>
      <c r="FJ386" s="668"/>
      <c r="FK386" s="668"/>
      <c r="FL386" s="668"/>
      <c r="FM386" s="668"/>
      <c r="FN386" s="668"/>
      <c r="FO386" s="668"/>
      <c r="FP386" s="668"/>
      <c r="FQ386" s="668"/>
      <c r="FR386" s="668"/>
      <c r="FS386" s="668"/>
      <c r="FT386" s="668"/>
      <c r="FU386" s="668"/>
      <c r="FV386" s="668"/>
      <c r="FW386" s="668"/>
      <c r="FX386" s="668"/>
      <c r="FY386" s="668"/>
      <c r="FZ386" s="668"/>
      <c r="GA386" s="668"/>
      <c r="GB386" s="668"/>
      <c r="GC386" s="668"/>
      <c r="GD386" s="668"/>
      <c r="GE386" s="668"/>
      <c r="GF386" s="668"/>
      <c r="GG386" s="668"/>
      <c r="GH386" s="668"/>
      <c r="GI386" s="668"/>
      <c r="GJ386" s="668"/>
      <c r="GK386" s="668"/>
      <c r="GL386" s="668"/>
      <c r="GM386" s="668"/>
      <c r="GN386" s="668"/>
      <c r="GO386" s="668"/>
      <c r="GP386" s="668"/>
      <c r="GQ386" s="668"/>
      <c r="GR386" s="668"/>
      <c r="GS386" s="668"/>
      <c r="GT386" s="668"/>
      <c r="GU386" s="668"/>
      <c r="GV386" s="668"/>
      <c r="GW386" s="668"/>
      <c r="GX386" s="668"/>
      <c r="GY386" s="668"/>
      <c r="GZ386" s="668"/>
      <c r="HA386" s="668"/>
      <c r="HB386" s="668"/>
      <c r="HC386" s="668"/>
      <c r="HD386" s="668"/>
      <c r="HE386" s="668"/>
      <c r="HF386" s="668"/>
      <c r="HG386" s="668"/>
      <c r="HH386" s="668"/>
      <c r="HI386" s="668"/>
      <c r="HJ386" s="668"/>
      <c r="HK386" s="668"/>
      <c r="HL386" s="668"/>
      <c r="HM386" s="668"/>
      <c r="HN386" s="668"/>
      <c r="HO386" s="648"/>
      <c r="HP386" s="293"/>
      <c r="HQ386" s="342"/>
      <c r="HR386" s="293"/>
      <c r="HS386" s="745"/>
      <c r="HY386" s="509"/>
      <c r="HZ386" s="509"/>
      <c r="IA386" s="509"/>
      <c r="IB386" s="509"/>
    </row>
    <row r="387" spans="1:236" s="563" customFormat="1" hidden="1" outlineLevel="3">
      <c r="A387" s="509" t="s">
        <v>489</v>
      </c>
      <c r="B387" s="509"/>
      <c r="C387" s="509"/>
      <c r="D387" s="509"/>
      <c r="E387" s="509"/>
      <c r="F387" s="509"/>
      <c r="G387" s="509"/>
      <c r="H387" s="509"/>
      <c r="I387" s="509"/>
      <c r="J387" s="509"/>
      <c r="K387" s="509"/>
      <c r="L387" s="523"/>
      <c r="M387" s="523"/>
      <c r="N387" s="523"/>
      <c r="O387" s="523"/>
      <c r="P387" s="524"/>
      <c r="Q387" s="619"/>
      <c r="R387" s="619"/>
      <c r="S387" s="619"/>
      <c r="T387" s="619"/>
      <c r="U387" s="541"/>
      <c r="V387" s="619"/>
      <c r="W387" s="619"/>
      <c r="X387" s="619"/>
      <c r="Y387" s="619"/>
      <c r="Z387" s="541"/>
      <c r="AA387" s="619"/>
      <c r="AB387" s="619"/>
      <c r="AC387" s="619"/>
      <c r="AD387" s="619"/>
      <c r="AE387" s="541"/>
      <c r="AF387" s="523"/>
      <c r="AG387" s="523"/>
      <c r="AH387" s="523"/>
      <c r="AI387" s="523"/>
      <c r="AJ387" s="541"/>
      <c r="AK387" s="523"/>
      <c r="AL387" s="523"/>
      <c r="AM387" s="523"/>
      <c r="AN387" s="523"/>
      <c r="AO387" s="541"/>
      <c r="AP387" s="523"/>
      <c r="AQ387" s="523"/>
      <c r="AR387" s="523"/>
      <c r="AS387" s="523"/>
      <c r="AT387" s="541"/>
      <c r="AU387" s="523"/>
      <c r="AV387" s="523"/>
      <c r="AW387" s="523"/>
      <c r="AX387" s="523"/>
      <c r="AY387" s="541"/>
      <c r="AZ387" s="523"/>
      <c r="BA387" s="523"/>
      <c r="BB387" s="523"/>
      <c r="BC387" s="523"/>
      <c r="BD387" s="541"/>
      <c r="BE387" s="523"/>
      <c r="BF387" s="523"/>
      <c r="BG387" s="523"/>
      <c r="BH387" s="523"/>
      <c r="BI387" s="541"/>
      <c r="BJ387" s="523"/>
      <c r="BK387" s="523"/>
      <c r="BL387" s="523"/>
      <c r="BM387" s="523"/>
      <c r="BN387" s="541"/>
      <c r="BO387" s="523"/>
      <c r="BP387" s="523"/>
      <c r="BQ387" s="523"/>
      <c r="BR387" s="523"/>
      <c r="BS387" s="541"/>
      <c r="BT387" s="523"/>
      <c r="BU387" s="523"/>
      <c r="BV387" s="523"/>
      <c r="BW387" s="523"/>
      <c r="BX387" s="591"/>
      <c r="BY387" s="648" t="s">
        <v>199</v>
      </c>
      <c r="BZ387" s="648" t="s">
        <v>199</v>
      </c>
      <c r="CA387" s="648" t="s">
        <v>199</v>
      </c>
      <c r="CB387" s="648" t="s">
        <v>199</v>
      </c>
      <c r="CC387" s="648" t="s">
        <v>199</v>
      </c>
      <c r="CD387" s="340">
        <f t="shared" ref="CD387:EO387" si="301">(CD385-BY385)/BY385</f>
        <v>-8.9962358845671261E-2</v>
      </c>
      <c r="CE387" s="340">
        <f t="shared" si="301"/>
        <v>9.4521668029435818E-2</v>
      </c>
      <c r="CF387" s="340">
        <f t="shared" si="301"/>
        <v>0.56995486782720828</v>
      </c>
      <c r="CG387" s="340">
        <f t="shared" si="301"/>
        <v>0.24262242781942894</v>
      </c>
      <c r="CH387" s="871">
        <f t="shared" si="301"/>
        <v>0.16131483184708281</v>
      </c>
      <c r="CI387" s="340">
        <f t="shared" si="301"/>
        <v>2.7574796635874808E-4</v>
      </c>
      <c r="CJ387" s="340">
        <f t="shared" si="301"/>
        <v>9.099058718063649E-2</v>
      </c>
      <c r="CK387" s="340">
        <f t="shared" si="301"/>
        <v>7.2142368240930871E-2</v>
      </c>
      <c r="CL387" s="340">
        <f t="shared" si="301"/>
        <v>0.18035943517329911</v>
      </c>
      <c r="CM387" s="871">
        <f t="shared" si="301"/>
        <v>8.7565855170276499E-2</v>
      </c>
      <c r="CN387" s="340">
        <f t="shared" si="301"/>
        <v>0.27911784975878706</v>
      </c>
      <c r="CO387" s="340">
        <f t="shared" si="301"/>
        <v>0.22137770473842783</v>
      </c>
      <c r="CP387" s="340">
        <f t="shared" si="301"/>
        <v>0.39868276860426582</v>
      </c>
      <c r="CQ387" s="340">
        <f t="shared" si="301"/>
        <v>0.52854812398042417</v>
      </c>
      <c r="CR387" s="871">
        <f t="shared" si="301"/>
        <v>0.36803392362299298</v>
      </c>
      <c r="CS387" s="340">
        <f t="shared" si="301"/>
        <v>0.42155691732447031</v>
      </c>
      <c r="CT387" s="340">
        <f t="shared" si="301"/>
        <v>0.40676311795367837</v>
      </c>
      <c r="CU387" s="340">
        <f t="shared" si="301"/>
        <v>0.35432384234916303</v>
      </c>
      <c r="CV387" s="340">
        <f t="shared" si="301"/>
        <v>0.25335913993648007</v>
      </c>
      <c r="CW387" s="871">
        <f t="shared" si="301"/>
        <v>0.34674523647446048</v>
      </c>
      <c r="CX387" s="340">
        <f t="shared" si="301"/>
        <v>-0.1575985898770709</v>
      </c>
      <c r="CY387" s="340">
        <f t="shared" si="301"/>
        <v>0.21933170465632601</v>
      </c>
      <c r="CZ387" s="340">
        <f t="shared" si="301"/>
        <v>0.19985833501471753</v>
      </c>
      <c r="DA387" s="340">
        <f t="shared" si="301"/>
        <v>7.970255791082631E-2</v>
      </c>
      <c r="DB387" s="871">
        <f t="shared" si="301"/>
        <v>8.6644466055707317E-2</v>
      </c>
      <c r="DC387" s="340">
        <f t="shared" si="301"/>
        <v>0.40889048861693511</v>
      </c>
      <c r="DD387" s="340">
        <f t="shared" si="301"/>
        <v>-4.5757615374558769E-3</v>
      </c>
      <c r="DE387" s="340">
        <f t="shared" si="301"/>
        <v>-8.3871692601539233E-2</v>
      </c>
      <c r="DF387" s="340">
        <f t="shared" si="301"/>
        <v>-0.32613038906414299</v>
      </c>
      <c r="DG387" s="871">
        <f t="shared" si="301"/>
        <v>-5.0955212550607289E-2</v>
      </c>
      <c r="DH387" s="340">
        <f t="shared" si="301"/>
        <v>-7.4088267228715587E-2</v>
      </c>
      <c r="DI387" s="340">
        <f t="shared" si="301"/>
        <v>-3.3031258208563175E-2</v>
      </c>
      <c r="DJ387" s="340">
        <f t="shared" si="301"/>
        <v>1.226391954868776E-2</v>
      </c>
      <c r="DK387" s="340">
        <f t="shared" si="301"/>
        <v>0.44417570414293517</v>
      </c>
      <c r="DL387" s="871">
        <f t="shared" si="301"/>
        <v>7.0488251958006995E-2</v>
      </c>
      <c r="DM387" s="340">
        <f t="shared" si="301"/>
        <v>0.17348416913844245</v>
      </c>
      <c r="DN387" s="340">
        <f t="shared" si="301"/>
        <v>0.19110356536502546</v>
      </c>
      <c r="DO387" s="340">
        <f t="shared" si="301"/>
        <v>0.11140053307487278</v>
      </c>
      <c r="DP387" s="340">
        <f t="shared" si="301"/>
        <v>-1.917882225823879E-2</v>
      </c>
      <c r="DQ387" s="871">
        <f t="shared" si="301"/>
        <v>0.10605541718555417</v>
      </c>
      <c r="DR387" s="340">
        <f t="shared" si="301"/>
        <v>7.923818481072184E-2</v>
      </c>
      <c r="DS387" s="340">
        <f t="shared" si="301"/>
        <v>9.476024858885912E-2</v>
      </c>
      <c r="DT387" s="340">
        <f t="shared" si="301"/>
        <v>7.9740557039297971E-2</v>
      </c>
      <c r="DU387" s="340">
        <f t="shared" si="301"/>
        <v>4.8857064169650237E-2</v>
      </c>
      <c r="DV387" s="871">
        <f t="shared" si="301"/>
        <v>7.5436645884058379E-2</v>
      </c>
      <c r="DW387" s="340">
        <f t="shared" si="301"/>
        <v>2.7668845315904141E-2</v>
      </c>
      <c r="DX387" s="340">
        <f t="shared" si="301"/>
        <v>-9.5567939169834901E-2</v>
      </c>
      <c r="DY387" s="340">
        <f t="shared" si="301"/>
        <v>-0.22306915699141847</v>
      </c>
      <c r="DZ387" s="340">
        <f t="shared" si="301"/>
        <v>-0.3080033609914925</v>
      </c>
      <c r="EA387" s="871">
        <f t="shared" si="301"/>
        <v>-0.1519505843246568</v>
      </c>
      <c r="EB387" s="340">
        <f t="shared" si="301"/>
        <v>-0.3737545049819801</v>
      </c>
      <c r="EC387" s="340">
        <f t="shared" si="301"/>
        <v>-0.14090752044224347</v>
      </c>
      <c r="ED387" s="340">
        <f t="shared" si="301"/>
        <v>-3.8983821713988696E-2</v>
      </c>
      <c r="EE387" s="340">
        <f t="shared" si="301"/>
        <v>-3.4833421871442664E-2</v>
      </c>
      <c r="EF387" s="871">
        <f t="shared" si="301"/>
        <v>-0.1629270701521558</v>
      </c>
      <c r="EG387" s="340">
        <f t="shared" si="301"/>
        <v>-7.0582261340555175E-2</v>
      </c>
      <c r="EH387" s="340">
        <f t="shared" si="301"/>
        <v>-0.23466720289563645</v>
      </c>
      <c r="EI387" s="342">
        <f t="shared" si="301"/>
        <v>-0.22763842877425461</v>
      </c>
      <c r="EJ387" s="340">
        <f t="shared" si="301"/>
        <v>-0.26466425538606697</v>
      </c>
      <c r="EK387" s="871">
        <f t="shared" si="301"/>
        <v>-0.20404099992625913</v>
      </c>
      <c r="EL387" s="340">
        <f t="shared" si="301"/>
        <v>-0.31861227463121472</v>
      </c>
      <c r="EM387" s="340">
        <f t="shared" si="301"/>
        <v>-0.56901383779996495</v>
      </c>
      <c r="EN387" s="340">
        <f t="shared" si="301"/>
        <v>-0.54306722689075626</v>
      </c>
      <c r="EO387" s="340">
        <f t="shared" si="301"/>
        <v>-0.42221343028229258</v>
      </c>
      <c r="EP387" s="871">
        <f t="shared" ref="EP387:EU387" si="302">(EP385-EK385)/EK385</f>
        <v>-0.46666064480266817</v>
      </c>
      <c r="EQ387" s="340">
        <f t="shared" si="302"/>
        <v>-0.29946262194307099</v>
      </c>
      <c r="ER387" s="340">
        <f t="shared" si="302"/>
        <v>0.11799984962406022</v>
      </c>
      <c r="ES387" s="340">
        <f t="shared" si="302"/>
        <v>0.11692038229885068</v>
      </c>
      <c r="ET387" s="340">
        <f t="shared" si="302"/>
        <v>0.11145795980131261</v>
      </c>
      <c r="EU387" s="871">
        <f t="shared" si="302"/>
        <v>-1.9438466810147444E-2</v>
      </c>
      <c r="EV387" s="668"/>
      <c r="EW387" s="668"/>
      <c r="EX387" s="668"/>
      <c r="EY387" s="668"/>
      <c r="EZ387" s="668"/>
      <c r="FA387" s="668"/>
      <c r="FB387" s="668"/>
      <c r="FC387" s="668"/>
      <c r="FD387" s="668"/>
      <c r="FE387" s="668"/>
      <c r="FF387" s="668"/>
      <c r="FG387" s="668"/>
      <c r="FH387" s="668"/>
      <c r="FI387" s="668"/>
      <c r="FJ387" s="668"/>
      <c r="FK387" s="668"/>
      <c r="FL387" s="668"/>
      <c r="FM387" s="668"/>
      <c r="FN387" s="668"/>
      <c r="FO387" s="668"/>
      <c r="FP387" s="668"/>
      <c r="FQ387" s="668"/>
      <c r="FR387" s="668"/>
      <c r="FS387" s="668"/>
      <c r="FT387" s="668"/>
      <c r="FU387" s="668"/>
      <c r="FV387" s="668"/>
      <c r="FW387" s="668"/>
      <c r="FX387" s="668"/>
      <c r="FY387" s="668"/>
      <c r="FZ387" s="668"/>
      <c r="GA387" s="668"/>
      <c r="GB387" s="668"/>
      <c r="GC387" s="668"/>
      <c r="GD387" s="668"/>
      <c r="GE387" s="668"/>
      <c r="GF387" s="668"/>
      <c r="GG387" s="668"/>
      <c r="GH387" s="668"/>
      <c r="GI387" s="668"/>
      <c r="GJ387" s="668"/>
      <c r="GK387" s="668"/>
      <c r="GL387" s="668"/>
      <c r="GM387" s="668"/>
      <c r="GN387" s="668"/>
      <c r="GO387" s="668"/>
      <c r="GP387" s="668"/>
      <c r="GQ387" s="668"/>
      <c r="GR387" s="668"/>
      <c r="GS387" s="668"/>
      <c r="GT387" s="668"/>
      <c r="GU387" s="668"/>
      <c r="GV387" s="668"/>
      <c r="GW387" s="668"/>
      <c r="GX387" s="668"/>
      <c r="GY387" s="668"/>
      <c r="GZ387" s="668"/>
      <c r="HA387" s="668"/>
      <c r="HB387" s="668"/>
      <c r="HC387" s="668"/>
      <c r="HD387" s="668"/>
      <c r="HE387" s="668"/>
      <c r="HF387" s="668"/>
      <c r="HG387" s="668"/>
      <c r="HH387" s="668"/>
      <c r="HI387" s="668"/>
      <c r="HJ387" s="668"/>
      <c r="HK387" s="668"/>
      <c r="HL387" s="668"/>
      <c r="HM387" s="668"/>
      <c r="HN387" s="668"/>
      <c r="HO387" s="251"/>
      <c r="HP387" s="293"/>
      <c r="HQ387" s="342"/>
      <c r="HR387" s="293"/>
      <c r="HS387" s="353"/>
      <c r="HY387" s="509"/>
      <c r="HZ387" s="509"/>
      <c r="IA387" s="509"/>
      <c r="IB387" s="509"/>
    </row>
    <row r="388" spans="1:236" s="563" customFormat="1" ht="15" hidden="1" customHeight="1" outlineLevel="3">
      <c r="A388" s="728" t="s">
        <v>556</v>
      </c>
      <c r="B388" s="729"/>
      <c r="C388" s="729"/>
      <c r="D388" s="729"/>
      <c r="E388" s="729"/>
      <c r="F388" s="729"/>
      <c r="G388" s="729"/>
      <c r="H388" s="729"/>
      <c r="I388" s="729"/>
      <c r="J388" s="729"/>
      <c r="K388" s="729"/>
      <c r="L388" s="845"/>
      <c r="M388" s="845"/>
      <c r="N388" s="845"/>
      <c r="O388" s="845"/>
      <c r="P388" s="844"/>
      <c r="Q388" s="872"/>
      <c r="R388" s="872"/>
      <c r="S388" s="872"/>
      <c r="T388" s="872"/>
      <c r="U388" s="873"/>
      <c r="V388" s="872"/>
      <c r="W388" s="872"/>
      <c r="X388" s="872"/>
      <c r="Y388" s="872"/>
      <c r="Z388" s="873"/>
      <c r="AA388" s="872"/>
      <c r="AB388" s="872"/>
      <c r="AC388" s="872"/>
      <c r="AD388" s="872"/>
      <c r="AE388" s="873"/>
      <c r="AF388" s="845"/>
      <c r="AG388" s="845"/>
      <c r="AH388" s="845"/>
      <c r="AI388" s="845"/>
      <c r="AJ388" s="873"/>
      <c r="AK388" s="845"/>
      <c r="AL388" s="845"/>
      <c r="AM388" s="845"/>
      <c r="AN388" s="845"/>
      <c r="AO388" s="873"/>
      <c r="AP388" s="845"/>
      <c r="AQ388" s="845"/>
      <c r="AR388" s="845"/>
      <c r="AS388" s="845"/>
      <c r="AT388" s="873"/>
      <c r="AU388" s="845"/>
      <c r="AV388" s="845"/>
      <c r="AW388" s="845"/>
      <c r="AX388" s="845"/>
      <c r="AY388" s="873"/>
      <c r="AZ388" s="845"/>
      <c r="BA388" s="845"/>
      <c r="BB388" s="845"/>
      <c r="BC388" s="845"/>
      <c r="BD388" s="873"/>
      <c r="BE388" s="845"/>
      <c r="BF388" s="845"/>
      <c r="BG388" s="845"/>
      <c r="BH388" s="845"/>
      <c r="BI388" s="873"/>
      <c r="BJ388" s="845"/>
      <c r="BK388" s="845"/>
      <c r="BL388" s="845"/>
      <c r="BM388" s="845"/>
      <c r="BN388" s="873"/>
      <c r="BO388" s="845"/>
      <c r="BP388" s="845"/>
      <c r="BQ388" s="845"/>
      <c r="BR388" s="845"/>
      <c r="BS388" s="873"/>
      <c r="BT388" s="845">
        <f>BT284+BT197+BT187</f>
        <v>661</v>
      </c>
      <c r="BU388" s="845">
        <f>BU284+BU197+BU187</f>
        <v>588</v>
      </c>
      <c r="BV388" s="845">
        <f>BV284+BV197+BV187</f>
        <v>467</v>
      </c>
      <c r="BW388" s="845">
        <f>BW284+BW197+BW187</f>
        <v>703</v>
      </c>
      <c r="BX388" s="844">
        <f>BX284+BX197+BX187</f>
        <v>2418.9999999999995</v>
      </c>
      <c r="BY388" s="845">
        <f>BY284+BY197+BY187</f>
        <v>684.00000000000011</v>
      </c>
      <c r="BZ388" s="845">
        <f>BZ284+BZ197+BZ187</f>
        <v>380.00000000000006</v>
      </c>
      <c r="CA388" s="845">
        <f>CA284+CA197+CA187</f>
        <v>262</v>
      </c>
      <c r="CB388" s="845">
        <f>CB284+CB197+CB187</f>
        <v>420</v>
      </c>
      <c r="CC388" s="844">
        <f>CC284+CC197+CC187</f>
        <v>1746</v>
      </c>
      <c r="CD388" s="845">
        <f>CD284+CD197+CD187</f>
        <v>468.00000000000006</v>
      </c>
      <c r="CE388" s="845">
        <f>CE284+CE197+CE187</f>
        <v>406</v>
      </c>
      <c r="CF388" s="845">
        <f>CF284+CF197+CF187</f>
        <v>502.99999999999994</v>
      </c>
      <c r="CG388" s="845">
        <f>CG284+CG197+CG187</f>
        <v>581</v>
      </c>
      <c r="CH388" s="844">
        <f>CH284+CH197+CH187</f>
        <v>1958</v>
      </c>
      <c r="CI388" s="845">
        <f>CI284+CI197+CI187</f>
        <v>571</v>
      </c>
      <c r="CJ388" s="845">
        <f>CJ284+CJ197+CJ187</f>
        <v>554</v>
      </c>
      <c r="CK388" s="845">
        <f>CK284+CK197+CK187</f>
        <v>673</v>
      </c>
      <c r="CL388" s="845">
        <f>CL284+CL197+CL187</f>
        <v>730</v>
      </c>
      <c r="CM388" s="844">
        <f>CM284+CM197+CM187</f>
        <v>2528</v>
      </c>
      <c r="CN388" s="845">
        <f>CN284+CN197+CN187</f>
        <v>751.48800000000006</v>
      </c>
      <c r="CO388" s="845">
        <f>CO284+CO197+CO187</f>
        <v>766.73949999999991</v>
      </c>
      <c r="CP388" s="845">
        <f>CP284+CP197+CP187</f>
        <v>969.21950000000015</v>
      </c>
      <c r="CQ388" s="845">
        <f>CQ284+CQ197+CQ187</f>
        <v>1307</v>
      </c>
      <c r="CR388" s="844">
        <f>CR284+CR197+CR187</f>
        <v>3794.4470000000001</v>
      </c>
      <c r="CS388" s="845">
        <f>CS284+CS197+CS187</f>
        <v>1299</v>
      </c>
      <c r="CT388" s="845">
        <f>CT284+CT197+CT187</f>
        <v>1180.0514100000003</v>
      </c>
      <c r="CU388" s="845">
        <f>CU284+CU197+CU187</f>
        <v>1290</v>
      </c>
      <c r="CV388" s="845">
        <f>CV284+CV197+CV187</f>
        <v>1344</v>
      </c>
      <c r="CW388" s="844">
        <f>CW284+CW197+CW187</f>
        <v>5113.05141</v>
      </c>
      <c r="CX388" s="845">
        <f>CX284+CX197+CX187</f>
        <v>765.0121381578947</v>
      </c>
      <c r="CY388" s="845">
        <f>CY284+CY197+CY187</f>
        <v>944.76978578947364</v>
      </c>
      <c r="CZ388" s="845">
        <f>CZ284+CZ197+CZ187</f>
        <v>1123.7030821052631</v>
      </c>
      <c r="DA388" s="845">
        <f>DA284+DA197+DA187</f>
        <v>1251.1188499999998</v>
      </c>
      <c r="DB388" s="844">
        <f>DB284+DB197+DB187</f>
        <v>4084.6038560526313</v>
      </c>
      <c r="DC388" s="845">
        <f>DC284+DC197+DC187</f>
        <v>1038.9777700000002</v>
      </c>
      <c r="DD388" s="845">
        <f>DD284+DD197+DD187</f>
        <v>959.58204999999998</v>
      </c>
      <c r="DE388" s="845">
        <f>DE284+DE197+DE187</f>
        <v>1031.0127200000002</v>
      </c>
      <c r="DF388" s="845">
        <f>DF284+DF197+DF187</f>
        <v>769.43079999999998</v>
      </c>
      <c r="DG388" s="844">
        <f>DG284+DG197+DG187</f>
        <v>3799.0033400000002</v>
      </c>
      <c r="DH388" s="845">
        <f>DH284+DH197+DH187</f>
        <v>824.4978000000001</v>
      </c>
      <c r="DI388" s="845">
        <f>DI284+DI197+DI187</f>
        <v>777.57259999999997</v>
      </c>
      <c r="DJ388" s="845">
        <f>DJ284+DJ197+DJ187</f>
        <v>867.95212201284801</v>
      </c>
      <c r="DK388" s="845">
        <f>DK284+DK197+DK187</f>
        <v>980.39246525695921</v>
      </c>
      <c r="DL388" s="844">
        <f>DL284+DL197+DL187</f>
        <v>3450.4149872698072</v>
      </c>
      <c r="DM388" s="845">
        <f>DM284+DM197+DM187</f>
        <v>926.97355539845751</v>
      </c>
      <c r="DN388" s="845">
        <f>DN284+DN197+DN187</f>
        <v>972.11959999999999</v>
      </c>
      <c r="DO388" s="845">
        <f>DO284+DO197+DO187</f>
        <v>991.52964999999995</v>
      </c>
      <c r="DP388" s="845">
        <f>DP284+DP197+DP187</f>
        <v>990.17027499999995</v>
      </c>
      <c r="DQ388" s="844">
        <f>SUM(DM388:DP388)</f>
        <v>3880.7930803984573</v>
      </c>
      <c r="DR388" s="845">
        <f>DR284+DR197+DR187</f>
        <v>967.34615000000008</v>
      </c>
      <c r="DS388" s="845">
        <f>DS284+DS197+DS187</f>
        <v>966.06233999999995</v>
      </c>
      <c r="DT388" s="845">
        <f>DT284+DT197+DT187</f>
        <v>1047.1881000000001</v>
      </c>
      <c r="DU388" s="845">
        <f>DU284+DU197+DU187</f>
        <v>1033.44805</v>
      </c>
      <c r="DV388" s="844">
        <f>SUM(DR388:DU388)</f>
        <v>4014.0446400000001</v>
      </c>
      <c r="DW388" s="845">
        <f>DW284+DW197+DW187</f>
        <v>977.93643999999995</v>
      </c>
      <c r="DX388" s="845">
        <f>DX284+DX197+DX187</f>
        <v>840.62182000000007</v>
      </c>
      <c r="DY388" s="845">
        <f>DY284+DY197+DY187</f>
        <v>716.63014999999996</v>
      </c>
      <c r="DZ388" s="845">
        <f>DZ284+DZ197+DZ187</f>
        <v>642.44249999999988</v>
      </c>
      <c r="EA388" s="844">
        <f>SUM(DW388:DZ388)</f>
        <v>3177.6309099999999</v>
      </c>
      <c r="EB388" s="845">
        <f>EB284+EB197+EB187</f>
        <v>594.78030000000001</v>
      </c>
      <c r="EC388" s="845">
        <f>EC284+EC197+EC187</f>
        <v>698.7595</v>
      </c>
      <c r="ED388" s="845">
        <f>ED284+ED197+ED187</f>
        <v>677.14869999999996</v>
      </c>
      <c r="EE388" s="845">
        <f>EE284+EE197+EE187</f>
        <v>605.45534999999995</v>
      </c>
      <c r="EF388" s="844">
        <f>SUM(EB388:EE388)</f>
        <v>2576.1438499999999</v>
      </c>
      <c r="EG388" s="845">
        <f>EG284+EG197+EG187</f>
        <v>565.32989999999995</v>
      </c>
      <c r="EH388" s="845">
        <f>EH284+EH197+EH187</f>
        <v>606.99074999999993</v>
      </c>
      <c r="EI388" s="845">
        <f>EI284+EI197+EI187</f>
        <v>621.13915499999996</v>
      </c>
      <c r="EJ388" s="845">
        <f>EJ284+EJ197+EJ187</f>
        <v>534.9078416573816</v>
      </c>
      <c r="EK388" s="844">
        <f>SUM(EG388:EJ388)</f>
        <v>2328.3676466573816</v>
      </c>
      <c r="EL388" s="845">
        <f>EL284+EL197+EL187</f>
        <v>405.19216500000005</v>
      </c>
      <c r="EM388" s="845">
        <f>EM284+EM197+EM187</f>
        <v>270.07926500000002</v>
      </c>
      <c r="EN388" s="845">
        <f>EN284+EN197+EN187</f>
        <v>276.7747992020573</v>
      </c>
      <c r="EO388" s="845">
        <f>EO284+EO197+EO187</f>
        <v>279.80412554328973</v>
      </c>
      <c r="EP388" s="844">
        <f>SUM(EL388:EO388)</f>
        <v>1231.850354745347</v>
      </c>
      <c r="EQ388" s="845">
        <f>EQ284+EQ197+EQ187</f>
        <v>279.55880518601407</v>
      </c>
      <c r="ER388" s="845">
        <f>ER284+ER197+ER187</f>
        <v>301.39263527944553</v>
      </c>
      <c r="ES388" s="845">
        <f>ES284+ES197+ES187</f>
        <v>322.18631081051382</v>
      </c>
      <c r="ET388" s="845">
        <f>ET284+ET197+ET187</f>
        <v>331.98919319988886</v>
      </c>
      <c r="EU388" s="844">
        <f>SUM(EQ388:ET388)</f>
        <v>1235.1269444758623</v>
      </c>
      <c r="EV388" s="668"/>
      <c r="EW388" s="668"/>
      <c r="EX388" s="668"/>
      <c r="EY388" s="668"/>
      <c r="EZ388" s="668"/>
      <c r="FA388" s="668"/>
      <c r="FB388" s="668"/>
      <c r="FC388" s="668"/>
      <c r="FD388" s="668"/>
      <c r="FE388" s="668"/>
      <c r="FF388" s="668"/>
      <c r="FG388" s="668"/>
      <c r="FH388" s="668"/>
      <c r="FI388" s="668"/>
      <c r="FJ388" s="668"/>
      <c r="FK388" s="668"/>
      <c r="FL388" s="668"/>
      <c r="FM388" s="668"/>
      <c r="FN388" s="668"/>
      <c r="FO388" s="668"/>
      <c r="FP388" s="668"/>
      <c r="FQ388" s="668"/>
      <c r="FR388" s="668"/>
      <c r="FS388" s="668"/>
      <c r="FT388" s="668"/>
      <c r="FU388" s="668"/>
      <c r="FV388" s="668"/>
      <c r="FW388" s="668"/>
      <c r="FX388" s="668"/>
      <c r="FY388" s="668"/>
      <c r="FZ388" s="668"/>
      <c r="GA388" s="668"/>
      <c r="GB388" s="668"/>
      <c r="GC388" s="668"/>
      <c r="GD388" s="668"/>
      <c r="GE388" s="668"/>
      <c r="GF388" s="668"/>
      <c r="GG388" s="668"/>
      <c r="GH388" s="668"/>
      <c r="GI388" s="668"/>
      <c r="GJ388" s="668"/>
      <c r="GK388" s="668"/>
      <c r="GL388" s="668"/>
      <c r="GM388" s="668"/>
      <c r="GN388" s="668"/>
      <c r="GO388" s="668"/>
      <c r="GP388" s="668"/>
      <c r="GQ388" s="668"/>
      <c r="GR388" s="668"/>
      <c r="GS388" s="668"/>
      <c r="GT388" s="668"/>
      <c r="GU388" s="668"/>
      <c r="GV388" s="668"/>
      <c r="GW388" s="668"/>
      <c r="GX388" s="668"/>
      <c r="GY388" s="668"/>
      <c r="GZ388" s="668"/>
      <c r="HA388" s="668"/>
      <c r="HB388" s="668"/>
      <c r="HC388" s="668"/>
      <c r="HD388" s="668"/>
      <c r="HE388" s="668"/>
      <c r="HF388" s="668"/>
      <c r="HG388" s="668"/>
      <c r="HH388" s="668"/>
      <c r="HI388" s="668"/>
      <c r="HJ388" s="668"/>
      <c r="HK388" s="668"/>
      <c r="HL388" s="668"/>
      <c r="HM388" s="668"/>
      <c r="HN388" s="668"/>
      <c r="HO388" s="524"/>
      <c r="HP388" s="606"/>
      <c r="HQ388" s="523"/>
      <c r="HR388" s="606"/>
      <c r="HS388" s="671"/>
      <c r="HY388" s="509"/>
      <c r="HZ388" s="509"/>
      <c r="IA388" s="509"/>
      <c r="IB388" s="509"/>
    </row>
    <row r="389" spans="1:236" s="563" customFormat="1" hidden="1" outlineLevel="3">
      <c r="A389" s="509" t="s">
        <v>488</v>
      </c>
      <c r="B389" s="509"/>
      <c r="C389" s="509"/>
      <c r="D389" s="509"/>
      <c r="E389" s="509"/>
      <c r="F389" s="509"/>
      <c r="G389" s="509"/>
      <c r="H389" s="509"/>
      <c r="I389" s="509"/>
      <c r="J389" s="509"/>
      <c r="K389" s="509"/>
      <c r="L389" s="523"/>
      <c r="M389" s="523"/>
      <c r="N389" s="523"/>
      <c r="O389" s="523"/>
      <c r="P389" s="524"/>
      <c r="Q389" s="619"/>
      <c r="R389" s="619"/>
      <c r="S389" s="619"/>
      <c r="T389" s="619"/>
      <c r="U389" s="541"/>
      <c r="V389" s="619"/>
      <c r="W389" s="619"/>
      <c r="X389" s="619"/>
      <c r="Y389" s="619"/>
      <c r="Z389" s="541"/>
      <c r="AA389" s="619"/>
      <c r="AB389" s="619"/>
      <c r="AC389" s="619"/>
      <c r="AD389" s="619"/>
      <c r="AE389" s="541"/>
      <c r="AF389" s="523"/>
      <c r="AG389" s="523"/>
      <c r="AH389" s="523"/>
      <c r="AI389" s="523"/>
      <c r="AJ389" s="541"/>
      <c r="AK389" s="523"/>
      <c r="AL389" s="523"/>
      <c r="AM389" s="523"/>
      <c r="AN389" s="523"/>
      <c r="AO389" s="541"/>
      <c r="AP389" s="523"/>
      <c r="AQ389" s="523"/>
      <c r="AR389" s="523"/>
      <c r="AS389" s="523"/>
      <c r="AT389" s="541"/>
      <c r="AU389" s="523"/>
      <c r="AV389" s="523"/>
      <c r="AW389" s="523"/>
      <c r="AX389" s="523"/>
      <c r="AY389" s="541"/>
      <c r="AZ389" s="523"/>
      <c r="BA389" s="523"/>
      <c r="BB389" s="523"/>
      <c r="BC389" s="523"/>
      <c r="BD389" s="541"/>
      <c r="BE389" s="523"/>
      <c r="BF389" s="523"/>
      <c r="BG389" s="523"/>
      <c r="BH389" s="523"/>
      <c r="BI389" s="541"/>
      <c r="BJ389" s="523"/>
      <c r="BK389" s="523"/>
      <c r="BL389" s="523"/>
      <c r="BM389" s="523"/>
      <c r="BN389" s="541"/>
      <c r="BO389" s="523"/>
      <c r="BP389" s="523"/>
      <c r="BQ389" s="523"/>
      <c r="BR389" s="523"/>
      <c r="BS389" s="541"/>
      <c r="BT389" s="648" t="s">
        <v>199</v>
      </c>
      <c r="BU389" s="342">
        <f>(BU388/BT388)-1</f>
        <v>-0.11043872919818454</v>
      </c>
      <c r="BV389" s="342">
        <f>(BV388/BU388)-1</f>
        <v>-0.20578231292517002</v>
      </c>
      <c r="BW389" s="342">
        <f>(BW388/BV388)-1</f>
        <v>0.50535331905781589</v>
      </c>
      <c r="BX389" s="648" t="s">
        <v>199</v>
      </c>
      <c r="BY389" s="342">
        <f>(BY388/BW388)-1</f>
        <v>-2.7027027027026862E-2</v>
      </c>
      <c r="BZ389" s="342">
        <f>(BZ388/BY388)-1</f>
        <v>-0.44444444444444442</v>
      </c>
      <c r="CA389" s="342">
        <f>(CA388/BZ388)-1</f>
        <v>-0.31052631578947376</v>
      </c>
      <c r="CB389" s="342">
        <f>(CB388/CA388)-1</f>
        <v>0.60305343511450382</v>
      </c>
      <c r="CC389" s="648" t="s">
        <v>199</v>
      </c>
      <c r="CD389" s="342">
        <f>(CD388/CB388)-1</f>
        <v>0.11428571428571432</v>
      </c>
      <c r="CE389" s="342">
        <f>(CE388/CD388)-1</f>
        <v>-0.13247863247863256</v>
      </c>
      <c r="CF389" s="342">
        <f>(CF388/CE388)-1</f>
        <v>0.23891625615763523</v>
      </c>
      <c r="CG389" s="342">
        <f>(CG388/CF388)-1</f>
        <v>0.15506958250497038</v>
      </c>
      <c r="CH389" s="648" t="s">
        <v>199</v>
      </c>
      <c r="CI389" s="342">
        <f>(CI388/CG388)-1</f>
        <v>-1.7211703958691871E-2</v>
      </c>
      <c r="CJ389" s="342">
        <f>(CJ388/CI388)-1</f>
        <v>-2.9772329246935181E-2</v>
      </c>
      <c r="CK389" s="342">
        <f>(CK388/CJ388)-1</f>
        <v>0.21480144404332124</v>
      </c>
      <c r="CL389" s="342">
        <f>(CL388/CK388)-1</f>
        <v>8.4695393759286697E-2</v>
      </c>
      <c r="CM389" s="648" t="s">
        <v>199</v>
      </c>
      <c r="CN389" s="342">
        <f>(CN388/CL388)-1</f>
        <v>2.9435616438356238E-2</v>
      </c>
      <c r="CO389" s="342">
        <f>(CO388/CN388)-1</f>
        <v>2.029506791858271E-2</v>
      </c>
      <c r="CP389" s="342">
        <f>(CP388/CO388)-1</f>
        <v>0.26407926029635909</v>
      </c>
      <c r="CQ389" s="342">
        <f>(CQ388/CP388)-1</f>
        <v>0.34850774257018124</v>
      </c>
      <c r="CR389" s="648" t="s">
        <v>199</v>
      </c>
      <c r="CS389" s="342">
        <f>(CS388/CQ388)-1</f>
        <v>-6.1208875286916653E-3</v>
      </c>
      <c r="CT389" s="342">
        <f>(CT388/CS388)-1</f>
        <v>-9.1569353348729621E-2</v>
      </c>
      <c r="CU389" s="342">
        <f>(CU388/CT388)-1</f>
        <v>9.3172711856680746E-2</v>
      </c>
      <c r="CV389" s="342">
        <f>(CV388/CU388)-1</f>
        <v>4.1860465116279055E-2</v>
      </c>
      <c r="CW389" s="648" t="s">
        <v>199</v>
      </c>
      <c r="CX389" s="342">
        <f>(CX388/CV388)-1</f>
        <v>-0.4307945400610903</v>
      </c>
      <c r="CY389" s="342">
        <f>(CY388/CX388)-1</f>
        <v>0.23497358886935449</v>
      </c>
      <c r="CZ389" s="342">
        <f>(CZ388/CY388)-1</f>
        <v>0.18939354222284766</v>
      </c>
      <c r="DA389" s="342">
        <f>(DA388/CZ388)-1</f>
        <v>0.11338917719796826</v>
      </c>
      <c r="DB389" s="648" t="s">
        <v>199</v>
      </c>
      <c r="DC389" s="342">
        <f>(DC388/DA388)-1</f>
        <v>-0.16956109325664759</v>
      </c>
      <c r="DD389" s="342">
        <f>(DD388/DC388)-1</f>
        <v>-7.6417149906874537E-2</v>
      </c>
      <c r="DE389" s="342">
        <f>(DE388/DD388)-1</f>
        <v>7.4439356175951987E-2</v>
      </c>
      <c r="DF389" s="342">
        <f>(DF388/DE388)-1</f>
        <v>-0.25371357203042089</v>
      </c>
      <c r="DG389" s="648" t="s">
        <v>199</v>
      </c>
      <c r="DH389" s="342">
        <f>(DH388/DF388)-1</f>
        <v>7.156848933003479E-2</v>
      </c>
      <c r="DI389" s="342">
        <f>(DI388/DH388)-1</f>
        <v>-5.6913675209321557E-2</v>
      </c>
      <c r="DJ389" s="342">
        <f>(DJ388/DI388)-1</f>
        <v>0.11623290482824111</v>
      </c>
      <c r="DK389" s="342">
        <f>(DK388/DJ388)-1</f>
        <v>0.12954671161279419</v>
      </c>
      <c r="DL389" s="648" t="s">
        <v>199</v>
      </c>
      <c r="DM389" s="342">
        <f>(DM388/DK388)-1</f>
        <v>-5.4487270916041441E-2</v>
      </c>
      <c r="DN389" s="342">
        <f>(DN388/DM388)-1</f>
        <v>4.870262408093895E-2</v>
      </c>
      <c r="DO389" s="342">
        <f>(DO388/DN388)-1</f>
        <v>1.9966730431111523E-2</v>
      </c>
      <c r="DP389" s="342">
        <f>(DP388/DO388)-1</f>
        <v>-1.3709877460548192E-3</v>
      </c>
      <c r="DQ389" s="648" t="s">
        <v>199</v>
      </c>
      <c r="DR389" s="342">
        <f>(DR388/DP388)-1</f>
        <v>-2.3050707111965996E-2</v>
      </c>
      <c r="DS389" s="567">
        <f>(DS388/DR388)-1</f>
        <v>-1.3271464408062261E-3</v>
      </c>
      <c r="DT389" s="342">
        <f>(DT388/DS388)-1</f>
        <v>8.397569871112065E-2</v>
      </c>
      <c r="DU389" s="342">
        <f>(DU388/DT388)-1</f>
        <v>-1.3120899674089248E-2</v>
      </c>
      <c r="DV389" s="648" t="s">
        <v>199</v>
      </c>
      <c r="DW389" s="342">
        <f>(DW388/DU388)-1</f>
        <v>-5.3714949677441504E-2</v>
      </c>
      <c r="DX389" s="342">
        <f>(DX388/DW388)-1</f>
        <v>-0.14041262231725393</v>
      </c>
      <c r="DY389" s="342">
        <f>(DY388/DX388)-1</f>
        <v>-0.14749994236409436</v>
      </c>
      <c r="DZ389" s="342">
        <f>(DZ388/DY388)-1</f>
        <v>-0.10352292601699786</v>
      </c>
      <c r="EA389" s="648" t="s">
        <v>199</v>
      </c>
      <c r="EB389" s="342">
        <f>(EB388/DZ388)-1</f>
        <v>-7.4189051938500117E-2</v>
      </c>
      <c r="EC389" s="342">
        <f>(EC388/EB388)-1</f>
        <v>0.17481950898508236</v>
      </c>
      <c r="ED389" s="342">
        <f>(ED388/EC388)-1</f>
        <v>-3.0927379162644764E-2</v>
      </c>
      <c r="EE389" s="342">
        <f>(EE388/ED388)-1</f>
        <v>-0.1058753417085494</v>
      </c>
      <c r="EF389" s="648" t="s">
        <v>199</v>
      </c>
      <c r="EG389" s="342">
        <f>(EG388/EE388)-1</f>
        <v>-6.6273177700056696E-2</v>
      </c>
      <c r="EH389" s="342">
        <f>(EH388/EG388)-1</f>
        <v>7.3692988819448635E-2</v>
      </c>
      <c r="EI389" s="342">
        <f>(EI388/EH388)-1</f>
        <v>2.3309094907953742E-2</v>
      </c>
      <c r="EJ389" s="342">
        <f>(EJ388/EI388)-1</f>
        <v>-0.13882768884955965</v>
      </c>
      <c r="EK389" s="648" t="s">
        <v>199</v>
      </c>
      <c r="EL389" s="342">
        <f>(EL388/EJ388)-1</f>
        <v>-0.24250098158117273</v>
      </c>
      <c r="EM389" s="342">
        <f>(EM388/EL388)-1</f>
        <v>-0.33345388107393437</v>
      </c>
      <c r="EN389" s="342">
        <f>(EN388/EM388)-1</f>
        <v>2.4790996828494949E-2</v>
      </c>
      <c r="EO389" s="342">
        <f>(EO388/EN388)-1</f>
        <v>1.0945094531604749E-2</v>
      </c>
      <c r="EP389" s="648" t="s">
        <v>199</v>
      </c>
      <c r="EQ389" s="342">
        <f>(EQ388/EO388)-1</f>
        <v>-8.7675747024573703E-4</v>
      </c>
      <c r="ER389" s="342">
        <f>(ER388/EQ388)-1</f>
        <v>7.8101028078523926E-2</v>
      </c>
      <c r="ES389" s="342">
        <f>(ES388/ER388)-1</f>
        <v>6.8991982872404156E-2</v>
      </c>
      <c r="ET389" s="342">
        <f>(ET388/ES388)-1</f>
        <v>3.0426129417833625E-2</v>
      </c>
      <c r="EU389" s="648" t="s">
        <v>199</v>
      </c>
      <c r="EV389" s="668"/>
      <c r="EW389" s="668"/>
      <c r="EX389" s="668"/>
      <c r="EY389" s="668"/>
      <c r="EZ389" s="668"/>
      <c r="FA389" s="668"/>
      <c r="FB389" s="668"/>
      <c r="FC389" s="668"/>
      <c r="FD389" s="668"/>
      <c r="FE389" s="668"/>
      <c r="FF389" s="668"/>
      <c r="FG389" s="668"/>
      <c r="FH389" s="668"/>
      <c r="FI389" s="668"/>
      <c r="FJ389" s="668"/>
      <c r="FK389" s="668"/>
      <c r="FL389" s="668"/>
      <c r="FM389" s="668"/>
      <c r="FN389" s="668"/>
      <c r="FO389" s="668"/>
      <c r="FP389" s="668"/>
      <c r="FQ389" s="668"/>
      <c r="FR389" s="668"/>
      <c r="FS389" s="668"/>
      <c r="FT389" s="668"/>
      <c r="FU389" s="668"/>
      <c r="FV389" s="668"/>
      <c r="FW389" s="668"/>
      <c r="FX389" s="668"/>
      <c r="FY389" s="668"/>
      <c r="FZ389" s="668"/>
      <c r="GA389" s="668"/>
      <c r="GB389" s="668"/>
      <c r="GC389" s="668"/>
      <c r="GD389" s="668"/>
      <c r="GE389" s="668"/>
      <c r="GF389" s="668"/>
      <c r="GG389" s="668"/>
      <c r="GH389" s="668"/>
      <c r="GI389" s="668"/>
      <c r="GJ389" s="668"/>
      <c r="GK389" s="668"/>
      <c r="GL389" s="668"/>
      <c r="GM389" s="668"/>
      <c r="GN389" s="668"/>
      <c r="GO389" s="668"/>
      <c r="GP389" s="668"/>
      <c r="GQ389" s="668"/>
      <c r="GR389" s="668"/>
      <c r="GS389" s="668"/>
      <c r="GT389" s="668"/>
      <c r="GU389" s="668"/>
      <c r="GV389" s="668"/>
      <c r="GW389" s="668"/>
      <c r="GX389" s="668"/>
      <c r="GY389" s="668"/>
      <c r="GZ389" s="668"/>
      <c r="HA389" s="668"/>
      <c r="HB389" s="668"/>
      <c r="HC389" s="668"/>
      <c r="HD389" s="668"/>
      <c r="HE389" s="668"/>
      <c r="HF389" s="668"/>
      <c r="HG389" s="668"/>
      <c r="HH389" s="668"/>
      <c r="HI389" s="668"/>
      <c r="HJ389" s="668"/>
      <c r="HK389" s="668"/>
      <c r="HL389" s="668"/>
      <c r="HM389" s="668"/>
      <c r="HN389" s="668"/>
      <c r="HO389" s="648"/>
      <c r="HP389" s="293"/>
      <c r="HQ389" s="342"/>
      <c r="HR389" s="293"/>
      <c r="HS389" s="745"/>
      <c r="HY389" s="509"/>
      <c r="HZ389" s="509"/>
      <c r="IA389" s="509"/>
      <c r="IB389" s="509"/>
    </row>
    <row r="390" spans="1:236" s="563" customFormat="1" hidden="1" outlineLevel="3">
      <c r="A390" s="703" t="s">
        <v>489</v>
      </c>
      <c r="B390" s="703"/>
      <c r="C390" s="703"/>
      <c r="D390" s="703"/>
      <c r="E390" s="703"/>
      <c r="F390" s="703"/>
      <c r="G390" s="703"/>
      <c r="H390" s="703"/>
      <c r="I390" s="703"/>
      <c r="J390" s="703"/>
      <c r="K390" s="703"/>
      <c r="L390" s="858"/>
      <c r="M390" s="858"/>
      <c r="N390" s="858"/>
      <c r="O390" s="858"/>
      <c r="P390" s="859"/>
      <c r="Q390" s="874"/>
      <c r="R390" s="874"/>
      <c r="S390" s="874"/>
      <c r="T390" s="874"/>
      <c r="U390" s="875"/>
      <c r="V390" s="874"/>
      <c r="W390" s="874"/>
      <c r="X390" s="874"/>
      <c r="Y390" s="874"/>
      <c r="Z390" s="875"/>
      <c r="AA390" s="874"/>
      <c r="AB390" s="874"/>
      <c r="AC390" s="874"/>
      <c r="AD390" s="874"/>
      <c r="AE390" s="875"/>
      <c r="AF390" s="858"/>
      <c r="AG390" s="858"/>
      <c r="AH390" s="858"/>
      <c r="AI390" s="858"/>
      <c r="AJ390" s="875"/>
      <c r="AK390" s="858"/>
      <c r="AL390" s="858"/>
      <c r="AM390" s="858"/>
      <c r="AN390" s="858"/>
      <c r="AO390" s="875"/>
      <c r="AP390" s="858"/>
      <c r="AQ390" s="858"/>
      <c r="AR390" s="858"/>
      <c r="AS390" s="858"/>
      <c r="AT390" s="875"/>
      <c r="AU390" s="858"/>
      <c r="AV390" s="858"/>
      <c r="AW390" s="858"/>
      <c r="AX390" s="858"/>
      <c r="AY390" s="875"/>
      <c r="AZ390" s="858"/>
      <c r="BA390" s="858"/>
      <c r="BB390" s="858"/>
      <c r="BC390" s="858"/>
      <c r="BD390" s="875"/>
      <c r="BE390" s="858"/>
      <c r="BF390" s="858"/>
      <c r="BG390" s="858"/>
      <c r="BH390" s="858"/>
      <c r="BI390" s="875"/>
      <c r="BJ390" s="858"/>
      <c r="BK390" s="858"/>
      <c r="BL390" s="858"/>
      <c r="BM390" s="858"/>
      <c r="BN390" s="875"/>
      <c r="BO390" s="858"/>
      <c r="BP390" s="858"/>
      <c r="BQ390" s="858"/>
      <c r="BR390" s="858"/>
      <c r="BS390" s="875"/>
      <c r="BT390" s="875"/>
      <c r="BU390" s="876" t="s">
        <v>199</v>
      </c>
      <c r="BV390" s="876" t="s">
        <v>199</v>
      </c>
      <c r="BW390" s="876" t="s">
        <v>199</v>
      </c>
      <c r="BX390" s="876" t="s">
        <v>199</v>
      </c>
      <c r="BY390" s="877">
        <f t="shared" ref="BY390:EJ390" si="303">(BY388/BT388)-1</f>
        <v>3.4795763993948681E-2</v>
      </c>
      <c r="BZ390" s="877">
        <f t="shared" si="303"/>
        <v>-0.3537414965986394</v>
      </c>
      <c r="CA390" s="877">
        <f t="shared" si="303"/>
        <v>-0.43897216274089934</v>
      </c>
      <c r="CB390" s="877">
        <f t="shared" si="303"/>
        <v>-0.40256045519203409</v>
      </c>
      <c r="CC390" s="706">
        <f t="shared" si="303"/>
        <v>-0.27821413807358397</v>
      </c>
      <c r="CD390" s="877">
        <f t="shared" si="303"/>
        <v>-0.31578947368421051</v>
      </c>
      <c r="CE390" s="877">
        <f t="shared" si="303"/>
        <v>6.8421052631578716E-2</v>
      </c>
      <c r="CF390" s="877">
        <f t="shared" si="303"/>
        <v>0.91984732824427451</v>
      </c>
      <c r="CG390" s="877">
        <f t="shared" si="303"/>
        <v>0.3833333333333333</v>
      </c>
      <c r="CH390" s="706">
        <f t="shared" si="303"/>
        <v>0.12142038946162659</v>
      </c>
      <c r="CI390" s="877">
        <f t="shared" si="303"/>
        <v>0.22008547008546997</v>
      </c>
      <c r="CJ390" s="877">
        <f t="shared" si="303"/>
        <v>0.3645320197044335</v>
      </c>
      <c r="CK390" s="877">
        <f t="shared" si="303"/>
        <v>0.33797216699801202</v>
      </c>
      <c r="CL390" s="877">
        <f t="shared" si="303"/>
        <v>0.25645438898450945</v>
      </c>
      <c r="CM390" s="706">
        <f t="shared" si="303"/>
        <v>0.29111338100102135</v>
      </c>
      <c r="CN390" s="877">
        <f t="shared" si="303"/>
        <v>0.31609106830122591</v>
      </c>
      <c r="CO390" s="877">
        <f t="shared" si="303"/>
        <v>0.38400631768953053</v>
      </c>
      <c r="CP390" s="877">
        <f t="shared" si="303"/>
        <v>0.44014784546805363</v>
      </c>
      <c r="CQ390" s="877">
        <f t="shared" si="303"/>
        <v>0.79041095890410951</v>
      </c>
      <c r="CR390" s="706">
        <f t="shared" si="303"/>
        <v>0.50096795886075962</v>
      </c>
      <c r="CS390" s="877">
        <f t="shared" si="303"/>
        <v>0.72857051609606538</v>
      </c>
      <c r="CT390" s="877">
        <f t="shared" si="303"/>
        <v>0.53905128143261227</v>
      </c>
      <c r="CU390" s="877">
        <f t="shared" si="303"/>
        <v>0.33096785609451707</v>
      </c>
      <c r="CV390" s="877">
        <f t="shared" si="303"/>
        <v>2.8309104820198883E-2</v>
      </c>
      <c r="CW390" s="706">
        <f t="shared" si="303"/>
        <v>0.34750898088706994</v>
      </c>
      <c r="CX390" s="877">
        <f t="shared" si="303"/>
        <v>-0.41107610611401491</v>
      </c>
      <c r="CY390" s="877">
        <f t="shared" si="303"/>
        <v>-0.19938252030098125</v>
      </c>
      <c r="CZ390" s="877">
        <f t="shared" si="303"/>
        <v>-0.1289123394532844</v>
      </c>
      <c r="DA390" s="877">
        <f t="shared" si="303"/>
        <v>-6.9107998511904856E-2</v>
      </c>
      <c r="DB390" s="706">
        <f t="shared" si="303"/>
        <v>-0.20114164155203917</v>
      </c>
      <c r="DC390" s="877">
        <f t="shared" si="303"/>
        <v>0.35811932671002977</v>
      </c>
      <c r="DD390" s="877">
        <f t="shared" si="303"/>
        <v>1.5678173067472656E-2</v>
      </c>
      <c r="DE390" s="877">
        <f t="shared" si="303"/>
        <v>-8.2486524760265967E-2</v>
      </c>
      <c r="DF390" s="877">
        <f t="shared" si="303"/>
        <v>-0.38500582898259417</v>
      </c>
      <c r="DG390" s="706">
        <f t="shared" si="303"/>
        <v>-6.9921227643513939E-2</v>
      </c>
      <c r="DH390" s="877">
        <f t="shared" si="303"/>
        <v>-0.20643364679496468</v>
      </c>
      <c r="DI390" s="877">
        <f t="shared" si="303"/>
        <v>-0.18967575518945989</v>
      </c>
      <c r="DJ390" s="877">
        <f t="shared" si="303"/>
        <v>-0.15815575775549318</v>
      </c>
      <c r="DK390" s="877">
        <f t="shared" si="303"/>
        <v>0.27417886736137831</v>
      </c>
      <c r="DL390" s="706">
        <f t="shared" si="303"/>
        <v>-9.1757843184784638E-2</v>
      </c>
      <c r="DM390" s="877">
        <f t="shared" si="303"/>
        <v>0.12428869476481008</v>
      </c>
      <c r="DN390" s="877">
        <f t="shared" si="303"/>
        <v>0.25019785933815064</v>
      </c>
      <c r="DO390" s="877">
        <f t="shared" si="303"/>
        <v>0.14237827738765829</v>
      </c>
      <c r="DP390" s="877">
        <f t="shared" si="303"/>
        <v>9.9733628006595243E-3</v>
      </c>
      <c r="DQ390" s="706">
        <f t="shared" si="303"/>
        <v>0.12473226980421659</v>
      </c>
      <c r="DR390" s="877">
        <f t="shared" si="303"/>
        <v>4.3553124429950518E-2</v>
      </c>
      <c r="DS390" s="877">
        <f t="shared" si="303"/>
        <v>-6.2309822783123137E-3</v>
      </c>
      <c r="DT390" s="877">
        <f t="shared" si="303"/>
        <v>5.6133923983009648E-2</v>
      </c>
      <c r="DU390" s="877">
        <f t="shared" si="303"/>
        <v>4.3707406789200931E-2</v>
      </c>
      <c r="DV390" s="706">
        <f t="shared" si="303"/>
        <v>3.4336167077442248E-2</v>
      </c>
      <c r="DW390" s="877">
        <f t="shared" si="303"/>
        <v>1.094777707028638E-2</v>
      </c>
      <c r="DX390" s="877">
        <f t="shared" si="303"/>
        <v>-0.1298472311838591</v>
      </c>
      <c r="DY390" s="877">
        <f t="shared" si="303"/>
        <v>-0.31566243925040793</v>
      </c>
      <c r="DZ390" s="877">
        <f t="shared" si="303"/>
        <v>-0.37835046473792278</v>
      </c>
      <c r="EA390" s="706">
        <f t="shared" si="303"/>
        <v>-0.20837180575052106</v>
      </c>
      <c r="EB390" s="877">
        <f t="shared" si="303"/>
        <v>-0.39180065731061209</v>
      </c>
      <c r="EC390" s="877">
        <f t="shared" si="303"/>
        <v>-0.1687587885834323</v>
      </c>
      <c r="ED390" s="877">
        <f t="shared" si="303"/>
        <v>-5.5093202539692188E-2</v>
      </c>
      <c r="EE390" s="877">
        <f t="shared" si="303"/>
        <v>-5.7572701058849485E-2</v>
      </c>
      <c r="EF390" s="706">
        <f t="shared" si="303"/>
        <v>-0.18928789309895022</v>
      </c>
      <c r="EG390" s="877">
        <f t="shared" si="303"/>
        <v>-4.951475359893398E-2</v>
      </c>
      <c r="EH390" s="877">
        <f t="shared" si="303"/>
        <v>-0.13133095149332508</v>
      </c>
      <c r="EI390" s="877">
        <f t="shared" si="303"/>
        <v>-8.271380422055008E-2</v>
      </c>
      <c r="EJ390" s="877">
        <f t="shared" si="303"/>
        <v>-0.11651975383918622</v>
      </c>
      <c r="EK390" s="706">
        <f t="shared" ref="EK390:EU390" si="304">(EK388/EF388)-1</f>
        <v>-9.6181043361619145E-2</v>
      </c>
      <c r="EL390" s="877">
        <f t="shared" si="304"/>
        <v>-0.28326422324380851</v>
      </c>
      <c r="EM390" s="877">
        <f t="shared" si="304"/>
        <v>-0.55505209099150177</v>
      </c>
      <c r="EN390" s="877">
        <f t="shared" si="304"/>
        <v>-0.55440774104466606</v>
      </c>
      <c r="EO390" s="877">
        <f t="shared" si="304"/>
        <v>-0.47691152801885928</v>
      </c>
      <c r="EP390" s="706">
        <f t="shared" si="304"/>
        <v>-0.4709382100744276</v>
      </c>
      <c r="EQ390" s="877">
        <f t="shared" si="304"/>
        <v>-0.31005870958532966</v>
      </c>
      <c r="ER390" s="877">
        <f t="shared" si="304"/>
        <v>0.11594140808790154</v>
      </c>
      <c r="ES390" s="877">
        <f t="shared" si="304"/>
        <v>0.16407386705501392</v>
      </c>
      <c r="ET390" s="877">
        <f t="shared" si="304"/>
        <v>0.18650571200575583</v>
      </c>
      <c r="EU390" s="706">
        <f t="shared" si="304"/>
        <v>2.6598926711294268E-3</v>
      </c>
      <c r="EV390" s="668"/>
      <c r="EW390" s="668"/>
      <c r="EX390" s="668"/>
      <c r="EY390" s="668"/>
      <c r="EZ390" s="668"/>
      <c r="FA390" s="668"/>
      <c r="FB390" s="668"/>
      <c r="FC390" s="668"/>
      <c r="FD390" s="668"/>
      <c r="FE390" s="668"/>
      <c r="FF390" s="668"/>
      <c r="FG390" s="668"/>
      <c r="FH390" s="668"/>
      <c r="FI390" s="668"/>
      <c r="FJ390" s="668"/>
      <c r="FK390" s="668"/>
      <c r="FL390" s="668"/>
      <c r="FM390" s="668"/>
      <c r="FN390" s="668"/>
      <c r="FO390" s="668"/>
      <c r="FP390" s="668"/>
      <c r="FQ390" s="668"/>
      <c r="FR390" s="668"/>
      <c r="FS390" s="668"/>
      <c r="FT390" s="668"/>
      <c r="FU390" s="668"/>
      <c r="FV390" s="668"/>
      <c r="FW390" s="668"/>
      <c r="FX390" s="668"/>
      <c r="FY390" s="668"/>
      <c r="FZ390" s="668"/>
      <c r="GA390" s="668"/>
      <c r="GB390" s="668"/>
      <c r="GC390" s="668"/>
      <c r="GD390" s="668"/>
      <c r="GE390" s="668"/>
      <c r="GF390" s="668"/>
      <c r="GG390" s="668"/>
      <c r="GH390" s="668"/>
      <c r="GI390" s="668"/>
      <c r="GJ390" s="668"/>
      <c r="GK390" s="668"/>
      <c r="GL390" s="668"/>
      <c r="GM390" s="668"/>
      <c r="GN390" s="668"/>
      <c r="GO390" s="668"/>
      <c r="GP390" s="668"/>
      <c r="GQ390" s="668"/>
      <c r="GR390" s="668"/>
      <c r="GS390" s="668"/>
      <c r="GT390" s="668"/>
      <c r="GU390" s="668"/>
      <c r="GV390" s="668"/>
      <c r="GW390" s="668"/>
      <c r="GX390" s="668"/>
      <c r="GY390" s="668"/>
      <c r="GZ390" s="668"/>
      <c r="HA390" s="668"/>
      <c r="HB390" s="668"/>
      <c r="HC390" s="668"/>
      <c r="HD390" s="668"/>
      <c r="HE390" s="668"/>
      <c r="HF390" s="668"/>
      <c r="HG390" s="668"/>
      <c r="HH390" s="668"/>
      <c r="HI390" s="668"/>
      <c r="HJ390" s="668"/>
      <c r="HK390" s="668"/>
      <c r="HL390" s="668"/>
      <c r="HM390" s="668"/>
      <c r="HN390" s="668"/>
      <c r="HO390" s="344"/>
      <c r="HP390" s="293"/>
      <c r="HQ390" s="342"/>
      <c r="HR390" s="293"/>
      <c r="HS390" s="353"/>
      <c r="HY390" s="509"/>
      <c r="HZ390" s="509"/>
      <c r="IA390" s="509"/>
      <c r="IB390" s="509"/>
    </row>
    <row r="391" spans="1:236" s="563" customFormat="1" hidden="1" outlineLevel="2">
      <c r="A391" s="509"/>
      <c r="B391" s="509"/>
      <c r="C391" s="509"/>
      <c r="D391" s="509"/>
      <c r="E391" s="509"/>
      <c r="F391" s="509"/>
      <c r="G391" s="509"/>
      <c r="H391" s="509"/>
      <c r="I391" s="509"/>
      <c r="J391" s="509"/>
      <c r="K391" s="509"/>
      <c r="L391" s="523"/>
      <c r="M391" s="523"/>
      <c r="N391" s="523"/>
      <c r="O391" s="523"/>
      <c r="P391" s="524"/>
      <c r="Q391" s="619"/>
      <c r="R391" s="619"/>
      <c r="S391" s="619"/>
      <c r="T391" s="619"/>
      <c r="U391" s="541"/>
      <c r="V391" s="619"/>
      <c r="W391" s="619"/>
      <c r="X391" s="619"/>
      <c r="Y391" s="619"/>
      <c r="Z391" s="541"/>
      <c r="AA391" s="619"/>
      <c r="AB391" s="619"/>
      <c r="AC391" s="619"/>
      <c r="AD391" s="619"/>
      <c r="AE391" s="541"/>
      <c r="AF391" s="523"/>
      <c r="AG391" s="523"/>
      <c r="AH391" s="523"/>
      <c r="AI391" s="523"/>
      <c r="AJ391" s="541"/>
      <c r="AK391" s="523"/>
      <c r="AL391" s="523"/>
      <c r="AM391" s="523"/>
      <c r="AN391" s="523"/>
      <c r="AO391" s="541"/>
      <c r="AP391" s="523"/>
      <c r="AQ391" s="523"/>
      <c r="AR391" s="523"/>
      <c r="AS391" s="523"/>
      <c r="AT391" s="541"/>
      <c r="AU391" s="523"/>
      <c r="AV391" s="523"/>
      <c r="AW391" s="523"/>
      <c r="AX391" s="523"/>
      <c r="AY391" s="541"/>
      <c r="AZ391" s="523"/>
      <c r="BA391" s="523"/>
      <c r="BB391" s="523"/>
      <c r="BC391" s="523"/>
      <c r="BD391" s="541"/>
      <c r="BE391" s="523"/>
      <c r="BF391" s="523"/>
      <c r="BG391" s="523"/>
      <c r="BH391" s="523"/>
      <c r="BI391" s="541"/>
      <c r="BJ391" s="523"/>
      <c r="BK391" s="523"/>
      <c r="BL391" s="523"/>
      <c r="BM391" s="523"/>
      <c r="BN391" s="541"/>
      <c r="BO391" s="523"/>
      <c r="BP391" s="523"/>
      <c r="BQ391" s="523"/>
      <c r="BR391" s="523"/>
      <c r="BS391" s="541"/>
      <c r="BT391" s="541"/>
      <c r="BU391" s="541"/>
      <c r="BV391" s="541"/>
      <c r="BW391" s="541"/>
      <c r="BX391" s="541"/>
      <c r="BY391" s="342"/>
      <c r="BZ391" s="342"/>
      <c r="CA391" s="342"/>
      <c r="CB391" s="342"/>
      <c r="CC391" s="321"/>
      <c r="CD391" s="342"/>
      <c r="CE391" s="342"/>
      <c r="CF391" s="342"/>
      <c r="CG391" s="342"/>
      <c r="CH391" s="321"/>
      <c r="CI391" s="342"/>
      <c r="CJ391" s="342"/>
      <c r="CK391" s="342"/>
      <c r="CL391" s="342"/>
      <c r="CM391" s="321"/>
      <c r="CN391" s="334"/>
      <c r="CO391" s="334"/>
      <c r="CP391" s="869"/>
      <c r="CQ391" s="578"/>
      <c r="CR391" s="524"/>
      <c r="CS391" s="578"/>
      <c r="CT391" s="578"/>
      <c r="CU391" s="578"/>
      <c r="CV391" s="578"/>
      <c r="CW391" s="524"/>
      <c r="CX391" s="578"/>
      <c r="CY391" s="578"/>
      <c r="CZ391" s="578"/>
      <c r="DA391" s="578"/>
      <c r="DB391" s="524"/>
      <c r="DC391" s="578"/>
      <c r="DD391" s="578"/>
      <c r="DE391" s="578"/>
      <c r="DF391" s="578"/>
      <c r="DG391" s="524"/>
      <c r="DH391" s="578"/>
      <c r="DI391" s="578"/>
      <c r="DJ391" s="578"/>
      <c r="DK391" s="578"/>
      <c r="DL391" s="524"/>
      <c r="DM391" s="578"/>
      <c r="DN391" s="578"/>
      <c r="DO391" s="578"/>
      <c r="DP391" s="578"/>
      <c r="DQ391" s="524"/>
      <c r="DR391" s="578"/>
      <c r="DS391" s="578"/>
      <c r="DT391" s="578"/>
      <c r="DU391" s="578"/>
      <c r="DV391" s="524"/>
      <c r="DW391" s="619"/>
      <c r="DX391" s="619"/>
      <c r="DY391" s="619"/>
      <c r="DZ391" s="619"/>
      <c r="EA391" s="541"/>
      <c r="EB391" s="619"/>
      <c r="EC391" s="619"/>
      <c r="ED391" s="619"/>
      <c r="EE391" s="619"/>
      <c r="EF391" s="541"/>
      <c r="EG391" s="619"/>
      <c r="EH391" s="619"/>
      <c r="EI391" s="619"/>
      <c r="EJ391" s="619"/>
      <c r="EK391" s="541"/>
      <c r="EL391" s="619"/>
      <c r="EM391" s="619"/>
      <c r="EN391" s="619"/>
      <c r="EO391" s="619"/>
      <c r="EP391" s="541"/>
      <c r="EQ391" s="619"/>
      <c r="ER391" s="619"/>
      <c r="ES391" s="619"/>
      <c r="ET391" s="619"/>
      <c r="EU391" s="541"/>
      <c r="EV391" s="668"/>
      <c r="EW391" s="668"/>
      <c r="EX391" s="668"/>
      <c r="EY391" s="668"/>
      <c r="EZ391" s="668"/>
      <c r="FA391" s="668"/>
      <c r="FB391" s="668"/>
      <c r="FC391" s="668"/>
      <c r="FD391" s="668"/>
      <c r="FE391" s="668"/>
      <c r="FF391" s="668"/>
      <c r="FG391" s="668"/>
      <c r="FH391" s="668"/>
      <c r="FI391" s="668"/>
      <c r="FJ391" s="668"/>
      <c r="FK391" s="668"/>
      <c r="FL391" s="668"/>
      <c r="FM391" s="668"/>
      <c r="FN391" s="668"/>
      <c r="FO391" s="668"/>
      <c r="FP391" s="668"/>
      <c r="FQ391" s="668"/>
      <c r="FR391" s="668"/>
      <c r="FS391" s="668"/>
      <c r="FT391" s="668"/>
      <c r="FU391" s="668"/>
      <c r="FV391" s="668"/>
      <c r="FW391" s="668"/>
      <c r="FX391" s="668"/>
      <c r="FY391" s="668"/>
      <c r="FZ391" s="668"/>
      <c r="GA391" s="668"/>
      <c r="GB391" s="668"/>
      <c r="GC391" s="668"/>
      <c r="GD391" s="668"/>
      <c r="GE391" s="668"/>
      <c r="GF391" s="668"/>
      <c r="GG391" s="668"/>
      <c r="GH391" s="668"/>
      <c r="GI391" s="668"/>
      <c r="GJ391" s="668"/>
      <c r="GK391" s="668"/>
      <c r="GL391" s="668"/>
      <c r="GM391" s="668"/>
      <c r="GN391" s="668"/>
      <c r="GO391" s="668"/>
      <c r="GP391" s="668"/>
      <c r="GQ391" s="668"/>
      <c r="GR391" s="668"/>
      <c r="GS391" s="668"/>
      <c r="GT391" s="668"/>
      <c r="GU391" s="668"/>
      <c r="GV391" s="668"/>
      <c r="GW391" s="668"/>
      <c r="GX391" s="668"/>
      <c r="GY391" s="668"/>
      <c r="GZ391" s="668"/>
      <c r="HA391" s="668"/>
      <c r="HB391" s="668"/>
      <c r="HC391" s="668"/>
      <c r="HD391" s="668"/>
      <c r="HE391" s="668"/>
      <c r="HF391" s="668"/>
      <c r="HG391" s="668"/>
      <c r="HH391" s="668"/>
      <c r="HI391" s="668"/>
      <c r="HJ391" s="668"/>
      <c r="HK391" s="668"/>
      <c r="HL391" s="668"/>
      <c r="HM391" s="668"/>
      <c r="HN391" s="668"/>
      <c r="HO391" s="541"/>
      <c r="HP391" s="601"/>
      <c r="HQ391" s="578"/>
      <c r="HR391" s="601"/>
      <c r="HS391" s="671"/>
      <c r="HY391" s="509"/>
      <c r="HZ391" s="509"/>
      <c r="IA391" s="509"/>
      <c r="IB391" s="509"/>
    </row>
    <row r="392" spans="1:236" s="563" customFormat="1" ht="15" hidden="1" customHeight="1" outlineLevel="3">
      <c r="A392" s="538" t="s">
        <v>557</v>
      </c>
      <c r="B392" s="509"/>
      <c r="C392" s="509"/>
      <c r="D392" s="509"/>
      <c r="E392" s="509"/>
      <c r="F392" s="509"/>
      <c r="G392" s="509"/>
      <c r="H392" s="509"/>
      <c r="I392" s="509"/>
      <c r="J392" s="509"/>
      <c r="K392" s="509"/>
      <c r="L392" s="523"/>
      <c r="M392" s="523"/>
      <c r="N392" s="523"/>
      <c r="O392" s="523"/>
      <c r="P392" s="524"/>
      <c r="Q392" s="619"/>
      <c r="R392" s="619"/>
      <c r="S392" s="619"/>
      <c r="T392" s="619"/>
      <c r="U392" s="541"/>
      <c r="V392" s="619"/>
      <c r="W392" s="619"/>
      <c r="X392" s="619"/>
      <c r="Y392" s="619"/>
      <c r="Z392" s="541"/>
      <c r="AA392" s="619"/>
      <c r="AB392" s="619"/>
      <c r="AC392" s="619"/>
      <c r="AD392" s="619"/>
      <c r="AE392" s="541"/>
      <c r="AF392" s="523"/>
      <c r="AG392" s="523"/>
      <c r="AH392" s="523"/>
      <c r="AI392" s="523"/>
      <c r="AJ392" s="541"/>
      <c r="AK392" s="523"/>
      <c r="AL392" s="523"/>
      <c r="AM392" s="523"/>
      <c r="AN392" s="523"/>
      <c r="AO392" s="541"/>
      <c r="AP392" s="523"/>
      <c r="AQ392" s="523"/>
      <c r="AR392" s="523"/>
      <c r="AS392" s="523"/>
      <c r="AT392" s="541"/>
      <c r="AU392" s="523"/>
      <c r="AV392" s="523"/>
      <c r="AW392" s="523"/>
      <c r="AX392" s="523"/>
      <c r="AY392" s="541"/>
      <c r="AZ392" s="523"/>
      <c r="BA392" s="523"/>
      <c r="BB392" s="523"/>
      <c r="BC392" s="523"/>
      <c r="BD392" s="541"/>
      <c r="BE392" s="523"/>
      <c r="BF392" s="523"/>
      <c r="BG392" s="523"/>
      <c r="BH392" s="523"/>
      <c r="BI392" s="541"/>
      <c r="BJ392" s="523"/>
      <c r="BK392" s="523"/>
      <c r="BL392" s="523"/>
      <c r="BM392" s="523"/>
      <c r="BN392" s="541"/>
      <c r="BO392" s="523"/>
      <c r="BP392" s="523"/>
      <c r="BQ392" s="523"/>
      <c r="BR392" s="523"/>
      <c r="BS392" s="541"/>
      <c r="BT392" s="523"/>
      <c r="BU392" s="523"/>
      <c r="BV392" s="523"/>
      <c r="BW392" s="523"/>
      <c r="BX392" s="591"/>
      <c r="BY392" s="523"/>
      <c r="BZ392" s="523"/>
      <c r="CA392" s="523"/>
      <c r="CB392" s="523"/>
      <c r="CC392" s="591"/>
      <c r="CD392" s="523"/>
      <c r="CE392" s="523"/>
      <c r="CF392" s="523"/>
      <c r="CG392" s="523"/>
      <c r="CH392" s="591"/>
      <c r="CI392" s="523"/>
      <c r="CJ392" s="523"/>
      <c r="CK392" s="523"/>
      <c r="CL392" s="523"/>
      <c r="CM392" s="542"/>
      <c r="CN392" s="523"/>
      <c r="CO392" s="523"/>
      <c r="CP392" s="543"/>
      <c r="CQ392" s="523"/>
      <c r="CR392" s="542"/>
      <c r="CS392" s="539"/>
      <c r="CT392" s="523"/>
      <c r="CU392" s="523"/>
      <c r="CV392" s="523"/>
      <c r="CW392" s="542"/>
      <c r="CX392" s="539"/>
      <c r="CY392" s="523"/>
      <c r="CZ392" s="523"/>
      <c r="DA392" s="523"/>
      <c r="DB392" s="542"/>
      <c r="DC392" s="539"/>
      <c r="DD392" s="523"/>
      <c r="DE392" s="523"/>
      <c r="DF392" s="523"/>
      <c r="DG392" s="542"/>
      <c r="DH392" s="539"/>
      <c r="DI392" s="523"/>
      <c r="DJ392" s="523"/>
      <c r="DK392" s="523"/>
      <c r="DL392" s="542"/>
      <c r="DM392" s="539"/>
      <c r="DN392" s="523"/>
      <c r="DO392" s="523"/>
      <c r="DP392" s="523"/>
      <c r="DQ392" s="542"/>
      <c r="DR392" s="539"/>
      <c r="DS392" s="523"/>
      <c r="DT392" s="523"/>
      <c r="DU392" s="523"/>
      <c r="DV392" s="542"/>
      <c r="DW392" s="590"/>
      <c r="DX392" s="619"/>
      <c r="DY392" s="619"/>
      <c r="DZ392" s="619"/>
      <c r="EA392" s="591"/>
      <c r="EB392" s="590"/>
      <c r="EC392" s="619"/>
      <c r="ED392" s="619"/>
      <c r="EE392" s="590"/>
      <c r="EF392" s="591"/>
      <c r="EG392" s="590"/>
      <c r="EH392" s="619"/>
      <c r="EI392" s="619"/>
      <c r="EJ392" s="619"/>
      <c r="EK392" s="591"/>
      <c r="EL392" s="590"/>
      <c r="EM392" s="619"/>
      <c r="EN392" s="619"/>
      <c r="EO392" s="619"/>
      <c r="EP392" s="591"/>
      <c r="EQ392" s="590"/>
      <c r="ER392" s="619"/>
      <c r="ES392" s="619"/>
      <c r="ET392" s="619"/>
      <c r="EU392" s="591"/>
      <c r="EV392" s="590"/>
      <c r="EW392" s="619"/>
      <c r="EX392" s="619"/>
      <c r="EY392" s="619"/>
      <c r="EZ392" s="591"/>
      <c r="FA392" s="590"/>
      <c r="FB392" s="619"/>
      <c r="FC392" s="619"/>
      <c r="FD392" s="619"/>
      <c r="FE392" s="591"/>
      <c r="FF392" s="590"/>
      <c r="FG392" s="619"/>
      <c r="FH392" s="619"/>
      <c r="FI392" s="619"/>
      <c r="FJ392" s="591"/>
      <c r="FK392" s="591"/>
      <c r="FL392" s="591"/>
      <c r="FM392" s="591"/>
      <c r="FN392" s="591"/>
      <c r="FO392" s="591"/>
      <c r="FP392" s="591"/>
      <c r="FQ392" s="591"/>
      <c r="FR392" s="591"/>
      <c r="FS392" s="591"/>
      <c r="FT392" s="591"/>
      <c r="FU392" s="591"/>
      <c r="FV392" s="591"/>
      <c r="FW392" s="591"/>
      <c r="FX392" s="591"/>
      <c r="FY392" s="591"/>
      <c r="FZ392" s="591"/>
      <c r="GA392" s="591"/>
      <c r="GB392" s="591"/>
      <c r="GC392" s="591"/>
      <c r="GD392" s="591"/>
      <c r="GE392" s="591"/>
      <c r="GF392" s="591"/>
      <c r="GG392" s="591"/>
      <c r="GH392" s="591"/>
      <c r="GI392" s="591"/>
      <c r="GJ392" s="591"/>
      <c r="GK392" s="591"/>
      <c r="GL392" s="591"/>
      <c r="GM392" s="591"/>
      <c r="GN392" s="591"/>
      <c r="GO392" s="591"/>
      <c r="GP392" s="591"/>
      <c r="GQ392" s="591"/>
      <c r="GR392" s="591"/>
      <c r="GS392" s="591"/>
      <c r="GT392" s="591"/>
      <c r="GU392" s="591"/>
      <c r="GV392" s="591"/>
      <c r="GW392" s="591"/>
      <c r="GX392" s="591"/>
      <c r="GY392" s="591"/>
      <c r="GZ392" s="591"/>
      <c r="HA392" s="591"/>
      <c r="HB392" s="591"/>
      <c r="HC392" s="591"/>
      <c r="HD392" s="591"/>
      <c r="HE392" s="591"/>
      <c r="HF392" s="591"/>
      <c r="HG392" s="591"/>
      <c r="HH392" s="591"/>
      <c r="HI392" s="591"/>
      <c r="HJ392" s="591"/>
      <c r="HK392" s="591"/>
      <c r="HL392" s="591"/>
      <c r="HM392" s="591"/>
      <c r="HN392" s="591"/>
      <c r="HO392" s="591"/>
      <c r="HP392" s="606"/>
      <c r="HQ392" s="523"/>
      <c r="HR392" s="606"/>
      <c r="HS392" s="671"/>
      <c r="HY392" s="509"/>
      <c r="HZ392" s="509"/>
      <c r="IA392" s="509"/>
      <c r="IB392" s="509"/>
    </row>
    <row r="393" spans="1:236" s="563" customFormat="1" hidden="1" outlineLevel="3">
      <c r="A393" s="878" t="s">
        <v>558</v>
      </c>
      <c r="B393" s="509"/>
      <c r="C393" s="509"/>
      <c r="D393" s="509"/>
      <c r="E393" s="509"/>
      <c r="F393" s="509"/>
      <c r="G393" s="509"/>
      <c r="H393" s="509"/>
      <c r="I393" s="509"/>
      <c r="J393" s="509"/>
      <c r="K393" s="509"/>
      <c r="L393" s="523"/>
      <c r="M393" s="523"/>
      <c r="N393" s="523"/>
      <c r="O393" s="523"/>
      <c r="P393" s="524"/>
      <c r="Q393" s="619"/>
      <c r="R393" s="619"/>
      <c r="S393" s="619"/>
      <c r="T393" s="619"/>
      <c r="U393" s="541"/>
      <c r="V393" s="619"/>
      <c r="W393" s="619"/>
      <c r="X393" s="619"/>
      <c r="Y393" s="619"/>
      <c r="Z393" s="541"/>
      <c r="AA393" s="619"/>
      <c r="AB393" s="619"/>
      <c r="AC393" s="619"/>
      <c r="AD393" s="619"/>
      <c r="AE393" s="541"/>
      <c r="AF393" s="523"/>
      <c r="AG393" s="523"/>
      <c r="AH393" s="523"/>
      <c r="AI393" s="523"/>
      <c r="AJ393" s="541"/>
      <c r="AK393" s="523"/>
      <c r="AL393" s="523"/>
      <c r="AM393" s="523"/>
      <c r="AN393" s="523"/>
      <c r="AO393" s="541"/>
      <c r="AP393" s="523"/>
      <c r="AQ393" s="523"/>
      <c r="AR393" s="523"/>
      <c r="AS393" s="523"/>
      <c r="AT393" s="541"/>
      <c r="AU393" s="523"/>
      <c r="AV393" s="523"/>
      <c r="AW393" s="523"/>
      <c r="AX393" s="523"/>
      <c r="AY393" s="541"/>
      <c r="AZ393" s="523"/>
      <c r="BA393" s="523"/>
      <c r="BB393" s="523"/>
      <c r="BC393" s="523"/>
      <c r="BD393" s="541"/>
      <c r="BE393" s="523"/>
      <c r="BF393" s="523"/>
      <c r="BG393" s="523"/>
      <c r="BH393" s="523"/>
      <c r="BI393" s="541"/>
      <c r="BJ393" s="523"/>
      <c r="BK393" s="523"/>
      <c r="BL393" s="523"/>
      <c r="BM393" s="523"/>
      <c r="BN393" s="541"/>
      <c r="BO393" s="602"/>
      <c r="BP393" s="602"/>
      <c r="BQ393" s="602"/>
      <c r="BR393" s="602"/>
      <c r="BS393" s="591"/>
      <c r="BT393" s="602">
        <v>9.5284780069881805</v>
      </c>
      <c r="BU393" s="602">
        <v>9.0625583548813164</v>
      </c>
      <c r="BV393" s="602">
        <v>8.755444151488982</v>
      </c>
      <c r="BW393" s="602">
        <v>10.799511480288619</v>
      </c>
      <c r="BX393" s="591">
        <f>SUM(BT393:BW393)</f>
        <v>38.145991993647101</v>
      </c>
      <c r="BY393" s="602">
        <v>12.908584809791014</v>
      </c>
      <c r="BZ393" s="602">
        <v>13.461538461538462</v>
      </c>
      <c r="CA393" s="602">
        <v>15.695501730103807</v>
      </c>
      <c r="CB393" s="602">
        <v>19.50561797752809</v>
      </c>
      <c r="CC393" s="591">
        <f>SUM(BY393:CB393)</f>
        <v>61.571242978961372</v>
      </c>
      <c r="CD393" s="602">
        <v>19.895730337078653</v>
      </c>
      <c r="CE393" s="602">
        <v>20.492602247191012</v>
      </c>
      <c r="CF393" s="602">
        <v>38.935944269662919</v>
      </c>
      <c r="CG393" s="602">
        <v>50.616727550561798</v>
      </c>
      <c r="CH393" s="542">
        <f>SUM(CD393:CG393)</f>
        <v>129.94100440449438</v>
      </c>
      <c r="CI393" s="602">
        <v>53.653731203595505</v>
      </c>
      <c r="CJ393" s="602">
        <v>60.628716260062916</v>
      </c>
      <c r="CK393" s="602">
        <v>53.353270308855365</v>
      </c>
      <c r="CL393" s="602">
        <v>55.487401121209579</v>
      </c>
      <c r="CM393" s="542">
        <f>SUM(CI393:CL393)</f>
        <v>223.12311889372339</v>
      </c>
      <c r="CN393" s="602">
        <v>61.03614123333054</v>
      </c>
      <c r="CO393" s="523">
        <f>CN393*(1+CO394)</f>
        <v>67.139755356663599</v>
      </c>
      <c r="CP393" s="523">
        <f>CO393*(1+CP394)</f>
        <v>77.210718660163138</v>
      </c>
      <c r="CQ393" s="523">
        <f>CP393*(1+CQ394)</f>
        <v>81.071254593171304</v>
      </c>
      <c r="CR393" s="542">
        <f>SUM(CN393:CQ393)</f>
        <v>286.45786984332858</v>
      </c>
      <c r="CS393" s="539"/>
      <c r="CT393" s="523"/>
      <c r="CU393" s="523"/>
      <c r="CV393" s="523"/>
      <c r="CW393" s="542"/>
      <c r="CX393" s="602"/>
      <c r="CY393" s="602"/>
      <c r="CZ393" s="602"/>
      <c r="DA393" s="602"/>
      <c r="DB393" s="542"/>
      <c r="DC393" s="602"/>
      <c r="DD393" s="602"/>
      <c r="DE393" s="602"/>
      <c r="DF393" s="602"/>
      <c r="DG393" s="542"/>
      <c r="DH393" s="602"/>
      <c r="DI393" s="602"/>
      <c r="DJ393" s="602"/>
      <c r="DK393" s="602"/>
      <c r="DL393" s="542"/>
      <c r="DM393" s="602"/>
      <c r="DN393" s="602"/>
      <c r="DO393" s="602"/>
      <c r="DP393" s="602"/>
      <c r="DQ393" s="542"/>
      <c r="DR393" s="602"/>
      <c r="DS393" s="602"/>
      <c r="DT393" s="602"/>
      <c r="DU393" s="602"/>
      <c r="DV393" s="542"/>
      <c r="DW393" s="879"/>
      <c r="DX393" s="879"/>
      <c r="DY393" s="879"/>
      <c r="DZ393" s="879"/>
      <c r="EA393" s="591"/>
      <c r="EB393" s="879"/>
      <c r="EC393" s="879"/>
      <c r="ED393" s="879"/>
      <c r="EE393" s="879"/>
      <c r="EF393" s="591"/>
      <c r="EG393" s="294"/>
      <c r="EH393" s="879"/>
      <c r="EI393" s="879"/>
      <c r="EJ393" s="879"/>
      <c r="EK393" s="591"/>
      <c r="EL393" s="879"/>
      <c r="EM393" s="879"/>
      <c r="EN393" s="879"/>
      <c r="EO393" s="879"/>
      <c r="EP393" s="591"/>
      <c r="EQ393" s="879"/>
      <c r="ER393" s="879"/>
      <c r="ES393" s="879"/>
      <c r="ET393" s="879"/>
      <c r="EU393" s="591"/>
      <c r="EV393" s="879"/>
      <c r="EW393" s="879"/>
      <c r="EX393" s="879"/>
      <c r="EY393" s="879"/>
      <c r="EZ393" s="591"/>
      <c r="FA393" s="879"/>
      <c r="FB393" s="879"/>
      <c r="FC393" s="879"/>
      <c r="FD393" s="879"/>
      <c r="FE393" s="591"/>
      <c r="FF393" s="879"/>
      <c r="FG393" s="879"/>
      <c r="FH393" s="879"/>
      <c r="FI393" s="879"/>
      <c r="FJ393" s="591"/>
      <c r="FK393" s="591"/>
      <c r="FL393" s="591"/>
      <c r="FM393" s="591"/>
      <c r="FN393" s="591"/>
      <c r="FO393" s="591"/>
      <c r="FP393" s="591"/>
      <c r="FQ393" s="591"/>
      <c r="FR393" s="591"/>
      <c r="FS393" s="591"/>
      <c r="FT393" s="591"/>
      <c r="FU393" s="591"/>
      <c r="FV393" s="591"/>
      <c r="FW393" s="591"/>
      <c r="FX393" s="591"/>
      <c r="FY393" s="591"/>
      <c r="FZ393" s="591"/>
      <c r="GA393" s="591"/>
      <c r="GB393" s="591"/>
      <c r="GC393" s="591"/>
      <c r="GD393" s="591"/>
      <c r="GE393" s="591"/>
      <c r="GF393" s="591"/>
      <c r="GG393" s="591"/>
      <c r="GH393" s="591"/>
      <c r="GI393" s="591"/>
      <c r="GJ393" s="591"/>
      <c r="GK393" s="591"/>
      <c r="GL393" s="591"/>
      <c r="GM393" s="591"/>
      <c r="GN393" s="591"/>
      <c r="GO393" s="591"/>
      <c r="GP393" s="591"/>
      <c r="GQ393" s="591"/>
      <c r="GR393" s="591"/>
      <c r="GS393" s="591"/>
      <c r="GT393" s="591"/>
      <c r="GU393" s="591"/>
      <c r="GV393" s="591"/>
      <c r="GW393" s="591"/>
      <c r="GX393" s="591"/>
      <c r="GY393" s="591"/>
      <c r="GZ393" s="591"/>
      <c r="HA393" s="591"/>
      <c r="HB393" s="591"/>
      <c r="HC393" s="591"/>
      <c r="HD393" s="591"/>
      <c r="HE393" s="591"/>
      <c r="HF393" s="591"/>
      <c r="HG393" s="591"/>
      <c r="HH393" s="591"/>
      <c r="HI393" s="591"/>
      <c r="HJ393" s="591"/>
      <c r="HK393" s="591"/>
      <c r="HL393" s="591"/>
      <c r="HM393" s="591"/>
      <c r="HN393" s="591"/>
      <c r="HO393" s="591"/>
      <c r="HP393" s="696"/>
      <c r="HQ393" s="602"/>
      <c r="HR393" s="696"/>
      <c r="HS393" s="671"/>
      <c r="HY393" s="509"/>
      <c r="HZ393" s="509"/>
      <c r="IA393" s="509"/>
      <c r="IB393" s="509"/>
    </row>
    <row r="394" spans="1:236" s="563" customFormat="1" hidden="1" outlineLevel="3">
      <c r="A394" s="509" t="s">
        <v>488</v>
      </c>
      <c r="B394" s="509"/>
      <c r="C394" s="509"/>
      <c r="D394" s="509"/>
      <c r="E394" s="509"/>
      <c r="F394" s="509"/>
      <c r="G394" s="509"/>
      <c r="H394" s="509"/>
      <c r="I394" s="509"/>
      <c r="J394" s="509"/>
      <c r="K394" s="509"/>
      <c r="L394" s="523"/>
      <c r="M394" s="523"/>
      <c r="N394" s="523"/>
      <c r="O394" s="523"/>
      <c r="P394" s="524"/>
      <c r="Q394" s="619"/>
      <c r="R394" s="619"/>
      <c r="S394" s="619"/>
      <c r="T394" s="619"/>
      <c r="U394" s="541"/>
      <c r="V394" s="619"/>
      <c r="W394" s="619"/>
      <c r="X394" s="619"/>
      <c r="Y394" s="619"/>
      <c r="Z394" s="541"/>
      <c r="AA394" s="619"/>
      <c r="AB394" s="619"/>
      <c r="AC394" s="619"/>
      <c r="AD394" s="619"/>
      <c r="AE394" s="541"/>
      <c r="AF394" s="523"/>
      <c r="AG394" s="523"/>
      <c r="AH394" s="523"/>
      <c r="AI394" s="523"/>
      <c r="AJ394" s="541"/>
      <c r="AK394" s="523"/>
      <c r="AL394" s="523"/>
      <c r="AM394" s="523"/>
      <c r="AN394" s="523"/>
      <c r="AO394" s="541"/>
      <c r="AP394" s="523"/>
      <c r="AQ394" s="523"/>
      <c r="AR394" s="523"/>
      <c r="AS394" s="523"/>
      <c r="AT394" s="541"/>
      <c r="AU394" s="523"/>
      <c r="AV394" s="523"/>
      <c r="AW394" s="523"/>
      <c r="AX394" s="523"/>
      <c r="AY394" s="541"/>
      <c r="AZ394" s="523"/>
      <c r="BA394" s="523"/>
      <c r="BB394" s="523"/>
      <c r="BC394" s="523"/>
      <c r="BD394" s="541"/>
      <c r="BE394" s="523"/>
      <c r="BF394" s="523"/>
      <c r="BG394" s="523"/>
      <c r="BH394" s="523"/>
      <c r="BI394" s="541"/>
      <c r="BJ394" s="523"/>
      <c r="BK394" s="523"/>
      <c r="BL394" s="523"/>
      <c r="BM394" s="523"/>
      <c r="BN394" s="541"/>
      <c r="BO394" s="541"/>
      <c r="BP394" s="342"/>
      <c r="BQ394" s="342"/>
      <c r="BR394" s="342"/>
      <c r="BS394" s="541"/>
      <c r="BT394" s="340" t="e">
        <f>(BT393/BR393)-1</f>
        <v>#DIV/0!</v>
      </c>
      <c r="BU394" s="340">
        <f>(BU393/BT393)-1</f>
        <v>-4.8897594323580207E-2</v>
      </c>
      <c r="BV394" s="340">
        <f>(BV393/BU393)-1</f>
        <v>-3.3888245610789958E-2</v>
      </c>
      <c r="BW394" s="340">
        <f>(BW393/BV393)-1</f>
        <v>0.23346243702005864</v>
      </c>
      <c r="BX394" s="648" t="s">
        <v>199</v>
      </c>
      <c r="BY394" s="340">
        <f>(BY393/BW393)-1</f>
        <v>0.19529340131281847</v>
      </c>
      <c r="BZ394" s="340">
        <f>(BZ393/BY393)-1</f>
        <v>4.2836117196056955E-2</v>
      </c>
      <c r="CA394" s="340">
        <f>(CA393/BZ393)-1</f>
        <v>0.16595155709342557</v>
      </c>
      <c r="CB394" s="340">
        <f>(CB393/CA393)-1</f>
        <v>0.24275211541129127</v>
      </c>
      <c r="CC394" s="648" t="s">
        <v>199</v>
      </c>
      <c r="CD394" s="340">
        <f>(CD393/CB393)-1</f>
        <v>2.0000000000000018E-2</v>
      </c>
      <c r="CE394" s="340">
        <f>(CE393/CD393)-1</f>
        <v>3.0000000000000027E-2</v>
      </c>
      <c r="CF394" s="340">
        <f>(CF393/CE393)-1</f>
        <v>0.89999999999999969</v>
      </c>
      <c r="CG394" s="340">
        <f>(CG393/CF393)-1</f>
        <v>0.30000000000000004</v>
      </c>
      <c r="CH394" s="648" t="s">
        <v>199</v>
      </c>
      <c r="CI394" s="340">
        <f>(CI393/CG393)-1</f>
        <v>6.0000000000000053E-2</v>
      </c>
      <c r="CJ394" s="340">
        <f>(CJ393/CI393)-1</f>
        <v>0.12999999999999989</v>
      </c>
      <c r="CK394" s="340">
        <f>(CK393/CJ393)-1</f>
        <v>-0.12</v>
      </c>
      <c r="CL394" s="340">
        <f>(CL393/CK393)-1</f>
        <v>4.0000000000000036E-2</v>
      </c>
      <c r="CM394" s="648" t="s">
        <v>199</v>
      </c>
      <c r="CN394" s="340">
        <f>(CN393/CL393)-1</f>
        <v>0.10000000000000009</v>
      </c>
      <c r="CO394" s="673">
        <v>0.1</v>
      </c>
      <c r="CP394" s="673">
        <v>0.15</v>
      </c>
      <c r="CQ394" s="673">
        <v>0.05</v>
      </c>
      <c r="CR394" s="648" t="s">
        <v>199</v>
      </c>
      <c r="CS394" s="673"/>
      <c r="CT394" s="673"/>
      <c r="CU394" s="673"/>
      <c r="CV394" s="673"/>
      <c r="CW394" s="541"/>
      <c r="CX394" s="673"/>
      <c r="CY394" s="673"/>
      <c r="CZ394" s="673"/>
      <c r="DA394" s="673"/>
      <c r="DB394" s="541"/>
      <c r="DC394" s="673"/>
      <c r="DD394" s="673"/>
      <c r="DE394" s="673"/>
      <c r="DF394" s="673"/>
      <c r="DG394" s="541"/>
      <c r="DH394" s="673"/>
      <c r="DI394" s="673"/>
      <c r="DJ394" s="673"/>
      <c r="DK394" s="673"/>
      <c r="DL394" s="541"/>
      <c r="DM394" s="673"/>
      <c r="DN394" s="673"/>
      <c r="DO394" s="673"/>
      <c r="DP394" s="673"/>
      <c r="DQ394" s="541"/>
      <c r="DR394" s="673"/>
      <c r="DS394" s="673"/>
      <c r="DT394" s="673"/>
      <c r="DU394" s="673"/>
      <c r="DV394" s="541"/>
      <c r="DW394" s="880"/>
      <c r="DX394" s="880"/>
      <c r="DY394" s="880"/>
      <c r="DZ394" s="880"/>
      <c r="EA394" s="541"/>
      <c r="EB394" s="880"/>
      <c r="EC394" s="880"/>
      <c r="ED394" s="880"/>
      <c r="EE394" s="880"/>
      <c r="EF394" s="541"/>
      <c r="EG394" s="880"/>
      <c r="EH394" s="880"/>
      <c r="EI394" s="880"/>
      <c r="EJ394" s="880"/>
      <c r="EK394" s="541"/>
      <c r="EL394" s="880"/>
      <c r="EM394" s="880"/>
      <c r="EN394" s="880"/>
      <c r="EO394" s="880"/>
      <c r="EP394" s="541"/>
      <c r="EQ394" s="880"/>
      <c r="ER394" s="880"/>
      <c r="ES394" s="880"/>
      <c r="ET394" s="880"/>
      <c r="EU394" s="541"/>
      <c r="EV394" s="880"/>
      <c r="EW394" s="880"/>
      <c r="EX394" s="880"/>
      <c r="EY394" s="880"/>
      <c r="EZ394" s="541"/>
      <c r="FA394" s="880"/>
      <c r="FB394" s="880"/>
      <c r="FC394" s="880"/>
      <c r="FD394" s="880"/>
      <c r="FE394" s="541"/>
      <c r="FF394" s="880"/>
      <c r="FG394" s="880"/>
      <c r="FH394" s="880"/>
      <c r="FI394" s="880"/>
      <c r="FJ394" s="541"/>
      <c r="FK394" s="541"/>
      <c r="FL394" s="541"/>
      <c r="FM394" s="541"/>
      <c r="FN394" s="541"/>
      <c r="FO394" s="541"/>
      <c r="FP394" s="541"/>
      <c r="FQ394" s="541"/>
      <c r="FR394" s="541"/>
      <c r="FS394" s="541"/>
      <c r="FT394" s="541"/>
      <c r="FU394" s="541"/>
      <c r="FV394" s="541"/>
      <c r="FW394" s="541"/>
      <c r="FX394" s="541"/>
      <c r="FY394" s="541"/>
      <c r="FZ394" s="541"/>
      <c r="GA394" s="541"/>
      <c r="GB394" s="541"/>
      <c r="GC394" s="541"/>
      <c r="GD394" s="541"/>
      <c r="GE394" s="541"/>
      <c r="GF394" s="541"/>
      <c r="GG394" s="541"/>
      <c r="GH394" s="541"/>
      <c r="GI394" s="541"/>
      <c r="GJ394" s="541"/>
      <c r="GK394" s="541"/>
      <c r="GL394" s="541"/>
      <c r="GM394" s="541"/>
      <c r="GN394" s="541"/>
      <c r="GO394" s="541"/>
      <c r="GP394" s="541"/>
      <c r="GQ394" s="541"/>
      <c r="GR394" s="541"/>
      <c r="GS394" s="541"/>
      <c r="GT394" s="541"/>
      <c r="GU394" s="541"/>
      <c r="GV394" s="541"/>
      <c r="GW394" s="541"/>
      <c r="GX394" s="541"/>
      <c r="GY394" s="541"/>
      <c r="GZ394" s="541"/>
      <c r="HA394" s="541"/>
      <c r="HB394" s="541"/>
      <c r="HC394" s="541"/>
      <c r="HD394" s="541"/>
      <c r="HE394" s="541"/>
      <c r="HF394" s="541"/>
      <c r="HG394" s="541"/>
      <c r="HH394" s="541"/>
      <c r="HI394" s="541"/>
      <c r="HJ394" s="541"/>
      <c r="HK394" s="541"/>
      <c r="HL394" s="541"/>
      <c r="HM394" s="541"/>
      <c r="HN394" s="541"/>
      <c r="HO394" s="541"/>
      <c r="HP394" s="676"/>
      <c r="HQ394" s="672"/>
      <c r="HR394" s="676"/>
      <c r="HS394" s="745"/>
      <c r="HY394" s="509"/>
      <c r="HZ394" s="509"/>
      <c r="IA394" s="509"/>
      <c r="IB394" s="509"/>
    </row>
    <row r="395" spans="1:236" s="563" customFormat="1" hidden="1" outlineLevel="3">
      <c r="A395" s="509" t="s">
        <v>489</v>
      </c>
      <c r="B395" s="509"/>
      <c r="C395" s="509"/>
      <c r="D395" s="509"/>
      <c r="E395" s="509"/>
      <c r="F395" s="509"/>
      <c r="G395" s="509"/>
      <c r="H395" s="509"/>
      <c r="I395" s="509"/>
      <c r="J395" s="509"/>
      <c r="K395" s="509"/>
      <c r="L395" s="523"/>
      <c r="M395" s="523"/>
      <c r="N395" s="523"/>
      <c r="O395" s="523"/>
      <c r="P395" s="524"/>
      <c r="Q395" s="619"/>
      <c r="R395" s="619"/>
      <c r="S395" s="619"/>
      <c r="T395" s="619"/>
      <c r="U395" s="541"/>
      <c r="V395" s="619"/>
      <c r="W395" s="619"/>
      <c r="X395" s="619"/>
      <c r="Y395" s="619"/>
      <c r="Z395" s="541"/>
      <c r="AA395" s="619"/>
      <c r="AB395" s="619"/>
      <c r="AC395" s="619"/>
      <c r="AD395" s="619"/>
      <c r="AE395" s="541"/>
      <c r="AF395" s="523"/>
      <c r="AG395" s="523"/>
      <c r="AH395" s="523"/>
      <c r="AI395" s="523"/>
      <c r="AJ395" s="541"/>
      <c r="AK395" s="523"/>
      <c r="AL395" s="523"/>
      <c r="AM395" s="523"/>
      <c r="AN395" s="523"/>
      <c r="AO395" s="541"/>
      <c r="AP395" s="523"/>
      <c r="AQ395" s="523"/>
      <c r="AR395" s="523"/>
      <c r="AS395" s="523"/>
      <c r="AT395" s="541"/>
      <c r="AU395" s="523"/>
      <c r="AV395" s="523"/>
      <c r="AW395" s="523"/>
      <c r="AX395" s="523"/>
      <c r="AY395" s="541"/>
      <c r="AZ395" s="523"/>
      <c r="BA395" s="523"/>
      <c r="BB395" s="523"/>
      <c r="BC395" s="523"/>
      <c r="BD395" s="541"/>
      <c r="BE395" s="523"/>
      <c r="BF395" s="523"/>
      <c r="BG395" s="523"/>
      <c r="BH395" s="523"/>
      <c r="BI395" s="541"/>
      <c r="BJ395" s="523"/>
      <c r="BK395" s="523"/>
      <c r="BL395" s="523"/>
      <c r="BM395" s="523"/>
      <c r="BN395" s="541"/>
      <c r="BO395" s="541"/>
      <c r="BP395" s="541"/>
      <c r="BQ395" s="541"/>
      <c r="BR395" s="541"/>
      <c r="BS395" s="541"/>
      <c r="BT395" s="340" t="e">
        <f t="shared" ref="BT395:CR395" si="305">(BT393/BO393)-1</f>
        <v>#DIV/0!</v>
      </c>
      <c r="BU395" s="340" t="e">
        <f t="shared" si="305"/>
        <v>#DIV/0!</v>
      </c>
      <c r="BV395" s="340" t="e">
        <f t="shared" si="305"/>
        <v>#DIV/0!</v>
      </c>
      <c r="BW395" s="340" t="e">
        <f t="shared" si="305"/>
        <v>#DIV/0!</v>
      </c>
      <c r="BX395" s="321" t="e">
        <f t="shared" si="305"/>
        <v>#DIV/0!</v>
      </c>
      <c r="BY395" s="340">
        <f t="shared" si="305"/>
        <v>0.3547373253444952</v>
      </c>
      <c r="BZ395" s="340">
        <f t="shared" si="305"/>
        <v>0.48540157584615673</v>
      </c>
      <c r="CA395" s="340">
        <f t="shared" si="305"/>
        <v>0.79265625575769039</v>
      </c>
      <c r="CB395" s="340">
        <f t="shared" si="305"/>
        <v>0.80615743713314703</v>
      </c>
      <c r="CC395" s="321">
        <f t="shared" si="305"/>
        <v>0.61409468625735442</v>
      </c>
      <c r="CD395" s="340">
        <f t="shared" si="305"/>
        <v>0.5412789728884897</v>
      </c>
      <c r="CE395" s="340">
        <f t="shared" si="305"/>
        <v>0.52230759550561801</v>
      </c>
      <c r="CF395" s="340">
        <f t="shared" si="305"/>
        <v>1.4807072076570948</v>
      </c>
      <c r="CG395" s="340">
        <f t="shared" si="305"/>
        <v>1.5949819999999999</v>
      </c>
      <c r="CH395" s="321">
        <f t="shared" si="305"/>
        <v>1.1104171057403316</v>
      </c>
      <c r="CI395" s="340">
        <f t="shared" si="305"/>
        <v>1.6967459999999996</v>
      </c>
      <c r="CJ395" s="340">
        <f t="shared" si="305"/>
        <v>1.9585659999999994</v>
      </c>
      <c r="CK395" s="340">
        <f t="shared" si="305"/>
        <v>0.37028320000000003</v>
      </c>
      <c r="CL395" s="340">
        <f t="shared" si="305"/>
        <v>9.622655999999985E-2</v>
      </c>
      <c r="CM395" s="871">
        <f t="shared" si="305"/>
        <v>0.71711092981212965</v>
      </c>
      <c r="CN395" s="340">
        <f t="shared" si="305"/>
        <v>0.13759359999999998</v>
      </c>
      <c r="CO395" s="340">
        <f t="shared" si="305"/>
        <v>0.10739200000000015</v>
      </c>
      <c r="CP395" s="340">
        <f t="shared" si="305"/>
        <v>0.44716000000000022</v>
      </c>
      <c r="CQ395" s="340">
        <f t="shared" si="305"/>
        <v>0.46107500000000035</v>
      </c>
      <c r="CR395" s="871">
        <f t="shared" si="305"/>
        <v>0.28385561865407771</v>
      </c>
      <c r="CS395" s="342"/>
      <c r="CT395" s="342"/>
      <c r="CU395" s="342"/>
      <c r="CV395" s="342"/>
      <c r="CW395" s="871"/>
      <c r="CX395" s="342"/>
      <c r="CY395" s="342"/>
      <c r="CZ395" s="342"/>
      <c r="DA395" s="342"/>
      <c r="DB395" s="871"/>
      <c r="DC395" s="342"/>
      <c r="DD395" s="342"/>
      <c r="DE395" s="342"/>
      <c r="DF395" s="342"/>
      <c r="DG395" s="871"/>
      <c r="DH395" s="342"/>
      <c r="DI395" s="342"/>
      <c r="DJ395" s="342"/>
      <c r="DK395" s="342"/>
      <c r="DL395" s="871"/>
      <c r="DM395" s="342"/>
      <c r="DN395" s="342"/>
      <c r="DO395" s="342"/>
      <c r="DP395" s="342"/>
      <c r="DQ395" s="871"/>
      <c r="DR395" s="342"/>
      <c r="DS395" s="342"/>
      <c r="DT395" s="342"/>
      <c r="DU395" s="342"/>
      <c r="DV395" s="871"/>
      <c r="DW395" s="881"/>
      <c r="DX395" s="881"/>
      <c r="DY395" s="881"/>
      <c r="DZ395" s="881"/>
      <c r="EA395" s="366"/>
      <c r="EB395" s="881"/>
      <c r="EC395" s="881"/>
      <c r="ED395" s="881"/>
      <c r="EE395" s="881"/>
      <c r="EF395" s="366"/>
      <c r="EG395" s="881"/>
      <c r="EH395" s="881"/>
      <c r="EI395" s="881"/>
      <c r="EJ395" s="881"/>
      <c r="EK395" s="366"/>
      <c r="EL395" s="881"/>
      <c r="EM395" s="881"/>
      <c r="EN395" s="881"/>
      <c r="EO395" s="881"/>
      <c r="EP395" s="366"/>
      <c r="EQ395" s="881"/>
      <c r="ER395" s="881"/>
      <c r="ES395" s="881"/>
      <c r="ET395" s="881"/>
      <c r="EU395" s="366"/>
      <c r="EV395" s="881"/>
      <c r="EW395" s="881"/>
      <c r="EX395" s="881"/>
      <c r="EY395" s="881"/>
      <c r="EZ395" s="366"/>
      <c r="FA395" s="881"/>
      <c r="FB395" s="881"/>
      <c r="FC395" s="881"/>
      <c r="FD395" s="881"/>
      <c r="FE395" s="366"/>
      <c r="FF395" s="881"/>
      <c r="FG395" s="881"/>
      <c r="FH395" s="881"/>
      <c r="FI395" s="881"/>
      <c r="FJ395" s="366"/>
      <c r="FK395" s="366"/>
      <c r="FL395" s="366"/>
      <c r="FM395" s="366"/>
      <c r="FN395" s="366"/>
      <c r="FO395" s="366"/>
      <c r="FP395" s="366"/>
      <c r="FQ395" s="366"/>
      <c r="FR395" s="366"/>
      <c r="FS395" s="882"/>
      <c r="FT395" s="366"/>
      <c r="FU395" s="366"/>
      <c r="FV395" s="366"/>
      <c r="FW395" s="366"/>
      <c r="FX395" s="366"/>
      <c r="FY395" s="366"/>
      <c r="FZ395" s="366"/>
      <c r="GA395" s="366"/>
      <c r="GB395" s="366"/>
      <c r="GC395" s="366"/>
      <c r="GD395" s="366"/>
      <c r="GE395" s="366"/>
      <c r="GF395" s="366"/>
      <c r="GG395" s="366"/>
      <c r="GH395" s="366"/>
      <c r="GI395" s="366"/>
      <c r="GJ395" s="366"/>
      <c r="GK395" s="366"/>
      <c r="GL395" s="366"/>
      <c r="GM395" s="366"/>
      <c r="GN395" s="366"/>
      <c r="GO395" s="366"/>
      <c r="GP395" s="366"/>
      <c r="GQ395" s="366"/>
      <c r="GR395" s="366"/>
      <c r="GS395" s="366"/>
      <c r="GT395" s="366"/>
      <c r="GU395" s="366"/>
      <c r="GV395" s="366"/>
      <c r="GW395" s="366"/>
      <c r="GX395" s="366"/>
      <c r="GY395" s="366"/>
      <c r="GZ395" s="366"/>
      <c r="HA395" s="366"/>
      <c r="HB395" s="366"/>
      <c r="HC395" s="366"/>
      <c r="HD395" s="366"/>
      <c r="HE395" s="366"/>
      <c r="HF395" s="366"/>
      <c r="HG395" s="366"/>
      <c r="HH395" s="366"/>
      <c r="HI395" s="366"/>
      <c r="HJ395" s="366"/>
      <c r="HK395" s="366"/>
      <c r="HL395" s="366"/>
      <c r="HM395" s="366"/>
      <c r="HN395" s="366"/>
      <c r="HO395" s="367"/>
      <c r="HP395" s="293"/>
      <c r="HQ395" s="342"/>
      <c r="HR395" s="293"/>
      <c r="HS395" s="353"/>
      <c r="HY395" s="509"/>
      <c r="HZ395" s="509"/>
      <c r="IA395" s="509"/>
      <c r="IB395" s="509"/>
    </row>
    <row r="396" spans="1:236" s="563" customFormat="1" hidden="1" outlineLevel="3">
      <c r="A396" s="878" t="s">
        <v>559</v>
      </c>
      <c r="B396" s="608"/>
      <c r="C396" s="608"/>
      <c r="D396" s="608"/>
      <c r="E396" s="608"/>
      <c r="F396" s="608"/>
      <c r="G396" s="608"/>
      <c r="H396" s="608"/>
      <c r="I396" s="608"/>
      <c r="J396" s="608"/>
      <c r="K396" s="608"/>
      <c r="L396" s="609"/>
      <c r="M396" s="609"/>
      <c r="N396" s="609"/>
      <c r="O396" s="609"/>
      <c r="P396" s="678"/>
      <c r="Q396" s="679"/>
      <c r="R396" s="679"/>
      <c r="S396" s="679"/>
      <c r="T396" s="679"/>
      <c r="U396" s="680"/>
      <c r="V396" s="679"/>
      <c r="W396" s="679"/>
      <c r="X396" s="679"/>
      <c r="Y396" s="679"/>
      <c r="Z396" s="680"/>
      <c r="AA396" s="679"/>
      <c r="AB396" s="679"/>
      <c r="AC396" s="679"/>
      <c r="AD396" s="679"/>
      <c r="AE396" s="680"/>
      <c r="AF396" s="609"/>
      <c r="AG396" s="609"/>
      <c r="AH396" s="609"/>
      <c r="AI396" s="609"/>
      <c r="AJ396" s="680"/>
      <c r="AK396" s="609"/>
      <c r="AL396" s="609"/>
      <c r="AM396" s="609"/>
      <c r="AN396" s="609"/>
      <c r="AO396" s="680"/>
      <c r="AP396" s="609"/>
      <c r="AQ396" s="609"/>
      <c r="AR396" s="609"/>
      <c r="AS396" s="609"/>
      <c r="AT396" s="680"/>
      <c r="AU396" s="609"/>
      <c r="AV396" s="609"/>
      <c r="AW396" s="609"/>
      <c r="AX396" s="609"/>
      <c r="AY396" s="680"/>
      <c r="AZ396" s="609"/>
      <c r="BA396" s="609"/>
      <c r="BB396" s="609"/>
      <c r="BC396" s="609"/>
      <c r="BD396" s="680"/>
      <c r="BE396" s="609"/>
      <c r="BF396" s="609"/>
      <c r="BG396" s="609"/>
      <c r="BH396" s="609"/>
      <c r="BI396" s="680"/>
      <c r="BJ396" s="609"/>
      <c r="BK396" s="609"/>
      <c r="BL396" s="609"/>
      <c r="BM396" s="609"/>
      <c r="BN396" s="680"/>
      <c r="BO396" s="609"/>
      <c r="BP396" s="609"/>
      <c r="BQ396" s="609"/>
      <c r="BR396" s="609"/>
      <c r="BS396" s="678"/>
      <c r="BT396" s="609">
        <f t="shared" ref="BT396:CN396" si="306">BT399/BT393</f>
        <v>43.133856183387614</v>
      </c>
      <c r="BU396" s="609">
        <f t="shared" si="306"/>
        <v>34.868740991862929</v>
      </c>
      <c r="BV396" s="609">
        <f t="shared" si="306"/>
        <v>23.985076755276506</v>
      </c>
      <c r="BW396" s="609">
        <f t="shared" si="306"/>
        <v>18.14896908603146</v>
      </c>
      <c r="BX396" s="524">
        <f t="shared" si="306"/>
        <v>29.701678755364174</v>
      </c>
      <c r="BY396" s="609">
        <f t="shared" si="306"/>
        <v>12.39485213581599</v>
      </c>
      <c r="BZ396" s="609">
        <f t="shared" si="306"/>
        <v>13</v>
      </c>
      <c r="CA396" s="609">
        <f t="shared" si="306"/>
        <v>12.041666666666666</v>
      </c>
      <c r="CB396" s="609">
        <f t="shared" si="306"/>
        <v>11.125</v>
      </c>
      <c r="CC396" s="524">
        <f t="shared" si="306"/>
        <v>12.034839060390523</v>
      </c>
      <c r="CD396" s="609">
        <f t="shared" si="306"/>
        <v>10.95712478539803</v>
      </c>
      <c r="CE396" s="609">
        <f t="shared" si="306"/>
        <v>10.296398546891352</v>
      </c>
      <c r="CF396" s="609">
        <f t="shared" si="306"/>
        <v>10.889680678178932</v>
      </c>
      <c r="CG396" s="609">
        <f t="shared" si="306"/>
        <v>11.18207413615616</v>
      </c>
      <c r="CH396" s="524">
        <f t="shared" si="306"/>
        <v>10.920340399884733</v>
      </c>
      <c r="CI396" s="609">
        <f t="shared" si="306"/>
        <v>11.704684574815101</v>
      </c>
      <c r="CJ396" s="609">
        <f t="shared" si="306"/>
        <v>11.100350485951418</v>
      </c>
      <c r="CK396" s="609">
        <f t="shared" si="306"/>
        <v>10.083730517090812</v>
      </c>
      <c r="CL396" s="609">
        <f t="shared" si="306"/>
        <v>9.0831430165387648</v>
      </c>
      <c r="CM396" s="524">
        <f t="shared" si="306"/>
        <v>10.500928866613787</v>
      </c>
      <c r="CN396" s="523">
        <f t="shared" si="306"/>
        <v>7.3235298131183759</v>
      </c>
      <c r="CO396" s="523">
        <f>CN396*(1+CO397)</f>
        <v>6.884118024331273</v>
      </c>
      <c r="CP396" s="523">
        <f>CO396*(1+CP397)</f>
        <v>6.677594483601335</v>
      </c>
      <c r="CQ396" s="523">
        <f>CP396*(1+CQ397)</f>
        <v>6.0098350352412018</v>
      </c>
      <c r="CR396" s="524">
        <f>CR399/CR393</f>
        <v>6.6746455115746208</v>
      </c>
      <c r="CS396" s="523"/>
      <c r="CT396" s="523"/>
      <c r="CU396" s="523"/>
      <c r="CV396" s="523"/>
      <c r="CW396" s="524"/>
      <c r="CX396" s="523"/>
      <c r="CY396" s="523"/>
      <c r="CZ396" s="523"/>
      <c r="DA396" s="523"/>
      <c r="DB396" s="524"/>
      <c r="DC396" s="523"/>
      <c r="DD396" s="523"/>
      <c r="DE396" s="523"/>
      <c r="DF396" s="523"/>
      <c r="DG396" s="524"/>
      <c r="DH396" s="523"/>
      <c r="DI396" s="523"/>
      <c r="DJ396" s="523"/>
      <c r="DK396" s="523"/>
      <c r="DL396" s="524"/>
      <c r="DM396" s="523"/>
      <c r="DN396" s="523"/>
      <c r="DO396" s="523"/>
      <c r="DP396" s="523"/>
      <c r="DQ396" s="524"/>
      <c r="DR396" s="523"/>
      <c r="DS396" s="523"/>
      <c r="DT396" s="523"/>
      <c r="DU396" s="523"/>
      <c r="DV396" s="524"/>
      <c r="DW396" s="619"/>
      <c r="DX396" s="619"/>
      <c r="DY396" s="619"/>
      <c r="DZ396" s="619"/>
      <c r="EA396" s="541"/>
      <c r="EB396" s="619"/>
      <c r="EC396" s="619"/>
      <c r="ED396" s="619"/>
      <c r="EE396" s="619"/>
      <c r="EF396" s="541"/>
      <c r="EG396" s="619"/>
      <c r="EH396" s="619"/>
      <c r="EI396" s="619"/>
      <c r="EJ396" s="619"/>
      <c r="EK396" s="541"/>
      <c r="EL396" s="619"/>
      <c r="EM396" s="619"/>
      <c r="EN396" s="619"/>
      <c r="EO396" s="619"/>
      <c r="EP396" s="541"/>
      <c r="EQ396" s="619"/>
      <c r="ER396" s="619"/>
      <c r="ES396" s="619"/>
      <c r="ET396" s="619"/>
      <c r="EU396" s="541"/>
      <c r="EV396" s="619"/>
      <c r="EW396" s="619"/>
      <c r="EX396" s="619"/>
      <c r="EY396" s="619"/>
      <c r="EZ396" s="541"/>
      <c r="FA396" s="619"/>
      <c r="FB396" s="619"/>
      <c r="FC396" s="619"/>
      <c r="FD396" s="619"/>
      <c r="FE396" s="541"/>
      <c r="FF396" s="619"/>
      <c r="FG396" s="619"/>
      <c r="FH396" s="619"/>
      <c r="FI396" s="619"/>
      <c r="FJ396" s="541"/>
      <c r="FK396" s="541"/>
      <c r="FL396" s="541"/>
      <c r="FM396" s="541"/>
      <c r="FN396" s="541"/>
      <c r="FO396" s="541"/>
      <c r="FP396" s="541"/>
      <c r="FQ396" s="541"/>
      <c r="FR396" s="541"/>
      <c r="FS396" s="541"/>
      <c r="FT396" s="541"/>
      <c r="FU396" s="541"/>
      <c r="FV396" s="541"/>
      <c r="FW396" s="541"/>
      <c r="FX396" s="541"/>
      <c r="FY396" s="541"/>
      <c r="FZ396" s="541"/>
      <c r="GA396" s="541"/>
      <c r="GB396" s="541"/>
      <c r="GC396" s="541"/>
      <c r="GD396" s="541"/>
      <c r="GE396" s="541"/>
      <c r="GF396" s="541"/>
      <c r="GG396" s="541"/>
      <c r="GH396" s="541"/>
      <c r="GI396" s="541"/>
      <c r="GJ396" s="541"/>
      <c r="GK396" s="541"/>
      <c r="GL396" s="541"/>
      <c r="GM396" s="541"/>
      <c r="GN396" s="541"/>
      <c r="GO396" s="541"/>
      <c r="GP396" s="541"/>
      <c r="GQ396" s="541"/>
      <c r="GR396" s="541"/>
      <c r="GS396" s="541"/>
      <c r="GT396" s="541"/>
      <c r="GU396" s="541"/>
      <c r="GV396" s="541"/>
      <c r="GW396" s="541"/>
      <c r="GX396" s="541"/>
      <c r="GY396" s="541"/>
      <c r="GZ396" s="541"/>
      <c r="HA396" s="541"/>
      <c r="HB396" s="541"/>
      <c r="HC396" s="541"/>
      <c r="HD396" s="541"/>
      <c r="HE396" s="541"/>
      <c r="HF396" s="541"/>
      <c r="HG396" s="541"/>
      <c r="HH396" s="541"/>
      <c r="HI396" s="541"/>
      <c r="HJ396" s="541"/>
      <c r="HK396" s="541"/>
      <c r="HL396" s="541"/>
      <c r="HM396" s="541"/>
      <c r="HN396" s="541"/>
      <c r="HO396" s="541"/>
      <c r="HP396" s="606"/>
      <c r="HQ396" s="523"/>
      <c r="HR396" s="606"/>
      <c r="HS396" s="671"/>
      <c r="HY396" s="509"/>
      <c r="HZ396" s="509"/>
      <c r="IA396" s="509"/>
      <c r="IB396" s="509"/>
    </row>
    <row r="397" spans="1:236" s="563" customFormat="1" hidden="1" outlineLevel="3">
      <c r="A397" s="509" t="s">
        <v>488</v>
      </c>
      <c r="B397" s="608"/>
      <c r="C397" s="608"/>
      <c r="D397" s="608"/>
      <c r="E397" s="608"/>
      <c r="F397" s="608"/>
      <c r="G397" s="608"/>
      <c r="H397" s="608"/>
      <c r="I397" s="608"/>
      <c r="J397" s="608"/>
      <c r="K397" s="608"/>
      <c r="L397" s="609"/>
      <c r="M397" s="609"/>
      <c r="N397" s="609"/>
      <c r="O397" s="609"/>
      <c r="P397" s="678"/>
      <c r="Q397" s="679"/>
      <c r="R397" s="679"/>
      <c r="S397" s="679"/>
      <c r="T397" s="679"/>
      <c r="U397" s="680"/>
      <c r="V397" s="679"/>
      <c r="W397" s="679"/>
      <c r="X397" s="679"/>
      <c r="Y397" s="679"/>
      <c r="Z397" s="680"/>
      <c r="AA397" s="679"/>
      <c r="AB397" s="679"/>
      <c r="AC397" s="679"/>
      <c r="AD397" s="679"/>
      <c r="AE397" s="680"/>
      <c r="AF397" s="609"/>
      <c r="AG397" s="609"/>
      <c r="AH397" s="609"/>
      <c r="AI397" s="609"/>
      <c r="AJ397" s="680"/>
      <c r="AK397" s="609"/>
      <c r="AL397" s="609"/>
      <c r="AM397" s="609"/>
      <c r="AN397" s="609"/>
      <c r="AO397" s="680"/>
      <c r="AP397" s="609"/>
      <c r="AQ397" s="609"/>
      <c r="AR397" s="609"/>
      <c r="AS397" s="609"/>
      <c r="AT397" s="680"/>
      <c r="AU397" s="609"/>
      <c r="AV397" s="609"/>
      <c r="AW397" s="609"/>
      <c r="AX397" s="609"/>
      <c r="AY397" s="680"/>
      <c r="AZ397" s="609"/>
      <c r="BA397" s="609"/>
      <c r="BB397" s="609"/>
      <c r="BC397" s="609"/>
      <c r="BD397" s="680"/>
      <c r="BE397" s="609"/>
      <c r="BF397" s="609"/>
      <c r="BG397" s="609"/>
      <c r="BH397" s="609"/>
      <c r="BI397" s="680"/>
      <c r="BJ397" s="609"/>
      <c r="BK397" s="609"/>
      <c r="BL397" s="609"/>
      <c r="BM397" s="609"/>
      <c r="BN397" s="680"/>
      <c r="BO397" s="541"/>
      <c r="BP397" s="342"/>
      <c r="BQ397" s="342"/>
      <c r="BR397" s="342"/>
      <c r="BS397" s="541"/>
      <c r="BT397" s="340" t="e">
        <f>(BT396/BR396)-1</f>
        <v>#DIV/0!</v>
      </c>
      <c r="BU397" s="340">
        <f>(BU396/BT396)-1</f>
        <v>-0.19161549471451789</v>
      </c>
      <c r="BV397" s="340">
        <f>(BV396/BU396)-1</f>
        <v>-0.31213241221202304</v>
      </c>
      <c r="BW397" s="340">
        <f>(BW396/BV396)-1</f>
        <v>-0.24332245123881679</v>
      </c>
      <c r="BX397" s="648" t="s">
        <v>199</v>
      </c>
      <c r="BY397" s="340">
        <f>(BY396/BW396)-1</f>
        <v>-0.3170492452182414</v>
      </c>
      <c r="BZ397" s="340">
        <f>(BZ396/BY396)-1</f>
        <v>4.8822515795519994E-2</v>
      </c>
      <c r="CA397" s="340">
        <f>(CA396/BZ396)-1</f>
        <v>-7.3717948717948789E-2</v>
      </c>
      <c r="CB397" s="340">
        <f>(CB396/CA396)-1</f>
        <v>-7.6124567474048388E-2</v>
      </c>
      <c r="CC397" s="648" t="s">
        <v>199</v>
      </c>
      <c r="CD397" s="340">
        <f>(CD396/CB396)-1</f>
        <v>-1.5089906930514152E-2</v>
      </c>
      <c r="CE397" s="340">
        <f>(CE396/CD396)-1</f>
        <v>-6.0301059944776081E-2</v>
      </c>
      <c r="CF397" s="340">
        <f>(CF396/CE396)-1</f>
        <v>5.7620354203043345E-2</v>
      </c>
      <c r="CG397" s="340">
        <f>(CG396/CF396)-1</f>
        <v>2.6850507982583371E-2</v>
      </c>
      <c r="CH397" s="648" t="s">
        <v>199</v>
      </c>
      <c r="CI397" s="340">
        <f>(CI396/CG396)-1</f>
        <v>4.6736449096606236E-2</v>
      </c>
      <c r="CJ397" s="340">
        <f>(CJ396/CI396)-1</f>
        <v>-5.163181331379274E-2</v>
      </c>
      <c r="CK397" s="340">
        <f>(CK396/CJ396)-1</f>
        <v>-9.1584492773200132E-2</v>
      </c>
      <c r="CL397" s="340">
        <f>(CL396/CK396)-1</f>
        <v>-9.9227909636831479E-2</v>
      </c>
      <c r="CM397" s="648" t="s">
        <v>199</v>
      </c>
      <c r="CN397" s="340">
        <f>(CN396/CL396)-1</f>
        <v>-0.19372294372294374</v>
      </c>
      <c r="CO397" s="674">
        <v>-0.06</v>
      </c>
      <c r="CP397" s="674">
        <v>-0.03</v>
      </c>
      <c r="CQ397" s="674">
        <v>-0.1</v>
      </c>
      <c r="CR397" s="648" t="s">
        <v>199</v>
      </c>
      <c r="CS397" s="673"/>
      <c r="CT397" s="673"/>
      <c r="CU397" s="673"/>
      <c r="CV397" s="673"/>
      <c r="CW397" s="541"/>
      <c r="CX397" s="673"/>
      <c r="CY397" s="673"/>
      <c r="CZ397" s="673"/>
      <c r="DA397" s="673"/>
      <c r="DB397" s="541"/>
      <c r="DC397" s="673"/>
      <c r="DD397" s="673"/>
      <c r="DE397" s="673"/>
      <c r="DF397" s="673"/>
      <c r="DG397" s="541"/>
      <c r="DH397" s="673"/>
      <c r="DI397" s="673"/>
      <c r="DJ397" s="673"/>
      <c r="DK397" s="673"/>
      <c r="DL397" s="541"/>
      <c r="DM397" s="673"/>
      <c r="DN397" s="673"/>
      <c r="DO397" s="673"/>
      <c r="DP397" s="673"/>
      <c r="DQ397" s="541"/>
      <c r="DR397" s="673"/>
      <c r="DS397" s="673"/>
      <c r="DT397" s="673"/>
      <c r="DU397" s="673"/>
      <c r="DV397" s="541"/>
      <c r="DW397" s="880"/>
      <c r="DX397" s="880"/>
      <c r="DY397" s="880"/>
      <c r="DZ397" s="880"/>
      <c r="EA397" s="541"/>
      <c r="EB397" s="880"/>
      <c r="EC397" s="880"/>
      <c r="ED397" s="880"/>
      <c r="EE397" s="880"/>
      <c r="EF397" s="541"/>
      <c r="EG397" s="880"/>
      <c r="EH397" s="880"/>
      <c r="EI397" s="880"/>
      <c r="EJ397" s="880"/>
      <c r="EK397" s="541"/>
      <c r="EL397" s="880"/>
      <c r="EM397" s="880"/>
      <c r="EN397" s="880"/>
      <c r="EO397" s="880"/>
      <c r="EP397" s="541"/>
      <c r="EQ397" s="880"/>
      <c r="ER397" s="880"/>
      <c r="ES397" s="880"/>
      <c r="ET397" s="880"/>
      <c r="EU397" s="541"/>
      <c r="EV397" s="880"/>
      <c r="EW397" s="880"/>
      <c r="EX397" s="880"/>
      <c r="EY397" s="880"/>
      <c r="EZ397" s="541"/>
      <c r="FA397" s="880"/>
      <c r="FB397" s="880"/>
      <c r="FC397" s="880"/>
      <c r="FD397" s="880"/>
      <c r="FE397" s="541"/>
      <c r="FF397" s="880"/>
      <c r="FG397" s="880"/>
      <c r="FH397" s="880"/>
      <c r="FI397" s="880"/>
      <c r="FJ397" s="541"/>
      <c r="FK397" s="541"/>
      <c r="FL397" s="541"/>
      <c r="FM397" s="541"/>
      <c r="FN397" s="541"/>
      <c r="FO397" s="541"/>
      <c r="FP397" s="541"/>
      <c r="FQ397" s="541"/>
      <c r="FR397" s="541"/>
      <c r="FS397" s="541"/>
      <c r="FT397" s="541"/>
      <c r="FU397" s="541"/>
      <c r="FV397" s="541"/>
      <c r="FW397" s="541"/>
      <c r="FX397" s="541"/>
      <c r="FY397" s="541"/>
      <c r="FZ397" s="541"/>
      <c r="GA397" s="541"/>
      <c r="GB397" s="541"/>
      <c r="GC397" s="541"/>
      <c r="GD397" s="541"/>
      <c r="GE397" s="541"/>
      <c r="GF397" s="541"/>
      <c r="GG397" s="541"/>
      <c r="GH397" s="541"/>
      <c r="GI397" s="541"/>
      <c r="GJ397" s="541"/>
      <c r="GK397" s="541"/>
      <c r="GL397" s="541"/>
      <c r="GM397" s="541"/>
      <c r="GN397" s="541"/>
      <c r="GO397" s="541"/>
      <c r="GP397" s="541"/>
      <c r="GQ397" s="541"/>
      <c r="GR397" s="541"/>
      <c r="GS397" s="541"/>
      <c r="GT397" s="541"/>
      <c r="GU397" s="541"/>
      <c r="GV397" s="541"/>
      <c r="GW397" s="541"/>
      <c r="GX397" s="541"/>
      <c r="GY397" s="541"/>
      <c r="GZ397" s="541"/>
      <c r="HA397" s="541"/>
      <c r="HB397" s="541"/>
      <c r="HC397" s="541"/>
      <c r="HD397" s="541"/>
      <c r="HE397" s="541"/>
      <c r="HF397" s="541"/>
      <c r="HG397" s="541"/>
      <c r="HH397" s="541"/>
      <c r="HI397" s="541"/>
      <c r="HJ397" s="541"/>
      <c r="HK397" s="541"/>
      <c r="HL397" s="541"/>
      <c r="HM397" s="541"/>
      <c r="HN397" s="541"/>
      <c r="HO397" s="541"/>
      <c r="HP397" s="676"/>
      <c r="HQ397" s="672"/>
      <c r="HR397" s="676"/>
      <c r="HS397" s="745"/>
      <c r="HY397" s="509"/>
      <c r="HZ397" s="509"/>
      <c r="IA397" s="509"/>
      <c r="IB397" s="509"/>
    </row>
    <row r="398" spans="1:236" s="563" customFormat="1" hidden="1" outlineLevel="3">
      <c r="A398" s="509" t="s">
        <v>489</v>
      </c>
      <c r="B398" s="608"/>
      <c r="C398" s="608"/>
      <c r="D398" s="608"/>
      <c r="E398" s="608"/>
      <c r="F398" s="608"/>
      <c r="G398" s="608"/>
      <c r="H398" s="608"/>
      <c r="I398" s="608"/>
      <c r="J398" s="608"/>
      <c r="K398" s="608"/>
      <c r="L398" s="609"/>
      <c r="M398" s="609"/>
      <c r="N398" s="609"/>
      <c r="O398" s="609"/>
      <c r="P398" s="678"/>
      <c r="Q398" s="679"/>
      <c r="R398" s="679"/>
      <c r="S398" s="679"/>
      <c r="T398" s="679"/>
      <c r="U398" s="680"/>
      <c r="V398" s="679"/>
      <c r="W398" s="679"/>
      <c r="X398" s="679"/>
      <c r="Y398" s="679"/>
      <c r="Z398" s="680"/>
      <c r="AA398" s="679"/>
      <c r="AB398" s="679"/>
      <c r="AC398" s="679"/>
      <c r="AD398" s="679"/>
      <c r="AE398" s="680"/>
      <c r="AF398" s="609"/>
      <c r="AG398" s="609"/>
      <c r="AH398" s="609"/>
      <c r="AI398" s="609"/>
      <c r="AJ398" s="680"/>
      <c r="AK398" s="609"/>
      <c r="AL398" s="609"/>
      <c r="AM398" s="609"/>
      <c r="AN398" s="609"/>
      <c r="AO398" s="680"/>
      <c r="AP398" s="609"/>
      <c r="AQ398" s="609"/>
      <c r="AR398" s="609"/>
      <c r="AS398" s="609"/>
      <c r="AT398" s="680"/>
      <c r="AU398" s="609"/>
      <c r="AV398" s="609"/>
      <c r="AW398" s="609"/>
      <c r="AX398" s="609"/>
      <c r="AY398" s="680"/>
      <c r="AZ398" s="609"/>
      <c r="BA398" s="609"/>
      <c r="BB398" s="609"/>
      <c r="BC398" s="609"/>
      <c r="BD398" s="680"/>
      <c r="BE398" s="609"/>
      <c r="BF398" s="609"/>
      <c r="BG398" s="609"/>
      <c r="BH398" s="609"/>
      <c r="BI398" s="680"/>
      <c r="BJ398" s="609"/>
      <c r="BK398" s="609"/>
      <c r="BL398" s="609"/>
      <c r="BM398" s="609"/>
      <c r="BN398" s="680"/>
      <c r="BO398" s="541"/>
      <c r="BP398" s="541"/>
      <c r="BQ398" s="541"/>
      <c r="BR398" s="541"/>
      <c r="BS398" s="541"/>
      <c r="BT398" s="340" t="e">
        <f t="shared" ref="BT398:CR398" si="307">(BT396/BO396)-1</f>
        <v>#DIV/0!</v>
      </c>
      <c r="BU398" s="340" t="e">
        <f t="shared" si="307"/>
        <v>#DIV/0!</v>
      </c>
      <c r="BV398" s="340" t="e">
        <f t="shared" si="307"/>
        <v>#DIV/0!</v>
      </c>
      <c r="BW398" s="340" t="e">
        <f t="shared" si="307"/>
        <v>#DIV/0!</v>
      </c>
      <c r="BX398" s="321" t="e">
        <f t="shared" si="307"/>
        <v>#DIV/0!</v>
      </c>
      <c r="BY398" s="340">
        <f t="shared" si="307"/>
        <v>-0.71264215090999239</v>
      </c>
      <c r="BZ398" s="340">
        <f t="shared" si="307"/>
        <v>-0.62717323223589516</v>
      </c>
      <c r="CA398" s="340">
        <f t="shared" si="307"/>
        <v>-0.49795171432930252</v>
      </c>
      <c r="CB398" s="340">
        <f t="shared" si="307"/>
        <v>-0.38701752439688319</v>
      </c>
      <c r="CC398" s="321">
        <f t="shared" si="307"/>
        <v>-0.59480946651148425</v>
      </c>
      <c r="CD398" s="340">
        <f t="shared" si="307"/>
        <v>-0.11599390897641482</v>
      </c>
      <c r="CE398" s="340">
        <f t="shared" si="307"/>
        <v>-0.20796934254681909</v>
      </c>
      <c r="CF398" s="340">
        <f t="shared" si="307"/>
        <v>-9.5666656483410439E-2</v>
      </c>
      <c r="CG398" s="340">
        <f t="shared" si="307"/>
        <v>5.1302594297673032E-3</v>
      </c>
      <c r="CH398" s="321">
        <f t="shared" si="307"/>
        <v>-9.2606029454425087E-2</v>
      </c>
      <c r="CI398" s="340">
        <f t="shared" si="307"/>
        <v>6.8225908170116201E-2</v>
      </c>
      <c r="CJ398" s="340">
        <f t="shared" si="307"/>
        <v>7.8080887739411908E-2</v>
      </c>
      <c r="CK398" s="340">
        <f t="shared" si="307"/>
        <v>-7.4010449425124691E-2</v>
      </c>
      <c r="CL398" s="340">
        <f t="shared" si="307"/>
        <v>-0.1877049905107232</v>
      </c>
      <c r="CM398" s="321">
        <f t="shared" si="307"/>
        <v>-3.8406452355219001E-2</v>
      </c>
      <c r="CN398" s="340">
        <f t="shared" si="307"/>
        <v>-0.37430780246087358</v>
      </c>
      <c r="CO398" s="340">
        <f t="shared" si="307"/>
        <v>-0.37982876909663355</v>
      </c>
      <c r="CP398" s="340">
        <f t="shared" si="307"/>
        <v>-0.33778530948605301</v>
      </c>
      <c r="CQ398" s="340">
        <f t="shared" si="307"/>
        <v>-0.33835292207792211</v>
      </c>
      <c r="CR398" s="321">
        <f t="shared" si="307"/>
        <v>-0.36437570462973912</v>
      </c>
      <c r="CS398" s="342"/>
      <c r="CT398" s="342"/>
      <c r="CU398" s="342"/>
      <c r="CV398" s="342"/>
      <c r="CW398" s="321"/>
      <c r="CX398" s="342"/>
      <c r="CY398" s="342"/>
      <c r="CZ398" s="342"/>
      <c r="DA398" s="342"/>
      <c r="DB398" s="321"/>
      <c r="DC398" s="342"/>
      <c r="DD398" s="342"/>
      <c r="DE398" s="342"/>
      <c r="DF398" s="342"/>
      <c r="DG398" s="321"/>
      <c r="DH398" s="342"/>
      <c r="DI398" s="342"/>
      <c r="DJ398" s="342"/>
      <c r="DK398" s="342"/>
      <c r="DL398" s="321"/>
      <c r="DM398" s="342"/>
      <c r="DN398" s="342"/>
      <c r="DO398" s="342"/>
      <c r="DP398" s="342"/>
      <c r="DQ398" s="321"/>
      <c r="DR398" s="342"/>
      <c r="DS398" s="342"/>
      <c r="DT398" s="342"/>
      <c r="DU398" s="342"/>
      <c r="DV398" s="321"/>
      <c r="DW398" s="881"/>
      <c r="DX398" s="881"/>
      <c r="DY398" s="881"/>
      <c r="DZ398" s="881"/>
      <c r="EA398" s="368"/>
      <c r="EB398" s="881"/>
      <c r="EC398" s="881"/>
      <c r="ED398" s="881"/>
      <c r="EE398" s="881"/>
      <c r="EF398" s="368"/>
      <c r="EG398" s="881"/>
      <c r="EH398" s="881"/>
      <c r="EI398" s="881"/>
      <c r="EJ398" s="881"/>
      <c r="EK398" s="368"/>
      <c r="EL398" s="881"/>
      <c r="EM398" s="881"/>
      <c r="EN398" s="881"/>
      <c r="EO398" s="881"/>
      <c r="EP398" s="368"/>
      <c r="EQ398" s="881"/>
      <c r="ER398" s="881"/>
      <c r="ES398" s="881"/>
      <c r="ET398" s="881"/>
      <c r="EU398" s="368"/>
      <c r="EV398" s="881"/>
      <c r="EW398" s="881"/>
      <c r="EX398" s="881"/>
      <c r="EY398" s="881"/>
      <c r="EZ398" s="368"/>
      <c r="FA398" s="881"/>
      <c r="FB398" s="881"/>
      <c r="FC398" s="881"/>
      <c r="FD398" s="881"/>
      <c r="FE398" s="368"/>
      <c r="FF398" s="881"/>
      <c r="FG398" s="881"/>
      <c r="FH398" s="881"/>
      <c r="FI398" s="881"/>
      <c r="FJ398" s="368"/>
      <c r="FK398" s="368"/>
      <c r="FL398" s="368"/>
      <c r="FM398" s="368"/>
      <c r="FN398" s="368"/>
      <c r="FO398" s="368"/>
      <c r="FP398" s="368"/>
      <c r="FQ398" s="368"/>
      <c r="FR398" s="368"/>
      <c r="FS398" s="883"/>
      <c r="FT398" s="368"/>
      <c r="FU398" s="368"/>
      <c r="FV398" s="368"/>
      <c r="FW398" s="368"/>
      <c r="FX398" s="368"/>
      <c r="FY398" s="368"/>
      <c r="FZ398" s="368"/>
      <c r="GA398" s="368"/>
      <c r="GB398" s="368"/>
      <c r="GC398" s="368"/>
      <c r="GD398" s="368"/>
      <c r="GE398" s="368"/>
      <c r="GF398" s="368"/>
      <c r="GG398" s="368"/>
      <c r="GH398" s="368"/>
      <c r="GI398" s="368"/>
      <c r="GJ398" s="368"/>
      <c r="GK398" s="368"/>
      <c r="GL398" s="368"/>
      <c r="GM398" s="368"/>
      <c r="GN398" s="368"/>
      <c r="GO398" s="368"/>
      <c r="GP398" s="368"/>
      <c r="GQ398" s="368"/>
      <c r="GR398" s="368"/>
      <c r="GS398" s="368"/>
      <c r="GT398" s="368"/>
      <c r="GU398" s="368"/>
      <c r="GV398" s="368"/>
      <c r="GW398" s="368"/>
      <c r="GX398" s="368"/>
      <c r="GY398" s="368"/>
      <c r="GZ398" s="368"/>
      <c r="HA398" s="368"/>
      <c r="HB398" s="368"/>
      <c r="HC398" s="368"/>
      <c r="HD398" s="368"/>
      <c r="HE398" s="368"/>
      <c r="HF398" s="368"/>
      <c r="HG398" s="368"/>
      <c r="HH398" s="368"/>
      <c r="HI398" s="368"/>
      <c r="HJ398" s="368"/>
      <c r="HK398" s="368"/>
      <c r="HL398" s="368"/>
      <c r="HM398" s="368"/>
      <c r="HN398" s="368"/>
      <c r="HO398" s="369"/>
      <c r="HP398" s="293"/>
      <c r="HQ398" s="342"/>
      <c r="HR398" s="293"/>
      <c r="HS398" s="353"/>
      <c r="HY398" s="509"/>
      <c r="HZ398" s="509"/>
      <c r="IA398" s="509"/>
      <c r="IB398" s="509"/>
    </row>
    <row r="399" spans="1:236" s="563" customFormat="1" ht="15" hidden="1" customHeight="1" outlineLevel="3">
      <c r="A399" s="538" t="s">
        <v>560</v>
      </c>
      <c r="B399" s="509"/>
      <c r="C399" s="509"/>
      <c r="D399" s="509"/>
      <c r="E399" s="509"/>
      <c r="F399" s="509"/>
      <c r="G399" s="509"/>
      <c r="H399" s="509"/>
      <c r="I399" s="509"/>
      <c r="J399" s="509"/>
      <c r="K399" s="509"/>
      <c r="L399" s="523"/>
      <c r="M399" s="523"/>
      <c r="N399" s="523"/>
      <c r="O399" s="523"/>
      <c r="P399" s="524"/>
      <c r="Q399" s="619"/>
      <c r="R399" s="619"/>
      <c r="S399" s="619"/>
      <c r="T399" s="619"/>
      <c r="U399" s="541"/>
      <c r="V399" s="619"/>
      <c r="W399" s="619"/>
      <c r="X399" s="619"/>
      <c r="Y399" s="619"/>
      <c r="Z399" s="541"/>
      <c r="AA399" s="619"/>
      <c r="AB399" s="619"/>
      <c r="AC399" s="619"/>
      <c r="AD399" s="619"/>
      <c r="AE399" s="541"/>
      <c r="AF399" s="523"/>
      <c r="AG399" s="523"/>
      <c r="AH399" s="523"/>
      <c r="AI399" s="523"/>
      <c r="AJ399" s="541"/>
      <c r="AK399" s="523"/>
      <c r="AL399" s="523"/>
      <c r="AM399" s="523"/>
      <c r="AN399" s="523"/>
      <c r="AO399" s="541"/>
      <c r="AP399" s="523"/>
      <c r="AQ399" s="523"/>
      <c r="AR399" s="523"/>
      <c r="AS399" s="523"/>
      <c r="AT399" s="541"/>
      <c r="AU399" s="523"/>
      <c r="AV399" s="523"/>
      <c r="AW399" s="523"/>
      <c r="AX399" s="523"/>
      <c r="AY399" s="541"/>
      <c r="AZ399" s="523"/>
      <c r="BA399" s="523"/>
      <c r="BB399" s="523"/>
      <c r="BC399" s="523"/>
      <c r="BD399" s="541"/>
      <c r="BE399" s="523"/>
      <c r="BF399" s="523"/>
      <c r="BG399" s="523"/>
      <c r="BH399" s="523"/>
      <c r="BI399" s="541"/>
      <c r="BJ399" s="523"/>
      <c r="BK399" s="523"/>
      <c r="BL399" s="523"/>
      <c r="BM399" s="523"/>
      <c r="BN399" s="541"/>
      <c r="BO399" s="670"/>
      <c r="BP399" s="670"/>
      <c r="BQ399" s="670"/>
      <c r="BR399" s="670"/>
      <c r="BS399" s="591"/>
      <c r="BT399" s="670">
        <v>411</v>
      </c>
      <c r="BU399" s="670">
        <v>316</v>
      </c>
      <c r="BV399" s="670">
        <v>210</v>
      </c>
      <c r="BW399" s="670">
        <v>196</v>
      </c>
      <c r="BX399" s="591">
        <f>SUM(BT399:BW399)</f>
        <v>1133</v>
      </c>
      <c r="BY399" s="670">
        <v>160</v>
      </c>
      <c r="BZ399" s="670">
        <v>175</v>
      </c>
      <c r="CA399" s="670">
        <v>189</v>
      </c>
      <c r="CB399" s="670">
        <v>217</v>
      </c>
      <c r="CC399" s="591">
        <f>SUM(BY399:CB399)</f>
        <v>741</v>
      </c>
      <c r="CD399" s="670">
        <v>218</v>
      </c>
      <c r="CE399" s="670">
        <v>211</v>
      </c>
      <c r="CF399" s="670">
        <v>424</v>
      </c>
      <c r="CG399" s="670">
        <v>566</v>
      </c>
      <c r="CH399" s="591">
        <f>SUM(CD399:CG399)</f>
        <v>1419</v>
      </c>
      <c r="CI399" s="670">
        <v>628</v>
      </c>
      <c r="CJ399" s="670">
        <v>673</v>
      </c>
      <c r="CK399" s="670">
        <v>538</v>
      </c>
      <c r="CL399" s="670">
        <v>504</v>
      </c>
      <c r="CM399" s="542">
        <f>SUM(CI399:CL399)</f>
        <v>2343</v>
      </c>
      <c r="CN399" s="602">
        <v>447</v>
      </c>
      <c r="CO399" s="539">
        <f>(CO396*CO393)</f>
        <v>462.19800000000004</v>
      </c>
      <c r="CP399" s="539">
        <f>(CP396*CP393)</f>
        <v>515.58186899999998</v>
      </c>
      <c r="CQ399" s="539">
        <f>(CQ396*CQ393)</f>
        <v>487.22486620500013</v>
      </c>
      <c r="CR399" s="542">
        <f>SUM(CN399:CQ399)</f>
        <v>1912.0047352050001</v>
      </c>
      <c r="CS399" s="539"/>
      <c r="CT399" s="539"/>
      <c r="CU399" s="539"/>
      <c r="CV399" s="539"/>
      <c r="CW399" s="542"/>
      <c r="CX399" s="539"/>
      <c r="CY399" s="539"/>
      <c r="CZ399" s="539"/>
      <c r="DA399" s="539"/>
      <c r="DB399" s="542"/>
      <c r="DC399" s="539"/>
      <c r="DD399" s="539"/>
      <c r="DE399" s="539"/>
      <c r="DF399" s="539"/>
      <c r="DG399" s="542"/>
      <c r="DH399" s="539"/>
      <c r="DI399" s="539"/>
      <c r="DJ399" s="539"/>
      <c r="DK399" s="539"/>
      <c r="DL399" s="542"/>
      <c r="DM399" s="539"/>
      <c r="DN399" s="539"/>
      <c r="DO399" s="539"/>
      <c r="DP399" s="539"/>
      <c r="DQ399" s="542"/>
      <c r="DR399" s="539"/>
      <c r="DS399" s="539"/>
      <c r="DT399" s="539"/>
      <c r="DU399" s="539"/>
      <c r="DV399" s="542"/>
      <c r="DW399" s="590"/>
      <c r="DX399" s="590"/>
      <c r="DY399" s="590"/>
      <c r="DZ399" s="590"/>
      <c r="EA399" s="591"/>
      <c r="EB399" s="590"/>
      <c r="EC399" s="590"/>
      <c r="ED399" s="590"/>
      <c r="EE399" s="590"/>
      <c r="EF399" s="591"/>
      <c r="EG399" s="590"/>
      <c r="EH399" s="590"/>
      <c r="EI399" s="590"/>
      <c r="EJ399" s="590"/>
      <c r="EK399" s="591"/>
      <c r="EL399" s="590"/>
      <c r="EM399" s="590"/>
      <c r="EN399" s="590"/>
      <c r="EO399" s="590"/>
      <c r="EP399" s="591"/>
      <c r="EQ399" s="590"/>
      <c r="ER399" s="590"/>
      <c r="ES399" s="590"/>
      <c r="ET399" s="590"/>
      <c r="EU399" s="591"/>
      <c r="EV399" s="590"/>
      <c r="EW399" s="590"/>
      <c r="EX399" s="590"/>
      <c r="EY399" s="590"/>
      <c r="EZ399" s="591"/>
      <c r="FA399" s="590"/>
      <c r="FB399" s="590"/>
      <c r="FC399" s="590"/>
      <c r="FD399" s="590"/>
      <c r="FE399" s="591"/>
      <c r="FF399" s="590"/>
      <c r="FG399" s="590"/>
      <c r="FH399" s="590"/>
      <c r="FI399" s="590"/>
      <c r="FJ399" s="591"/>
      <c r="FK399" s="591"/>
      <c r="FL399" s="591"/>
      <c r="FM399" s="591"/>
      <c r="FN399" s="591"/>
      <c r="FO399" s="591"/>
      <c r="FP399" s="591"/>
      <c r="FQ399" s="591"/>
      <c r="FR399" s="591"/>
      <c r="FS399" s="591"/>
      <c r="FT399" s="591"/>
      <c r="FU399" s="591"/>
      <c r="FV399" s="591"/>
      <c r="FW399" s="591"/>
      <c r="FX399" s="591"/>
      <c r="FY399" s="591"/>
      <c r="FZ399" s="591"/>
      <c r="GA399" s="591"/>
      <c r="GB399" s="591"/>
      <c r="GC399" s="591"/>
      <c r="GD399" s="591"/>
      <c r="GE399" s="591"/>
      <c r="GF399" s="591"/>
      <c r="GG399" s="591"/>
      <c r="GH399" s="591"/>
      <c r="GI399" s="591"/>
      <c r="GJ399" s="591"/>
      <c r="GK399" s="591"/>
      <c r="GL399" s="591"/>
      <c r="GM399" s="591"/>
      <c r="GN399" s="591"/>
      <c r="GO399" s="591"/>
      <c r="GP399" s="591"/>
      <c r="GQ399" s="591"/>
      <c r="GR399" s="591"/>
      <c r="GS399" s="591"/>
      <c r="GT399" s="591"/>
      <c r="GU399" s="591"/>
      <c r="GV399" s="591"/>
      <c r="GW399" s="591"/>
      <c r="GX399" s="591"/>
      <c r="GY399" s="591"/>
      <c r="GZ399" s="591"/>
      <c r="HA399" s="591"/>
      <c r="HB399" s="591"/>
      <c r="HC399" s="591"/>
      <c r="HD399" s="591"/>
      <c r="HE399" s="591"/>
      <c r="HF399" s="591"/>
      <c r="HG399" s="591"/>
      <c r="HH399" s="591"/>
      <c r="HI399" s="591"/>
      <c r="HJ399" s="591"/>
      <c r="HK399" s="591"/>
      <c r="HL399" s="591"/>
      <c r="HM399" s="591"/>
      <c r="HN399" s="591"/>
      <c r="HO399" s="591"/>
      <c r="HP399" s="606"/>
      <c r="HQ399" s="539"/>
      <c r="HR399" s="606"/>
      <c r="HS399" s="671"/>
      <c r="HY399" s="509"/>
      <c r="HZ399" s="509"/>
      <c r="IA399" s="509"/>
      <c r="IB399" s="509"/>
    </row>
    <row r="400" spans="1:236" s="563" customFormat="1" hidden="1" outlineLevel="3">
      <c r="A400" s="509" t="s">
        <v>488</v>
      </c>
      <c r="B400" s="509"/>
      <c r="C400" s="509"/>
      <c r="D400" s="509"/>
      <c r="E400" s="509"/>
      <c r="F400" s="509"/>
      <c r="G400" s="509"/>
      <c r="H400" s="509"/>
      <c r="I400" s="509"/>
      <c r="J400" s="509"/>
      <c r="K400" s="509"/>
      <c r="L400" s="523"/>
      <c r="M400" s="523"/>
      <c r="N400" s="523"/>
      <c r="O400" s="523"/>
      <c r="P400" s="524"/>
      <c r="Q400" s="619"/>
      <c r="R400" s="619"/>
      <c r="S400" s="619"/>
      <c r="T400" s="619"/>
      <c r="U400" s="541"/>
      <c r="V400" s="619"/>
      <c r="W400" s="619"/>
      <c r="X400" s="619"/>
      <c r="Y400" s="619"/>
      <c r="Z400" s="541"/>
      <c r="AA400" s="619"/>
      <c r="AB400" s="619"/>
      <c r="AC400" s="619"/>
      <c r="AD400" s="619"/>
      <c r="AE400" s="541"/>
      <c r="AF400" s="523"/>
      <c r="AG400" s="523"/>
      <c r="AH400" s="523"/>
      <c r="AI400" s="523"/>
      <c r="AJ400" s="541"/>
      <c r="AK400" s="523"/>
      <c r="AL400" s="523"/>
      <c r="AM400" s="523"/>
      <c r="AN400" s="523"/>
      <c r="AO400" s="541"/>
      <c r="AP400" s="523"/>
      <c r="AQ400" s="523"/>
      <c r="AR400" s="523"/>
      <c r="AS400" s="523"/>
      <c r="AT400" s="541"/>
      <c r="AU400" s="523"/>
      <c r="AV400" s="523"/>
      <c r="AW400" s="523"/>
      <c r="AX400" s="523"/>
      <c r="AY400" s="541"/>
      <c r="AZ400" s="523"/>
      <c r="BA400" s="523"/>
      <c r="BB400" s="523"/>
      <c r="BC400" s="523"/>
      <c r="BD400" s="541"/>
      <c r="BE400" s="523"/>
      <c r="BF400" s="523"/>
      <c r="BG400" s="523"/>
      <c r="BH400" s="523"/>
      <c r="BI400" s="541"/>
      <c r="BJ400" s="523"/>
      <c r="BK400" s="523"/>
      <c r="BL400" s="523"/>
      <c r="BM400" s="523"/>
      <c r="BN400" s="541"/>
      <c r="BO400" s="342"/>
      <c r="BP400" s="342"/>
      <c r="BQ400" s="342"/>
      <c r="BR400" s="342"/>
      <c r="BS400" s="541"/>
      <c r="BT400" s="340" t="e">
        <f>(BT399/BR399)-1</f>
        <v>#DIV/0!</v>
      </c>
      <c r="BU400" s="340">
        <f>(BU399/BT399)-1</f>
        <v>-0.23114355231143557</v>
      </c>
      <c r="BV400" s="340">
        <f>(BV399/BU399)-1</f>
        <v>-0.33544303797468356</v>
      </c>
      <c r="BW400" s="340">
        <f>(BW399/BV399)-1</f>
        <v>-6.6666666666666652E-2</v>
      </c>
      <c r="BX400" s="648" t="s">
        <v>199</v>
      </c>
      <c r="BY400" s="340">
        <f>(BY399/BW399)-1</f>
        <v>-0.18367346938775508</v>
      </c>
      <c r="BZ400" s="340">
        <f>(BZ399/BY399)-1</f>
        <v>9.375E-2</v>
      </c>
      <c r="CA400" s="340">
        <f>(CA399/BZ399)-1</f>
        <v>8.0000000000000071E-2</v>
      </c>
      <c r="CB400" s="340">
        <f>(CB399/CA399)-1</f>
        <v>0.14814814814814814</v>
      </c>
      <c r="CC400" s="648" t="s">
        <v>199</v>
      </c>
      <c r="CD400" s="340">
        <f>(CD399/CB399)-1</f>
        <v>4.6082949308756671E-3</v>
      </c>
      <c r="CE400" s="340">
        <f>(CE399/CD399)-1</f>
        <v>-3.2110091743119296E-2</v>
      </c>
      <c r="CF400" s="340">
        <f>(CF399/CE399)-1</f>
        <v>1.0094786729857819</v>
      </c>
      <c r="CG400" s="340">
        <f>(CG399/CF399)-1</f>
        <v>0.33490566037735858</v>
      </c>
      <c r="CH400" s="648" t="s">
        <v>199</v>
      </c>
      <c r="CI400" s="340">
        <f>(CI399/CG399)-1</f>
        <v>0.10954063604240272</v>
      </c>
      <c r="CJ400" s="340">
        <f>(CJ399/CI399)-1</f>
        <v>7.1656050955414052E-2</v>
      </c>
      <c r="CK400" s="340">
        <f>(CK399/CJ399)-1</f>
        <v>-0.200594353640416</v>
      </c>
      <c r="CL400" s="340">
        <f>(CL399/CK399)-1</f>
        <v>-6.3197026022304814E-2</v>
      </c>
      <c r="CM400" s="648" t="s">
        <v>199</v>
      </c>
      <c r="CN400" s="340">
        <f>(CN399/CL399)-1</f>
        <v>-0.11309523809523814</v>
      </c>
      <c r="CO400" s="340">
        <f>(CO399-CN399)/CN399</f>
        <v>3.4000000000000079E-2</v>
      </c>
      <c r="CP400" s="340">
        <f>(CP399-CO399)/CO399</f>
        <v>0.11549999999999988</v>
      </c>
      <c r="CQ400" s="340">
        <f>(CQ399-CP399)/CP399</f>
        <v>-5.4999999999999723E-2</v>
      </c>
      <c r="CR400" s="648" t="s">
        <v>199</v>
      </c>
      <c r="CS400" s="342"/>
      <c r="CT400" s="342"/>
      <c r="CU400" s="342"/>
      <c r="CV400" s="342"/>
      <c r="CW400" s="541"/>
      <c r="CX400" s="342"/>
      <c r="CY400" s="342"/>
      <c r="CZ400" s="342"/>
      <c r="DA400" s="342"/>
      <c r="DB400" s="541"/>
      <c r="DC400" s="342"/>
      <c r="DD400" s="342"/>
      <c r="DE400" s="342"/>
      <c r="DF400" s="342"/>
      <c r="DG400" s="541"/>
      <c r="DH400" s="342"/>
      <c r="DI400" s="342"/>
      <c r="DJ400" s="342"/>
      <c r="DK400" s="342"/>
      <c r="DL400" s="541"/>
      <c r="DM400" s="342"/>
      <c r="DN400" s="342"/>
      <c r="DO400" s="342"/>
      <c r="DP400" s="342"/>
      <c r="DQ400" s="541"/>
      <c r="DR400" s="342"/>
      <c r="DS400" s="342"/>
      <c r="DT400" s="342"/>
      <c r="DU400" s="342"/>
      <c r="DV400" s="541"/>
      <c r="DW400" s="881"/>
      <c r="DX400" s="881"/>
      <c r="DY400" s="881"/>
      <c r="DZ400" s="881"/>
      <c r="EA400" s="541"/>
      <c r="EB400" s="881"/>
      <c r="EC400" s="881"/>
      <c r="ED400" s="881"/>
      <c r="EE400" s="881"/>
      <c r="EF400" s="541"/>
      <c r="EG400" s="881"/>
      <c r="EH400" s="881"/>
      <c r="EI400" s="881"/>
      <c r="EJ400" s="881"/>
      <c r="EK400" s="541"/>
      <c r="EL400" s="881"/>
      <c r="EM400" s="881"/>
      <c r="EN400" s="881"/>
      <c r="EO400" s="881"/>
      <c r="EP400" s="541"/>
      <c r="EQ400" s="881"/>
      <c r="ER400" s="881"/>
      <c r="ES400" s="881"/>
      <c r="ET400" s="881"/>
      <c r="EU400" s="541"/>
      <c r="EV400" s="881"/>
      <c r="EW400" s="881"/>
      <c r="EX400" s="881"/>
      <c r="EY400" s="881"/>
      <c r="EZ400" s="541"/>
      <c r="FA400" s="881"/>
      <c r="FB400" s="881"/>
      <c r="FC400" s="881"/>
      <c r="FD400" s="881"/>
      <c r="FE400" s="541"/>
      <c r="FF400" s="881"/>
      <c r="FG400" s="881"/>
      <c r="FH400" s="881"/>
      <c r="FI400" s="881"/>
      <c r="FJ400" s="541"/>
      <c r="FK400" s="541"/>
      <c r="FL400" s="541"/>
      <c r="FM400" s="541"/>
      <c r="FN400" s="541"/>
      <c r="FO400" s="541"/>
      <c r="FP400" s="541"/>
      <c r="FQ400" s="541"/>
      <c r="FR400" s="541"/>
      <c r="FS400" s="541"/>
      <c r="FT400" s="541"/>
      <c r="FU400" s="541"/>
      <c r="FV400" s="541"/>
      <c r="FW400" s="541"/>
      <c r="FX400" s="541"/>
      <c r="FY400" s="541"/>
      <c r="FZ400" s="541"/>
      <c r="GA400" s="541"/>
      <c r="GB400" s="541"/>
      <c r="GC400" s="541"/>
      <c r="GD400" s="541"/>
      <c r="GE400" s="541"/>
      <c r="GF400" s="541"/>
      <c r="GG400" s="541"/>
      <c r="GH400" s="541"/>
      <c r="GI400" s="541"/>
      <c r="GJ400" s="541"/>
      <c r="GK400" s="541"/>
      <c r="GL400" s="541"/>
      <c r="GM400" s="541"/>
      <c r="GN400" s="541"/>
      <c r="GO400" s="541"/>
      <c r="GP400" s="541"/>
      <c r="GQ400" s="541"/>
      <c r="GR400" s="541"/>
      <c r="GS400" s="541"/>
      <c r="GT400" s="541"/>
      <c r="GU400" s="541"/>
      <c r="GV400" s="541"/>
      <c r="GW400" s="541"/>
      <c r="GX400" s="541"/>
      <c r="GY400" s="541"/>
      <c r="GZ400" s="541"/>
      <c r="HA400" s="541"/>
      <c r="HB400" s="541"/>
      <c r="HC400" s="541"/>
      <c r="HD400" s="541"/>
      <c r="HE400" s="541"/>
      <c r="HF400" s="541"/>
      <c r="HG400" s="541"/>
      <c r="HH400" s="541"/>
      <c r="HI400" s="541"/>
      <c r="HJ400" s="541"/>
      <c r="HK400" s="541"/>
      <c r="HL400" s="541"/>
      <c r="HM400" s="541"/>
      <c r="HN400" s="541"/>
      <c r="HO400" s="541"/>
      <c r="HP400" s="293"/>
      <c r="HQ400" s="342"/>
      <c r="HR400" s="293"/>
      <c r="HS400" s="745"/>
      <c r="HY400" s="509"/>
      <c r="HZ400" s="509"/>
      <c r="IA400" s="509"/>
      <c r="IB400" s="509"/>
    </row>
    <row r="401" spans="1:236" s="563" customFormat="1" hidden="1" outlineLevel="3">
      <c r="A401" s="509" t="s">
        <v>489</v>
      </c>
      <c r="B401" s="509"/>
      <c r="C401" s="509"/>
      <c r="D401" s="509"/>
      <c r="E401" s="509"/>
      <c r="F401" s="509"/>
      <c r="G401" s="509"/>
      <c r="H401" s="509"/>
      <c r="I401" s="509"/>
      <c r="J401" s="509"/>
      <c r="K401" s="509"/>
      <c r="L401" s="523"/>
      <c r="M401" s="523"/>
      <c r="N401" s="523"/>
      <c r="O401" s="523"/>
      <c r="P401" s="524"/>
      <c r="Q401" s="619"/>
      <c r="R401" s="619"/>
      <c r="S401" s="619"/>
      <c r="T401" s="619"/>
      <c r="U401" s="541"/>
      <c r="V401" s="619"/>
      <c r="W401" s="619"/>
      <c r="X401" s="619"/>
      <c r="Y401" s="619"/>
      <c r="Z401" s="541"/>
      <c r="AA401" s="619"/>
      <c r="AB401" s="619"/>
      <c r="AC401" s="619"/>
      <c r="AD401" s="619"/>
      <c r="AE401" s="541"/>
      <c r="AF401" s="523"/>
      <c r="AG401" s="523"/>
      <c r="AH401" s="523"/>
      <c r="AI401" s="523"/>
      <c r="AJ401" s="541"/>
      <c r="AK401" s="523"/>
      <c r="AL401" s="523"/>
      <c r="AM401" s="523"/>
      <c r="AN401" s="523"/>
      <c r="AO401" s="541"/>
      <c r="AP401" s="523"/>
      <c r="AQ401" s="523"/>
      <c r="AR401" s="523"/>
      <c r="AS401" s="523"/>
      <c r="AT401" s="541"/>
      <c r="AU401" s="523"/>
      <c r="AV401" s="523"/>
      <c r="AW401" s="523"/>
      <c r="AX401" s="523"/>
      <c r="AY401" s="541"/>
      <c r="AZ401" s="523"/>
      <c r="BA401" s="523"/>
      <c r="BB401" s="523"/>
      <c r="BC401" s="523"/>
      <c r="BD401" s="541"/>
      <c r="BE401" s="523"/>
      <c r="BF401" s="523"/>
      <c r="BG401" s="523"/>
      <c r="BH401" s="523"/>
      <c r="BI401" s="541"/>
      <c r="BJ401" s="523"/>
      <c r="BK401" s="523"/>
      <c r="BL401" s="523"/>
      <c r="BM401" s="523"/>
      <c r="BN401" s="541"/>
      <c r="BO401" s="342"/>
      <c r="BP401" s="342"/>
      <c r="BQ401" s="342"/>
      <c r="BR401" s="342"/>
      <c r="BS401" s="321"/>
      <c r="BT401" s="340" t="e">
        <f t="shared" ref="BT401:CR401" si="308">(BT399/BO399)-1</f>
        <v>#DIV/0!</v>
      </c>
      <c r="BU401" s="340" t="e">
        <f t="shared" si="308"/>
        <v>#DIV/0!</v>
      </c>
      <c r="BV401" s="340" t="e">
        <f t="shared" si="308"/>
        <v>#DIV/0!</v>
      </c>
      <c r="BW401" s="340" t="e">
        <f t="shared" si="308"/>
        <v>#DIV/0!</v>
      </c>
      <c r="BX401" s="321" t="e">
        <f t="shared" si="308"/>
        <v>#DIV/0!</v>
      </c>
      <c r="BY401" s="340">
        <f t="shared" si="308"/>
        <v>-0.61070559610705599</v>
      </c>
      <c r="BZ401" s="340">
        <f t="shared" si="308"/>
        <v>-0.44620253164556967</v>
      </c>
      <c r="CA401" s="340">
        <f t="shared" si="308"/>
        <v>-9.9999999999999978E-2</v>
      </c>
      <c r="CB401" s="340">
        <f t="shared" si="308"/>
        <v>0.10714285714285721</v>
      </c>
      <c r="CC401" s="321">
        <f t="shared" si="308"/>
        <v>-0.34598411297440423</v>
      </c>
      <c r="CD401" s="340">
        <f t="shared" si="308"/>
        <v>0.36250000000000004</v>
      </c>
      <c r="CE401" s="340">
        <f t="shared" si="308"/>
        <v>0.20571428571428574</v>
      </c>
      <c r="CF401" s="340">
        <f t="shared" si="308"/>
        <v>1.2433862433862433</v>
      </c>
      <c r="CG401" s="340">
        <f t="shared" si="308"/>
        <v>1.6082949308755761</v>
      </c>
      <c r="CH401" s="321">
        <f t="shared" si="308"/>
        <v>0.91497975708502022</v>
      </c>
      <c r="CI401" s="340">
        <f t="shared" si="308"/>
        <v>1.8807339449541285</v>
      </c>
      <c r="CJ401" s="340">
        <f t="shared" si="308"/>
        <v>2.18957345971564</v>
      </c>
      <c r="CK401" s="340">
        <f t="shared" si="308"/>
        <v>0.26886792452830188</v>
      </c>
      <c r="CL401" s="340">
        <f t="shared" si="308"/>
        <v>-0.10954063604240283</v>
      </c>
      <c r="CM401" s="321">
        <f t="shared" si="308"/>
        <v>0.65116279069767447</v>
      </c>
      <c r="CN401" s="340">
        <f t="shared" si="308"/>
        <v>-0.28821656050955413</v>
      </c>
      <c r="CO401" s="340">
        <f t="shared" si="308"/>
        <v>-0.31322734026745913</v>
      </c>
      <c r="CP401" s="340">
        <f t="shared" si="308"/>
        <v>-4.1669388475836455E-2</v>
      </c>
      <c r="CQ401" s="340">
        <f t="shared" si="308"/>
        <v>-3.3283995624999729E-2</v>
      </c>
      <c r="CR401" s="321">
        <f t="shared" si="308"/>
        <v>-0.18395017703585148</v>
      </c>
      <c r="CS401" s="342"/>
      <c r="CT401" s="342"/>
      <c r="CU401" s="342"/>
      <c r="CV401" s="342"/>
      <c r="CW401" s="321"/>
      <c r="CX401" s="342"/>
      <c r="CY401" s="342"/>
      <c r="CZ401" s="342"/>
      <c r="DA401" s="342"/>
      <c r="DB401" s="321"/>
      <c r="DC401" s="342"/>
      <c r="DD401" s="342"/>
      <c r="DE401" s="342"/>
      <c r="DF401" s="342"/>
      <c r="DG401" s="321"/>
      <c r="DH401" s="342"/>
      <c r="DI401" s="342"/>
      <c r="DJ401" s="342"/>
      <c r="DK401" s="342"/>
      <c r="DL401" s="321"/>
      <c r="DM401" s="342"/>
      <c r="DN401" s="342"/>
      <c r="DO401" s="342"/>
      <c r="DP401" s="342"/>
      <c r="DQ401" s="321"/>
      <c r="DR401" s="342"/>
      <c r="DS401" s="342"/>
      <c r="DT401" s="342"/>
      <c r="DU401" s="342"/>
      <c r="DV401" s="321"/>
      <c r="DW401" s="881"/>
      <c r="DX401" s="881"/>
      <c r="DY401" s="881"/>
      <c r="DZ401" s="881"/>
      <c r="EA401" s="368"/>
      <c r="EB401" s="881"/>
      <c r="EC401" s="881"/>
      <c r="ED401" s="881"/>
      <c r="EE401" s="881"/>
      <c r="EF401" s="368"/>
      <c r="EG401" s="881"/>
      <c r="EH401" s="881"/>
      <c r="EI401" s="881"/>
      <c r="EJ401" s="881"/>
      <c r="EK401" s="368"/>
      <c r="EL401" s="881"/>
      <c r="EM401" s="881"/>
      <c r="EN401" s="881"/>
      <c r="EO401" s="881"/>
      <c r="EP401" s="368"/>
      <c r="EQ401" s="881"/>
      <c r="ER401" s="881"/>
      <c r="ES401" s="881"/>
      <c r="ET401" s="881"/>
      <c r="EU401" s="368"/>
      <c r="EV401" s="881"/>
      <c r="EW401" s="881"/>
      <c r="EX401" s="881"/>
      <c r="EY401" s="881"/>
      <c r="EZ401" s="368"/>
      <c r="FA401" s="881"/>
      <c r="FB401" s="881"/>
      <c r="FC401" s="881"/>
      <c r="FD401" s="881"/>
      <c r="FE401" s="368"/>
      <c r="FF401" s="881"/>
      <c r="FG401" s="881"/>
      <c r="FH401" s="881"/>
      <c r="FI401" s="881"/>
      <c r="FJ401" s="368"/>
      <c r="FK401" s="368"/>
      <c r="FL401" s="368"/>
      <c r="FM401" s="368"/>
      <c r="FN401" s="368"/>
      <c r="FO401" s="368"/>
      <c r="FP401" s="368"/>
      <c r="FQ401" s="368"/>
      <c r="FR401" s="368"/>
      <c r="FS401" s="883"/>
      <c r="FT401" s="368"/>
      <c r="FU401" s="368"/>
      <c r="FV401" s="368"/>
      <c r="FW401" s="368"/>
      <c r="FX401" s="368"/>
      <c r="FY401" s="368"/>
      <c r="FZ401" s="368"/>
      <c r="GA401" s="368"/>
      <c r="GB401" s="368"/>
      <c r="GC401" s="368"/>
      <c r="GD401" s="368"/>
      <c r="GE401" s="368"/>
      <c r="GF401" s="368"/>
      <c r="GG401" s="368"/>
      <c r="GH401" s="368"/>
      <c r="GI401" s="368"/>
      <c r="GJ401" s="368"/>
      <c r="GK401" s="368"/>
      <c r="GL401" s="368"/>
      <c r="GM401" s="368"/>
      <c r="GN401" s="368"/>
      <c r="GO401" s="368"/>
      <c r="GP401" s="368"/>
      <c r="GQ401" s="368"/>
      <c r="GR401" s="368"/>
      <c r="GS401" s="368"/>
      <c r="GT401" s="368"/>
      <c r="GU401" s="368"/>
      <c r="GV401" s="368"/>
      <c r="GW401" s="368"/>
      <c r="GX401" s="368"/>
      <c r="GY401" s="368"/>
      <c r="GZ401" s="368"/>
      <c r="HA401" s="368"/>
      <c r="HB401" s="368"/>
      <c r="HC401" s="368"/>
      <c r="HD401" s="368"/>
      <c r="HE401" s="368"/>
      <c r="HF401" s="368"/>
      <c r="HG401" s="368"/>
      <c r="HH401" s="368"/>
      <c r="HI401" s="368"/>
      <c r="HJ401" s="368"/>
      <c r="HK401" s="368"/>
      <c r="HL401" s="368"/>
      <c r="HM401" s="368"/>
      <c r="HN401" s="368"/>
      <c r="HO401" s="369"/>
      <c r="HP401" s="293"/>
      <c r="HQ401" s="342"/>
      <c r="HR401" s="293"/>
      <c r="HS401" s="353"/>
      <c r="HY401" s="509"/>
      <c r="HZ401" s="509"/>
      <c r="IA401" s="509"/>
      <c r="IB401" s="509"/>
    </row>
    <row r="402" spans="1:236" s="563" customFormat="1" hidden="1" outlineLevel="2">
      <c r="A402" s="509"/>
      <c r="B402" s="509"/>
      <c r="C402" s="509"/>
      <c r="D402" s="509"/>
      <c r="E402" s="509"/>
      <c r="F402" s="509"/>
      <c r="G402" s="509"/>
      <c r="H402" s="509"/>
      <c r="I402" s="509"/>
      <c r="J402" s="509"/>
      <c r="K402" s="509"/>
      <c r="L402" s="523"/>
      <c r="M402" s="523"/>
      <c r="N402" s="523"/>
      <c r="O402" s="523"/>
      <c r="P402" s="524"/>
      <c r="Q402" s="619"/>
      <c r="R402" s="619"/>
      <c r="S402" s="619"/>
      <c r="T402" s="619"/>
      <c r="U402" s="541"/>
      <c r="V402" s="619"/>
      <c r="W402" s="619"/>
      <c r="X402" s="619"/>
      <c r="Y402" s="619"/>
      <c r="Z402" s="541"/>
      <c r="AA402" s="619"/>
      <c r="AB402" s="619"/>
      <c r="AC402" s="619"/>
      <c r="AD402" s="619"/>
      <c r="AE402" s="541"/>
      <c r="AF402" s="523"/>
      <c r="AG402" s="523"/>
      <c r="AH402" s="523"/>
      <c r="AI402" s="523"/>
      <c r="AJ402" s="541"/>
      <c r="AK402" s="523"/>
      <c r="AL402" s="523"/>
      <c r="AM402" s="523"/>
      <c r="AN402" s="523"/>
      <c r="AO402" s="541"/>
      <c r="AP402" s="523"/>
      <c r="AQ402" s="523"/>
      <c r="AR402" s="523"/>
      <c r="AS402" s="523"/>
      <c r="AT402" s="541"/>
      <c r="AU402" s="523"/>
      <c r="AV402" s="523"/>
      <c r="AW402" s="523"/>
      <c r="AX402" s="523"/>
      <c r="AY402" s="541"/>
      <c r="AZ402" s="523"/>
      <c r="BA402" s="523"/>
      <c r="BB402" s="523"/>
      <c r="BC402" s="523"/>
      <c r="BD402" s="541"/>
      <c r="BE402" s="523"/>
      <c r="BF402" s="523"/>
      <c r="BG402" s="523"/>
      <c r="BH402" s="523"/>
      <c r="BI402" s="541"/>
      <c r="BJ402" s="523"/>
      <c r="BK402" s="523"/>
      <c r="BL402" s="523"/>
      <c r="BM402" s="523"/>
      <c r="BN402" s="541"/>
      <c r="BO402" s="523"/>
      <c r="BP402" s="523"/>
      <c r="BQ402" s="523"/>
      <c r="BR402" s="523"/>
      <c r="BS402" s="541"/>
      <c r="BT402" s="523"/>
      <c r="BU402" s="523"/>
      <c r="BV402" s="523"/>
      <c r="BW402" s="523"/>
      <c r="BX402" s="591"/>
      <c r="BY402" s="523"/>
      <c r="BZ402" s="523"/>
      <c r="CA402" s="523"/>
      <c r="CB402" s="523"/>
      <c r="CC402" s="591"/>
      <c r="CD402" s="523"/>
      <c r="CE402" s="523"/>
      <c r="CF402" s="523"/>
      <c r="CG402" s="523"/>
      <c r="CH402" s="591"/>
      <c r="CI402" s="523"/>
      <c r="CJ402" s="523"/>
      <c r="CK402" s="523"/>
      <c r="CL402" s="523"/>
      <c r="CM402" s="542"/>
      <c r="CN402" s="539"/>
      <c r="CO402" s="523"/>
      <c r="CP402" s="523"/>
      <c r="CQ402" s="523"/>
      <c r="CR402" s="542"/>
      <c r="CS402" s="539"/>
      <c r="CT402" s="523"/>
      <c r="CU402" s="523"/>
      <c r="CV402" s="523"/>
      <c r="CW402" s="542"/>
      <c r="CX402" s="539"/>
      <c r="CY402" s="523"/>
      <c r="CZ402" s="523"/>
      <c r="DA402" s="523"/>
      <c r="DB402" s="542"/>
      <c r="DC402" s="539"/>
      <c r="DD402" s="523"/>
      <c r="DE402" s="523"/>
      <c r="DF402" s="523"/>
      <c r="DG402" s="542"/>
      <c r="DH402" s="539"/>
      <c r="DI402" s="523"/>
      <c r="DJ402" s="523"/>
      <c r="DK402" s="523"/>
      <c r="DL402" s="542"/>
      <c r="DM402" s="539"/>
      <c r="DN402" s="523"/>
      <c r="DO402" s="523"/>
      <c r="DP402" s="523"/>
      <c r="DQ402" s="542"/>
      <c r="DR402" s="539"/>
      <c r="DS402" s="523"/>
      <c r="DT402" s="523"/>
      <c r="DU402" s="523"/>
      <c r="DV402" s="542"/>
      <c r="DW402" s="590"/>
      <c r="DX402" s="590"/>
      <c r="DY402" s="590"/>
      <c r="DZ402" s="619"/>
      <c r="EA402" s="591"/>
      <c r="EB402" s="590"/>
      <c r="EC402" s="619"/>
      <c r="ED402" s="619"/>
      <c r="EE402" s="619"/>
      <c r="EF402" s="591"/>
      <c r="EG402" s="590"/>
      <c r="EH402" s="619"/>
      <c r="EI402" s="619"/>
      <c r="EJ402" s="619"/>
      <c r="EK402" s="591"/>
      <c r="EL402" s="590"/>
      <c r="EM402" s="619"/>
      <c r="EN402" s="619"/>
      <c r="EO402" s="619"/>
      <c r="EP402" s="591"/>
      <c r="EQ402" s="590"/>
      <c r="ER402" s="619"/>
      <c r="ES402" s="619"/>
      <c r="ET402" s="619"/>
      <c r="EU402" s="591"/>
      <c r="EV402" s="590"/>
      <c r="EW402" s="619"/>
      <c r="EX402" s="619"/>
      <c r="EY402" s="619"/>
      <c r="EZ402" s="591"/>
      <c r="FA402" s="590"/>
      <c r="FB402" s="619"/>
      <c r="FC402" s="619"/>
      <c r="FD402" s="619"/>
      <c r="FE402" s="591"/>
      <c r="FF402" s="590"/>
      <c r="FG402" s="619"/>
      <c r="FH402" s="619"/>
      <c r="FI402" s="619"/>
      <c r="FJ402" s="591"/>
      <c r="FK402" s="591"/>
      <c r="FL402" s="591"/>
      <c r="FM402" s="591"/>
      <c r="FN402" s="591"/>
      <c r="FO402" s="591"/>
      <c r="FP402" s="591"/>
      <c r="FQ402" s="591"/>
      <c r="FR402" s="591"/>
      <c r="FS402" s="591"/>
      <c r="FT402" s="591"/>
      <c r="FU402" s="591"/>
      <c r="FV402" s="591"/>
      <c r="FW402" s="591"/>
      <c r="FX402" s="591"/>
      <c r="FY402" s="591"/>
      <c r="FZ402" s="591"/>
      <c r="GA402" s="591"/>
      <c r="GB402" s="591"/>
      <c r="GC402" s="591"/>
      <c r="GD402" s="591"/>
      <c r="GE402" s="591"/>
      <c r="GF402" s="591"/>
      <c r="GG402" s="591"/>
      <c r="GH402" s="591"/>
      <c r="GI402" s="591"/>
      <c r="GJ402" s="591"/>
      <c r="GK402" s="591"/>
      <c r="GL402" s="591"/>
      <c r="GM402" s="591"/>
      <c r="GN402" s="591"/>
      <c r="GO402" s="591"/>
      <c r="GP402" s="591"/>
      <c r="GQ402" s="591"/>
      <c r="GR402" s="591"/>
      <c r="GS402" s="591"/>
      <c r="GT402" s="591"/>
      <c r="GU402" s="591"/>
      <c r="GV402" s="591"/>
      <c r="GW402" s="591"/>
      <c r="GX402" s="591"/>
      <c r="GY402" s="591"/>
      <c r="GZ402" s="591"/>
      <c r="HA402" s="591"/>
      <c r="HB402" s="591"/>
      <c r="HC402" s="591"/>
      <c r="HD402" s="591"/>
      <c r="HE402" s="591"/>
      <c r="HF402" s="591"/>
      <c r="HG402" s="591"/>
      <c r="HH402" s="591"/>
      <c r="HI402" s="591"/>
      <c r="HJ402" s="591"/>
      <c r="HK402" s="591"/>
      <c r="HL402" s="591"/>
      <c r="HM402" s="591"/>
      <c r="HN402" s="591"/>
      <c r="HO402" s="591"/>
      <c r="HP402" s="606"/>
      <c r="HQ402" s="523"/>
      <c r="HR402" s="606"/>
      <c r="HS402" s="671"/>
      <c r="HY402" s="509"/>
      <c r="HZ402" s="509"/>
      <c r="IA402" s="509"/>
      <c r="IB402" s="509"/>
    </row>
    <row r="403" spans="1:236" s="563" customFormat="1" hidden="1" outlineLevel="1">
      <c r="A403" s="509"/>
      <c r="B403" s="509"/>
      <c r="C403" s="509"/>
      <c r="D403" s="509"/>
      <c r="E403" s="509"/>
      <c r="F403" s="509"/>
      <c r="G403" s="509"/>
      <c r="H403" s="509"/>
      <c r="I403" s="509"/>
      <c r="J403" s="509"/>
      <c r="K403" s="509"/>
      <c r="L403" s="509"/>
      <c r="M403" s="509"/>
      <c r="N403" s="509"/>
      <c r="O403" s="509"/>
      <c r="P403" s="509"/>
      <c r="Q403" s="509"/>
      <c r="R403" s="509"/>
      <c r="S403" s="509"/>
      <c r="T403" s="509"/>
      <c r="U403" s="509"/>
      <c r="V403" s="509"/>
      <c r="W403" s="509"/>
      <c r="X403" s="509"/>
      <c r="Y403" s="509"/>
      <c r="Z403" s="509"/>
      <c r="AA403" s="509"/>
      <c r="AB403" s="509"/>
      <c r="AC403" s="509"/>
      <c r="AD403" s="509"/>
      <c r="AE403" s="509"/>
      <c r="AF403" s="509"/>
      <c r="AG403" s="509"/>
      <c r="AH403" s="509"/>
      <c r="AI403" s="509"/>
      <c r="AJ403" s="509"/>
      <c r="AK403" s="509"/>
      <c r="AL403" s="509"/>
      <c r="AM403" s="509"/>
      <c r="AN403" s="509"/>
      <c r="AO403" s="538"/>
      <c r="AP403" s="509"/>
      <c r="AQ403" s="509"/>
      <c r="AR403" s="509"/>
      <c r="AS403" s="509"/>
      <c r="AT403" s="538"/>
      <c r="AU403" s="509"/>
      <c r="AV403" s="509"/>
      <c r="AW403" s="509"/>
      <c r="AX403" s="509"/>
      <c r="AY403" s="538"/>
      <c r="AZ403" s="509"/>
      <c r="BA403" s="509"/>
      <c r="BB403" s="509"/>
      <c r="BC403" s="509"/>
      <c r="BD403" s="538"/>
      <c r="BE403" s="509"/>
      <c r="BF403" s="509"/>
      <c r="BG403" s="509"/>
      <c r="BH403" s="509"/>
      <c r="BI403" s="538"/>
      <c r="BJ403" s="509"/>
      <c r="BK403" s="509"/>
      <c r="BL403" s="509"/>
      <c r="BM403" s="509"/>
      <c r="BN403" s="538"/>
      <c r="BO403" s="509"/>
      <c r="BP403" s="509"/>
      <c r="BQ403" s="509"/>
      <c r="BR403" s="509"/>
      <c r="BS403" s="538"/>
      <c r="BT403" s="509"/>
      <c r="BU403" s="509"/>
      <c r="BV403" s="509"/>
      <c r="BW403" s="509"/>
      <c r="BX403" s="538"/>
      <c r="BY403" s="509"/>
      <c r="BZ403" s="509"/>
      <c r="CA403" s="509"/>
      <c r="CB403" s="509"/>
      <c r="CC403" s="538"/>
      <c r="CD403" s="509"/>
      <c r="CE403" s="509"/>
      <c r="CF403" s="509"/>
      <c r="CG403" s="509"/>
      <c r="CH403" s="538"/>
      <c r="CI403" s="509"/>
      <c r="CJ403" s="509"/>
      <c r="CK403" s="509"/>
      <c r="CL403" s="509"/>
      <c r="CM403" s="538"/>
      <c r="CN403" s="509"/>
      <c r="CO403" s="509"/>
      <c r="CP403" s="509"/>
      <c r="CQ403" s="509"/>
      <c r="CR403" s="509"/>
      <c r="CS403" s="509"/>
      <c r="CT403" s="509"/>
      <c r="CU403" s="509"/>
      <c r="CV403" s="509"/>
      <c r="CW403" s="509"/>
      <c r="CX403" s="509"/>
      <c r="CY403" s="509"/>
      <c r="CZ403" s="509"/>
      <c r="DA403" s="509"/>
      <c r="DB403" s="538"/>
      <c r="DC403" s="509"/>
      <c r="DD403" s="509"/>
      <c r="DE403" s="509"/>
      <c r="DF403" s="509"/>
      <c r="DG403" s="538"/>
      <c r="DH403" s="509"/>
      <c r="DI403" s="509"/>
      <c r="DJ403" s="509"/>
      <c r="DK403" s="509"/>
      <c r="DL403" s="538"/>
      <c r="DM403" s="509"/>
      <c r="DN403" s="509"/>
      <c r="DO403" s="509"/>
      <c r="DP403" s="509"/>
      <c r="DQ403" s="538"/>
      <c r="DR403" s="509"/>
      <c r="DS403" s="509"/>
      <c r="DT403" s="509"/>
      <c r="DU403" s="509"/>
      <c r="DV403" s="538"/>
      <c r="DW403" s="509"/>
      <c r="DX403" s="509"/>
      <c r="DY403" s="509"/>
      <c r="DZ403" s="509"/>
      <c r="EA403" s="538"/>
      <c r="EB403" s="509"/>
      <c r="EC403" s="509"/>
      <c r="ED403" s="509"/>
      <c r="EE403" s="509"/>
      <c r="EF403" s="538"/>
      <c r="EG403" s="509"/>
      <c r="EH403" s="509"/>
      <c r="EI403" s="509"/>
      <c r="EJ403" s="509"/>
      <c r="EK403" s="538"/>
      <c r="EL403" s="509"/>
      <c r="EM403" s="509"/>
      <c r="EN403" s="509"/>
      <c r="EO403" s="509"/>
      <c r="EP403" s="538"/>
      <c r="EQ403" s="538"/>
      <c r="ER403" s="538"/>
      <c r="ES403" s="538"/>
      <c r="ET403" s="538"/>
      <c r="EU403" s="538"/>
      <c r="EV403" s="538"/>
      <c r="EW403" s="538"/>
      <c r="EX403" s="538"/>
      <c r="EY403" s="538"/>
      <c r="EZ403" s="538"/>
      <c r="FA403" s="538"/>
      <c r="FB403" s="538"/>
      <c r="FC403" s="538"/>
      <c r="FD403" s="538"/>
      <c r="FE403" s="538"/>
      <c r="FF403" s="538"/>
      <c r="FG403" s="538"/>
      <c r="FH403" s="538"/>
      <c r="FI403" s="538"/>
      <c r="FJ403" s="538"/>
      <c r="FK403" s="538"/>
      <c r="FL403" s="538"/>
      <c r="FM403" s="538"/>
      <c r="FN403" s="538"/>
      <c r="FO403" s="538"/>
      <c r="FP403" s="538"/>
      <c r="FQ403" s="538"/>
      <c r="FR403" s="538"/>
      <c r="FS403" s="538"/>
      <c r="FT403" s="538"/>
      <c r="FU403" s="538"/>
      <c r="FV403" s="538"/>
      <c r="FW403" s="538"/>
      <c r="FX403" s="538"/>
      <c r="FY403" s="538"/>
      <c r="FZ403" s="538"/>
      <c r="GA403" s="538"/>
      <c r="GB403" s="538"/>
      <c r="GC403" s="538"/>
      <c r="GD403" s="538"/>
      <c r="GE403" s="538"/>
      <c r="GF403" s="538"/>
      <c r="GG403" s="538"/>
      <c r="GH403" s="538"/>
      <c r="GI403" s="538"/>
      <c r="GJ403" s="538"/>
      <c r="GK403" s="538"/>
      <c r="GL403" s="538"/>
      <c r="GM403" s="538"/>
      <c r="GN403" s="538"/>
      <c r="GO403" s="538"/>
      <c r="GP403" s="538"/>
      <c r="GQ403" s="538"/>
      <c r="GR403" s="538"/>
      <c r="GS403" s="538"/>
      <c r="GT403" s="538"/>
      <c r="GU403" s="538"/>
      <c r="GV403" s="538"/>
      <c r="GW403" s="538"/>
      <c r="GX403" s="538"/>
      <c r="GY403" s="538"/>
      <c r="GZ403" s="538"/>
      <c r="HA403" s="538"/>
      <c r="HB403" s="538"/>
      <c r="HC403" s="538"/>
      <c r="HD403" s="538"/>
      <c r="HE403" s="538"/>
      <c r="HF403" s="538"/>
      <c r="HG403" s="538"/>
      <c r="HH403" s="538"/>
      <c r="HI403" s="538"/>
      <c r="HJ403" s="538"/>
      <c r="HK403" s="538"/>
      <c r="HL403" s="538"/>
      <c r="HM403" s="538"/>
      <c r="HN403" s="538"/>
      <c r="HO403" s="538"/>
      <c r="HQ403" s="509"/>
      <c r="HY403" s="509"/>
      <c r="HZ403" s="509"/>
      <c r="IA403" s="509"/>
      <c r="IB403" s="509"/>
    </row>
    <row r="404" spans="1:236" s="563" customFormat="1" hidden="1" outlineLevel="1">
      <c r="A404" s="509"/>
      <c r="B404" s="509"/>
      <c r="C404" s="509"/>
      <c r="D404" s="509"/>
      <c r="E404" s="509"/>
      <c r="F404" s="509"/>
      <c r="G404" s="509"/>
      <c r="H404" s="509"/>
      <c r="I404" s="509"/>
      <c r="J404" s="509"/>
      <c r="K404" s="509"/>
      <c r="L404" s="509"/>
      <c r="M404" s="509"/>
      <c r="N404" s="509"/>
      <c r="O404" s="509"/>
      <c r="P404" s="509"/>
      <c r="Q404" s="509"/>
      <c r="R404" s="509"/>
      <c r="S404" s="509"/>
      <c r="T404" s="509"/>
      <c r="U404" s="509"/>
      <c r="V404" s="509"/>
      <c r="W404" s="509"/>
      <c r="X404" s="509"/>
      <c r="Y404" s="509"/>
      <c r="Z404" s="509"/>
      <c r="AA404" s="509"/>
      <c r="AB404" s="509"/>
      <c r="AC404" s="509"/>
      <c r="AD404" s="509"/>
      <c r="AE404" s="509"/>
      <c r="AF404" s="509"/>
      <c r="AG404" s="509"/>
      <c r="AH404" s="509"/>
      <c r="AI404" s="509"/>
      <c r="AJ404" s="509"/>
      <c r="AK404" s="509"/>
      <c r="AL404" s="509"/>
      <c r="AM404" s="509"/>
      <c r="AN404" s="509"/>
      <c r="AO404" s="538"/>
      <c r="AP404" s="509"/>
      <c r="AQ404" s="509"/>
      <c r="AR404" s="509"/>
      <c r="AS404" s="509"/>
      <c r="AT404" s="538"/>
      <c r="AU404" s="509"/>
      <c r="AV404" s="509"/>
      <c r="AW404" s="509"/>
      <c r="AX404" s="509"/>
      <c r="AY404" s="538"/>
      <c r="AZ404" s="509"/>
      <c r="BA404" s="509"/>
      <c r="BB404" s="509"/>
      <c r="BC404" s="509"/>
      <c r="BD404" s="538"/>
      <c r="BE404" s="509"/>
      <c r="BF404" s="509"/>
      <c r="BG404" s="509"/>
      <c r="BH404" s="509"/>
      <c r="BI404" s="538"/>
      <c r="BJ404" s="509"/>
      <c r="BK404" s="509"/>
      <c r="BL404" s="509"/>
      <c r="BM404" s="509"/>
      <c r="BN404" s="538"/>
      <c r="BO404" s="509"/>
      <c r="BP404" s="509"/>
      <c r="BQ404" s="509"/>
      <c r="BR404" s="509"/>
      <c r="BS404" s="538"/>
      <c r="BT404" s="509"/>
      <c r="BU404" s="509"/>
      <c r="BV404" s="509"/>
      <c r="BW404" s="509"/>
      <c r="BX404" s="538"/>
      <c r="BY404" s="509"/>
      <c r="BZ404" s="509"/>
      <c r="CA404" s="509"/>
      <c r="CB404" s="509"/>
      <c r="CC404" s="538"/>
      <c r="CD404" s="509"/>
      <c r="CE404" s="509"/>
      <c r="CF404" s="509"/>
      <c r="CG404" s="509"/>
      <c r="CH404" s="538"/>
      <c r="CI404" s="509"/>
      <c r="CJ404" s="509"/>
      <c r="CK404" s="509"/>
      <c r="CL404" s="509"/>
      <c r="CM404" s="538"/>
      <c r="CN404" s="509"/>
      <c r="CO404" s="509"/>
      <c r="CP404" s="509"/>
      <c r="CQ404" s="509"/>
      <c r="CR404" s="509"/>
      <c r="CS404" s="509"/>
      <c r="CT404" s="509"/>
      <c r="CU404" s="509"/>
      <c r="CV404" s="509"/>
      <c r="CW404" s="509"/>
      <c r="CX404" s="509"/>
      <c r="CY404" s="509"/>
      <c r="CZ404" s="509"/>
      <c r="DA404" s="509"/>
      <c r="DB404" s="538"/>
      <c r="DC404" s="509"/>
      <c r="DD404" s="509"/>
      <c r="DE404" s="509"/>
      <c r="DF404" s="509"/>
      <c r="DG404" s="538"/>
      <c r="DH404" s="509"/>
      <c r="DI404" s="509"/>
      <c r="DJ404" s="509"/>
      <c r="DK404" s="509"/>
      <c r="DL404" s="538"/>
      <c r="DM404" s="509"/>
      <c r="DN404" s="509"/>
      <c r="DO404" s="509"/>
      <c r="DP404" s="509"/>
      <c r="DQ404" s="538"/>
      <c r="DR404" s="509"/>
      <c r="DS404" s="509"/>
      <c r="DT404" s="509"/>
      <c r="DU404" s="509"/>
      <c r="DV404" s="538"/>
      <c r="DW404" s="509"/>
      <c r="DX404" s="509"/>
      <c r="DY404" s="509"/>
      <c r="DZ404" s="509"/>
      <c r="EA404" s="538"/>
      <c r="EB404" s="509"/>
      <c r="EC404" s="509"/>
      <c r="ED404" s="509"/>
      <c r="EE404" s="509"/>
      <c r="EF404" s="538"/>
      <c r="EG404" s="509"/>
      <c r="EH404" s="509"/>
      <c r="EI404" s="509"/>
      <c r="EJ404" s="509"/>
      <c r="EK404" s="538"/>
      <c r="EL404" s="509"/>
      <c r="EM404" s="509"/>
      <c r="EN404" s="509"/>
      <c r="EO404" s="509"/>
      <c r="EP404" s="538"/>
      <c r="EQ404" s="538"/>
      <c r="ER404" s="538"/>
      <c r="ES404" s="538"/>
      <c r="ET404" s="538"/>
      <c r="EU404" s="538"/>
      <c r="EV404" s="538"/>
      <c r="EW404" s="538"/>
      <c r="EX404" s="538"/>
      <c r="EY404" s="538"/>
      <c r="EZ404" s="538"/>
      <c r="FA404" s="538"/>
      <c r="FB404" s="538"/>
      <c r="FC404" s="538"/>
      <c r="FD404" s="538"/>
      <c r="FE404" s="538"/>
      <c r="FF404" s="538"/>
      <c r="FG404" s="538"/>
      <c r="FH404" s="538"/>
      <c r="FI404" s="538"/>
      <c r="FJ404" s="538"/>
      <c r="FK404" s="538"/>
      <c r="FL404" s="538"/>
      <c r="FM404" s="538"/>
      <c r="FN404" s="538"/>
      <c r="FO404" s="538"/>
      <c r="FP404" s="538"/>
      <c r="FQ404" s="538"/>
      <c r="FR404" s="538"/>
      <c r="FS404" s="538"/>
      <c r="FT404" s="538"/>
      <c r="FU404" s="538"/>
      <c r="FV404" s="538"/>
      <c r="FW404" s="538"/>
      <c r="FX404" s="538"/>
      <c r="FY404" s="538"/>
      <c r="FZ404" s="538"/>
      <c r="GA404" s="538"/>
      <c r="GB404" s="538"/>
      <c r="GC404" s="538"/>
      <c r="GD404" s="538"/>
      <c r="GE404" s="538"/>
      <c r="GF404" s="538"/>
      <c r="GG404" s="538"/>
      <c r="GH404" s="538"/>
      <c r="GI404" s="538"/>
      <c r="GJ404" s="538"/>
      <c r="GK404" s="538"/>
      <c r="GL404" s="538"/>
      <c r="GM404" s="538"/>
      <c r="GN404" s="538"/>
      <c r="GO404" s="538"/>
      <c r="GP404" s="538"/>
      <c r="GQ404" s="538"/>
      <c r="GR404" s="538"/>
      <c r="GS404" s="538"/>
      <c r="GT404" s="538"/>
      <c r="GU404" s="538"/>
      <c r="GV404" s="538"/>
      <c r="GW404" s="538"/>
      <c r="GX404" s="538"/>
      <c r="GY404" s="538"/>
      <c r="GZ404" s="538"/>
      <c r="HA404" s="538"/>
      <c r="HB404" s="538"/>
      <c r="HC404" s="538"/>
      <c r="HD404" s="538"/>
      <c r="HE404" s="538"/>
      <c r="HF404" s="538"/>
      <c r="HG404" s="538"/>
      <c r="HH404" s="538"/>
      <c r="HI404" s="538"/>
      <c r="HJ404" s="538"/>
      <c r="HK404" s="538"/>
      <c r="HL404" s="538"/>
      <c r="HM404" s="538"/>
      <c r="HN404" s="538"/>
      <c r="HO404" s="538"/>
      <c r="HQ404" s="509"/>
      <c r="HY404" s="509"/>
      <c r="HZ404" s="509"/>
      <c r="IA404" s="509"/>
      <c r="IB404" s="509"/>
    </row>
    <row r="405" spans="1:236" s="563" customFormat="1" collapsed="1">
      <c r="A405" s="509"/>
      <c r="B405" s="509"/>
      <c r="C405" s="509"/>
      <c r="D405" s="509"/>
      <c r="E405" s="509"/>
      <c r="F405" s="509"/>
      <c r="G405" s="509"/>
      <c r="H405" s="509"/>
      <c r="I405" s="509"/>
      <c r="J405" s="509"/>
      <c r="K405" s="509"/>
      <c r="L405" s="509"/>
      <c r="M405" s="509"/>
      <c r="N405" s="509"/>
      <c r="O405" s="509"/>
      <c r="P405" s="509"/>
      <c r="Q405" s="509"/>
      <c r="R405" s="509"/>
      <c r="S405" s="509"/>
      <c r="T405" s="509"/>
      <c r="U405" s="509"/>
      <c r="V405" s="509"/>
      <c r="W405" s="509"/>
      <c r="X405" s="509"/>
      <c r="Y405" s="509"/>
      <c r="Z405" s="509"/>
      <c r="AA405" s="509"/>
      <c r="AB405" s="509"/>
      <c r="AC405" s="509"/>
      <c r="AD405" s="509"/>
      <c r="AE405" s="509"/>
      <c r="AF405" s="509"/>
      <c r="AG405" s="509"/>
      <c r="AH405" s="509"/>
      <c r="AI405" s="509"/>
      <c r="AJ405" s="509"/>
      <c r="AK405" s="509"/>
      <c r="AL405" s="509"/>
      <c r="AM405" s="509"/>
      <c r="AN405" s="509"/>
      <c r="AO405" s="538"/>
      <c r="AP405" s="509"/>
      <c r="AQ405" s="509"/>
      <c r="AR405" s="509"/>
      <c r="AS405" s="509"/>
      <c r="AT405" s="538"/>
      <c r="AU405" s="509"/>
      <c r="AV405" s="509"/>
      <c r="AW405" s="509"/>
      <c r="AX405" s="509"/>
      <c r="AY405" s="538"/>
      <c r="AZ405" s="509"/>
      <c r="BA405" s="509"/>
      <c r="BB405" s="509"/>
      <c r="BC405" s="509"/>
      <c r="BD405" s="538"/>
      <c r="BE405" s="509"/>
      <c r="BF405" s="509"/>
      <c r="BG405" s="509"/>
      <c r="BH405" s="509"/>
      <c r="BI405" s="538"/>
      <c r="BJ405" s="509"/>
      <c r="BK405" s="509"/>
      <c r="BL405" s="509"/>
      <c r="BM405" s="509"/>
      <c r="BN405" s="538"/>
      <c r="BO405" s="509"/>
      <c r="BP405" s="509"/>
      <c r="BQ405" s="509"/>
      <c r="BR405" s="509"/>
      <c r="BS405" s="538"/>
      <c r="BT405" s="509"/>
      <c r="BU405" s="509"/>
      <c r="BV405" s="509"/>
      <c r="BW405" s="509"/>
      <c r="BX405" s="538"/>
      <c r="BY405" s="509"/>
      <c r="BZ405" s="509"/>
      <c r="CA405" s="509"/>
      <c r="CB405" s="509"/>
      <c r="CC405" s="538"/>
      <c r="CD405" s="509"/>
      <c r="CE405" s="509"/>
      <c r="CF405" s="509"/>
      <c r="CG405" s="509"/>
      <c r="CH405" s="538"/>
      <c r="CI405" s="509"/>
      <c r="CJ405" s="509"/>
      <c r="CK405" s="509"/>
      <c r="CL405" s="509"/>
      <c r="CM405" s="538"/>
      <c r="CN405" s="509"/>
      <c r="CO405" s="509"/>
      <c r="CP405" s="509"/>
      <c r="CQ405" s="509"/>
      <c r="CR405" s="509"/>
      <c r="CS405" s="509"/>
      <c r="CT405" s="509"/>
      <c r="CU405" s="509"/>
      <c r="CV405" s="509"/>
      <c r="CW405" s="509"/>
      <c r="CX405" s="509"/>
      <c r="CY405" s="509"/>
      <c r="CZ405" s="509"/>
      <c r="DA405" s="509"/>
      <c r="DB405" s="538"/>
      <c r="DC405" s="509"/>
      <c r="DD405" s="509"/>
      <c r="DE405" s="509"/>
      <c r="DF405" s="509"/>
      <c r="DG405" s="538"/>
      <c r="DH405" s="509"/>
      <c r="DI405" s="509"/>
      <c r="DJ405" s="509"/>
      <c r="DK405" s="509"/>
      <c r="DL405" s="538"/>
      <c r="DM405" s="509"/>
      <c r="DN405" s="509"/>
      <c r="DO405" s="509"/>
      <c r="DP405" s="509"/>
      <c r="DQ405" s="538"/>
      <c r="DR405" s="509"/>
      <c r="DS405" s="509"/>
      <c r="DT405" s="509"/>
      <c r="DU405" s="509"/>
      <c r="DV405" s="538"/>
      <c r="DW405" s="509"/>
      <c r="DX405" s="509"/>
      <c r="DY405" s="509"/>
      <c r="DZ405" s="509"/>
      <c r="EA405" s="538"/>
      <c r="EB405" s="509"/>
      <c r="EC405" s="509"/>
      <c r="ED405" s="509"/>
      <c r="EE405" s="509"/>
      <c r="EF405" s="538"/>
      <c r="EG405" s="509"/>
      <c r="EH405" s="509"/>
      <c r="EI405" s="509"/>
      <c r="EJ405" s="509"/>
      <c r="EK405" s="538"/>
      <c r="EL405" s="509"/>
      <c r="EM405" s="509"/>
      <c r="EN405" s="509"/>
      <c r="EO405" s="509"/>
      <c r="EP405" s="538"/>
      <c r="EQ405" s="538"/>
      <c r="ER405" s="538"/>
      <c r="ES405" s="538"/>
      <c r="ET405" s="538"/>
      <c r="EU405" s="538"/>
      <c r="EV405" s="538"/>
      <c r="EW405" s="538"/>
      <c r="EX405" s="538"/>
      <c r="EY405" s="538"/>
      <c r="EZ405" s="538"/>
      <c r="FA405" s="538"/>
      <c r="FB405" s="538"/>
      <c r="FC405" s="538"/>
      <c r="FD405" s="538"/>
      <c r="FE405" s="538"/>
      <c r="FF405" s="538"/>
      <c r="FG405" s="538"/>
      <c r="FH405" s="538"/>
      <c r="FI405" s="538"/>
      <c r="FJ405" s="538"/>
      <c r="FK405" s="538"/>
      <c r="FL405" s="538"/>
      <c r="FM405" s="538"/>
      <c r="FN405" s="538"/>
      <c r="FO405" s="538"/>
      <c r="FP405" s="538"/>
      <c r="FQ405" s="538"/>
      <c r="FR405" s="538"/>
      <c r="FS405" s="538"/>
      <c r="FT405" s="538"/>
      <c r="FU405" s="538"/>
      <c r="FV405" s="538"/>
      <c r="FW405" s="538"/>
      <c r="FX405" s="538"/>
      <c r="FY405" s="538"/>
      <c r="FZ405" s="538"/>
      <c r="GA405" s="538"/>
      <c r="GB405" s="538"/>
      <c r="GC405" s="538"/>
      <c r="GD405" s="538"/>
      <c r="GE405" s="538"/>
      <c r="GF405" s="538"/>
      <c r="GG405" s="538"/>
      <c r="GH405" s="538"/>
      <c r="GI405" s="538"/>
      <c r="GJ405" s="538"/>
      <c r="GK405" s="538"/>
      <c r="GL405" s="538"/>
      <c r="GM405" s="538"/>
      <c r="GN405" s="538"/>
      <c r="GO405" s="538"/>
      <c r="GP405" s="538"/>
      <c r="GQ405" s="538"/>
      <c r="GR405" s="538"/>
      <c r="GS405" s="538"/>
      <c r="GT405" s="538"/>
      <c r="GU405" s="538"/>
      <c r="GV405" s="538"/>
      <c r="GW405" s="538"/>
      <c r="GX405" s="538"/>
      <c r="GY405" s="538"/>
      <c r="GZ405" s="538"/>
      <c r="HA405" s="538"/>
      <c r="HB405" s="538"/>
      <c r="HC405" s="538"/>
      <c r="HD405" s="538"/>
      <c r="HE405" s="538"/>
      <c r="HF405" s="538"/>
      <c r="HG405" s="538"/>
      <c r="HH405" s="538"/>
      <c r="HI405" s="538"/>
      <c r="HJ405" s="538"/>
      <c r="HK405" s="538"/>
      <c r="HL405" s="538"/>
      <c r="HM405" s="538"/>
      <c r="HN405" s="538"/>
      <c r="HO405" s="538"/>
      <c r="HQ405" s="509"/>
      <c r="HY405" s="509"/>
      <c r="HZ405" s="509"/>
      <c r="IA405" s="509"/>
      <c r="IB405" s="509"/>
    </row>
    <row r="406" spans="1:236" s="509" customFormat="1">
      <c r="AO406" s="538"/>
      <c r="AT406" s="538"/>
      <c r="AY406" s="538"/>
      <c r="BD406" s="538"/>
      <c r="BI406" s="538"/>
      <c r="BN406" s="538"/>
      <c r="BS406" s="538"/>
      <c r="BX406" s="538"/>
      <c r="CC406" s="538"/>
      <c r="CH406" s="538"/>
      <c r="CM406" s="538"/>
      <c r="DB406" s="538"/>
      <c r="DG406" s="538"/>
      <c r="DL406" s="538"/>
      <c r="DQ406" s="538"/>
      <c r="DV406" s="538"/>
      <c r="EA406" s="538"/>
      <c r="EF406" s="538"/>
      <c r="EK406" s="538"/>
      <c r="EP406" s="538"/>
      <c r="EQ406" s="538"/>
      <c r="ER406" s="538"/>
      <c r="ES406" s="538"/>
      <c r="ET406" s="538"/>
      <c r="EU406" s="538"/>
      <c r="EV406" s="538"/>
      <c r="EW406" s="538"/>
      <c r="EX406" s="538"/>
      <c r="EY406" s="538"/>
      <c r="EZ406" s="538"/>
      <c r="FA406" s="538"/>
      <c r="FB406" s="538"/>
      <c r="FC406" s="538"/>
      <c r="FD406" s="538"/>
      <c r="FE406" s="538"/>
      <c r="FF406" s="538"/>
      <c r="FG406" s="538"/>
      <c r="FH406" s="538"/>
      <c r="FI406" s="538"/>
      <c r="FJ406" s="538"/>
      <c r="FK406" s="538"/>
      <c r="FL406" s="538"/>
      <c r="FM406" s="538"/>
      <c r="FN406" s="538"/>
      <c r="FO406" s="538"/>
      <c r="FP406" s="538"/>
      <c r="FQ406" s="538"/>
      <c r="FR406" s="538"/>
      <c r="FS406" s="538"/>
      <c r="FT406" s="538"/>
      <c r="FU406" s="538"/>
      <c r="FV406" s="538"/>
      <c r="FW406" s="538"/>
      <c r="FX406" s="538"/>
      <c r="FY406" s="538"/>
      <c r="FZ406" s="538"/>
      <c r="GA406" s="538"/>
      <c r="GB406" s="538"/>
      <c r="GC406" s="538"/>
      <c r="GD406" s="538"/>
      <c r="GE406" s="538"/>
      <c r="GF406" s="538"/>
      <c r="GG406" s="538"/>
      <c r="GH406" s="538"/>
      <c r="GI406" s="538"/>
      <c r="GJ406" s="538"/>
      <c r="GK406" s="538"/>
      <c r="GL406" s="538"/>
      <c r="GM406" s="538"/>
      <c r="GN406" s="538"/>
      <c r="GO406" s="538"/>
      <c r="GP406" s="538"/>
      <c r="GQ406" s="538"/>
      <c r="GR406" s="538"/>
      <c r="GS406" s="538"/>
      <c r="GT406" s="538"/>
      <c r="GU406" s="538"/>
      <c r="GV406" s="538"/>
      <c r="GW406" s="538"/>
      <c r="GX406" s="538"/>
      <c r="GY406" s="538"/>
      <c r="GZ406" s="538"/>
      <c r="HA406" s="538"/>
      <c r="HB406" s="538"/>
      <c r="HC406" s="538"/>
      <c r="HD406" s="538"/>
      <c r="HE406" s="538"/>
      <c r="HF406" s="538"/>
      <c r="HG406" s="538"/>
      <c r="HH406" s="538"/>
      <c r="HI406" s="538"/>
      <c r="HJ406" s="538"/>
      <c r="HK406" s="538"/>
      <c r="HL406" s="538"/>
      <c r="HM406" s="538"/>
      <c r="HN406" s="538"/>
      <c r="HO406" s="538"/>
      <c r="HP406" s="563"/>
      <c r="HR406" s="563"/>
      <c r="HS406" s="563"/>
      <c r="HT406" s="563"/>
      <c r="HU406" s="563"/>
      <c r="HV406" s="563"/>
      <c r="HW406" s="563"/>
      <c r="HX406" s="563"/>
    </row>
    <row r="407" spans="1:236" s="509" customFormat="1">
      <c r="AO407" s="538"/>
      <c r="AT407" s="538"/>
      <c r="AY407" s="538"/>
      <c r="BD407" s="538"/>
      <c r="BI407" s="538"/>
      <c r="BN407" s="538"/>
      <c r="BS407" s="538"/>
      <c r="BX407" s="538"/>
      <c r="CC407" s="538"/>
      <c r="CH407" s="538"/>
      <c r="CM407" s="538"/>
      <c r="DB407" s="538"/>
      <c r="DG407" s="538"/>
      <c r="DL407" s="538"/>
      <c r="DQ407" s="538"/>
      <c r="DV407" s="538"/>
      <c r="EA407" s="538"/>
      <c r="EF407" s="538"/>
      <c r="EK407" s="538"/>
      <c r="EP407" s="538"/>
      <c r="EQ407" s="538"/>
      <c r="ER407" s="538"/>
      <c r="ES407" s="538"/>
      <c r="ET407" s="538"/>
      <c r="EU407" s="538"/>
      <c r="EV407" s="538"/>
      <c r="EW407" s="538"/>
      <c r="EX407" s="538"/>
      <c r="EY407" s="538"/>
      <c r="EZ407" s="538"/>
      <c r="FA407" s="538"/>
      <c r="FB407" s="538"/>
      <c r="FC407" s="538"/>
      <c r="FD407" s="538"/>
      <c r="FE407" s="538"/>
      <c r="FF407" s="538"/>
      <c r="FG407" s="538"/>
      <c r="FH407" s="538"/>
      <c r="FI407" s="538"/>
      <c r="FJ407" s="538"/>
      <c r="FK407" s="538"/>
      <c r="FL407" s="538"/>
      <c r="FM407" s="538"/>
      <c r="FN407" s="538"/>
      <c r="FO407" s="538"/>
      <c r="FP407" s="538"/>
      <c r="FQ407" s="538"/>
      <c r="FR407" s="538"/>
      <c r="FS407" s="538"/>
      <c r="FT407" s="538"/>
      <c r="FU407" s="538"/>
      <c r="FV407" s="538"/>
      <c r="FW407" s="538"/>
      <c r="FX407" s="538"/>
      <c r="FY407" s="538"/>
      <c r="FZ407" s="538"/>
      <c r="GA407" s="538"/>
      <c r="GB407" s="538"/>
      <c r="GC407" s="538"/>
      <c r="GD407" s="538"/>
      <c r="GE407" s="538"/>
      <c r="GF407" s="538"/>
      <c r="GG407" s="538"/>
      <c r="GH407" s="538"/>
      <c r="GI407" s="538"/>
      <c r="GJ407" s="538"/>
      <c r="GK407" s="538"/>
      <c r="GL407" s="538"/>
      <c r="GM407" s="538"/>
      <c r="GN407" s="538"/>
      <c r="GO407" s="538"/>
      <c r="GP407" s="538"/>
      <c r="GQ407" s="538"/>
      <c r="GR407" s="538"/>
      <c r="GS407" s="538"/>
      <c r="GT407" s="538"/>
      <c r="GU407" s="538"/>
      <c r="GV407" s="538"/>
      <c r="GW407" s="538"/>
      <c r="GX407" s="538"/>
      <c r="GY407" s="538"/>
      <c r="GZ407" s="538"/>
      <c r="HA407" s="538"/>
      <c r="HB407" s="538"/>
      <c r="HC407" s="538"/>
      <c r="HD407" s="538"/>
      <c r="HE407" s="538"/>
      <c r="HF407" s="538"/>
      <c r="HG407" s="538"/>
      <c r="HH407" s="538"/>
      <c r="HI407" s="538"/>
      <c r="HJ407" s="538"/>
      <c r="HK407" s="538"/>
      <c r="HL407" s="538"/>
      <c r="HM407" s="538"/>
      <c r="HN407" s="538"/>
      <c r="HO407" s="538"/>
      <c r="HP407" s="563"/>
      <c r="HR407" s="563"/>
      <c r="HS407" s="563"/>
      <c r="HT407" s="563"/>
      <c r="HU407" s="563"/>
      <c r="HV407" s="563"/>
      <c r="HW407" s="563"/>
      <c r="HX407" s="563"/>
    </row>
    <row r="408" spans="1:236" s="509" customFormat="1">
      <c r="AO408" s="538"/>
      <c r="AT408" s="538"/>
      <c r="AY408" s="538"/>
      <c r="BD408" s="538"/>
      <c r="BI408" s="538"/>
      <c r="BN408" s="538"/>
      <c r="BS408" s="538"/>
      <c r="BX408" s="538"/>
      <c r="CC408" s="538"/>
      <c r="CH408" s="538"/>
      <c r="CM408" s="538"/>
      <c r="DB408" s="538"/>
      <c r="DG408" s="538"/>
      <c r="DL408" s="538"/>
      <c r="DQ408" s="538"/>
      <c r="DV408" s="538"/>
      <c r="EA408" s="538"/>
      <c r="EF408" s="538"/>
      <c r="EK408" s="538"/>
      <c r="EP408" s="538"/>
      <c r="EQ408" s="538"/>
      <c r="ER408" s="538"/>
      <c r="ES408" s="538"/>
      <c r="ET408" s="538"/>
      <c r="EU408" s="538"/>
      <c r="EV408" s="538"/>
      <c r="EW408" s="538"/>
      <c r="EX408" s="538"/>
      <c r="EY408" s="538"/>
      <c r="EZ408" s="538"/>
      <c r="FA408" s="538"/>
      <c r="FB408" s="538"/>
      <c r="FC408" s="538"/>
      <c r="FD408" s="538"/>
      <c r="FE408" s="538"/>
      <c r="FF408" s="538"/>
      <c r="FG408" s="538"/>
      <c r="FH408" s="538"/>
      <c r="FI408" s="538"/>
      <c r="FJ408" s="538"/>
      <c r="FK408" s="538"/>
      <c r="FL408" s="538"/>
      <c r="FM408" s="538"/>
      <c r="FN408" s="538"/>
      <c r="FO408" s="538"/>
      <c r="FP408" s="538"/>
      <c r="FQ408" s="538"/>
      <c r="FR408" s="538"/>
      <c r="FS408" s="538"/>
      <c r="FT408" s="538"/>
      <c r="FU408" s="538"/>
      <c r="FV408" s="538"/>
      <c r="FW408" s="538"/>
      <c r="FX408" s="538"/>
      <c r="FY408" s="538"/>
      <c r="FZ408" s="538"/>
      <c r="GA408" s="538"/>
      <c r="GB408" s="538"/>
      <c r="GC408" s="538"/>
      <c r="GD408" s="538"/>
      <c r="GE408" s="538"/>
      <c r="GF408" s="538"/>
      <c r="GG408" s="538"/>
      <c r="GH408" s="538"/>
      <c r="GI408" s="538"/>
      <c r="GJ408" s="538"/>
      <c r="GK408" s="538"/>
      <c r="GL408" s="538"/>
      <c r="GM408" s="538"/>
      <c r="GN408" s="538"/>
      <c r="GO408" s="538"/>
      <c r="GP408" s="538"/>
      <c r="GQ408" s="538"/>
      <c r="GR408" s="538"/>
      <c r="GS408" s="538"/>
      <c r="GT408" s="538"/>
      <c r="GU408" s="538"/>
      <c r="GV408" s="538"/>
      <c r="GW408" s="538"/>
      <c r="GX408" s="538"/>
      <c r="GY408" s="538"/>
      <c r="GZ408" s="538"/>
      <c r="HA408" s="538"/>
      <c r="HB408" s="538"/>
      <c r="HC408" s="538"/>
      <c r="HD408" s="538"/>
      <c r="HE408" s="538"/>
      <c r="HF408" s="538"/>
      <c r="HG408" s="538"/>
      <c r="HH408" s="538"/>
      <c r="HI408" s="538"/>
      <c r="HJ408" s="538"/>
      <c r="HK408" s="538"/>
      <c r="HL408" s="538"/>
      <c r="HM408" s="538"/>
      <c r="HN408" s="538"/>
      <c r="HO408" s="538"/>
      <c r="HP408" s="563"/>
      <c r="HR408" s="563"/>
      <c r="HS408" s="563"/>
      <c r="HT408" s="563"/>
      <c r="HU408" s="563"/>
      <c r="HV408" s="563"/>
      <c r="HW408" s="563"/>
      <c r="HX408" s="563"/>
    </row>
    <row r="409" spans="1:236" s="509" customFormat="1">
      <c r="AO409" s="538"/>
      <c r="AT409" s="538"/>
      <c r="AY409" s="538"/>
      <c r="BD409" s="538"/>
      <c r="BI409" s="538"/>
      <c r="BN409" s="538"/>
      <c r="BS409" s="538"/>
      <c r="BX409" s="538"/>
      <c r="CC409" s="538"/>
      <c r="CH409" s="538"/>
      <c r="CM409" s="538"/>
      <c r="DB409" s="538"/>
      <c r="DG409" s="538"/>
      <c r="DL409" s="538"/>
      <c r="DQ409" s="538"/>
      <c r="DV409" s="538"/>
      <c r="EA409" s="538"/>
      <c r="EF409" s="538"/>
      <c r="EK409" s="538"/>
      <c r="EP409" s="538"/>
      <c r="EQ409" s="538"/>
      <c r="ER409" s="538"/>
      <c r="ES409" s="538"/>
      <c r="ET409" s="538"/>
      <c r="EU409" s="538"/>
      <c r="EV409" s="538"/>
      <c r="EW409" s="538"/>
      <c r="EX409" s="538"/>
      <c r="EY409" s="538"/>
      <c r="EZ409" s="538"/>
      <c r="FA409" s="538"/>
      <c r="FB409" s="538"/>
      <c r="FC409" s="538"/>
      <c r="FD409" s="538"/>
      <c r="FE409" s="538"/>
      <c r="FF409" s="538"/>
      <c r="FG409" s="538"/>
      <c r="FH409" s="538"/>
      <c r="FI409" s="538"/>
      <c r="FJ409" s="538"/>
      <c r="FK409" s="538"/>
      <c r="FL409" s="538"/>
      <c r="FM409" s="538"/>
      <c r="FN409" s="538"/>
      <c r="FO409" s="538"/>
      <c r="FP409" s="538"/>
      <c r="FQ409" s="538"/>
      <c r="FR409" s="538"/>
      <c r="FS409" s="538"/>
      <c r="FT409" s="538"/>
      <c r="FU409" s="538"/>
      <c r="FV409" s="538"/>
      <c r="FW409" s="538"/>
      <c r="FX409" s="538"/>
      <c r="FY409" s="538"/>
      <c r="FZ409" s="538"/>
      <c r="GA409" s="538"/>
      <c r="GB409" s="538"/>
      <c r="GC409" s="538"/>
      <c r="GD409" s="538"/>
      <c r="GE409" s="538"/>
      <c r="GF409" s="538"/>
      <c r="GG409" s="538"/>
      <c r="GH409" s="538"/>
      <c r="GI409" s="538"/>
      <c r="GJ409" s="538"/>
      <c r="GK409" s="538"/>
      <c r="GL409" s="538"/>
      <c r="GM409" s="538"/>
      <c r="GN409" s="538"/>
      <c r="GO409" s="538"/>
      <c r="GP409" s="538"/>
      <c r="GQ409" s="538"/>
      <c r="GR409" s="538"/>
      <c r="GS409" s="538"/>
      <c r="GT409" s="538"/>
      <c r="GU409" s="538"/>
      <c r="GV409" s="538"/>
      <c r="GW409" s="538"/>
      <c r="GX409" s="538"/>
      <c r="GY409" s="538"/>
      <c r="GZ409" s="538"/>
      <c r="HA409" s="538"/>
      <c r="HB409" s="538"/>
      <c r="HC409" s="538"/>
      <c r="HD409" s="538"/>
      <c r="HE409" s="538"/>
      <c r="HF409" s="538"/>
      <c r="HG409" s="538"/>
      <c r="HH409" s="538"/>
      <c r="HI409" s="538"/>
      <c r="HJ409" s="538"/>
      <c r="HK409" s="538"/>
      <c r="HL409" s="538"/>
      <c r="HM409" s="538"/>
      <c r="HN409" s="538"/>
      <c r="HO409" s="538"/>
      <c r="HP409" s="563"/>
      <c r="HR409" s="563"/>
      <c r="HS409" s="563"/>
      <c r="HT409" s="563"/>
      <c r="HU409" s="563"/>
      <c r="HV409" s="563"/>
      <c r="HW409" s="563"/>
      <c r="HX409" s="563"/>
    </row>
    <row r="410" spans="1:236" s="509" customFormat="1">
      <c r="AO410" s="538"/>
      <c r="AT410" s="538"/>
      <c r="AY410" s="538"/>
      <c r="BD410" s="538"/>
      <c r="BI410" s="538"/>
      <c r="BN410" s="538"/>
      <c r="BS410" s="538"/>
      <c r="BX410" s="538"/>
      <c r="CC410" s="538"/>
      <c r="CH410" s="538"/>
      <c r="CM410" s="538"/>
      <c r="DB410" s="538"/>
      <c r="DG410" s="538"/>
      <c r="DL410" s="538"/>
      <c r="DQ410" s="538"/>
      <c r="DV410" s="538"/>
      <c r="EA410" s="538"/>
      <c r="EF410" s="538"/>
      <c r="EK410" s="538"/>
      <c r="EP410" s="538"/>
      <c r="EQ410" s="538"/>
      <c r="ER410" s="538"/>
      <c r="ES410" s="538"/>
      <c r="ET410" s="538"/>
      <c r="EU410" s="538"/>
      <c r="EV410" s="538"/>
      <c r="EW410" s="538"/>
      <c r="EX410" s="538"/>
      <c r="EY410" s="538"/>
      <c r="EZ410" s="538"/>
      <c r="FA410" s="538"/>
      <c r="FB410" s="538"/>
      <c r="FC410" s="538"/>
      <c r="FD410" s="538"/>
      <c r="FE410" s="538"/>
      <c r="FF410" s="538"/>
      <c r="FG410" s="538"/>
      <c r="FH410" s="538"/>
      <c r="FI410" s="538"/>
      <c r="FJ410" s="538"/>
      <c r="FK410" s="538"/>
      <c r="FL410" s="538"/>
      <c r="FM410" s="538"/>
      <c r="FN410" s="538"/>
      <c r="FO410" s="538"/>
      <c r="FP410" s="538"/>
      <c r="FQ410" s="538"/>
      <c r="FR410" s="538"/>
      <c r="FS410" s="538"/>
      <c r="FT410" s="538"/>
      <c r="FU410" s="538"/>
      <c r="FV410" s="538"/>
      <c r="FW410" s="538"/>
      <c r="FX410" s="538"/>
      <c r="FY410" s="538"/>
      <c r="FZ410" s="538"/>
      <c r="GA410" s="538"/>
      <c r="GB410" s="538"/>
      <c r="GC410" s="538"/>
      <c r="GD410" s="538"/>
      <c r="GE410" s="538"/>
      <c r="GF410" s="538"/>
      <c r="GG410" s="538"/>
      <c r="GH410" s="538"/>
      <c r="GI410" s="538"/>
      <c r="GJ410" s="538"/>
      <c r="GK410" s="538"/>
      <c r="GL410" s="538"/>
      <c r="GM410" s="538"/>
      <c r="GN410" s="538"/>
      <c r="GO410" s="538"/>
      <c r="GP410" s="538"/>
      <c r="GQ410" s="538"/>
      <c r="GR410" s="538"/>
      <c r="GS410" s="538"/>
      <c r="GT410" s="538"/>
      <c r="GU410" s="538"/>
      <c r="GV410" s="538"/>
      <c r="GW410" s="538"/>
      <c r="GX410" s="538"/>
      <c r="GY410" s="538"/>
      <c r="GZ410" s="538"/>
      <c r="HA410" s="538"/>
      <c r="HB410" s="538"/>
      <c r="HC410" s="538"/>
      <c r="HD410" s="538"/>
      <c r="HE410" s="538"/>
      <c r="HF410" s="538"/>
      <c r="HG410" s="538"/>
      <c r="HH410" s="538"/>
      <c r="HI410" s="538"/>
      <c r="HJ410" s="538"/>
      <c r="HK410" s="538"/>
      <c r="HL410" s="538"/>
      <c r="HM410" s="538"/>
      <c r="HN410" s="538"/>
      <c r="HO410" s="538"/>
      <c r="HP410" s="563"/>
      <c r="HR410" s="563"/>
      <c r="HS410" s="563"/>
      <c r="HT410" s="563"/>
      <c r="HU410" s="563"/>
      <c r="HV410" s="563"/>
      <c r="HW410" s="563"/>
      <c r="HX410" s="563"/>
    </row>
    <row r="411" spans="1:236" s="509" customFormat="1">
      <c r="AO411" s="538"/>
      <c r="AT411" s="538"/>
      <c r="AY411" s="538"/>
      <c r="BD411" s="538"/>
      <c r="BI411" s="538"/>
      <c r="BN411" s="538"/>
      <c r="BS411" s="538"/>
      <c r="BX411" s="538"/>
      <c r="CC411" s="538"/>
      <c r="CH411" s="538"/>
      <c r="CM411" s="538"/>
      <c r="DB411" s="538"/>
      <c r="DG411" s="538"/>
      <c r="DL411" s="538"/>
      <c r="DQ411" s="538"/>
      <c r="DV411" s="538"/>
      <c r="EA411" s="538"/>
      <c r="EF411" s="538"/>
      <c r="EK411" s="538"/>
      <c r="EP411" s="538"/>
      <c r="EQ411" s="538"/>
      <c r="ER411" s="538"/>
      <c r="ES411" s="538"/>
      <c r="ET411" s="538"/>
      <c r="EU411" s="538"/>
      <c r="EV411" s="538"/>
      <c r="EW411" s="538"/>
      <c r="EX411" s="538"/>
      <c r="EY411" s="538"/>
      <c r="EZ411" s="538"/>
      <c r="FA411" s="538"/>
      <c r="FB411" s="538"/>
      <c r="FC411" s="538"/>
      <c r="FD411" s="538"/>
      <c r="FE411" s="538"/>
      <c r="FF411" s="538"/>
      <c r="FG411" s="538"/>
      <c r="FH411" s="538"/>
      <c r="FI411" s="538"/>
      <c r="FJ411" s="538"/>
      <c r="FK411" s="538"/>
      <c r="FL411" s="538"/>
      <c r="FM411" s="538"/>
      <c r="FN411" s="538"/>
      <c r="FO411" s="538"/>
      <c r="FP411" s="538"/>
      <c r="FQ411" s="538"/>
      <c r="FR411" s="538"/>
      <c r="FS411" s="538"/>
      <c r="FT411" s="538"/>
      <c r="FU411" s="538"/>
      <c r="FV411" s="538"/>
      <c r="FW411" s="538"/>
      <c r="FX411" s="538"/>
      <c r="FY411" s="538"/>
      <c r="FZ411" s="538"/>
      <c r="GA411" s="538"/>
      <c r="GB411" s="538"/>
      <c r="GC411" s="538"/>
      <c r="GD411" s="538"/>
      <c r="GE411" s="538"/>
      <c r="GF411" s="538"/>
      <c r="GG411" s="538"/>
      <c r="GH411" s="538"/>
      <c r="GI411" s="538"/>
      <c r="GJ411" s="538"/>
      <c r="GK411" s="538"/>
      <c r="GL411" s="538"/>
      <c r="GM411" s="538"/>
      <c r="GN411" s="538"/>
      <c r="GO411" s="538"/>
      <c r="GP411" s="538"/>
      <c r="GQ411" s="538"/>
      <c r="GR411" s="538"/>
      <c r="GS411" s="538"/>
      <c r="GT411" s="538"/>
      <c r="GU411" s="538"/>
      <c r="GV411" s="538"/>
      <c r="GW411" s="538"/>
      <c r="GX411" s="538"/>
      <c r="GY411" s="538"/>
      <c r="GZ411" s="538"/>
      <c r="HA411" s="538"/>
      <c r="HB411" s="538"/>
      <c r="HC411" s="538"/>
      <c r="HD411" s="538"/>
      <c r="HE411" s="538"/>
      <c r="HF411" s="538"/>
      <c r="HG411" s="538"/>
      <c r="HH411" s="538"/>
      <c r="HI411" s="538"/>
      <c r="HJ411" s="538"/>
      <c r="HK411" s="538"/>
      <c r="HL411" s="538"/>
      <c r="HM411" s="538"/>
      <c r="HN411" s="538"/>
      <c r="HO411" s="538"/>
      <c r="HP411" s="563"/>
      <c r="HR411" s="563"/>
      <c r="HS411" s="563"/>
      <c r="HT411" s="563"/>
      <c r="HU411" s="563"/>
      <c r="HV411" s="563"/>
      <c r="HW411" s="563"/>
      <c r="HX411" s="563"/>
    </row>
    <row r="412" spans="1:236" s="509" customFormat="1">
      <c r="AO412" s="538"/>
      <c r="AT412" s="538"/>
      <c r="AY412" s="538"/>
      <c r="BD412" s="538"/>
      <c r="BI412" s="538"/>
      <c r="BN412" s="538"/>
      <c r="BS412" s="538"/>
      <c r="BX412" s="538"/>
      <c r="CC412" s="538"/>
      <c r="CH412" s="538"/>
      <c r="CM412" s="538"/>
      <c r="DB412" s="538"/>
      <c r="DG412" s="538"/>
      <c r="DL412" s="538"/>
      <c r="DQ412" s="538"/>
      <c r="DV412" s="538"/>
      <c r="EA412" s="538"/>
      <c r="EF412" s="538"/>
      <c r="EK412" s="538"/>
      <c r="EP412" s="538"/>
      <c r="EQ412" s="538"/>
      <c r="ER412" s="538"/>
      <c r="ES412" s="538"/>
      <c r="ET412" s="538"/>
      <c r="EU412" s="538"/>
      <c r="EV412" s="538"/>
      <c r="EW412" s="538"/>
      <c r="EX412" s="538"/>
      <c r="EY412" s="538"/>
      <c r="EZ412" s="538"/>
      <c r="FA412" s="538"/>
      <c r="FB412" s="538"/>
      <c r="FC412" s="538"/>
      <c r="FD412" s="538"/>
      <c r="FE412" s="538"/>
      <c r="FF412" s="538"/>
      <c r="FG412" s="538"/>
      <c r="FH412" s="538"/>
      <c r="FI412" s="538"/>
      <c r="FJ412" s="538"/>
      <c r="FK412" s="538"/>
      <c r="FL412" s="538"/>
      <c r="FM412" s="538"/>
      <c r="FN412" s="538"/>
      <c r="FO412" s="538"/>
      <c r="FP412" s="538"/>
      <c r="FQ412" s="538"/>
      <c r="FR412" s="538"/>
      <c r="FS412" s="538"/>
      <c r="FT412" s="538"/>
      <c r="FU412" s="538"/>
      <c r="FV412" s="538"/>
      <c r="FW412" s="538"/>
      <c r="FX412" s="538"/>
      <c r="FY412" s="538"/>
      <c r="FZ412" s="538"/>
      <c r="GA412" s="538"/>
      <c r="GB412" s="538"/>
      <c r="GC412" s="538"/>
      <c r="GD412" s="538"/>
      <c r="GE412" s="538"/>
      <c r="GF412" s="538"/>
      <c r="GG412" s="538"/>
      <c r="GH412" s="538"/>
      <c r="GI412" s="538"/>
      <c r="GJ412" s="538"/>
      <c r="GK412" s="538"/>
      <c r="GL412" s="538"/>
      <c r="GM412" s="538"/>
      <c r="GN412" s="538"/>
      <c r="GO412" s="538"/>
      <c r="GP412" s="538"/>
      <c r="GQ412" s="538"/>
      <c r="GR412" s="538"/>
      <c r="GS412" s="538"/>
      <c r="GT412" s="538"/>
      <c r="GU412" s="538"/>
      <c r="GV412" s="538"/>
      <c r="GW412" s="538"/>
      <c r="GX412" s="538"/>
      <c r="GY412" s="538"/>
      <c r="GZ412" s="538"/>
      <c r="HA412" s="538"/>
      <c r="HB412" s="538"/>
      <c r="HC412" s="538"/>
      <c r="HD412" s="538"/>
      <c r="HE412" s="538"/>
      <c r="HF412" s="538"/>
      <c r="HG412" s="538"/>
      <c r="HH412" s="538"/>
      <c r="HI412" s="538"/>
      <c r="HJ412" s="538"/>
      <c r="HK412" s="538"/>
      <c r="HL412" s="538"/>
      <c r="HM412" s="538"/>
      <c r="HN412" s="538"/>
      <c r="HO412" s="538"/>
      <c r="HP412" s="563"/>
      <c r="HR412" s="563"/>
      <c r="HS412" s="563"/>
      <c r="HT412" s="563"/>
      <c r="HU412" s="563"/>
      <c r="HV412" s="563"/>
      <c r="HW412" s="563"/>
      <c r="HX412" s="563"/>
    </row>
    <row r="413" spans="1:236" s="509" customFormat="1">
      <c r="AO413" s="538"/>
      <c r="AT413" s="538"/>
      <c r="AY413" s="538"/>
      <c r="BD413" s="538"/>
      <c r="BI413" s="538"/>
      <c r="BN413" s="538"/>
      <c r="BS413" s="538"/>
      <c r="BX413" s="538"/>
      <c r="CC413" s="538"/>
      <c r="CH413" s="538"/>
      <c r="CM413" s="538"/>
      <c r="DB413" s="538"/>
      <c r="DG413" s="538"/>
      <c r="DL413" s="538"/>
      <c r="DQ413" s="538"/>
      <c r="DV413" s="538"/>
      <c r="EA413" s="538"/>
      <c r="EF413" s="538"/>
      <c r="EK413" s="538"/>
      <c r="EP413" s="538"/>
      <c r="EQ413" s="538"/>
      <c r="ER413" s="538"/>
      <c r="ES413" s="538"/>
      <c r="ET413" s="538"/>
      <c r="EU413" s="538"/>
      <c r="EV413" s="538"/>
      <c r="EW413" s="538"/>
      <c r="EX413" s="538"/>
      <c r="EY413" s="538"/>
      <c r="EZ413" s="538"/>
      <c r="FA413" s="538"/>
      <c r="FB413" s="538"/>
      <c r="FC413" s="538"/>
      <c r="FD413" s="538"/>
      <c r="FE413" s="538"/>
      <c r="FF413" s="538"/>
      <c r="FG413" s="538"/>
      <c r="FH413" s="538"/>
      <c r="FI413" s="538"/>
      <c r="FJ413" s="538"/>
      <c r="FK413" s="538"/>
      <c r="FL413" s="538"/>
      <c r="FM413" s="538"/>
      <c r="FN413" s="538"/>
      <c r="FO413" s="538"/>
      <c r="FP413" s="538"/>
      <c r="FQ413" s="538"/>
      <c r="FR413" s="538"/>
      <c r="FS413" s="538"/>
      <c r="FT413" s="538"/>
      <c r="FU413" s="538"/>
      <c r="FV413" s="538"/>
      <c r="FW413" s="538"/>
      <c r="FX413" s="538"/>
      <c r="FY413" s="538"/>
      <c r="FZ413" s="538"/>
      <c r="GA413" s="538"/>
      <c r="GB413" s="538"/>
      <c r="GC413" s="538"/>
      <c r="GD413" s="538"/>
      <c r="GE413" s="538"/>
      <c r="GF413" s="538"/>
      <c r="GG413" s="538"/>
      <c r="GH413" s="538"/>
      <c r="GI413" s="538"/>
      <c r="GJ413" s="538"/>
      <c r="GK413" s="538"/>
      <c r="GL413" s="538"/>
      <c r="GM413" s="538"/>
      <c r="GN413" s="538"/>
      <c r="GO413" s="538"/>
      <c r="GP413" s="538"/>
      <c r="GQ413" s="538"/>
      <c r="GR413" s="538"/>
      <c r="GS413" s="538"/>
      <c r="GT413" s="538"/>
      <c r="GU413" s="538"/>
      <c r="GV413" s="538"/>
      <c r="GW413" s="538"/>
      <c r="GX413" s="538"/>
      <c r="GY413" s="538"/>
      <c r="GZ413" s="538"/>
      <c r="HA413" s="538"/>
      <c r="HB413" s="538"/>
      <c r="HC413" s="538"/>
      <c r="HD413" s="538"/>
      <c r="HE413" s="538"/>
      <c r="HF413" s="538"/>
      <c r="HG413" s="538"/>
      <c r="HH413" s="538"/>
      <c r="HI413" s="538"/>
      <c r="HJ413" s="538"/>
      <c r="HK413" s="538"/>
      <c r="HL413" s="538"/>
      <c r="HM413" s="538"/>
      <c r="HN413" s="538"/>
      <c r="HO413" s="538"/>
      <c r="HP413" s="563"/>
      <c r="HR413" s="563"/>
      <c r="HS413" s="563"/>
      <c r="HT413" s="563"/>
      <c r="HU413" s="563"/>
      <c r="HV413" s="563"/>
      <c r="HW413" s="563"/>
      <c r="HX413" s="563"/>
    </row>
    <row r="414" spans="1:236" s="509" customFormat="1">
      <c r="AO414" s="538"/>
      <c r="AT414" s="538"/>
      <c r="AY414" s="538"/>
      <c r="BD414" s="538"/>
      <c r="BI414" s="538"/>
      <c r="BN414" s="538"/>
      <c r="BS414" s="538"/>
      <c r="BX414" s="538"/>
      <c r="CC414" s="538"/>
      <c r="CH414" s="538"/>
      <c r="CM414" s="538"/>
      <c r="DB414" s="538"/>
      <c r="DG414" s="538"/>
      <c r="DL414" s="538"/>
      <c r="DQ414" s="538"/>
      <c r="DV414" s="538"/>
      <c r="EA414" s="538"/>
      <c r="EF414" s="538"/>
      <c r="EK414" s="538"/>
      <c r="EP414" s="538"/>
      <c r="EQ414" s="538"/>
      <c r="ER414" s="538"/>
      <c r="ES414" s="538"/>
      <c r="ET414" s="538"/>
      <c r="EU414" s="538"/>
      <c r="EV414" s="538"/>
      <c r="EW414" s="538"/>
      <c r="EX414" s="538"/>
      <c r="EY414" s="538"/>
      <c r="EZ414" s="538"/>
      <c r="FA414" s="538"/>
      <c r="FB414" s="538"/>
      <c r="FC414" s="538"/>
      <c r="FD414" s="538"/>
      <c r="FE414" s="538"/>
      <c r="FF414" s="538"/>
      <c r="FG414" s="538"/>
      <c r="FH414" s="538"/>
      <c r="FI414" s="538"/>
      <c r="FJ414" s="538"/>
      <c r="FK414" s="538"/>
      <c r="FL414" s="538"/>
      <c r="FM414" s="538"/>
      <c r="FN414" s="538"/>
      <c r="FO414" s="538"/>
      <c r="FP414" s="538"/>
      <c r="FQ414" s="538"/>
      <c r="FR414" s="538"/>
      <c r="FS414" s="538"/>
      <c r="FT414" s="538"/>
      <c r="FU414" s="538"/>
      <c r="FV414" s="538"/>
      <c r="FW414" s="538"/>
      <c r="FX414" s="538"/>
      <c r="FY414" s="538"/>
      <c r="FZ414" s="538"/>
      <c r="GA414" s="538"/>
      <c r="GB414" s="538"/>
      <c r="GC414" s="538"/>
      <c r="GD414" s="538"/>
      <c r="GE414" s="538"/>
      <c r="GF414" s="538"/>
      <c r="GG414" s="538"/>
      <c r="GH414" s="538"/>
      <c r="GI414" s="538"/>
      <c r="GJ414" s="538"/>
      <c r="GK414" s="538"/>
      <c r="GL414" s="538"/>
      <c r="GM414" s="538"/>
      <c r="GN414" s="538"/>
      <c r="GO414" s="538"/>
      <c r="GP414" s="538"/>
      <c r="GQ414" s="538"/>
      <c r="GR414" s="538"/>
      <c r="GS414" s="538"/>
      <c r="GT414" s="538"/>
      <c r="GU414" s="538"/>
      <c r="GV414" s="538"/>
      <c r="GW414" s="538"/>
      <c r="GX414" s="538"/>
      <c r="GY414" s="538"/>
      <c r="GZ414" s="538"/>
      <c r="HA414" s="538"/>
      <c r="HB414" s="538"/>
      <c r="HC414" s="538"/>
      <c r="HD414" s="538"/>
      <c r="HE414" s="538"/>
      <c r="HF414" s="538"/>
      <c r="HG414" s="538"/>
      <c r="HH414" s="538"/>
      <c r="HI414" s="538"/>
      <c r="HJ414" s="538"/>
      <c r="HK414" s="538"/>
      <c r="HL414" s="538"/>
      <c r="HM414" s="538"/>
      <c r="HN414" s="538"/>
      <c r="HO414" s="538"/>
      <c r="HP414" s="563"/>
      <c r="HR414" s="563"/>
      <c r="HS414" s="563"/>
      <c r="HT414" s="563"/>
      <c r="HU414" s="563"/>
      <c r="HV414" s="563"/>
      <c r="HW414" s="563"/>
      <c r="HX414" s="563"/>
    </row>
    <row r="415" spans="1:236" s="509" customFormat="1">
      <c r="AO415" s="538"/>
      <c r="AT415" s="538"/>
      <c r="AY415" s="538"/>
      <c r="BD415" s="538"/>
      <c r="BI415" s="538"/>
      <c r="BN415" s="538"/>
      <c r="BS415" s="538"/>
      <c r="BX415" s="538"/>
      <c r="CC415" s="538"/>
      <c r="CH415" s="538"/>
      <c r="CM415" s="538"/>
      <c r="DB415" s="538"/>
      <c r="DG415" s="538"/>
      <c r="DL415" s="538"/>
      <c r="DQ415" s="538"/>
      <c r="DV415" s="538"/>
      <c r="EA415" s="538"/>
      <c r="EF415" s="538"/>
      <c r="EK415" s="538"/>
      <c r="EP415" s="538"/>
      <c r="EQ415" s="538"/>
      <c r="ER415" s="538"/>
      <c r="ES415" s="538"/>
      <c r="ET415" s="538"/>
      <c r="EU415" s="538"/>
      <c r="EV415" s="538"/>
      <c r="EW415" s="538"/>
      <c r="EX415" s="538"/>
      <c r="EY415" s="538"/>
      <c r="EZ415" s="538"/>
      <c r="FA415" s="538"/>
      <c r="FB415" s="538"/>
      <c r="FC415" s="538"/>
      <c r="FD415" s="538"/>
      <c r="FE415" s="538"/>
      <c r="FF415" s="538"/>
      <c r="FG415" s="538"/>
      <c r="FH415" s="538"/>
      <c r="FI415" s="538"/>
      <c r="FJ415" s="538"/>
      <c r="FK415" s="538"/>
      <c r="FL415" s="538"/>
      <c r="FM415" s="538"/>
      <c r="FN415" s="538"/>
      <c r="FO415" s="538"/>
      <c r="FP415" s="538"/>
      <c r="FQ415" s="538"/>
      <c r="FR415" s="538"/>
      <c r="FS415" s="538"/>
      <c r="FT415" s="538"/>
      <c r="FU415" s="538"/>
      <c r="FV415" s="538"/>
      <c r="FW415" s="538"/>
      <c r="FX415" s="538"/>
      <c r="FY415" s="538"/>
      <c r="FZ415" s="538"/>
      <c r="GA415" s="538"/>
      <c r="GB415" s="538"/>
      <c r="GC415" s="538"/>
      <c r="GD415" s="538"/>
      <c r="GE415" s="538"/>
      <c r="GF415" s="538"/>
      <c r="GG415" s="538"/>
      <c r="GH415" s="538"/>
      <c r="GI415" s="538"/>
      <c r="GJ415" s="538"/>
      <c r="GK415" s="538"/>
      <c r="GL415" s="538"/>
      <c r="GM415" s="538"/>
      <c r="GN415" s="538"/>
      <c r="GO415" s="538"/>
      <c r="GP415" s="538"/>
      <c r="GQ415" s="538"/>
      <c r="GR415" s="538"/>
      <c r="GS415" s="538"/>
      <c r="GT415" s="538"/>
      <c r="GU415" s="538"/>
      <c r="GV415" s="538"/>
      <c r="GW415" s="538"/>
      <c r="GX415" s="538"/>
      <c r="GY415" s="538"/>
      <c r="GZ415" s="538"/>
      <c r="HA415" s="538"/>
      <c r="HB415" s="538"/>
      <c r="HC415" s="538"/>
      <c r="HD415" s="538"/>
      <c r="HE415" s="538"/>
      <c r="HF415" s="538"/>
      <c r="HG415" s="538"/>
      <c r="HH415" s="538"/>
      <c r="HI415" s="538"/>
      <c r="HJ415" s="538"/>
      <c r="HK415" s="538"/>
      <c r="HL415" s="538"/>
      <c r="HM415" s="538"/>
      <c r="HN415" s="538"/>
      <c r="HO415" s="538"/>
      <c r="HP415" s="563"/>
      <c r="HR415" s="563"/>
      <c r="HS415" s="563"/>
      <c r="HT415" s="563"/>
      <c r="HU415" s="563"/>
      <c r="HV415" s="563"/>
      <c r="HW415" s="563"/>
      <c r="HX415" s="563"/>
    </row>
    <row r="416" spans="1:236" s="509" customFormat="1">
      <c r="AO416" s="538"/>
      <c r="AT416" s="538"/>
      <c r="AY416" s="538"/>
      <c r="BD416" s="538"/>
      <c r="BI416" s="538"/>
      <c r="BN416" s="538"/>
      <c r="BS416" s="538"/>
      <c r="BX416" s="538"/>
      <c r="CC416" s="538"/>
      <c r="CH416" s="538"/>
      <c r="CM416" s="538"/>
      <c r="DB416" s="538"/>
      <c r="DG416" s="538"/>
      <c r="DL416" s="538"/>
      <c r="DQ416" s="538"/>
      <c r="DV416" s="538"/>
      <c r="EA416" s="538"/>
      <c r="EF416" s="538"/>
      <c r="EK416" s="538"/>
      <c r="EP416" s="538"/>
      <c r="EQ416" s="538"/>
      <c r="ER416" s="538"/>
      <c r="ES416" s="538"/>
      <c r="ET416" s="538"/>
      <c r="EU416" s="538"/>
      <c r="EV416" s="538"/>
      <c r="EW416" s="538"/>
      <c r="EX416" s="538"/>
      <c r="EY416" s="538"/>
      <c r="EZ416" s="538"/>
      <c r="FA416" s="538"/>
      <c r="FB416" s="538"/>
      <c r="FC416" s="538"/>
      <c r="FD416" s="538"/>
      <c r="FE416" s="538"/>
      <c r="FF416" s="538"/>
      <c r="FG416" s="538"/>
      <c r="FH416" s="538"/>
      <c r="FI416" s="538"/>
      <c r="FJ416" s="538"/>
      <c r="FK416" s="538"/>
      <c r="FL416" s="538"/>
      <c r="FM416" s="538"/>
      <c r="FN416" s="538"/>
      <c r="FO416" s="538"/>
      <c r="FP416" s="538"/>
      <c r="FQ416" s="538"/>
      <c r="FR416" s="538"/>
      <c r="FS416" s="538"/>
      <c r="FT416" s="538"/>
      <c r="FU416" s="538"/>
      <c r="FV416" s="538"/>
      <c r="FW416" s="538"/>
      <c r="FX416" s="538"/>
      <c r="FY416" s="538"/>
      <c r="FZ416" s="538"/>
      <c r="GA416" s="538"/>
      <c r="GB416" s="538"/>
      <c r="GC416" s="538"/>
      <c r="GD416" s="538"/>
      <c r="GE416" s="538"/>
      <c r="GF416" s="538"/>
      <c r="GG416" s="538"/>
      <c r="GH416" s="538"/>
      <c r="GI416" s="538"/>
      <c r="GJ416" s="538"/>
      <c r="GK416" s="538"/>
      <c r="GL416" s="538"/>
      <c r="GM416" s="538"/>
      <c r="GN416" s="538"/>
      <c r="GO416" s="538"/>
      <c r="GP416" s="538"/>
      <c r="GQ416" s="538"/>
      <c r="GR416" s="538"/>
      <c r="GS416" s="538"/>
      <c r="GT416" s="538"/>
      <c r="GU416" s="538"/>
      <c r="GV416" s="538"/>
      <c r="GW416" s="538"/>
      <c r="GX416" s="538"/>
      <c r="GY416" s="538"/>
      <c r="GZ416" s="538"/>
      <c r="HA416" s="538"/>
      <c r="HB416" s="538"/>
      <c r="HC416" s="538"/>
      <c r="HD416" s="538"/>
      <c r="HE416" s="538"/>
      <c r="HF416" s="538"/>
      <c r="HG416" s="538"/>
      <c r="HH416" s="538"/>
      <c r="HI416" s="538"/>
      <c r="HJ416" s="538"/>
      <c r="HK416" s="538"/>
      <c r="HL416" s="538"/>
      <c r="HM416" s="538"/>
      <c r="HN416" s="538"/>
      <c r="HO416" s="538"/>
      <c r="HP416" s="563"/>
      <c r="HR416" s="563"/>
      <c r="HS416" s="563"/>
      <c r="HT416" s="563"/>
      <c r="HU416" s="563"/>
      <c r="HV416" s="563"/>
      <c r="HW416" s="563"/>
      <c r="HX416" s="563"/>
    </row>
    <row r="417" spans="41:232" s="509" customFormat="1">
      <c r="AO417" s="538"/>
      <c r="AT417" s="538"/>
      <c r="AY417" s="538"/>
      <c r="BD417" s="538"/>
      <c r="BI417" s="538"/>
      <c r="BN417" s="538"/>
      <c r="BS417" s="538"/>
      <c r="BX417" s="538"/>
      <c r="CC417" s="538"/>
      <c r="CH417" s="538"/>
      <c r="CM417" s="538"/>
      <c r="DB417" s="538"/>
      <c r="DG417" s="538"/>
      <c r="DL417" s="538"/>
      <c r="DQ417" s="538"/>
      <c r="DV417" s="538"/>
      <c r="EA417" s="538"/>
      <c r="EF417" s="538"/>
      <c r="EK417" s="538"/>
      <c r="EP417" s="538"/>
      <c r="EQ417" s="538"/>
      <c r="ER417" s="538"/>
      <c r="ES417" s="538"/>
      <c r="ET417" s="538"/>
      <c r="EU417" s="538"/>
      <c r="EV417" s="538"/>
      <c r="EW417" s="538"/>
      <c r="EX417" s="538"/>
      <c r="EY417" s="538"/>
      <c r="EZ417" s="538"/>
      <c r="FA417" s="538"/>
      <c r="FB417" s="538"/>
      <c r="FC417" s="538"/>
      <c r="FD417" s="538"/>
      <c r="FE417" s="538"/>
      <c r="FF417" s="538"/>
      <c r="FG417" s="538"/>
      <c r="FH417" s="538"/>
      <c r="FI417" s="538"/>
      <c r="FJ417" s="538"/>
      <c r="FK417" s="538"/>
      <c r="FL417" s="538"/>
      <c r="FM417" s="538"/>
      <c r="FN417" s="538"/>
      <c r="FO417" s="538"/>
      <c r="FP417" s="538"/>
      <c r="FQ417" s="538"/>
      <c r="FR417" s="538"/>
      <c r="FS417" s="538"/>
      <c r="FT417" s="538"/>
      <c r="FU417" s="538"/>
      <c r="FV417" s="538"/>
      <c r="FW417" s="538"/>
      <c r="FX417" s="538"/>
      <c r="FY417" s="538"/>
      <c r="FZ417" s="538"/>
      <c r="GA417" s="538"/>
      <c r="GB417" s="538"/>
      <c r="GC417" s="538"/>
      <c r="GD417" s="538"/>
      <c r="GE417" s="538"/>
      <c r="GF417" s="538"/>
      <c r="GG417" s="538"/>
      <c r="GH417" s="538"/>
      <c r="GI417" s="538"/>
      <c r="GJ417" s="538"/>
      <c r="GK417" s="538"/>
      <c r="GL417" s="538"/>
      <c r="GM417" s="538"/>
      <c r="GN417" s="538"/>
      <c r="GO417" s="538"/>
      <c r="GP417" s="538"/>
      <c r="GQ417" s="538"/>
      <c r="GR417" s="538"/>
      <c r="GS417" s="538"/>
      <c r="GT417" s="538"/>
      <c r="GU417" s="538"/>
      <c r="GV417" s="538"/>
      <c r="GW417" s="538"/>
      <c r="GX417" s="538"/>
      <c r="GY417" s="538"/>
      <c r="GZ417" s="538"/>
      <c r="HA417" s="538"/>
      <c r="HB417" s="538"/>
      <c r="HC417" s="538"/>
      <c r="HD417" s="538"/>
      <c r="HE417" s="538"/>
      <c r="HF417" s="538"/>
      <c r="HG417" s="538"/>
      <c r="HH417" s="538"/>
      <c r="HI417" s="538"/>
      <c r="HJ417" s="538"/>
      <c r="HK417" s="538"/>
      <c r="HL417" s="538"/>
      <c r="HM417" s="538"/>
      <c r="HN417" s="538"/>
      <c r="HO417" s="538"/>
      <c r="HP417" s="563"/>
      <c r="HR417" s="563"/>
      <c r="HS417" s="563"/>
      <c r="HT417" s="563"/>
      <c r="HU417" s="563"/>
      <c r="HV417" s="563"/>
      <c r="HW417" s="563"/>
      <c r="HX417" s="563"/>
    </row>
    <row r="418" spans="41:232" s="509" customFormat="1">
      <c r="AO418" s="538"/>
      <c r="AT418" s="538"/>
      <c r="AY418" s="538"/>
      <c r="BD418" s="538"/>
      <c r="BI418" s="538"/>
      <c r="BN418" s="538"/>
      <c r="BS418" s="538"/>
      <c r="BX418" s="538"/>
      <c r="CC418" s="538"/>
      <c r="CH418" s="538"/>
      <c r="CM418" s="538"/>
      <c r="DB418" s="538"/>
      <c r="DG418" s="538"/>
      <c r="DL418" s="538"/>
      <c r="DQ418" s="538"/>
      <c r="DV418" s="538"/>
      <c r="EA418" s="538"/>
      <c r="EF418" s="538"/>
      <c r="EK418" s="538"/>
      <c r="EP418" s="538"/>
      <c r="EQ418" s="538"/>
      <c r="ER418" s="538"/>
      <c r="ES418" s="538"/>
      <c r="ET418" s="538"/>
      <c r="EU418" s="538"/>
      <c r="EV418" s="538"/>
      <c r="EW418" s="538"/>
      <c r="EX418" s="538"/>
      <c r="EY418" s="538"/>
      <c r="EZ418" s="538"/>
      <c r="FA418" s="538"/>
      <c r="FB418" s="538"/>
      <c r="FC418" s="538"/>
      <c r="FD418" s="538"/>
      <c r="FE418" s="538"/>
      <c r="FF418" s="538"/>
      <c r="FG418" s="538"/>
      <c r="FH418" s="538"/>
      <c r="FI418" s="538"/>
      <c r="FJ418" s="538"/>
      <c r="FK418" s="538"/>
      <c r="FL418" s="538"/>
      <c r="FM418" s="538"/>
      <c r="FN418" s="538"/>
      <c r="FO418" s="538"/>
      <c r="FP418" s="538"/>
      <c r="FQ418" s="538"/>
      <c r="FR418" s="538"/>
      <c r="FS418" s="538"/>
      <c r="FT418" s="538"/>
      <c r="FU418" s="538"/>
      <c r="FV418" s="538"/>
      <c r="FW418" s="538"/>
      <c r="FX418" s="538"/>
      <c r="FY418" s="538"/>
      <c r="FZ418" s="538"/>
      <c r="GA418" s="538"/>
      <c r="GB418" s="538"/>
      <c r="GC418" s="538"/>
      <c r="GD418" s="538"/>
      <c r="GE418" s="538"/>
      <c r="GF418" s="538"/>
      <c r="GG418" s="538"/>
      <c r="GH418" s="538"/>
      <c r="GI418" s="538"/>
      <c r="GJ418" s="538"/>
      <c r="GK418" s="538"/>
      <c r="GL418" s="538"/>
      <c r="GM418" s="538"/>
      <c r="GN418" s="538"/>
      <c r="GO418" s="538"/>
      <c r="GP418" s="538"/>
      <c r="GQ418" s="538"/>
      <c r="GR418" s="538"/>
      <c r="GS418" s="538"/>
      <c r="GT418" s="538"/>
      <c r="GU418" s="538"/>
      <c r="GV418" s="538"/>
      <c r="GW418" s="538"/>
      <c r="GX418" s="538"/>
      <c r="GY418" s="538"/>
      <c r="GZ418" s="538"/>
      <c r="HA418" s="538"/>
      <c r="HB418" s="538"/>
      <c r="HC418" s="538"/>
      <c r="HD418" s="538"/>
      <c r="HE418" s="538"/>
      <c r="HF418" s="538"/>
      <c r="HG418" s="538"/>
      <c r="HH418" s="538"/>
      <c r="HI418" s="538"/>
      <c r="HJ418" s="538"/>
      <c r="HK418" s="538"/>
      <c r="HL418" s="538"/>
      <c r="HM418" s="538"/>
      <c r="HN418" s="538"/>
      <c r="HO418" s="538"/>
      <c r="HP418" s="563"/>
      <c r="HR418" s="563"/>
      <c r="HS418" s="563"/>
      <c r="HT418" s="563"/>
      <c r="HU418" s="563"/>
      <c r="HV418" s="563"/>
      <c r="HW418" s="563"/>
      <c r="HX418" s="563"/>
    </row>
    <row r="419" spans="41:232" s="509" customFormat="1">
      <c r="AO419" s="538"/>
      <c r="AT419" s="538"/>
      <c r="AY419" s="538"/>
      <c r="BD419" s="538"/>
      <c r="BI419" s="538"/>
      <c r="BN419" s="538"/>
      <c r="BS419" s="538"/>
      <c r="BX419" s="538"/>
      <c r="CC419" s="538"/>
      <c r="CH419" s="538"/>
      <c r="CM419" s="538"/>
      <c r="DB419" s="538"/>
      <c r="DG419" s="538"/>
      <c r="DL419" s="538"/>
      <c r="DQ419" s="538"/>
      <c r="DV419" s="538"/>
      <c r="EA419" s="538"/>
      <c r="EF419" s="538"/>
      <c r="EK419" s="538"/>
      <c r="EP419" s="538"/>
      <c r="EQ419" s="538"/>
      <c r="ER419" s="538"/>
      <c r="ES419" s="538"/>
      <c r="ET419" s="538"/>
      <c r="EU419" s="538"/>
      <c r="EV419" s="538"/>
      <c r="EW419" s="538"/>
      <c r="EX419" s="538"/>
      <c r="EY419" s="538"/>
      <c r="EZ419" s="538"/>
      <c r="FA419" s="538"/>
      <c r="FB419" s="538"/>
      <c r="FC419" s="538"/>
      <c r="FD419" s="538"/>
      <c r="FE419" s="538"/>
      <c r="FF419" s="538"/>
      <c r="FG419" s="538"/>
      <c r="FH419" s="538"/>
      <c r="FI419" s="538"/>
      <c r="FJ419" s="538"/>
      <c r="FK419" s="538"/>
      <c r="FL419" s="538"/>
      <c r="FM419" s="538"/>
      <c r="FN419" s="538"/>
      <c r="FO419" s="538"/>
      <c r="FP419" s="538"/>
      <c r="FQ419" s="538"/>
      <c r="FR419" s="538"/>
      <c r="FS419" s="538"/>
      <c r="FT419" s="538"/>
      <c r="FU419" s="538"/>
      <c r="FV419" s="538"/>
      <c r="FW419" s="538"/>
      <c r="FX419" s="538"/>
      <c r="FY419" s="538"/>
      <c r="FZ419" s="538"/>
      <c r="GA419" s="538"/>
      <c r="GB419" s="538"/>
      <c r="GC419" s="538"/>
      <c r="GD419" s="538"/>
      <c r="GE419" s="538"/>
      <c r="GF419" s="538"/>
      <c r="GG419" s="538"/>
      <c r="GH419" s="538"/>
      <c r="GI419" s="538"/>
      <c r="GJ419" s="538"/>
      <c r="GK419" s="538"/>
      <c r="GL419" s="538"/>
      <c r="GM419" s="538"/>
      <c r="GN419" s="538"/>
      <c r="GO419" s="538"/>
      <c r="GP419" s="538"/>
      <c r="GQ419" s="538"/>
      <c r="GR419" s="538"/>
      <c r="GS419" s="538"/>
      <c r="GT419" s="538"/>
      <c r="GU419" s="538"/>
      <c r="GV419" s="538"/>
      <c r="GW419" s="538"/>
      <c r="GX419" s="538"/>
      <c r="GY419" s="538"/>
      <c r="GZ419" s="538"/>
      <c r="HA419" s="538"/>
      <c r="HB419" s="538"/>
      <c r="HC419" s="538"/>
      <c r="HD419" s="538"/>
      <c r="HE419" s="538"/>
      <c r="HF419" s="538"/>
      <c r="HG419" s="538"/>
      <c r="HH419" s="538"/>
      <c r="HI419" s="538"/>
      <c r="HJ419" s="538"/>
      <c r="HK419" s="538"/>
      <c r="HL419" s="538"/>
      <c r="HM419" s="538"/>
      <c r="HN419" s="538"/>
      <c r="HO419" s="538"/>
      <c r="HP419" s="563"/>
      <c r="HR419" s="563"/>
      <c r="HS419" s="563"/>
      <c r="HT419" s="563"/>
      <c r="HU419" s="563"/>
      <c r="HV419" s="563"/>
      <c r="HW419" s="563"/>
      <c r="HX419" s="563"/>
    </row>
    <row r="420" spans="41:232" s="509" customFormat="1">
      <c r="AO420" s="538"/>
      <c r="AT420" s="538"/>
      <c r="AY420" s="538"/>
      <c r="BD420" s="538"/>
      <c r="BI420" s="538"/>
      <c r="BN420" s="538"/>
      <c r="BS420" s="538"/>
      <c r="BX420" s="538"/>
      <c r="CC420" s="538"/>
      <c r="CH420" s="538"/>
      <c r="CM420" s="538"/>
      <c r="DB420" s="538"/>
      <c r="DG420" s="538"/>
      <c r="DL420" s="538"/>
      <c r="DQ420" s="538"/>
      <c r="DV420" s="538"/>
      <c r="EA420" s="538"/>
      <c r="EF420" s="538"/>
      <c r="EK420" s="538"/>
      <c r="EP420" s="538"/>
      <c r="EQ420" s="538"/>
      <c r="ER420" s="538"/>
      <c r="ES420" s="538"/>
      <c r="ET420" s="538"/>
      <c r="EU420" s="538"/>
      <c r="EV420" s="538"/>
      <c r="EW420" s="538"/>
      <c r="EX420" s="538"/>
      <c r="EY420" s="538"/>
      <c r="EZ420" s="538"/>
      <c r="FA420" s="538"/>
      <c r="FB420" s="538"/>
      <c r="FC420" s="538"/>
      <c r="FD420" s="538"/>
      <c r="FE420" s="538"/>
      <c r="FF420" s="538"/>
      <c r="FG420" s="538"/>
      <c r="FH420" s="538"/>
      <c r="FI420" s="538"/>
      <c r="FJ420" s="538"/>
      <c r="FK420" s="538"/>
      <c r="FL420" s="538"/>
      <c r="FM420" s="538"/>
      <c r="FN420" s="538"/>
      <c r="FO420" s="538"/>
      <c r="FP420" s="538"/>
      <c r="FQ420" s="538"/>
      <c r="FR420" s="538"/>
      <c r="FS420" s="538"/>
      <c r="FT420" s="538"/>
      <c r="FU420" s="538"/>
      <c r="FV420" s="538"/>
      <c r="FW420" s="538"/>
      <c r="FX420" s="538"/>
      <c r="FY420" s="538"/>
      <c r="FZ420" s="538"/>
      <c r="GA420" s="538"/>
      <c r="GB420" s="538"/>
      <c r="GC420" s="538"/>
      <c r="GD420" s="538"/>
      <c r="GE420" s="538"/>
      <c r="GF420" s="538"/>
      <c r="GG420" s="538"/>
      <c r="GH420" s="538"/>
      <c r="GI420" s="538"/>
      <c r="GJ420" s="538"/>
      <c r="GK420" s="538"/>
      <c r="GL420" s="538"/>
      <c r="GM420" s="538"/>
      <c r="GN420" s="538"/>
      <c r="GO420" s="538"/>
      <c r="GP420" s="538"/>
      <c r="GQ420" s="538"/>
      <c r="GR420" s="538"/>
      <c r="GS420" s="538"/>
      <c r="GT420" s="538"/>
      <c r="GU420" s="538"/>
      <c r="GV420" s="538"/>
      <c r="GW420" s="538"/>
      <c r="GX420" s="538"/>
      <c r="GY420" s="538"/>
      <c r="GZ420" s="538"/>
      <c r="HA420" s="538"/>
      <c r="HB420" s="538"/>
      <c r="HC420" s="538"/>
      <c r="HD420" s="538"/>
      <c r="HE420" s="538"/>
      <c r="HF420" s="538"/>
      <c r="HG420" s="538"/>
      <c r="HH420" s="538"/>
      <c r="HI420" s="538"/>
      <c r="HJ420" s="538"/>
      <c r="HK420" s="538"/>
      <c r="HL420" s="538"/>
      <c r="HM420" s="538"/>
      <c r="HN420" s="538"/>
      <c r="HO420" s="538"/>
      <c r="HP420" s="563"/>
      <c r="HR420" s="563"/>
      <c r="HS420" s="563"/>
      <c r="HT420" s="563"/>
      <c r="HU420" s="563"/>
      <c r="HV420" s="563"/>
      <c r="HW420" s="563"/>
      <c r="HX420" s="563"/>
    </row>
    <row r="421" spans="41:232" s="509" customFormat="1">
      <c r="AO421" s="538"/>
      <c r="AT421" s="538"/>
      <c r="AY421" s="538"/>
      <c r="BD421" s="538"/>
      <c r="BI421" s="538"/>
      <c r="BN421" s="538"/>
      <c r="BS421" s="538"/>
      <c r="BX421" s="538"/>
      <c r="CC421" s="538"/>
      <c r="CH421" s="538"/>
      <c r="CM421" s="538"/>
      <c r="DB421" s="538"/>
      <c r="DG421" s="538"/>
      <c r="DL421" s="538"/>
      <c r="DQ421" s="538"/>
      <c r="DV421" s="538"/>
      <c r="EA421" s="538"/>
      <c r="EF421" s="538"/>
      <c r="EK421" s="538"/>
      <c r="EP421" s="538"/>
      <c r="EQ421" s="538"/>
      <c r="ER421" s="538"/>
      <c r="ES421" s="538"/>
      <c r="ET421" s="538"/>
      <c r="EU421" s="538"/>
      <c r="EV421" s="538"/>
      <c r="EW421" s="538"/>
      <c r="EX421" s="538"/>
      <c r="EY421" s="538"/>
      <c r="EZ421" s="538"/>
      <c r="FA421" s="538"/>
      <c r="FB421" s="538"/>
      <c r="FC421" s="538"/>
      <c r="FD421" s="538"/>
      <c r="FE421" s="538"/>
      <c r="FF421" s="538"/>
      <c r="FG421" s="538"/>
      <c r="FH421" s="538"/>
      <c r="FI421" s="538"/>
      <c r="FJ421" s="538"/>
      <c r="FK421" s="538"/>
      <c r="FL421" s="538"/>
      <c r="FM421" s="538"/>
      <c r="FN421" s="538"/>
      <c r="FO421" s="538"/>
      <c r="FP421" s="538"/>
      <c r="FQ421" s="538"/>
      <c r="FR421" s="538"/>
      <c r="FS421" s="538"/>
      <c r="FT421" s="538"/>
      <c r="FU421" s="538"/>
      <c r="FV421" s="538"/>
      <c r="FW421" s="538"/>
      <c r="FX421" s="538"/>
      <c r="FY421" s="538"/>
      <c r="FZ421" s="538"/>
      <c r="GA421" s="538"/>
      <c r="GB421" s="538"/>
      <c r="GC421" s="538"/>
      <c r="GD421" s="538"/>
      <c r="GE421" s="538"/>
      <c r="GF421" s="538"/>
      <c r="GG421" s="538"/>
      <c r="GH421" s="538"/>
      <c r="GI421" s="538"/>
      <c r="GJ421" s="538"/>
      <c r="GK421" s="538"/>
      <c r="GL421" s="538"/>
      <c r="GM421" s="538"/>
      <c r="GN421" s="538"/>
      <c r="GO421" s="538"/>
      <c r="GP421" s="538"/>
      <c r="GQ421" s="538"/>
      <c r="GR421" s="538"/>
      <c r="GS421" s="538"/>
      <c r="GT421" s="538"/>
      <c r="GU421" s="538"/>
      <c r="GV421" s="538"/>
      <c r="GW421" s="538"/>
      <c r="GX421" s="538"/>
      <c r="GY421" s="538"/>
      <c r="GZ421" s="538"/>
      <c r="HA421" s="538"/>
      <c r="HB421" s="538"/>
      <c r="HC421" s="538"/>
      <c r="HD421" s="538"/>
      <c r="HE421" s="538"/>
      <c r="HF421" s="538"/>
      <c r="HG421" s="538"/>
      <c r="HH421" s="538"/>
      <c r="HI421" s="538"/>
      <c r="HJ421" s="538"/>
      <c r="HK421" s="538"/>
      <c r="HL421" s="538"/>
      <c r="HM421" s="538"/>
      <c r="HN421" s="538"/>
      <c r="HO421" s="538"/>
      <c r="HP421" s="563"/>
      <c r="HR421" s="563"/>
      <c r="HS421" s="563"/>
      <c r="HT421" s="563"/>
      <c r="HU421" s="563"/>
      <c r="HV421" s="563"/>
      <c r="HW421" s="563"/>
      <c r="HX421" s="563"/>
    </row>
    <row r="422" spans="41:232" s="509" customFormat="1">
      <c r="AO422" s="538"/>
      <c r="AT422" s="538"/>
      <c r="AY422" s="538"/>
      <c r="BD422" s="538"/>
      <c r="BI422" s="538"/>
      <c r="BN422" s="538"/>
      <c r="BS422" s="538"/>
      <c r="BX422" s="538"/>
      <c r="CC422" s="538"/>
      <c r="CH422" s="538"/>
      <c r="CM422" s="538"/>
      <c r="DB422" s="538"/>
      <c r="DG422" s="538"/>
      <c r="DL422" s="538"/>
      <c r="DQ422" s="538"/>
      <c r="DV422" s="538"/>
      <c r="EA422" s="538"/>
      <c r="EF422" s="538"/>
      <c r="EK422" s="538"/>
      <c r="EP422" s="538"/>
      <c r="EQ422" s="538"/>
      <c r="ER422" s="538"/>
      <c r="ES422" s="538"/>
      <c r="ET422" s="538"/>
      <c r="EU422" s="538"/>
      <c r="EV422" s="538"/>
      <c r="EW422" s="538"/>
      <c r="EX422" s="538"/>
      <c r="EY422" s="538"/>
      <c r="EZ422" s="538"/>
      <c r="FA422" s="538"/>
      <c r="FB422" s="538"/>
      <c r="FC422" s="538"/>
      <c r="FD422" s="538"/>
      <c r="FE422" s="538"/>
      <c r="FF422" s="538"/>
      <c r="FG422" s="538"/>
      <c r="FH422" s="538"/>
      <c r="FI422" s="538"/>
      <c r="FJ422" s="538"/>
      <c r="FK422" s="538"/>
      <c r="FL422" s="538"/>
      <c r="FM422" s="538"/>
      <c r="FN422" s="538"/>
      <c r="FO422" s="538"/>
      <c r="FP422" s="538"/>
      <c r="FQ422" s="538"/>
      <c r="FR422" s="538"/>
      <c r="FS422" s="538"/>
      <c r="FT422" s="538"/>
      <c r="FU422" s="538"/>
      <c r="FV422" s="538"/>
      <c r="FW422" s="538"/>
      <c r="FX422" s="538"/>
      <c r="FY422" s="538"/>
      <c r="FZ422" s="538"/>
      <c r="GA422" s="538"/>
      <c r="GB422" s="538"/>
      <c r="GC422" s="538"/>
      <c r="GD422" s="538"/>
      <c r="GE422" s="538"/>
      <c r="GF422" s="538"/>
      <c r="GG422" s="538"/>
      <c r="GH422" s="538"/>
      <c r="GI422" s="538"/>
      <c r="GJ422" s="538"/>
      <c r="GK422" s="538"/>
      <c r="GL422" s="538"/>
      <c r="GM422" s="538"/>
      <c r="GN422" s="538"/>
      <c r="GO422" s="538"/>
      <c r="GP422" s="538"/>
      <c r="GQ422" s="538"/>
      <c r="GR422" s="538"/>
      <c r="GS422" s="538"/>
      <c r="GT422" s="538"/>
      <c r="GU422" s="538"/>
      <c r="GV422" s="538"/>
      <c r="GW422" s="538"/>
      <c r="GX422" s="538"/>
      <c r="GY422" s="538"/>
      <c r="GZ422" s="538"/>
      <c r="HA422" s="538"/>
      <c r="HB422" s="538"/>
      <c r="HC422" s="538"/>
      <c r="HD422" s="538"/>
      <c r="HE422" s="538"/>
      <c r="HF422" s="538"/>
      <c r="HG422" s="538"/>
      <c r="HH422" s="538"/>
      <c r="HI422" s="538"/>
      <c r="HJ422" s="538"/>
      <c r="HK422" s="538"/>
      <c r="HL422" s="538"/>
      <c r="HM422" s="538"/>
      <c r="HN422" s="538"/>
      <c r="HO422" s="538"/>
      <c r="HP422" s="563"/>
      <c r="HR422" s="563"/>
      <c r="HS422" s="563"/>
      <c r="HT422" s="563"/>
      <c r="HU422" s="563"/>
      <c r="HV422" s="563"/>
      <c r="HW422" s="563"/>
      <c r="HX422" s="563"/>
    </row>
    <row r="423" spans="41:232" s="509" customFormat="1">
      <c r="AO423" s="538"/>
      <c r="AT423" s="538"/>
      <c r="AY423" s="538"/>
      <c r="BD423" s="538"/>
      <c r="BI423" s="538"/>
      <c r="BN423" s="538"/>
      <c r="BS423" s="538"/>
      <c r="BX423" s="538"/>
      <c r="CC423" s="538"/>
      <c r="CH423" s="538"/>
      <c r="CM423" s="538"/>
      <c r="DB423" s="538"/>
      <c r="DG423" s="538"/>
      <c r="DL423" s="538"/>
      <c r="DQ423" s="538"/>
      <c r="DV423" s="538"/>
      <c r="EA423" s="538"/>
      <c r="EF423" s="538"/>
      <c r="EK423" s="538"/>
      <c r="EP423" s="538"/>
      <c r="EQ423" s="538"/>
      <c r="ER423" s="538"/>
      <c r="ES423" s="538"/>
      <c r="ET423" s="538"/>
      <c r="EU423" s="538"/>
      <c r="EV423" s="538"/>
      <c r="EW423" s="538"/>
      <c r="EX423" s="538"/>
      <c r="EY423" s="538"/>
      <c r="EZ423" s="538"/>
      <c r="FA423" s="538"/>
      <c r="FB423" s="538"/>
      <c r="FC423" s="538"/>
      <c r="FD423" s="538"/>
      <c r="FE423" s="538"/>
      <c r="FF423" s="538"/>
      <c r="FG423" s="538"/>
      <c r="FH423" s="538"/>
      <c r="FI423" s="538"/>
      <c r="FJ423" s="538"/>
      <c r="FK423" s="538"/>
      <c r="FL423" s="538"/>
      <c r="FM423" s="538"/>
      <c r="FN423" s="538"/>
      <c r="FO423" s="538"/>
      <c r="FP423" s="538"/>
      <c r="FQ423" s="538"/>
      <c r="FR423" s="538"/>
      <c r="FS423" s="538"/>
      <c r="FT423" s="538"/>
      <c r="FU423" s="538"/>
      <c r="FV423" s="538"/>
      <c r="FW423" s="538"/>
      <c r="FX423" s="538"/>
      <c r="FY423" s="538"/>
      <c r="FZ423" s="538"/>
      <c r="GA423" s="538"/>
      <c r="GB423" s="538"/>
      <c r="GC423" s="538"/>
      <c r="GD423" s="538"/>
      <c r="GE423" s="538"/>
      <c r="GF423" s="538"/>
      <c r="GG423" s="538"/>
      <c r="GH423" s="538"/>
      <c r="GI423" s="538"/>
      <c r="GJ423" s="538"/>
      <c r="GK423" s="538"/>
      <c r="GL423" s="538"/>
      <c r="GM423" s="538"/>
      <c r="GN423" s="538"/>
      <c r="GO423" s="538"/>
      <c r="GP423" s="538"/>
      <c r="GQ423" s="538"/>
      <c r="GR423" s="538"/>
      <c r="GS423" s="538"/>
      <c r="GT423" s="538"/>
      <c r="GU423" s="538"/>
      <c r="GV423" s="538"/>
      <c r="GW423" s="538"/>
      <c r="GX423" s="538"/>
      <c r="GY423" s="538"/>
      <c r="GZ423" s="538"/>
      <c r="HA423" s="538"/>
      <c r="HB423" s="538"/>
      <c r="HC423" s="538"/>
      <c r="HD423" s="538"/>
      <c r="HE423" s="538"/>
      <c r="HF423" s="538"/>
      <c r="HG423" s="538"/>
      <c r="HH423" s="538"/>
      <c r="HI423" s="538"/>
      <c r="HJ423" s="538"/>
      <c r="HK423" s="538"/>
      <c r="HL423" s="538"/>
      <c r="HM423" s="538"/>
      <c r="HN423" s="538"/>
      <c r="HO423" s="538"/>
      <c r="HP423" s="563"/>
      <c r="HR423" s="563"/>
      <c r="HS423" s="563"/>
      <c r="HT423" s="563"/>
      <c r="HU423" s="563"/>
      <c r="HV423" s="563"/>
      <c r="HW423" s="563"/>
      <c r="HX423" s="563"/>
    </row>
    <row r="424" spans="41:232" s="509" customFormat="1">
      <c r="AO424" s="538"/>
      <c r="AT424" s="538"/>
      <c r="AY424" s="538"/>
      <c r="BD424" s="538"/>
      <c r="BI424" s="538"/>
      <c r="BN424" s="538"/>
      <c r="BS424" s="538"/>
      <c r="BX424" s="538"/>
      <c r="CC424" s="538"/>
      <c r="CH424" s="538"/>
      <c r="CM424" s="538"/>
      <c r="DB424" s="538"/>
      <c r="DG424" s="538"/>
      <c r="DL424" s="538"/>
      <c r="DQ424" s="538"/>
      <c r="DV424" s="538"/>
      <c r="EA424" s="538"/>
      <c r="EF424" s="538"/>
      <c r="EK424" s="538"/>
      <c r="EP424" s="538"/>
      <c r="EQ424" s="538"/>
      <c r="ER424" s="538"/>
      <c r="ES424" s="538"/>
      <c r="ET424" s="538"/>
      <c r="EU424" s="538"/>
      <c r="EV424" s="538"/>
      <c r="EW424" s="538"/>
      <c r="EX424" s="538"/>
      <c r="EY424" s="538"/>
      <c r="EZ424" s="538"/>
      <c r="FA424" s="538"/>
      <c r="FB424" s="538"/>
      <c r="FC424" s="538"/>
      <c r="FD424" s="538"/>
      <c r="FE424" s="538"/>
      <c r="FF424" s="538"/>
      <c r="FG424" s="538"/>
      <c r="FH424" s="538"/>
      <c r="FI424" s="538"/>
      <c r="FJ424" s="538"/>
      <c r="FK424" s="538"/>
      <c r="FL424" s="538"/>
      <c r="FM424" s="538"/>
      <c r="FN424" s="538"/>
      <c r="FO424" s="538"/>
      <c r="FP424" s="538"/>
      <c r="FQ424" s="538"/>
      <c r="FR424" s="538"/>
      <c r="FS424" s="538"/>
      <c r="FT424" s="538"/>
      <c r="FU424" s="538"/>
      <c r="FV424" s="538"/>
      <c r="FW424" s="538"/>
      <c r="FX424" s="538"/>
      <c r="FY424" s="538"/>
      <c r="FZ424" s="538"/>
      <c r="GA424" s="538"/>
      <c r="GB424" s="538"/>
      <c r="GC424" s="538"/>
      <c r="GD424" s="538"/>
      <c r="GE424" s="538"/>
      <c r="GF424" s="538"/>
      <c r="GG424" s="538"/>
      <c r="GH424" s="538"/>
      <c r="GI424" s="538"/>
      <c r="GJ424" s="538"/>
      <c r="GK424" s="538"/>
      <c r="GL424" s="538"/>
      <c r="GM424" s="538"/>
      <c r="GN424" s="538"/>
      <c r="GO424" s="538"/>
      <c r="GP424" s="538"/>
      <c r="GQ424" s="538"/>
      <c r="GR424" s="538"/>
      <c r="GS424" s="538"/>
      <c r="GT424" s="538"/>
      <c r="GU424" s="538"/>
      <c r="GV424" s="538"/>
      <c r="GW424" s="538"/>
      <c r="GX424" s="538"/>
      <c r="GY424" s="538"/>
      <c r="GZ424" s="538"/>
      <c r="HA424" s="538"/>
      <c r="HB424" s="538"/>
      <c r="HC424" s="538"/>
      <c r="HD424" s="538"/>
      <c r="HE424" s="538"/>
      <c r="HF424" s="538"/>
      <c r="HG424" s="538"/>
      <c r="HH424" s="538"/>
      <c r="HI424" s="538"/>
      <c r="HJ424" s="538"/>
      <c r="HK424" s="538"/>
      <c r="HL424" s="538"/>
      <c r="HM424" s="538"/>
      <c r="HN424" s="538"/>
      <c r="HO424" s="538"/>
      <c r="HP424" s="563"/>
      <c r="HR424" s="563"/>
      <c r="HS424" s="563"/>
      <c r="HT424" s="563"/>
      <c r="HU424" s="563"/>
      <c r="HV424" s="563"/>
      <c r="HW424" s="563"/>
      <c r="HX424" s="563"/>
    </row>
    <row r="425" spans="41:232" s="509" customFormat="1">
      <c r="AO425" s="538"/>
      <c r="AT425" s="538"/>
      <c r="AY425" s="538"/>
      <c r="BD425" s="538"/>
      <c r="BI425" s="538"/>
      <c r="BN425" s="538"/>
      <c r="BS425" s="538"/>
      <c r="BX425" s="538"/>
      <c r="CC425" s="538"/>
      <c r="CH425" s="538"/>
      <c r="CM425" s="538"/>
      <c r="DB425" s="538"/>
      <c r="DG425" s="538"/>
      <c r="DL425" s="538"/>
      <c r="DQ425" s="538"/>
      <c r="DV425" s="538"/>
      <c r="EA425" s="538"/>
      <c r="EF425" s="538"/>
      <c r="EK425" s="538"/>
      <c r="EP425" s="538"/>
      <c r="EQ425" s="538"/>
      <c r="ER425" s="538"/>
      <c r="ES425" s="538"/>
      <c r="ET425" s="538"/>
      <c r="EU425" s="538"/>
      <c r="EV425" s="538"/>
      <c r="EW425" s="538"/>
      <c r="EX425" s="538"/>
      <c r="EY425" s="538"/>
      <c r="EZ425" s="538"/>
      <c r="FA425" s="538"/>
      <c r="FB425" s="538"/>
      <c r="FC425" s="538"/>
      <c r="FD425" s="538"/>
      <c r="FE425" s="538"/>
      <c r="FF425" s="538"/>
      <c r="FG425" s="538"/>
      <c r="FH425" s="538"/>
      <c r="FI425" s="538"/>
      <c r="FJ425" s="538"/>
      <c r="FK425" s="538"/>
      <c r="FL425" s="538"/>
      <c r="FM425" s="538"/>
      <c r="FN425" s="538"/>
      <c r="FO425" s="538"/>
      <c r="FP425" s="538"/>
      <c r="FQ425" s="538"/>
      <c r="FR425" s="538"/>
      <c r="FS425" s="538"/>
      <c r="FT425" s="538"/>
      <c r="FU425" s="538"/>
      <c r="FV425" s="538"/>
      <c r="FW425" s="538"/>
      <c r="FX425" s="538"/>
      <c r="FY425" s="538"/>
      <c r="FZ425" s="538"/>
      <c r="GA425" s="538"/>
      <c r="GB425" s="538"/>
      <c r="GC425" s="538"/>
      <c r="GD425" s="538"/>
      <c r="GE425" s="538"/>
      <c r="GF425" s="538"/>
      <c r="GG425" s="538"/>
      <c r="GH425" s="538"/>
      <c r="GI425" s="538"/>
      <c r="GJ425" s="538"/>
      <c r="GK425" s="538"/>
      <c r="GL425" s="538"/>
      <c r="GM425" s="538"/>
      <c r="GN425" s="538"/>
      <c r="GO425" s="538"/>
      <c r="GP425" s="538"/>
      <c r="GQ425" s="538"/>
      <c r="GR425" s="538"/>
      <c r="GS425" s="538"/>
      <c r="GT425" s="538"/>
      <c r="GU425" s="538"/>
      <c r="GV425" s="538"/>
      <c r="GW425" s="538"/>
      <c r="GX425" s="538"/>
      <c r="GY425" s="538"/>
      <c r="GZ425" s="538"/>
      <c r="HA425" s="538"/>
      <c r="HB425" s="538"/>
      <c r="HC425" s="538"/>
      <c r="HD425" s="538"/>
      <c r="HE425" s="538"/>
      <c r="HF425" s="538"/>
      <c r="HG425" s="538"/>
      <c r="HH425" s="538"/>
      <c r="HI425" s="538"/>
      <c r="HJ425" s="538"/>
      <c r="HK425" s="538"/>
      <c r="HL425" s="538"/>
      <c r="HM425" s="538"/>
      <c r="HN425" s="538"/>
      <c r="HO425" s="538"/>
      <c r="HP425" s="563"/>
      <c r="HR425" s="563"/>
      <c r="HS425" s="563"/>
      <c r="HT425" s="563"/>
      <c r="HU425" s="563"/>
      <c r="HV425" s="563"/>
      <c r="HW425" s="563"/>
      <c r="HX425" s="563"/>
    </row>
    <row r="426" spans="41:232" s="509" customFormat="1">
      <c r="AO426" s="538"/>
      <c r="AT426" s="538"/>
      <c r="AY426" s="538"/>
      <c r="BD426" s="538"/>
      <c r="BI426" s="538"/>
      <c r="BN426" s="538"/>
      <c r="BS426" s="538"/>
      <c r="BX426" s="538"/>
      <c r="CC426" s="538"/>
      <c r="CH426" s="538"/>
      <c r="CM426" s="538"/>
      <c r="DB426" s="538"/>
      <c r="DG426" s="538"/>
      <c r="DL426" s="538"/>
      <c r="DQ426" s="538"/>
      <c r="DV426" s="538"/>
      <c r="EA426" s="538"/>
      <c r="EF426" s="538"/>
      <c r="EK426" s="538"/>
      <c r="EP426" s="538"/>
      <c r="EQ426" s="538"/>
      <c r="ER426" s="538"/>
      <c r="ES426" s="538"/>
      <c r="ET426" s="538"/>
      <c r="EU426" s="538"/>
      <c r="EV426" s="538"/>
      <c r="EW426" s="538"/>
      <c r="EX426" s="538"/>
      <c r="EY426" s="538"/>
      <c r="EZ426" s="538"/>
      <c r="FA426" s="538"/>
      <c r="FB426" s="538"/>
      <c r="FC426" s="538"/>
      <c r="FD426" s="538"/>
      <c r="FE426" s="538"/>
      <c r="FF426" s="538"/>
      <c r="FG426" s="538"/>
      <c r="FH426" s="538"/>
      <c r="FI426" s="538"/>
      <c r="FJ426" s="538"/>
      <c r="FK426" s="538"/>
      <c r="FL426" s="538"/>
      <c r="FM426" s="538"/>
      <c r="FN426" s="538"/>
      <c r="FO426" s="538"/>
      <c r="FP426" s="538"/>
      <c r="FQ426" s="538"/>
      <c r="FR426" s="538"/>
      <c r="FS426" s="538"/>
      <c r="FT426" s="538"/>
      <c r="FU426" s="538"/>
      <c r="FV426" s="538"/>
      <c r="FW426" s="538"/>
      <c r="FX426" s="538"/>
      <c r="FY426" s="538"/>
      <c r="FZ426" s="538"/>
      <c r="GA426" s="538"/>
      <c r="GB426" s="538"/>
      <c r="GC426" s="538"/>
      <c r="GD426" s="538"/>
      <c r="GE426" s="538"/>
      <c r="GF426" s="538"/>
      <c r="GG426" s="538"/>
      <c r="GH426" s="538"/>
      <c r="GI426" s="538"/>
      <c r="GJ426" s="538"/>
      <c r="GK426" s="538"/>
      <c r="GL426" s="538"/>
      <c r="GM426" s="538"/>
      <c r="GN426" s="538"/>
      <c r="GO426" s="538"/>
      <c r="GP426" s="538"/>
      <c r="GQ426" s="538"/>
      <c r="GR426" s="538"/>
      <c r="GS426" s="538"/>
      <c r="GT426" s="538"/>
      <c r="GU426" s="538"/>
      <c r="GV426" s="538"/>
      <c r="GW426" s="538"/>
      <c r="GX426" s="538"/>
      <c r="GY426" s="538"/>
      <c r="GZ426" s="538"/>
      <c r="HA426" s="538"/>
      <c r="HB426" s="538"/>
      <c r="HC426" s="538"/>
      <c r="HD426" s="538"/>
      <c r="HE426" s="538"/>
      <c r="HF426" s="538"/>
      <c r="HG426" s="538"/>
      <c r="HH426" s="538"/>
      <c r="HI426" s="538"/>
      <c r="HJ426" s="538"/>
      <c r="HK426" s="538"/>
      <c r="HL426" s="538"/>
      <c r="HM426" s="538"/>
      <c r="HN426" s="538"/>
      <c r="HO426" s="538"/>
      <c r="HP426" s="563"/>
      <c r="HR426" s="563"/>
      <c r="HS426" s="563"/>
      <c r="HT426" s="563"/>
      <c r="HU426" s="563"/>
      <c r="HV426" s="563"/>
      <c r="HW426" s="563"/>
      <c r="HX426" s="563"/>
    </row>
    <row r="427" spans="41:232" s="509" customFormat="1">
      <c r="AO427" s="538"/>
      <c r="AT427" s="538"/>
      <c r="AY427" s="538"/>
      <c r="BD427" s="538"/>
      <c r="BI427" s="538"/>
      <c r="BN427" s="538"/>
      <c r="BS427" s="538"/>
      <c r="BX427" s="538"/>
      <c r="CC427" s="538"/>
      <c r="CH427" s="538"/>
      <c r="CM427" s="538"/>
      <c r="DB427" s="538"/>
      <c r="DG427" s="538"/>
      <c r="DL427" s="538"/>
      <c r="DQ427" s="538"/>
      <c r="DV427" s="538"/>
      <c r="EA427" s="538"/>
      <c r="EF427" s="538"/>
      <c r="EK427" s="538"/>
      <c r="EP427" s="538"/>
      <c r="EQ427" s="538"/>
      <c r="ER427" s="538"/>
      <c r="ES427" s="538"/>
      <c r="ET427" s="538"/>
      <c r="EU427" s="538"/>
      <c r="EV427" s="538"/>
      <c r="EW427" s="538"/>
      <c r="EX427" s="538"/>
      <c r="EY427" s="538"/>
      <c r="EZ427" s="538"/>
      <c r="FA427" s="538"/>
      <c r="FB427" s="538"/>
      <c r="FC427" s="538"/>
      <c r="FD427" s="538"/>
      <c r="FE427" s="538"/>
      <c r="FF427" s="538"/>
      <c r="FG427" s="538"/>
      <c r="FH427" s="538"/>
      <c r="FI427" s="538"/>
      <c r="FJ427" s="538"/>
      <c r="FK427" s="538"/>
      <c r="FL427" s="538"/>
      <c r="FM427" s="538"/>
      <c r="FN427" s="538"/>
      <c r="FO427" s="538"/>
      <c r="FP427" s="538"/>
      <c r="FQ427" s="538"/>
      <c r="FR427" s="538"/>
      <c r="FS427" s="538"/>
      <c r="FT427" s="538"/>
      <c r="FU427" s="538"/>
      <c r="FV427" s="538"/>
      <c r="FW427" s="538"/>
      <c r="FX427" s="538"/>
      <c r="FY427" s="538"/>
      <c r="FZ427" s="538"/>
      <c r="GA427" s="538"/>
      <c r="GB427" s="538"/>
      <c r="GC427" s="538"/>
      <c r="GD427" s="538"/>
      <c r="GE427" s="538"/>
      <c r="GF427" s="538"/>
      <c r="GG427" s="538"/>
      <c r="GH427" s="538"/>
      <c r="GI427" s="538"/>
      <c r="GJ427" s="538"/>
      <c r="GK427" s="538"/>
      <c r="GL427" s="538"/>
      <c r="GM427" s="538"/>
      <c r="GN427" s="538"/>
      <c r="GO427" s="538"/>
      <c r="GP427" s="538"/>
      <c r="GQ427" s="538"/>
      <c r="GR427" s="538"/>
      <c r="GS427" s="538"/>
      <c r="GT427" s="538"/>
      <c r="GU427" s="538"/>
      <c r="GV427" s="538"/>
      <c r="GW427" s="538"/>
      <c r="GX427" s="538"/>
      <c r="GY427" s="538"/>
      <c r="GZ427" s="538"/>
      <c r="HA427" s="538"/>
      <c r="HB427" s="538"/>
      <c r="HC427" s="538"/>
      <c r="HD427" s="538"/>
      <c r="HE427" s="538"/>
      <c r="HF427" s="538"/>
      <c r="HG427" s="538"/>
      <c r="HH427" s="538"/>
      <c r="HI427" s="538"/>
      <c r="HJ427" s="538"/>
      <c r="HK427" s="538"/>
      <c r="HL427" s="538"/>
      <c r="HM427" s="538"/>
      <c r="HN427" s="538"/>
      <c r="HO427" s="538"/>
      <c r="HP427" s="563"/>
      <c r="HR427" s="563"/>
      <c r="HS427" s="563"/>
      <c r="HT427" s="563"/>
      <c r="HU427" s="563"/>
      <c r="HV427" s="563"/>
      <c r="HW427" s="563"/>
      <c r="HX427" s="563"/>
    </row>
    <row r="428" spans="41:232" s="509" customFormat="1">
      <c r="AO428" s="538"/>
      <c r="AT428" s="538"/>
      <c r="AY428" s="538"/>
      <c r="BD428" s="538"/>
      <c r="BI428" s="538"/>
      <c r="BN428" s="538"/>
      <c r="BS428" s="538"/>
      <c r="BX428" s="538"/>
      <c r="CC428" s="538"/>
      <c r="CH428" s="538"/>
      <c r="CM428" s="538"/>
      <c r="DB428" s="538"/>
      <c r="DG428" s="538"/>
      <c r="DL428" s="538"/>
      <c r="DQ428" s="538"/>
      <c r="DV428" s="538"/>
      <c r="EA428" s="538"/>
      <c r="EF428" s="538"/>
      <c r="EK428" s="538"/>
      <c r="EP428" s="538"/>
      <c r="EQ428" s="538"/>
      <c r="ER428" s="538"/>
      <c r="ES428" s="538"/>
      <c r="ET428" s="538"/>
      <c r="EU428" s="538"/>
      <c r="EV428" s="538"/>
      <c r="EW428" s="538"/>
      <c r="EX428" s="538"/>
      <c r="EY428" s="538"/>
      <c r="EZ428" s="538"/>
      <c r="FA428" s="538"/>
      <c r="FB428" s="538"/>
      <c r="FC428" s="538"/>
      <c r="FD428" s="538"/>
      <c r="FE428" s="538"/>
      <c r="FF428" s="538"/>
      <c r="FG428" s="538"/>
      <c r="FH428" s="538"/>
      <c r="FI428" s="538"/>
      <c r="FJ428" s="538"/>
      <c r="FK428" s="538"/>
      <c r="FL428" s="538"/>
      <c r="FM428" s="538"/>
      <c r="FN428" s="538"/>
      <c r="FO428" s="538"/>
      <c r="FP428" s="538"/>
      <c r="FQ428" s="538"/>
      <c r="FR428" s="538"/>
      <c r="FS428" s="538"/>
      <c r="FT428" s="538"/>
      <c r="FU428" s="538"/>
      <c r="FV428" s="538"/>
      <c r="FW428" s="538"/>
      <c r="FX428" s="538"/>
      <c r="FY428" s="538"/>
      <c r="FZ428" s="538"/>
      <c r="GA428" s="538"/>
      <c r="GB428" s="538"/>
      <c r="GC428" s="538"/>
      <c r="GD428" s="538"/>
      <c r="GE428" s="538"/>
      <c r="GF428" s="538"/>
      <c r="GG428" s="538"/>
      <c r="GH428" s="538"/>
      <c r="GI428" s="538"/>
      <c r="GJ428" s="538"/>
      <c r="GK428" s="538"/>
      <c r="GL428" s="538"/>
      <c r="GM428" s="538"/>
      <c r="GN428" s="538"/>
      <c r="GO428" s="538"/>
      <c r="GP428" s="538"/>
      <c r="GQ428" s="538"/>
      <c r="GR428" s="538"/>
      <c r="GS428" s="538"/>
      <c r="GT428" s="538"/>
      <c r="GU428" s="538"/>
      <c r="GV428" s="538"/>
      <c r="GW428" s="538"/>
      <c r="GX428" s="538"/>
      <c r="GY428" s="538"/>
      <c r="GZ428" s="538"/>
      <c r="HA428" s="538"/>
      <c r="HB428" s="538"/>
      <c r="HC428" s="538"/>
      <c r="HD428" s="538"/>
      <c r="HE428" s="538"/>
      <c r="HF428" s="538"/>
      <c r="HG428" s="538"/>
      <c r="HH428" s="538"/>
      <c r="HI428" s="538"/>
      <c r="HJ428" s="538"/>
      <c r="HK428" s="538"/>
      <c r="HL428" s="538"/>
      <c r="HM428" s="538"/>
      <c r="HN428" s="538"/>
      <c r="HO428" s="538"/>
      <c r="HP428" s="563"/>
      <c r="HR428" s="563"/>
      <c r="HS428" s="563"/>
      <c r="HT428" s="563"/>
      <c r="HU428" s="563"/>
      <c r="HV428" s="563"/>
      <c r="HW428" s="563"/>
      <c r="HX428" s="563"/>
    </row>
    <row r="429" spans="41:232" s="509" customFormat="1">
      <c r="AO429" s="538"/>
      <c r="AT429" s="538"/>
      <c r="AY429" s="538"/>
      <c r="BD429" s="538"/>
      <c r="BI429" s="538"/>
      <c r="BN429" s="538"/>
      <c r="BS429" s="538"/>
      <c r="BX429" s="538"/>
      <c r="CC429" s="538"/>
      <c r="CH429" s="538"/>
      <c r="CM429" s="538"/>
      <c r="DB429" s="538"/>
      <c r="DG429" s="538"/>
      <c r="DL429" s="538"/>
      <c r="DQ429" s="538"/>
      <c r="DV429" s="538"/>
      <c r="EA429" s="538"/>
      <c r="EF429" s="538"/>
      <c r="EK429" s="538"/>
      <c r="EP429" s="538"/>
      <c r="EQ429" s="538"/>
      <c r="ER429" s="538"/>
      <c r="ES429" s="538"/>
      <c r="ET429" s="538"/>
      <c r="EU429" s="538"/>
      <c r="EV429" s="538"/>
      <c r="EW429" s="538"/>
      <c r="EX429" s="538"/>
      <c r="EY429" s="538"/>
      <c r="EZ429" s="538"/>
      <c r="FA429" s="538"/>
      <c r="FB429" s="538"/>
      <c r="FC429" s="538"/>
      <c r="FD429" s="538"/>
      <c r="FE429" s="538"/>
      <c r="FF429" s="538"/>
      <c r="FG429" s="538"/>
      <c r="FH429" s="538"/>
      <c r="FI429" s="538"/>
      <c r="FJ429" s="538"/>
      <c r="FK429" s="538"/>
      <c r="FL429" s="538"/>
      <c r="FM429" s="538"/>
      <c r="FN429" s="538"/>
      <c r="FO429" s="538"/>
      <c r="FP429" s="538"/>
      <c r="FQ429" s="538"/>
      <c r="FR429" s="538"/>
      <c r="FS429" s="538"/>
      <c r="FT429" s="538"/>
      <c r="FU429" s="538"/>
      <c r="FV429" s="538"/>
      <c r="FW429" s="538"/>
      <c r="FX429" s="538"/>
      <c r="FY429" s="538"/>
      <c r="FZ429" s="538"/>
      <c r="GA429" s="538"/>
      <c r="GB429" s="538"/>
      <c r="GC429" s="538"/>
      <c r="GD429" s="538"/>
      <c r="GE429" s="538"/>
      <c r="GF429" s="538"/>
      <c r="GG429" s="538"/>
      <c r="GH429" s="538"/>
      <c r="GI429" s="538"/>
      <c r="GJ429" s="538"/>
      <c r="GK429" s="538"/>
      <c r="GL429" s="538"/>
      <c r="GM429" s="538"/>
      <c r="GN429" s="538"/>
      <c r="GO429" s="538"/>
      <c r="GP429" s="538"/>
      <c r="GQ429" s="538"/>
      <c r="GR429" s="538"/>
      <c r="GS429" s="538"/>
      <c r="GT429" s="538"/>
      <c r="GU429" s="538"/>
      <c r="GV429" s="538"/>
      <c r="GW429" s="538"/>
      <c r="GX429" s="538"/>
      <c r="GY429" s="538"/>
      <c r="GZ429" s="538"/>
      <c r="HA429" s="538"/>
      <c r="HB429" s="538"/>
      <c r="HC429" s="538"/>
      <c r="HD429" s="538"/>
      <c r="HE429" s="538"/>
      <c r="HF429" s="538"/>
      <c r="HG429" s="538"/>
      <c r="HH429" s="538"/>
      <c r="HI429" s="538"/>
      <c r="HJ429" s="538"/>
      <c r="HK429" s="538"/>
      <c r="HL429" s="538"/>
      <c r="HM429" s="538"/>
      <c r="HN429" s="538"/>
      <c r="HO429" s="538"/>
      <c r="HP429" s="563"/>
      <c r="HR429" s="563"/>
      <c r="HS429" s="563"/>
      <c r="HT429" s="563"/>
      <c r="HU429" s="563"/>
      <c r="HV429" s="563"/>
      <c r="HW429" s="563"/>
      <c r="HX429" s="563"/>
    </row>
  </sheetData>
  <printOptions horizontalCentered="1" verticalCentered="1"/>
  <pageMargins left="0.25" right="0" top="0.5" bottom="0" header="0.5" footer="0.5"/>
  <pageSetup scale="22" orientation="landscape" r:id="rId1"/>
  <headerFooter alignWithMargins="0">
    <oddFooter>&amp;L'&amp;RGoldman Sachs &amp;F &amp;D</oddFooter>
  </headerFooter>
  <rowBreaks count="5" manualBreakCount="5">
    <brk id="71" min="136" max="155" man="1"/>
    <brk id="173" min="66" max="80" man="1"/>
    <brk id="102" min="136" max="155" man="1"/>
    <brk id="134" min="136" max="155" man="1"/>
    <brk id="204" min="136" max="155" man="1"/>
  </rowBreaks>
  <colBreaks count="1" manualBreakCount="1">
    <brk id="116" min="6" max="285" man="1"/>
  </colBreaks>
  <customProperties>
    <customPr name="Qube.Worksheet.Visibility" r:id="rId2"/>
  </customProperties>
  <drawing r:id="rId3"/>
  <legacyDrawing r:id="rId4"/>
</worksheet>
</file>

<file path=docMetadata/LabelInfo.xml><?xml version="1.0" encoding="utf-8"?>
<clbl:labelList xmlns:clbl="http://schemas.microsoft.com/office/2020/mipLabelMetadata">
  <clbl:label id="{38ade803-c9f2-458b-bd92-85e1ed493d50}" enabled="1" method="Privilege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Cover</vt:lpstr>
      <vt:lpstr>Worksheet</vt:lpstr>
      <vt:lpstr>AMD</vt:lpstr>
      <vt:lpstr>AMD!F89_F91</vt:lpstr>
      <vt:lpstr>AMD!F90_F92</vt:lpstr>
      <vt:lpstr>AMD!F93_F95</vt:lpstr>
      <vt:lpstr>AMD!Print_Area</vt:lpstr>
      <vt:lpstr>Worksheet!Print_Area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Makkar, Anmol [GIR]</dc:creator>
  <cp:lastModifiedBy>Makkar, Anmol [GIR]</cp:lastModifiedBy>
  <dcterms:created xsi:type="dcterms:W3CDTF">2026-05-06T11:17:49Z</dcterms:created>
  <dcterms:modified xsi:type="dcterms:W3CDTF">2026-05-06T11:47:33Z</dcterms:modified>
</cp:coreProperties>
</file>